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7. October\Summary\"/>
    </mc:Choice>
  </mc:AlternateContent>
  <xr:revisionPtr revIDLastSave="0" documentId="13_ncr:1_{B504718D-AD4E-4C3A-BDF3-E16E890CC185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ummary" sheetId="1" r:id="rId1"/>
    <sheet name="Table 1" sheetId="12" r:id="rId2"/>
    <sheet name="Table 2 Pg1" sheetId="3" r:id="rId3"/>
    <sheet name="Table 3 Summary" sheetId="5" r:id="rId4"/>
    <sheet name="Table 3.1" sheetId="6" r:id="rId5"/>
    <sheet name="Table 3.2" sheetId="7" r:id="rId6"/>
    <sheet name="Table 3.3" sheetId="8" r:id="rId7"/>
    <sheet name="Table 3.4" sheetId="9" r:id="rId8"/>
    <sheet name="Table 4" sheetId="10" r:id="rId9"/>
    <sheet name="Table 5" sheetId="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0">Summary!$A$1:$W$52</definedName>
    <definedName name="_xlnm.Print_Area" localSheetId="1">'Table 1'!$A$1:$V$151</definedName>
    <definedName name="_xlnm.Print_Area" localSheetId="4">'Table 3.1'!$A$1:$EN$472</definedName>
    <definedName name="_xlnm.Print_Area" localSheetId="5">'Table 3.2'!$A$1:$BW$137</definedName>
    <definedName name="_xlnm.Print_Area" localSheetId="6">'Table 3.3'!$A$1:$BW$102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A740" i="6" l="1"/>
  <c r="BZ740" i="6"/>
  <c r="BX740" i="6"/>
  <c r="BW740" i="6"/>
  <c r="BV740" i="6"/>
  <c r="BU740" i="6"/>
  <c r="BT740" i="6"/>
  <c r="BS740" i="6"/>
  <c r="BR740" i="6"/>
  <c r="BQ740" i="6"/>
  <c r="BP740" i="6"/>
  <c r="BO740" i="6"/>
  <c r="BN740" i="6"/>
  <c r="BM740" i="6"/>
  <c r="BL740" i="6"/>
  <c r="BK740" i="6"/>
  <c r="BJ740" i="6"/>
  <c r="BI740" i="6"/>
  <c r="BH740" i="6"/>
  <c r="BG740" i="6"/>
  <c r="BF740" i="6"/>
  <c r="BE740" i="6"/>
  <c r="BD740" i="6"/>
  <c r="BC740" i="6"/>
  <c r="BB740" i="6"/>
  <c r="BA740" i="6"/>
  <c r="AZ740" i="6"/>
  <c r="AY740" i="6"/>
  <c r="AX740" i="6"/>
  <c r="AW740" i="6"/>
  <c r="AV740" i="6"/>
  <c r="AU740" i="6"/>
  <c r="AT740" i="6"/>
  <c r="AS740" i="6"/>
  <c r="AR740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CA739" i="6"/>
  <c r="BZ739" i="6"/>
  <c r="BX739" i="6"/>
  <c r="BW739" i="6"/>
  <c r="BV739" i="6"/>
  <c r="BU739" i="6"/>
  <c r="BT739" i="6"/>
  <c r="BS739" i="6"/>
  <c r="BR739" i="6"/>
  <c r="BQ739" i="6"/>
  <c r="BP739" i="6"/>
  <c r="BO739" i="6"/>
  <c r="BN739" i="6"/>
  <c r="BM739" i="6"/>
  <c r="BL739" i="6"/>
  <c r="BK739" i="6"/>
  <c r="BJ739" i="6"/>
  <c r="BI739" i="6"/>
  <c r="BH739" i="6"/>
  <c r="BG739" i="6"/>
  <c r="BF739" i="6"/>
  <c r="BE739" i="6"/>
  <c r="BD739" i="6"/>
  <c r="BC739" i="6"/>
  <c r="BB739" i="6"/>
  <c r="BA739" i="6"/>
  <c r="AZ739" i="6"/>
  <c r="AY739" i="6"/>
  <c r="AX739" i="6"/>
  <c r="AW739" i="6"/>
  <c r="AV739" i="6"/>
  <c r="AU739" i="6"/>
  <c r="AT739" i="6"/>
  <c r="AS739" i="6"/>
  <c r="AR739" i="6"/>
  <c r="AQ739" i="6"/>
  <c r="AP739" i="6"/>
  <c r="AO739" i="6"/>
  <c r="AN739" i="6"/>
  <c r="AM739" i="6"/>
  <c r="AL739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BX738" i="6"/>
  <c r="BW738" i="6"/>
  <c r="BV738" i="6"/>
  <c r="BU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BC738" i="6"/>
  <c r="BB738" i="6"/>
  <c r="BA738" i="6"/>
  <c r="AZ738" i="6"/>
  <c r="AY738" i="6"/>
  <c r="AX738" i="6"/>
  <c r="AW738" i="6"/>
  <c r="AV738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BX737" i="6"/>
  <c r="BW737" i="6"/>
  <c r="BV737" i="6"/>
  <c r="BU737" i="6"/>
  <c r="BS737" i="6"/>
  <c r="BR737" i="6"/>
  <c r="BQ737" i="6"/>
  <c r="BP737" i="6"/>
  <c r="BN737" i="6"/>
  <c r="BM737" i="6"/>
  <c r="BL737" i="6"/>
  <c r="BK737" i="6"/>
  <c r="BI737" i="6"/>
  <c r="BH737" i="6"/>
  <c r="BG737" i="6"/>
  <c r="BF737" i="6"/>
  <c r="BD737" i="6"/>
  <c r="BC737" i="6"/>
  <c r="BB737" i="6"/>
  <c r="BA737" i="6"/>
  <c r="AY737" i="6"/>
  <c r="AX737" i="6"/>
  <c r="AW737" i="6"/>
  <c r="AV737" i="6"/>
  <c r="AT737" i="6"/>
  <c r="AS737" i="6"/>
  <c r="AR737" i="6"/>
  <c r="AQ737" i="6"/>
  <c r="AO737" i="6"/>
  <c r="AN737" i="6"/>
  <c r="AM737" i="6"/>
  <c r="AL737" i="6"/>
  <c r="AJ737" i="6"/>
  <c r="AI737" i="6"/>
  <c r="AH737" i="6"/>
  <c r="AG737" i="6"/>
  <c r="AE737" i="6"/>
  <c r="AD737" i="6"/>
  <c r="AC737" i="6"/>
  <c r="AB737" i="6"/>
  <c r="Z737" i="6"/>
  <c r="Y737" i="6"/>
  <c r="X737" i="6"/>
  <c r="W737" i="6"/>
  <c r="U737" i="6"/>
  <c r="T737" i="6"/>
  <c r="S737" i="6"/>
  <c r="R737" i="6"/>
  <c r="P737" i="6"/>
  <c r="O737" i="6"/>
  <c r="N737" i="6"/>
  <c r="M737" i="6"/>
  <c r="K737" i="6"/>
  <c r="J737" i="6"/>
  <c r="I737" i="6"/>
  <c r="H737" i="6"/>
  <c r="CA736" i="6"/>
  <c r="BZ736" i="6"/>
  <c r="BX736" i="6"/>
  <c r="BW736" i="6"/>
  <c r="BV736" i="6"/>
  <c r="BU736" i="6"/>
  <c r="BT736" i="6"/>
  <c r="BS736" i="6"/>
  <c r="BR736" i="6"/>
  <c r="BQ736" i="6"/>
  <c r="BP736" i="6"/>
  <c r="BO736" i="6"/>
  <c r="BN736" i="6"/>
  <c r="BM736" i="6"/>
  <c r="BL736" i="6"/>
  <c r="BK736" i="6"/>
  <c r="BJ736" i="6"/>
  <c r="BI736" i="6"/>
  <c r="BH736" i="6"/>
  <c r="BG736" i="6"/>
  <c r="BF736" i="6"/>
  <c r="BE736" i="6"/>
  <c r="BD736" i="6"/>
  <c r="BC736" i="6"/>
  <c r="BB736" i="6"/>
  <c r="BA736" i="6"/>
  <c r="AZ736" i="6"/>
  <c r="AY736" i="6"/>
  <c r="AX736" i="6"/>
  <c r="AW736" i="6"/>
  <c r="AV736" i="6"/>
  <c r="AU736" i="6"/>
  <c r="AT736" i="6"/>
  <c r="AS736" i="6"/>
  <c r="AR736" i="6"/>
  <c r="AQ736" i="6"/>
  <c r="AP736" i="6"/>
  <c r="AO736" i="6"/>
  <c r="AN736" i="6"/>
  <c r="AM736" i="6"/>
  <c r="AL736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BX735" i="6"/>
  <c r="BW735" i="6"/>
  <c r="BV735" i="6"/>
  <c r="BU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BX734" i="6"/>
  <c r="BW734" i="6"/>
  <c r="BV734" i="6"/>
  <c r="BU734" i="6"/>
  <c r="BS734" i="6"/>
  <c r="BR734" i="6"/>
  <c r="BQ734" i="6"/>
  <c r="BP734" i="6"/>
  <c r="BN734" i="6"/>
  <c r="BM734" i="6"/>
  <c r="BL734" i="6"/>
  <c r="BK734" i="6"/>
  <c r="BI734" i="6"/>
  <c r="BH734" i="6"/>
  <c r="BG734" i="6"/>
  <c r="BF734" i="6"/>
  <c r="BD734" i="6"/>
  <c r="BC734" i="6"/>
  <c r="BB734" i="6"/>
  <c r="BA734" i="6"/>
  <c r="AY734" i="6"/>
  <c r="AX734" i="6"/>
  <c r="AW734" i="6"/>
  <c r="AV734" i="6"/>
  <c r="AT734" i="6"/>
  <c r="AS734" i="6"/>
  <c r="AR734" i="6"/>
  <c r="AQ734" i="6"/>
  <c r="AO734" i="6"/>
  <c r="AN734" i="6"/>
  <c r="AM734" i="6"/>
  <c r="AL734" i="6"/>
  <c r="AJ734" i="6"/>
  <c r="AI734" i="6"/>
  <c r="AH734" i="6"/>
  <c r="AG734" i="6"/>
  <c r="AE734" i="6"/>
  <c r="AD734" i="6"/>
  <c r="AC734" i="6"/>
  <c r="AB734" i="6"/>
  <c r="Z734" i="6"/>
  <c r="Y734" i="6"/>
  <c r="X734" i="6"/>
  <c r="W734" i="6"/>
  <c r="U734" i="6"/>
  <c r="T734" i="6"/>
  <c r="S734" i="6"/>
  <c r="R734" i="6"/>
  <c r="P734" i="6"/>
  <c r="O734" i="6"/>
  <c r="N734" i="6"/>
  <c r="M734" i="6"/>
  <c r="K734" i="6"/>
  <c r="J734" i="6"/>
  <c r="I734" i="6"/>
  <c r="H734" i="6"/>
  <c r="CA733" i="6"/>
  <c r="BZ733" i="6"/>
  <c r="BX733" i="6"/>
  <c r="BW733" i="6"/>
  <c r="BV733" i="6"/>
  <c r="BU733" i="6"/>
  <c r="BT733" i="6"/>
  <c r="BS733" i="6"/>
  <c r="BR733" i="6"/>
  <c r="BQ733" i="6"/>
  <c r="BP733" i="6"/>
  <c r="BO733" i="6"/>
  <c r="BN733" i="6"/>
  <c r="BM733" i="6"/>
  <c r="BL733" i="6"/>
  <c r="BK733" i="6"/>
  <c r="BJ733" i="6"/>
  <c r="BI733" i="6"/>
  <c r="BH733" i="6"/>
  <c r="BG733" i="6"/>
  <c r="BF733" i="6"/>
  <c r="BE733" i="6"/>
  <c r="BD733" i="6"/>
  <c r="BC733" i="6"/>
  <c r="BB733" i="6"/>
  <c r="BA733" i="6"/>
  <c r="AZ733" i="6"/>
  <c r="AY733" i="6"/>
  <c r="AX733" i="6"/>
  <c r="AW733" i="6"/>
  <c r="AV733" i="6"/>
  <c r="AU733" i="6"/>
  <c r="AT733" i="6"/>
  <c r="AS733" i="6"/>
  <c r="AR733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BX732" i="6"/>
  <c r="BW732" i="6"/>
  <c r="BV732" i="6"/>
  <c r="BU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BC732" i="6"/>
  <c r="BB732" i="6"/>
  <c r="BA732" i="6"/>
  <c r="AZ732" i="6"/>
  <c r="AY732" i="6"/>
  <c r="AX732" i="6"/>
  <c r="AW732" i="6"/>
  <c r="AV732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BX731" i="6"/>
  <c r="BW731" i="6"/>
  <c r="BV731" i="6"/>
  <c r="BU731" i="6"/>
  <c r="BS731" i="6"/>
  <c r="BR731" i="6"/>
  <c r="BQ731" i="6"/>
  <c r="BP731" i="6"/>
  <c r="BN731" i="6"/>
  <c r="BM731" i="6"/>
  <c r="BL731" i="6"/>
  <c r="BK731" i="6"/>
  <c r="BI731" i="6"/>
  <c r="BH731" i="6"/>
  <c r="BG731" i="6"/>
  <c r="BF731" i="6"/>
  <c r="BD731" i="6"/>
  <c r="BC731" i="6"/>
  <c r="BB731" i="6"/>
  <c r="BA731" i="6"/>
  <c r="AY731" i="6"/>
  <c r="AX731" i="6"/>
  <c r="AW731" i="6"/>
  <c r="AV731" i="6"/>
  <c r="AT731" i="6"/>
  <c r="AS731" i="6"/>
  <c r="AR731" i="6"/>
  <c r="AQ731" i="6"/>
  <c r="AO731" i="6"/>
  <c r="AN731" i="6"/>
  <c r="AM731" i="6"/>
  <c r="AL731" i="6"/>
  <c r="AJ731" i="6"/>
  <c r="AI731" i="6"/>
  <c r="AH731" i="6"/>
  <c r="AG731" i="6"/>
  <c r="AE731" i="6"/>
  <c r="AD731" i="6"/>
  <c r="AC731" i="6"/>
  <c r="AB731" i="6"/>
  <c r="Z731" i="6"/>
  <c r="Y731" i="6"/>
  <c r="X731" i="6"/>
  <c r="W731" i="6"/>
  <c r="U731" i="6"/>
  <c r="T731" i="6"/>
  <c r="S731" i="6"/>
  <c r="R731" i="6"/>
  <c r="P731" i="6"/>
  <c r="O731" i="6"/>
  <c r="N731" i="6"/>
  <c r="M731" i="6"/>
  <c r="K731" i="6"/>
  <c r="J731" i="6"/>
  <c r="I731" i="6"/>
  <c r="H731" i="6"/>
  <c r="CA730" i="6"/>
  <c r="BZ730" i="6"/>
  <c r="BX730" i="6"/>
  <c r="BW730" i="6"/>
  <c r="BV730" i="6"/>
  <c r="BU730" i="6"/>
  <c r="BT730" i="6"/>
  <c r="BS730" i="6"/>
  <c r="BR730" i="6"/>
  <c r="BQ730" i="6"/>
  <c r="BP730" i="6"/>
  <c r="BO730" i="6"/>
  <c r="BN730" i="6"/>
  <c r="BM730" i="6"/>
  <c r="BL730" i="6"/>
  <c r="BK730" i="6"/>
  <c r="BJ730" i="6"/>
  <c r="BI730" i="6"/>
  <c r="BH730" i="6"/>
  <c r="BG730" i="6"/>
  <c r="BF730" i="6"/>
  <c r="BE730" i="6"/>
  <c r="BD730" i="6"/>
  <c r="BC730" i="6"/>
  <c r="BB730" i="6"/>
  <c r="BA730" i="6"/>
  <c r="AZ730" i="6"/>
  <c r="AY730" i="6"/>
  <c r="AX730" i="6"/>
  <c r="AW730" i="6"/>
  <c r="AV730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BX729" i="6"/>
  <c r="BW729" i="6"/>
  <c r="BV729" i="6"/>
  <c r="BU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BX728" i="6"/>
  <c r="BW728" i="6"/>
  <c r="BV728" i="6"/>
  <c r="BU728" i="6"/>
  <c r="BS728" i="6"/>
  <c r="BR728" i="6"/>
  <c r="BQ728" i="6"/>
  <c r="BP728" i="6"/>
  <c r="BN728" i="6"/>
  <c r="BM728" i="6"/>
  <c r="BL728" i="6"/>
  <c r="BK728" i="6"/>
  <c r="BI728" i="6"/>
  <c r="BH728" i="6"/>
  <c r="BG728" i="6"/>
  <c r="BF728" i="6"/>
  <c r="BD728" i="6"/>
  <c r="BC728" i="6"/>
  <c r="BB728" i="6"/>
  <c r="BA728" i="6"/>
  <c r="AY728" i="6"/>
  <c r="AX728" i="6"/>
  <c r="AW728" i="6"/>
  <c r="AV728" i="6"/>
  <c r="AT728" i="6"/>
  <c r="AS728" i="6"/>
  <c r="AR728" i="6"/>
  <c r="AQ728" i="6"/>
  <c r="AO728" i="6"/>
  <c r="AN728" i="6"/>
  <c r="AM728" i="6"/>
  <c r="AL728" i="6"/>
  <c r="AJ728" i="6"/>
  <c r="AI728" i="6"/>
  <c r="AH728" i="6"/>
  <c r="AG728" i="6"/>
  <c r="AE728" i="6"/>
  <c r="AD728" i="6"/>
  <c r="AC728" i="6"/>
  <c r="AB728" i="6"/>
  <c r="Z728" i="6"/>
  <c r="Y728" i="6"/>
  <c r="X728" i="6"/>
  <c r="W728" i="6"/>
  <c r="U728" i="6"/>
  <c r="T728" i="6"/>
  <c r="S728" i="6"/>
  <c r="R728" i="6"/>
  <c r="P728" i="6"/>
  <c r="O728" i="6"/>
  <c r="N728" i="6"/>
  <c r="M728" i="6"/>
  <c r="K728" i="6"/>
  <c r="J728" i="6"/>
  <c r="I728" i="6"/>
  <c r="H728" i="6"/>
  <c r="CA727" i="6"/>
  <c r="BZ727" i="6"/>
  <c r="BX727" i="6"/>
  <c r="BW727" i="6"/>
  <c r="BV727" i="6"/>
  <c r="BU727" i="6"/>
  <c r="BT727" i="6"/>
  <c r="BS727" i="6"/>
  <c r="BR727" i="6"/>
  <c r="BQ727" i="6"/>
  <c r="BP727" i="6"/>
  <c r="BO727" i="6"/>
  <c r="BN727" i="6"/>
  <c r="BM727" i="6"/>
  <c r="BL727" i="6"/>
  <c r="BK727" i="6"/>
  <c r="BJ727" i="6"/>
  <c r="BI727" i="6"/>
  <c r="BH727" i="6"/>
  <c r="BG727" i="6"/>
  <c r="BF727" i="6"/>
  <c r="BE727" i="6"/>
  <c r="BD727" i="6"/>
  <c r="BC727" i="6"/>
  <c r="BB727" i="6"/>
  <c r="BA727" i="6"/>
  <c r="AZ727" i="6"/>
  <c r="AY727" i="6"/>
  <c r="AX727" i="6"/>
  <c r="AW727" i="6"/>
  <c r="AV727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BX726" i="6"/>
  <c r="BW726" i="6"/>
  <c r="BV726" i="6"/>
  <c r="BU726" i="6"/>
  <c r="BS726" i="6"/>
  <c r="BR726" i="6"/>
  <c r="BQ726" i="6"/>
  <c r="BP726" i="6"/>
  <c r="BO726" i="6"/>
  <c r="BN726" i="6"/>
  <c r="BM726" i="6"/>
  <c r="BL726" i="6"/>
  <c r="BK726" i="6"/>
  <c r="BJ726" i="6"/>
  <c r="BI726" i="6"/>
  <c r="BH726" i="6"/>
  <c r="BG726" i="6"/>
  <c r="BF726" i="6"/>
  <c r="BE726" i="6"/>
  <c r="BD726" i="6"/>
  <c r="BC726" i="6"/>
  <c r="BB726" i="6"/>
  <c r="BA726" i="6"/>
  <c r="AZ726" i="6"/>
  <c r="AY726" i="6"/>
  <c r="AX726" i="6"/>
  <c r="AW726" i="6"/>
  <c r="AV726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BX725" i="6"/>
  <c r="BW725" i="6"/>
  <c r="BV725" i="6"/>
  <c r="BU725" i="6"/>
  <c r="BS725" i="6"/>
  <c r="BR725" i="6"/>
  <c r="BQ725" i="6"/>
  <c r="BP725" i="6"/>
  <c r="BN725" i="6"/>
  <c r="BM725" i="6"/>
  <c r="BL725" i="6"/>
  <c r="BK725" i="6"/>
  <c r="BI725" i="6"/>
  <c r="BH725" i="6"/>
  <c r="BG725" i="6"/>
  <c r="BF725" i="6"/>
  <c r="BD725" i="6"/>
  <c r="BC725" i="6"/>
  <c r="BB725" i="6"/>
  <c r="BA725" i="6"/>
  <c r="AY725" i="6"/>
  <c r="AX725" i="6"/>
  <c r="AW725" i="6"/>
  <c r="AV725" i="6"/>
  <c r="AT725" i="6"/>
  <c r="AS725" i="6"/>
  <c r="AR725" i="6"/>
  <c r="AQ725" i="6"/>
  <c r="AO725" i="6"/>
  <c r="AN725" i="6"/>
  <c r="AM725" i="6"/>
  <c r="AL725" i="6"/>
  <c r="AJ725" i="6"/>
  <c r="AI725" i="6"/>
  <c r="AH725" i="6"/>
  <c r="AG725" i="6"/>
  <c r="AE725" i="6"/>
  <c r="AD725" i="6"/>
  <c r="AC725" i="6"/>
  <c r="AB725" i="6"/>
  <c r="Z725" i="6"/>
  <c r="Y725" i="6"/>
  <c r="X725" i="6"/>
  <c r="W725" i="6"/>
  <c r="U725" i="6"/>
  <c r="T725" i="6"/>
  <c r="S725" i="6"/>
  <c r="R725" i="6"/>
  <c r="P725" i="6"/>
  <c r="O725" i="6"/>
  <c r="N725" i="6"/>
  <c r="M725" i="6"/>
  <c r="K725" i="6"/>
  <c r="J725" i="6"/>
  <c r="I725" i="6"/>
  <c r="H725" i="6"/>
  <c r="CA724" i="6"/>
  <c r="BZ724" i="6"/>
  <c r="BX724" i="6"/>
  <c r="BW724" i="6"/>
  <c r="BV724" i="6"/>
  <c r="BU724" i="6"/>
  <c r="BT724" i="6"/>
  <c r="BS724" i="6"/>
  <c r="BR724" i="6"/>
  <c r="BQ724" i="6"/>
  <c r="BP724" i="6"/>
  <c r="BO724" i="6"/>
  <c r="BN724" i="6"/>
  <c r="BM724" i="6"/>
  <c r="BL724" i="6"/>
  <c r="BK724" i="6"/>
  <c r="BJ724" i="6"/>
  <c r="BI724" i="6"/>
  <c r="BH724" i="6"/>
  <c r="BG724" i="6"/>
  <c r="BF724" i="6"/>
  <c r="BE724" i="6"/>
  <c r="BD724" i="6"/>
  <c r="BC724" i="6"/>
  <c r="BB724" i="6"/>
  <c r="BA724" i="6"/>
  <c r="AZ724" i="6"/>
  <c r="AY724" i="6"/>
  <c r="AX724" i="6"/>
  <c r="AW724" i="6"/>
  <c r="AV724" i="6"/>
  <c r="AU724" i="6"/>
  <c r="AT724" i="6"/>
  <c r="AS724" i="6"/>
  <c r="AR724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BX723" i="6"/>
  <c r="BW723" i="6"/>
  <c r="BV723" i="6"/>
  <c r="BU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BX722" i="6"/>
  <c r="BW722" i="6"/>
  <c r="BV722" i="6"/>
  <c r="BU722" i="6"/>
  <c r="BS722" i="6"/>
  <c r="BR722" i="6"/>
  <c r="BQ722" i="6"/>
  <c r="BP722" i="6"/>
  <c r="BN722" i="6"/>
  <c r="BM722" i="6"/>
  <c r="BL722" i="6"/>
  <c r="BK722" i="6"/>
  <c r="BI722" i="6"/>
  <c r="BH722" i="6"/>
  <c r="BG722" i="6"/>
  <c r="BF722" i="6"/>
  <c r="BD722" i="6"/>
  <c r="BC722" i="6"/>
  <c r="BB722" i="6"/>
  <c r="BA722" i="6"/>
  <c r="AY722" i="6"/>
  <c r="AX722" i="6"/>
  <c r="AW722" i="6"/>
  <c r="AV722" i="6"/>
  <c r="AT722" i="6"/>
  <c r="AS722" i="6"/>
  <c r="AR722" i="6"/>
  <c r="AQ722" i="6"/>
  <c r="AO722" i="6"/>
  <c r="AN722" i="6"/>
  <c r="AM722" i="6"/>
  <c r="AL722" i="6"/>
  <c r="AJ722" i="6"/>
  <c r="AI722" i="6"/>
  <c r="AH722" i="6"/>
  <c r="AG722" i="6"/>
  <c r="AE722" i="6"/>
  <c r="AD722" i="6"/>
  <c r="AC722" i="6"/>
  <c r="AB722" i="6"/>
  <c r="Z722" i="6"/>
  <c r="Y722" i="6"/>
  <c r="X722" i="6"/>
  <c r="W722" i="6"/>
  <c r="U722" i="6"/>
  <c r="T722" i="6"/>
  <c r="S722" i="6"/>
  <c r="R722" i="6"/>
  <c r="P722" i="6"/>
  <c r="O722" i="6"/>
  <c r="N722" i="6"/>
  <c r="M722" i="6"/>
  <c r="K722" i="6"/>
  <c r="J722" i="6"/>
  <c r="I722" i="6"/>
  <c r="H722" i="6"/>
  <c r="CA721" i="6"/>
  <c r="BZ721" i="6"/>
  <c r="BX721" i="6"/>
  <c r="BW721" i="6"/>
  <c r="BV721" i="6"/>
  <c r="BU721" i="6"/>
  <c r="BT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BX720" i="6"/>
  <c r="BW720" i="6"/>
  <c r="BV720" i="6"/>
  <c r="BU720" i="6"/>
  <c r="BS720" i="6"/>
  <c r="BR720" i="6"/>
  <c r="BQ720" i="6"/>
  <c r="BP720" i="6"/>
  <c r="BO720" i="6"/>
  <c r="BN720" i="6"/>
  <c r="BM720" i="6"/>
  <c r="BL720" i="6"/>
  <c r="BK720" i="6"/>
  <c r="BJ720" i="6"/>
  <c r="BI720" i="6"/>
  <c r="BH720" i="6"/>
  <c r="BG720" i="6"/>
  <c r="BF720" i="6"/>
  <c r="BE720" i="6"/>
  <c r="BD720" i="6"/>
  <c r="BC720" i="6"/>
  <c r="BB720" i="6"/>
  <c r="BA720" i="6"/>
  <c r="AZ720" i="6"/>
  <c r="AY720" i="6"/>
  <c r="AX720" i="6"/>
  <c r="AW720" i="6"/>
  <c r="AV720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BX719" i="6"/>
  <c r="BW719" i="6"/>
  <c r="BV719" i="6"/>
  <c r="BU719" i="6"/>
  <c r="BS719" i="6"/>
  <c r="BR719" i="6"/>
  <c r="BQ719" i="6"/>
  <c r="BP719" i="6"/>
  <c r="BN719" i="6"/>
  <c r="BM719" i="6"/>
  <c r="BL719" i="6"/>
  <c r="BK719" i="6"/>
  <c r="BI719" i="6"/>
  <c r="BH719" i="6"/>
  <c r="BG719" i="6"/>
  <c r="BF719" i="6"/>
  <c r="BD719" i="6"/>
  <c r="BC719" i="6"/>
  <c r="BB719" i="6"/>
  <c r="BA719" i="6"/>
  <c r="AY719" i="6"/>
  <c r="AX719" i="6"/>
  <c r="AW719" i="6"/>
  <c r="AV719" i="6"/>
  <c r="AT719" i="6"/>
  <c r="AS719" i="6"/>
  <c r="AR719" i="6"/>
  <c r="AQ719" i="6"/>
  <c r="AO719" i="6"/>
  <c r="AN719" i="6"/>
  <c r="AM719" i="6"/>
  <c r="AL719" i="6"/>
  <c r="AJ719" i="6"/>
  <c r="AI719" i="6"/>
  <c r="AH719" i="6"/>
  <c r="AG719" i="6"/>
  <c r="AE719" i="6"/>
  <c r="AD719" i="6"/>
  <c r="AC719" i="6"/>
  <c r="AB719" i="6"/>
  <c r="Z719" i="6"/>
  <c r="Y719" i="6"/>
  <c r="X719" i="6"/>
  <c r="W719" i="6"/>
  <c r="U719" i="6"/>
  <c r="T719" i="6"/>
  <c r="S719" i="6"/>
  <c r="R719" i="6"/>
  <c r="P719" i="6"/>
  <c r="O719" i="6"/>
  <c r="N719" i="6"/>
  <c r="M719" i="6"/>
  <c r="K719" i="6"/>
  <c r="J719" i="6"/>
  <c r="I719" i="6"/>
  <c r="H719" i="6"/>
  <c r="CA718" i="6"/>
  <c r="BZ718" i="6"/>
  <c r="BX718" i="6"/>
  <c r="BW718" i="6"/>
  <c r="BV718" i="6"/>
  <c r="BU718" i="6"/>
  <c r="BT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BX717" i="6"/>
  <c r="BW717" i="6"/>
  <c r="BV717" i="6"/>
  <c r="BU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BX716" i="6"/>
  <c r="BW716" i="6"/>
  <c r="BV716" i="6"/>
  <c r="BU716" i="6"/>
  <c r="BS716" i="6"/>
  <c r="BR716" i="6"/>
  <c r="BQ716" i="6"/>
  <c r="BP716" i="6"/>
  <c r="BN716" i="6"/>
  <c r="BM716" i="6"/>
  <c r="BL716" i="6"/>
  <c r="BK716" i="6"/>
  <c r="BI716" i="6"/>
  <c r="BH716" i="6"/>
  <c r="BG716" i="6"/>
  <c r="BF716" i="6"/>
  <c r="BD716" i="6"/>
  <c r="BC716" i="6"/>
  <c r="BB716" i="6"/>
  <c r="BA716" i="6"/>
  <c r="AY716" i="6"/>
  <c r="AX716" i="6"/>
  <c r="AW716" i="6"/>
  <c r="AV716" i="6"/>
  <c r="AT716" i="6"/>
  <c r="AS716" i="6"/>
  <c r="AR716" i="6"/>
  <c r="AQ716" i="6"/>
  <c r="AO716" i="6"/>
  <c r="AN716" i="6"/>
  <c r="AM716" i="6"/>
  <c r="AL716" i="6"/>
  <c r="AJ716" i="6"/>
  <c r="AI716" i="6"/>
  <c r="AH716" i="6"/>
  <c r="AG716" i="6"/>
  <c r="AE716" i="6"/>
  <c r="AD716" i="6"/>
  <c r="AC716" i="6"/>
  <c r="AB716" i="6"/>
  <c r="Z716" i="6"/>
  <c r="Y716" i="6"/>
  <c r="X716" i="6"/>
  <c r="W716" i="6"/>
  <c r="U716" i="6"/>
  <c r="T716" i="6"/>
  <c r="S716" i="6"/>
  <c r="R716" i="6"/>
  <c r="P716" i="6"/>
  <c r="O716" i="6"/>
  <c r="N716" i="6"/>
  <c r="M716" i="6"/>
  <c r="K716" i="6"/>
  <c r="J716" i="6"/>
  <c r="I716" i="6"/>
  <c r="H716" i="6"/>
  <c r="CA715" i="6"/>
  <c r="BZ715" i="6"/>
  <c r="BX715" i="6"/>
  <c r="BW715" i="6"/>
  <c r="BV715" i="6"/>
  <c r="BU715" i="6"/>
  <c r="BT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BX714" i="6"/>
  <c r="BW714" i="6"/>
  <c r="BV714" i="6"/>
  <c r="BU714" i="6"/>
  <c r="BS714" i="6"/>
  <c r="BR714" i="6"/>
  <c r="BQ714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AU714" i="6"/>
  <c r="AT714" i="6"/>
  <c r="AS714" i="6"/>
  <c r="AR714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BX713" i="6"/>
  <c r="BW713" i="6"/>
  <c r="BV713" i="6"/>
  <c r="BU713" i="6"/>
  <c r="BS713" i="6"/>
  <c r="BR713" i="6"/>
  <c r="Y713" i="6"/>
  <c r="X713" i="6"/>
  <c r="W713" i="6"/>
  <c r="U713" i="6"/>
  <c r="T713" i="6"/>
  <c r="S713" i="6"/>
  <c r="R713" i="6"/>
  <c r="P713" i="6"/>
  <c r="O713" i="6"/>
  <c r="N713" i="6"/>
  <c r="K713" i="6"/>
  <c r="J713" i="6"/>
  <c r="I713" i="6"/>
  <c r="H713" i="6"/>
  <c r="CA712" i="6"/>
  <c r="BZ712" i="6"/>
  <c r="BX712" i="6"/>
  <c r="BW712" i="6"/>
  <c r="BV712" i="6"/>
  <c r="BU712" i="6"/>
  <c r="BT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BX711" i="6"/>
  <c r="BW711" i="6"/>
  <c r="BV711" i="6"/>
  <c r="BU711" i="6"/>
  <c r="BT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BX710" i="6"/>
  <c r="BW710" i="6"/>
  <c r="BV710" i="6"/>
  <c r="BU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L710" i="6"/>
  <c r="K710" i="6"/>
  <c r="J710" i="6"/>
  <c r="I710" i="6"/>
  <c r="H710" i="6"/>
  <c r="G710" i="6"/>
  <c r="BX709" i="6"/>
  <c r="BW709" i="6"/>
  <c r="BV709" i="6"/>
  <c r="BU709" i="6"/>
  <c r="BS709" i="6"/>
  <c r="BR709" i="6"/>
  <c r="BQ709" i="6"/>
  <c r="BP709" i="6"/>
  <c r="BN709" i="6"/>
  <c r="BM709" i="6"/>
  <c r="BL709" i="6"/>
  <c r="BK709" i="6"/>
  <c r="BI709" i="6"/>
  <c r="BH709" i="6"/>
  <c r="BG709" i="6"/>
  <c r="BF709" i="6"/>
  <c r="BD709" i="6"/>
  <c r="BC709" i="6"/>
  <c r="BB709" i="6"/>
  <c r="BA709" i="6"/>
  <c r="AY709" i="6"/>
  <c r="AX709" i="6"/>
  <c r="AW709" i="6"/>
  <c r="AV709" i="6"/>
  <c r="AT709" i="6"/>
  <c r="AS709" i="6"/>
  <c r="AR709" i="6"/>
  <c r="AQ709" i="6"/>
  <c r="AO709" i="6"/>
  <c r="AN709" i="6"/>
  <c r="AM709" i="6"/>
  <c r="AL709" i="6"/>
  <c r="AJ709" i="6"/>
  <c r="AI709" i="6"/>
  <c r="AH709" i="6"/>
  <c r="AG709" i="6"/>
  <c r="AE709" i="6"/>
  <c r="AD709" i="6"/>
  <c r="AC709" i="6"/>
  <c r="AB709" i="6"/>
  <c r="Z709" i="6"/>
  <c r="Y709" i="6"/>
  <c r="X709" i="6"/>
  <c r="W709" i="6"/>
  <c r="U709" i="6"/>
  <c r="T709" i="6"/>
  <c r="S709" i="6"/>
  <c r="R709" i="6"/>
  <c r="P709" i="6"/>
  <c r="O709" i="6"/>
  <c r="N709" i="6"/>
  <c r="M709" i="6"/>
  <c r="K709" i="6"/>
  <c r="J709" i="6"/>
  <c r="I709" i="6"/>
  <c r="H709" i="6"/>
  <c r="CA708" i="6"/>
  <c r="BZ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BX706" i="6"/>
  <c r="BW706" i="6"/>
  <c r="BV706" i="6"/>
  <c r="BU706" i="6"/>
  <c r="BS706" i="6"/>
  <c r="BR706" i="6"/>
  <c r="BQ706" i="6"/>
  <c r="BP706" i="6"/>
  <c r="BN706" i="6"/>
  <c r="BM706" i="6"/>
  <c r="BL706" i="6"/>
  <c r="BK706" i="6"/>
  <c r="BI706" i="6"/>
  <c r="BH706" i="6"/>
  <c r="BG706" i="6"/>
  <c r="BF706" i="6"/>
  <c r="BD706" i="6"/>
  <c r="BC706" i="6"/>
  <c r="BB706" i="6"/>
  <c r="BA706" i="6"/>
  <c r="AY706" i="6"/>
  <c r="AX706" i="6"/>
  <c r="AW706" i="6"/>
  <c r="AV706" i="6"/>
  <c r="AT706" i="6"/>
  <c r="AS706" i="6"/>
  <c r="AR706" i="6"/>
  <c r="AQ706" i="6"/>
  <c r="AO706" i="6"/>
  <c r="AN706" i="6"/>
  <c r="AM706" i="6"/>
  <c r="AL706" i="6"/>
  <c r="AJ706" i="6"/>
  <c r="AI706" i="6"/>
  <c r="AH706" i="6"/>
  <c r="AG706" i="6"/>
  <c r="AE706" i="6"/>
  <c r="AD706" i="6"/>
  <c r="AC706" i="6"/>
  <c r="AB706" i="6"/>
  <c r="Z706" i="6"/>
  <c r="Y706" i="6"/>
  <c r="X706" i="6"/>
  <c r="W706" i="6"/>
  <c r="U706" i="6"/>
  <c r="T706" i="6"/>
  <c r="S706" i="6"/>
  <c r="R706" i="6"/>
  <c r="P706" i="6"/>
  <c r="O706" i="6"/>
  <c r="N706" i="6"/>
  <c r="M706" i="6"/>
  <c r="K706" i="6"/>
  <c r="J706" i="6"/>
  <c r="I706" i="6"/>
  <c r="H706" i="6"/>
  <c r="BX705" i="6"/>
  <c r="BW705" i="6"/>
  <c r="BV705" i="6"/>
  <c r="BU705" i="6"/>
  <c r="BS705" i="6"/>
  <c r="BR705" i="6"/>
  <c r="BQ705" i="6"/>
  <c r="BP705" i="6"/>
  <c r="BN705" i="6"/>
  <c r="BM705" i="6"/>
  <c r="BL705" i="6"/>
  <c r="BK705" i="6"/>
  <c r="BI705" i="6"/>
  <c r="BH705" i="6"/>
  <c r="BG705" i="6"/>
  <c r="BF705" i="6"/>
  <c r="BD705" i="6"/>
  <c r="BC705" i="6"/>
  <c r="BB705" i="6"/>
  <c r="BA705" i="6"/>
  <c r="AY705" i="6"/>
  <c r="AX705" i="6"/>
  <c r="AW705" i="6"/>
  <c r="AV705" i="6"/>
  <c r="AT705" i="6"/>
  <c r="AS705" i="6"/>
  <c r="AR705" i="6"/>
  <c r="AQ705" i="6"/>
  <c r="AO705" i="6"/>
  <c r="AN705" i="6"/>
  <c r="AM705" i="6"/>
  <c r="AL705" i="6"/>
  <c r="AJ705" i="6"/>
  <c r="AI705" i="6"/>
  <c r="AH705" i="6"/>
  <c r="AG705" i="6"/>
  <c r="AE705" i="6"/>
  <c r="AD705" i="6"/>
  <c r="AC705" i="6"/>
  <c r="AB705" i="6"/>
  <c r="Z705" i="6"/>
  <c r="Y705" i="6"/>
  <c r="X705" i="6"/>
  <c r="W705" i="6"/>
  <c r="U705" i="6"/>
  <c r="T705" i="6"/>
  <c r="S705" i="6"/>
  <c r="R705" i="6"/>
  <c r="P705" i="6"/>
  <c r="O705" i="6"/>
  <c r="N705" i="6"/>
  <c r="M705" i="6"/>
  <c r="K705" i="6"/>
  <c r="J705" i="6"/>
  <c r="I705" i="6"/>
  <c r="H705" i="6"/>
  <c r="CA704" i="6"/>
  <c r="BZ704" i="6"/>
  <c r="BX704" i="6"/>
  <c r="BW704" i="6"/>
  <c r="BV704" i="6"/>
  <c r="BU704" i="6"/>
  <c r="BT704" i="6"/>
  <c r="BS704" i="6"/>
  <c r="BR704" i="6"/>
  <c r="BQ704" i="6"/>
  <c r="BP704" i="6"/>
  <c r="BO704" i="6"/>
  <c r="BN704" i="6"/>
  <c r="BM704" i="6"/>
  <c r="BL704" i="6"/>
  <c r="BK704" i="6"/>
  <c r="BJ704" i="6"/>
  <c r="BI704" i="6"/>
  <c r="BH704" i="6"/>
  <c r="BG704" i="6"/>
  <c r="BF704" i="6"/>
  <c r="BE704" i="6"/>
  <c r="BD704" i="6"/>
  <c r="BC704" i="6"/>
  <c r="BB704" i="6"/>
  <c r="BA704" i="6"/>
  <c r="AZ704" i="6"/>
  <c r="AY704" i="6"/>
  <c r="AX704" i="6"/>
  <c r="AW704" i="6"/>
  <c r="AV704" i="6"/>
  <c r="AU704" i="6"/>
  <c r="AT704" i="6"/>
  <c r="AS704" i="6"/>
  <c r="AR704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BX703" i="6"/>
  <c r="BW703" i="6"/>
  <c r="BV703" i="6"/>
  <c r="BU703" i="6"/>
  <c r="BS703" i="6"/>
  <c r="BR703" i="6"/>
  <c r="BQ703" i="6"/>
  <c r="BP703" i="6"/>
  <c r="BO703" i="6"/>
  <c r="BN703" i="6"/>
  <c r="BM703" i="6"/>
  <c r="BL703" i="6"/>
  <c r="BK703" i="6"/>
  <c r="BJ703" i="6"/>
  <c r="BI703" i="6"/>
  <c r="BH703" i="6"/>
  <c r="BG703" i="6"/>
  <c r="BF703" i="6"/>
  <c r="BE703" i="6"/>
  <c r="BD703" i="6"/>
  <c r="BC703" i="6"/>
  <c r="BB703" i="6"/>
  <c r="BA703" i="6"/>
  <c r="AZ703" i="6"/>
  <c r="AY703" i="6"/>
  <c r="AX703" i="6"/>
  <c r="AW703" i="6"/>
  <c r="AV703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BX702" i="6"/>
  <c r="BW702" i="6"/>
  <c r="BV702" i="6"/>
  <c r="BU702" i="6"/>
  <c r="BS702" i="6"/>
  <c r="BR702" i="6"/>
  <c r="BQ702" i="6"/>
  <c r="BP702" i="6"/>
  <c r="BN702" i="6"/>
  <c r="BM702" i="6"/>
  <c r="BL702" i="6"/>
  <c r="BK702" i="6"/>
  <c r="BI702" i="6"/>
  <c r="BH702" i="6"/>
  <c r="BG702" i="6"/>
  <c r="BF702" i="6"/>
  <c r="BD702" i="6"/>
  <c r="BC702" i="6"/>
  <c r="BB702" i="6"/>
  <c r="BA702" i="6"/>
  <c r="AY702" i="6"/>
  <c r="AX702" i="6"/>
  <c r="AW702" i="6"/>
  <c r="AV702" i="6"/>
  <c r="AT702" i="6"/>
  <c r="AS702" i="6"/>
  <c r="AR702" i="6"/>
  <c r="AQ702" i="6"/>
  <c r="AO702" i="6"/>
  <c r="AN702" i="6"/>
  <c r="AM702" i="6"/>
  <c r="AL702" i="6"/>
  <c r="AJ702" i="6"/>
  <c r="AI702" i="6"/>
  <c r="AH702" i="6"/>
  <c r="AG702" i="6"/>
  <c r="AE702" i="6"/>
  <c r="AD702" i="6"/>
  <c r="AC702" i="6"/>
  <c r="AB702" i="6"/>
  <c r="Z702" i="6"/>
  <c r="Y702" i="6"/>
  <c r="X702" i="6"/>
  <c r="W702" i="6"/>
  <c r="U702" i="6"/>
  <c r="T702" i="6"/>
  <c r="S702" i="6"/>
  <c r="R702" i="6"/>
  <c r="P702" i="6"/>
  <c r="O702" i="6"/>
  <c r="N702" i="6"/>
  <c r="M702" i="6"/>
  <c r="K702" i="6"/>
  <c r="J702" i="6"/>
  <c r="I702" i="6"/>
  <c r="H702" i="6"/>
  <c r="CA701" i="6"/>
  <c r="BZ701" i="6"/>
  <c r="BX701" i="6"/>
  <c r="BW701" i="6"/>
  <c r="BV701" i="6"/>
  <c r="BU701" i="6"/>
  <c r="BT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BX700" i="6"/>
  <c r="BW700" i="6"/>
  <c r="BV700" i="6"/>
  <c r="BU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BX699" i="6"/>
  <c r="BW699" i="6"/>
  <c r="BV699" i="6"/>
  <c r="BU699" i="6"/>
  <c r="BS699" i="6"/>
  <c r="BR699" i="6"/>
  <c r="BQ699" i="6"/>
  <c r="BP699" i="6"/>
  <c r="BN699" i="6"/>
  <c r="BM699" i="6"/>
  <c r="BL699" i="6"/>
  <c r="BK699" i="6"/>
  <c r="BI699" i="6"/>
  <c r="BH699" i="6"/>
  <c r="BG699" i="6"/>
  <c r="BF699" i="6"/>
  <c r="BD699" i="6"/>
  <c r="BC699" i="6"/>
  <c r="BB699" i="6"/>
  <c r="BA699" i="6"/>
  <c r="AY699" i="6"/>
  <c r="AX699" i="6"/>
  <c r="AW699" i="6"/>
  <c r="AV699" i="6"/>
  <c r="AT699" i="6"/>
  <c r="AS699" i="6"/>
  <c r="AR699" i="6"/>
  <c r="AQ699" i="6"/>
  <c r="AO699" i="6"/>
  <c r="AN699" i="6"/>
  <c r="AM699" i="6"/>
  <c r="AL699" i="6"/>
  <c r="AJ699" i="6"/>
  <c r="AI699" i="6"/>
  <c r="AH699" i="6"/>
  <c r="AG699" i="6"/>
  <c r="AE699" i="6"/>
  <c r="AD699" i="6"/>
  <c r="AC699" i="6"/>
  <c r="AB699" i="6"/>
  <c r="Z699" i="6"/>
  <c r="Y699" i="6"/>
  <c r="X699" i="6"/>
  <c r="W699" i="6"/>
  <c r="U699" i="6"/>
  <c r="T699" i="6"/>
  <c r="S699" i="6"/>
  <c r="R699" i="6"/>
  <c r="P699" i="6"/>
  <c r="O699" i="6"/>
  <c r="N699" i="6"/>
  <c r="K699" i="6"/>
  <c r="J699" i="6"/>
  <c r="I699" i="6"/>
  <c r="H699" i="6"/>
  <c r="CA698" i="6"/>
  <c r="BZ698" i="6"/>
  <c r="BX698" i="6"/>
  <c r="BW698" i="6"/>
  <c r="BV698" i="6"/>
  <c r="BU698" i="6"/>
  <c r="BT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BX697" i="6"/>
  <c r="BW697" i="6"/>
  <c r="BV697" i="6"/>
  <c r="BU697" i="6"/>
  <c r="BS697" i="6"/>
  <c r="BR697" i="6"/>
  <c r="BQ697" i="6"/>
  <c r="BP697" i="6"/>
  <c r="BO697" i="6"/>
  <c r="BN697" i="6"/>
  <c r="BM697" i="6"/>
  <c r="BL697" i="6"/>
  <c r="BK697" i="6"/>
  <c r="BJ697" i="6"/>
  <c r="BI697" i="6"/>
  <c r="BH697" i="6"/>
  <c r="BG697" i="6"/>
  <c r="BF697" i="6"/>
  <c r="BE697" i="6"/>
  <c r="BD697" i="6"/>
  <c r="BC697" i="6"/>
  <c r="BB697" i="6"/>
  <c r="BA697" i="6"/>
  <c r="AZ697" i="6"/>
  <c r="AY697" i="6"/>
  <c r="AX697" i="6"/>
  <c r="AW697" i="6"/>
  <c r="AV697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BX696" i="6"/>
  <c r="BW696" i="6"/>
  <c r="BV696" i="6"/>
  <c r="BU696" i="6"/>
  <c r="BS696" i="6"/>
  <c r="BR696" i="6"/>
  <c r="BQ696" i="6"/>
  <c r="BP696" i="6"/>
  <c r="BN696" i="6"/>
  <c r="BM696" i="6"/>
  <c r="BL696" i="6"/>
  <c r="BK696" i="6"/>
  <c r="BI696" i="6"/>
  <c r="BH696" i="6"/>
  <c r="BG696" i="6"/>
  <c r="BF696" i="6"/>
  <c r="BD696" i="6"/>
  <c r="BC696" i="6"/>
  <c r="BB696" i="6"/>
  <c r="BA696" i="6"/>
  <c r="AY696" i="6"/>
  <c r="AX696" i="6"/>
  <c r="AW696" i="6"/>
  <c r="AV696" i="6"/>
  <c r="AT696" i="6"/>
  <c r="AS696" i="6"/>
  <c r="AR696" i="6"/>
  <c r="AQ696" i="6"/>
  <c r="AO696" i="6"/>
  <c r="AN696" i="6"/>
  <c r="AM696" i="6"/>
  <c r="AL696" i="6"/>
  <c r="AJ696" i="6"/>
  <c r="AI696" i="6"/>
  <c r="AH696" i="6"/>
  <c r="AG696" i="6"/>
  <c r="AE696" i="6"/>
  <c r="AD696" i="6"/>
  <c r="AC696" i="6"/>
  <c r="AB696" i="6"/>
  <c r="Z696" i="6"/>
  <c r="Y696" i="6"/>
  <c r="X696" i="6"/>
  <c r="W696" i="6"/>
  <c r="U696" i="6"/>
  <c r="T696" i="6"/>
  <c r="S696" i="6"/>
  <c r="R696" i="6"/>
  <c r="P696" i="6"/>
  <c r="O696" i="6"/>
  <c r="N696" i="6"/>
  <c r="K696" i="6"/>
  <c r="J696" i="6"/>
  <c r="I696" i="6"/>
  <c r="H696" i="6"/>
  <c r="CA695" i="6"/>
  <c r="BZ695" i="6"/>
  <c r="BX695" i="6"/>
  <c r="BW695" i="6"/>
  <c r="BV695" i="6"/>
  <c r="BU695" i="6"/>
  <c r="BT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BX694" i="6"/>
  <c r="BW694" i="6"/>
  <c r="BV694" i="6"/>
  <c r="BU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BX693" i="6"/>
  <c r="BW693" i="6"/>
  <c r="BV693" i="6"/>
  <c r="BU693" i="6"/>
  <c r="BS693" i="6"/>
  <c r="BR693" i="6"/>
  <c r="BQ693" i="6"/>
  <c r="BP693" i="6"/>
  <c r="BN693" i="6"/>
  <c r="BM693" i="6"/>
  <c r="BL693" i="6"/>
  <c r="BK693" i="6"/>
  <c r="BI693" i="6"/>
  <c r="BH693" i="6"/>
  <c r="BG693" i="6"/>
  <c r="BF693" i="6"/>
  <c r="BD693" i="6"/>
  <c r="BC693" i="6"/>
  <c r="BB693" i="6"/>
  <c r="BA693" i="6"/>
  <c r="AY693" i="6"/>
  <c r="AX693" i="6"/>
  <c r="AW693" i="6"/>
  <c r="AV693" i="6"/>
  <c r="AT693" i="6"/>
  <c r="AS693" i="6"/>
  <c r="AR693" i="6"/>
  <c r="AQ693" i="6"/>
  <c r="AO693" i="6"/>
  <c r="AN693" i="6"/>
  <c r="AM693" i="6"/>
  <c r="AL693" i="6"/>
  <c r="AJ693" i="6"/>
  <c r="AI693" i="6"/>
  <c r="AH693" i="6"/>
  <c r="AG693" i="6"/>
  <c r="AE693" i="6"/>
  <c r="AD693" i="6"/>
  <c r="AC693" i="6"/>
  <c r="AB693" i="6"/>
  <c r="Z693" i="6"/>
  <c r="Y693" i="6"/>
  <c r="X693" i="6"/>
  <c r="W693" i="6"/>
  <c r="U693" i="6"/>
  <c r="T693" i="6"/>
  <c r="S693" i="6"/>
  <c r="R693" i="6"/>
  <c r="P693" i="6"/>
  <c r="O693" i="6"/>
  <c r="N693" i="6"/>
  <c r="M693" i="6"/>
  <c r="K693" i="6"/>
  <c r="J693" i="6"/>
  <c r="I693" i="6"/>
  <c r="H693" i="6"/>
  <c r="CA692" i="6"/>
  <c r="BZ692" i="6"/>
  <c r="BX692" i="6"/>
  <c r="BW692" i="6"/>
  <c r="BV692" i="6"/>
  <c r="BU692" i="6"/>
  <c r="BT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BX691" i="6"/>
  <c r="BW691" i="6"/>
  <c r="BV691" i="6"/>
  <c r="BU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L691" i="6"/>
  <c r="K691" i="6"/>
  <c r="J691" i="6"/>
  <c r="I691" i="6"/>
  <c r="H691" i="6"/>
  <c r="G691" i="6"/>
  <c r="BX690" i="6"/>
  <c r="BW690" i="6"/>
  <c r="BV690" i="6"/>
  <c r="BU690" i="6"/>
  <c r="BS690" i="6"/>
  <c r="BR690" i="6"/>
  <c r="BQ690" i="6"/>
  <c r="BP690" i="6"/>
  <c r="BN690" i="6"/>
  <c r="BM690" i="6"/>
  <c r="BL690" i="6"/>
  <c r="BK690" i="6"/>
  <c r="BI690" i="6"/>
  <c r="BH690" i="6"/>
  <c r="BG690" i="6"/>
  <c r="BF690" i="6"/>
  <c r="BD690" i="6"/>
  <c r="BC690" i="6"/>
  <c r="BB690" i="6"/>
  <c r="BA690" i="6"/>
  <c r="AY690" i="6"/>
  <c r="AX690" i="6"/>
  <c r="AW690" i="6"/>
  <c r="AV690" i="6"/>
  <c r="AT690" i="6"/>
  <c r="AS690" i="6"/>
  <c r="AR690" i="6"/>
  <c r="AQ690" i="6"/>
  <c r="AO690" i="6"/>
  <c r="AN690" i="6"/>
  <c r="AM690" i="6"/>
  <c r="AL690" i="6"/>
  <c r="AJ690" i="6"/>
  <c r="AI690" i="6"/>
  <c r="AH690" i="6"/>
  <c r="AG690" i="6"/>
  <c r="AE690" i="6"/>
  <c r="AD690" i="6"/>
  <c r="AC690" i="6"/>
  <c r="AB690" i="6"/>
  <c r="Z690" i="6"/>
  <c r="Y690" i="6"/>
  <c r="X690" i="6"/>
  <c r="W690" i="6"/>
  <c r="U690" i="6"/>
  <c r="T690" i="6"/>
  <c r="S690" i="6"/>
  <c r="R690" i="6"/>
  <c r="P690" i="6"/>
  <c r="O690" i="6"/>
  <c r="N690" i="6"/>
  <c r="M690" i="6"/>
  <c r="K690" i="6"/>
  <c r="J690" i="6"/>
  <c r="I690" i="6"/>
  <c r="H690" i="6"/>
  <c r="CA689" i="6"/>
  <c r="BZ689" i="6"/>
  <c r="BX689" i="6"/>
  <c r="BW689" i="6"/>
  <c r="BV689" i="6"/>
  <c r="BU689" i="6"/>
  <c r="BT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BX688" i="6"/>
  <c r="BW688" i="6"/>
  <c r="BV688" i="6"/>
  <c r="BU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BX687" i="6"/>
  <c r="BW687" i="6"/>
  <c r="BV687" i="6"/>
  <c r="BU687" i="6"/>
  <c r="BS687" i="6"/>
  <c r="BR687" i="6"/>
  <c r="BQ687" i="6"/>
  <c r="BP687" i="6"/>
  <c r="BN687" i="6"/>
  <c r="BM687" i="6"/>
  <c r="BL687" i="6"/>
  <c r="BK687" i="6"/>
  <c r="BI687" i="6"/>
  <c r="BH687" i="6"/>
  <c r="BG687" i="6"/>
  <c r="BF687" i="6"/>
  <c r="BD687" i="6"/>
  <c r="BC687" i="6"/>
  <c r="BB687" i="6"/>
  <c r="BA687" i="6"/>
  <c r="AY687" i="6"/>
  <c r="AX687" i="6"/>
  <c r="AW687" i="6"/>
  <c r="AV687" i="6"/>
  <c r="AT687" i="6"/>
  <c r="AS687" i="6"/>
  <c r="AR687" i="6"/>
  <c r="AQ687" i="6"/>
  <c r="AO687" i="6"/>
  <c r="AN687" i="6"/>
  <c r="AM687" i="6"/>
  <c r="AL687" i="6"/>
  <c r="AJ687" i="6"/>
  <c r="AI687" i="6"/>
  <c r="AH687" i="6"/>
  <c r="AG687" i="6"/>
  <c r="AE687" i="6"/>
  <c r="AD687" i="6"/>
  <c r="AC687" i="6"/>
  <c r="AB687" i="6"/>
  <c r="Z687" i="6"/>
  <c r="Y687" i="6"/>
  <c r="X687" i="6"/>
  <c r="W687" i="6"/>
  <c r="U687" i="6"/>
  <c r="T687" i="6"/>
  <c r="S687" i="6"/>
  <c r="R687" i="6"/>
  <c r="P687" i="6"/>
  <c r="O687" i="6"/>
  <c r="N687" i="6"/>
  <c r="M687" i="6"/>
  <c r="K687" i="6"/>
  <c r="J687" i="6"/>
  <c r="I687" i="6"/>
  <c r="H687" i="6"/>
  <c r="CA686" i="6"/>
  <c r="BZ686" i="6"/>
  <c r="BX686" i="6"/>
  <c r="BW686" i="6"/>
  <c r="BV686" i="6"/>
  <c r="BU686" i="6"/>
  <c r="BT686" i="6"/>
  <c r="BS686" i="6"/>
  <c r="BR686" i="6"/>
  <c r="BQ686" i="6"/>
  <c r="BP686" i="6"/>
  <c r="BO686" i="6"/>
  <c r="BN686" i="6"/>
  <c r="BM686" i="6"/>
  <c r="BL686" i="6"/>
  <c r="BK686" i="6"/>
  <c r="BJ686" i="6"/>
  <c r="BI686" i="6"/>
  <c r="BH686" i="6"/>
  <c r="BG686" i="6"/>
  <c r="BF686" i="6"/>
  <c r="BE686" i="6"/>
  <c r="BD686" i="6"/>
  <c r="BC686" i="6"/>
  <c r="BB686" i="6"/>
  <c r="BA686" i="6"/>
  <c r="AZ686" i="6"/>
  <c r="AY686" i="6"/>
  <c r="AX686" i="6"/>
  <c r="AW686" i="6"/>
  <c r="AV686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BX685" i="6"/>
  <c r="BW685" i="6"/>
  <c r="BV685" i="6"/>
  <c r="BU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BX684" i="6"/>
  <c r="BW684" i="6"/>
  <c r="BV684" i="6"/>
  <c r="BU684" i="6"/>
  <c r="BS684" i="6"/>
  <c r="BR684" i="6"/>
  <c r="BQ684" i="6"/>
  <c r="BP684" i="6"/>
  <c r="BN684" i="6"/>
  <c r="BM684" i="6"/>
  <c r="BL684" i="6"/>
  <c r="BK684" i="6"/>
  <c r="BI684" i="6"/>
  <c r="BH684" i="6"/>
  <c r="BG684" i="6"/>
  <c r="BF684" i="6"/>
  <c r="BD684" i="6"/>
  <c r="BC684" i="6"/>
  <c r="BB684" i="6"/>
  <c r="BA684" i="6"/>
  <c r="AY684" i="6"/>
  <c r="AX684" i="6"/>
  <c r="AW684" i="6"/>
  <c r="AV684" i="6"/>
  <c r="AT684" i="6"/>
  <c r="AS684" i="6"/>
  <c r="AR684" i="6"/>
  <c r="AQ684" i="6"/>
  <c r="AO684" i="6"/>
  <c r="AN684" i="6"/>
  <c r="AM684" i="6"/>
  <c r="AL684" i="6"/>
  <c r="AJ684" i="6"/>
  <c r="AI684" i="6"/>
  <c r="AH684" i="6"/>
  <c r="AG684" i="6"/>
  <c r="AE684" i="6"/>
  <c r="AD684" i="6"/>
  <c r="AC684" i="6"/>
  <c r="AB684" i="6"/>
  <c r="Z684" i="6"/>
  <c r="Y684" i="6"/>
  <c r="X684" i="6"/>
  <c r="W684" i="6"/>
  <c r="U684" i="6"/>
  <c r="T684" i="6"/>
  <c r="S684" i="6"/>
  <c r="R684" i="6"/>
  <c r="P684" i="6"/>
  <c r="O684" i="6"/>
  <c r="N684" i="6"/>
  <c r="M684" i="6"/>
  <c r="K684" i="6"/>
  <c r="J684" i="6"/>
  <c r="I684" i="6"/>
  <c r="H684" i="6"/>
  <c r="CA683" i="6"/>
  <c r="BZ683" i="6"/>
  <c r="BX683" i="6"/>
  <c r="BW683" i="6"/>
  <c r="BV683" i="6"/>
  <c r="BU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BX682" i="6"/>
  <c r="BW682" i="6"/>
  <c r="BV682" i="6"/>
  <c r="BU682" i="6"/>
  <c r="BS682" i="6"/>
  <c r="BR682" i="6"/>
  <c r="BQ682" i="6"/>
  <c r="BP682" i="6"/>
  <c r="BO682" i="6"/>
  <c r="BN682" i="6"/>
  <c r="BM682" i="6"/>
  <c r="BL682" i="6"/>
  <c r="BK682" i="6"/>
  <c r="BJ682" i="6"/>
  <c r="BI682" i="6"/>
  <c r="BH682" i="6"/>
  <c r="BG682" i="6"/>
  <c r="BF682" i="6"/>
  <c r="BE682" i="6"/>
  <c r="BD682" i="6"/>
  <c r="BC682" i="6"/>
  <c r="BB682" i="6"/>
  <c r="BA682" i="6"/>
  <c r="AZ682" i="6"/>
  <c r="AY682" i="6"/>
  <c r="AX682" i="6"/>
  <c r="AW682" i="6"/>
  <c r="AV682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K682" i="6"/>
  <c r="J682" i="6"/>
  <c r="I682" i="6"/>
  <c r="H682" i="6"/>
  <c r="G682" i="6"/>
  <c r="BX681" i="6"/>
  <c r="BW681" i="6"/>
  <c r="BV681" i="6"/>
  <c r="BU681" i="6"/>
  <c r="BS681" i="6"/>
  <c r="BR681" i="6"/>
  <c r="BQ681" i="6"/>
  <c r="BP681" i="6"/>
  <c r="BN681" i="6"/>
  <c r="BM681" i="6"/>
  <c r="BL681" i="6"/>
  <c r="BK681" i="6"/>
  <c r="BI681" i="6"/>
  <c r="BH681" i="6"/>
  <c r="BG681" i="6"/>
  <c r="BF681" i="6"/>
  <c r="BD681" i="6"/>
  <c r="BC681" i="6"/>
  <c r="BB681" i="6"/>
  <c r="BA681" i="6"/>
  <c r="AY681" i="6"/>
  <c r="AX681" i="6"/>
  <c r="AW681" i="6"/>
  <c r="AV681" i="6"/>
  <c r="AT681" i="6"/>
  <c r="AS681" i="6"/>
  <c r="AR681" i="6"/>
  <c r="AQ681" i="6"/>
  <c r="AO681" i="6"/>
  <c r="AN681" i="6"/>
  <c r="AM681" i="6"/>
  <c r="AL681" i="6"/>
  <c r="AJ681" i="6"/>
  <c r="AI681" i="6"/>
  <c r="AH681" i="6"/>
  <c r="AG681" i="6"/>
  <c r="AE681" i="6"/>
  <c r="AD681" i="6"/>
  <c r="AC681" i="6"/>
  <c r="AB681" i="6"/>
  <c r="Z681" i="6"/>
  <c r="Y681" i="6"/>
  <c r="X681" i="6"/>
  <c r="W681" i="6"/>
  <c r="U681" i="6"/>
  <c r="T681" i="6"/>
  <c r="S681" i="6"/>
  <c r="R681" i="6"/>
  <c r="P681" i="6"/>
  <c r="O681" i="6"/>
  <c r="N681" i="6"/>
  <c r="M681" i="6"/>
  <c r="K681" i="6"/>
  <c r="J681" i="6"/>
  <c r="I681" i="6"/>
  <c r="H681" i="6"/>
  <c r="BX680" i="6"/>
  <c r="BW680" i="6"/>
  <c r="BV680" i="6"/>
  <c r="BU680" i="6"/>
  <c r="BT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BX679" i="6"/>
  <c r="BW679" i="6"/>
  <c r="BV679" i="6"/>
  <c r="BU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BX678" i="6"/>
  <c r="BW678" i="6"/>
  <c r="BV678" i="6"/>
  <c r="BU678" i="6"/>
  <c r="BS678" i="6"/>
  <c r="BR678" i="6"/>
  <c r="BQ678" i="6"/>
  <c r="BP678" i="6"/>
  <c r="BN678" i="6"/>
  <c r="BM678" i="6"/>
  <c r="BL678" i="6"/>
  <c r="BK678" i="6"/>
  <c r="BI678" i="6"/>
  <c r="BH678" i="6"/>
  <c r="BG678" i="6"/>
  <c r="BF678" i="6"/>
  <c r="BD678" i="6"/>
  <c r="BC678" i="6"/>
  <c r="BB678" i="6"/>
  <c r="BA678" i="6"/>
  <c r="AY678" i="6"/>
  <c r="AX678" i="6"/>
  <c r="AW678" i="6"/>
  <c r="AV678" i="6"/>
  <c r="AT678" i="6"/>
  <c r="AS678" i="6"/>
  <c r="AR678" i="6"/>
  <c r="AQ678" i="6"/>
  <c r="AO678" i="6"/>
  <c r="AN678" i="6"/>
  <c r="AM678" i="6"/>
  <c r="AL678" i="6"/>
  <c r="AJ678" i="6"/>
  <c r="AI678" i="6"/>
  <c r="AH678" i="6"/>
  <c r="AG678" i="6"/>
  <c r="AE678" i="6"/>
  <c r="AD678" i="6"/>
  <c r="AC678" i="6"/>
  <c r="AB678" i="6"/>
  <c r="Z678" i="6"/>
  <c r="Y678" i="6"/>
  <c r="X678" i="6"/>
  <c r="W678" i="6"/>
  <c r="U678" i="6"/>
  <c r="T678" i="6"/>
  <c r="S678" i="6"/>
  <c r="R678" i="6"/>
  <c r="P678" i="6"/>
  <c r="O678" i="6"/>
  <c r="N678" i="6"/>
  <c r="M678" i="6"/>
  <c r="K678" i="6"/>
  <c r="J678" i="6"/>
  <c r="I678" i="6"/>
  <c r="H678" i="6"/>
  <c r="CA677" i="6"/>
  <c r="BZ677" i="6"/>
  <c r="BX677" i="6"/>
  <c r="BW677" i="6"/>
  <c r="BV677" i="6"/>
  <c r="BU677" i="6"/>
  <c r="BT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BX676" i="6"/>
  <c r="BW676" i="6"/>
  <c r="BV676" i="6"/>
  <c r="BU676" i="6"/>
  <c r="BS676" i="6"/>
  <c r="BR676" i="6"/>
  <c r="BQ676" i="6"/>
  <c r="BP676" i="6"/>
  <c r="BN676" i="6"/>
  <c r="BM676" i="6"/>
  <c r="BL676" i="6"/>
  <c r="BK676" i="6"/>
  <c r="BI676" i="6"/>
  <c r="BH676" i="6"/>
  <c r="BG676" i="6"/>
  <c r="BF676" i="6"/>
  <c r="BD676" i="6"/>
  <c r="BC676" i="6"/>
  <c r="BB676" i="6"/>
  <c r="BA676" i="6"/>
  <c r="AY676" i="6"/>
  <c r="AX676" i="6"/>
  <c r="AW676" i="6"/>
  <c r="AV676" i="6"/>
  <c r="AT676" i="6"/>
  <c r="AS676" i="6"/>
  <c r="AR676" i="6"/>
  <c r="AQ676" i="6"/>
  <c r="AO676" i="6"/>
  <c r="AN676" i="6"/>
  <c r="AM676" i="6"/>
  <c r="AL676" i="6"/>
  <c r="AJ676" i="6"/>
  <c r="AI676" i="6"/>
  <c r="AH676" i="6"/>
  <c r="AG676" i="6"/>
  <c r="AE676" i="6"/>
  <c r="AD676" i="6"/>
  <c r="AC676" i="6"/>
  <c r="AB676" i="6"/>
  <c r="Z676" i="6"/>
  <c r="Y676" i="6"/>
  <c r="X676" i="6"/>
  <c r="W676" i="6"/>
  <c r="U676" i="6"/>
  <c r="T676" i="6"/>
  <c r="S676" i="6"/>
  <c r="R676" i="6"/>
  <c r="P676" i="6"/>
  <c r="O676" i="6"/>
  <c r="N676" i="6"/>
  <c r="M676" i="6"/>
  <c r="K676" i="6"/>
  <c r="J676" i="6"/>
  <c r="I676" i="6"/>
  <c r="H676" i="6"/>
  <c r="BX675" i="6"/>
  <c r="BW675" i="6"/>
  <c r="BV675" i="6"/>
  <c r="BU675" i="6"/>
  <c r="BS675" i="6"/>
  <c r="BR675" i="6"/>
  <c r="BQ675" i="6"/>
  <c r="BP675" i="6"/>
  <c r="BN675" i="6"/>
  <c r="BM675" i="6"/>
  <c r="BL675" i="6"/>
  <c r="BK675" i="6"/>
  <c r="BI675" i="6"/>
  <c r="BH675" i="6"/>
  <c r="BG675" i="6"/>
  <c r="BF675" i="6"/>
  <c r="BD675" i="6"/>
  <c r="BC675" i="6"/>
  <c r="BB675" i="6"/>
  <c r="BA675" i="6"/>
  <c r="AY675" i="6"/>
  <c r="AX675" i="6"/>
  <c r="AW675" i="6"/>
  <c r="AV675" i="6"/>
  <c r="AT675" i="6"/>
  <c r="AS675" i="6"/>
  <c r="AR675" i="6"/>
  <c r="AQ675" i="6"/>
  <c r="AO675" i="6"/>
  <c r="AN675" i="6"/>
  <c r="AM675" i="6"/>
  <c r="AL675" i="6"/>
  <c r="AJ675" i="6"/>
  <c r="AI675" i="6"/>
  <c r="AH675" i="6"/>
  <c r="AG675" i="6"/>
  <c r="AE675" i="6"/>
  <c r="AD675" i="6"/>
  <c r="AC675" i="6"/>
  <c r="AB675" i="6"/>
  <c r="Z675" i="6"/>
  <c r="Y675" i="6"/>
  <c r="X675" i="6"/>
  <c r="W675" i="6"/>
  <c r="U675" i="6"/>
  <c r="T675" i="6"/>
  <c r="S675" i="6"/>
  <c r="R675" i="6"/>
  <c r="P675" i="6"/>
  <c r="O675" i="6"/>
  <c r="N675" i="6"/>
  <c r="M675" i="6"/>
  <c r="K675" i="6"/>
  <c r="J675" i="6"/>
  <c r="I675" i="6"/>
  <c r="H675" i="6"/>
  <c r="CA674" i="6"/>
  <c r="BZ674" i="6"/>
  <c r="BX674" i="6"/>
  <c r="BW674" i="6"/>
  <c r="BV674" i="6"/>
  <c r="BU674" i="6"/>
  <c r="BT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BX673" i="6"/>
  <c r="BW673" i="6"/>
  <c r="BV673" i="6"/>
  <c r="BU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BX672" i="6"/>
  <c r="BW672" i="6"/>
  <c r="BV672" i="6"/>
  <c r="BU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BX671" i="6"/>
  <c r="BW671" i="6"/>
  <c r="BV671" i="6"/>
  <c r="BU671" i="6"/>
  <c r="BS671" i="6"/>
  <c r="BR671" i="6"/>
  <c r="BQ671" i="6"/>
  <c r="BP671" i="6"/>
  <c r="BO671" i="6"/>
  <c r="BN671" i="6"/>
  <c r="BM671" i="6"/>
  <c r="BL671" i="6"/>
  <c r="BK671" i="6"/>
  <c r="BI671" i="6"/>
  <c r="BH671" i="6"/>
  <c r="BG671" i="6"/>
  <c r="BF671" i="6"/>
  <c r="BD671" i="6"/>
  <c r="BC671" i="6"/>
  <c r="BB671" i="6"/>
  <c r="BA671" i="6"/>
  <c r="AZ671" i="6"/>
  <c r="AY671" i="6"/>
  <c r="AX671" i="6"/>
  <c r="AW671" i="6"/>
  <c r="AV671" i="6"/>
  <c r="AT671" i="6"/>
  <c r="AS671" i="6"/>
  <c r="AR671" i="6"/>
  <c r="AQ671" i="6"/>
  <c r="AO671" i="6"/>
  <c r="AN671" i="6"/>
  <c r="AM671" i="6"/>
  <c r="AL671" i="6"/>
  <c r="AK671" i="6"/>
  <c r="AJ671" i="6"/>
  <c r="AI671" i="6"/>
  <c r="AH671" i="6"/>
  <c r="AG671" i="6"/>
  <c r="AE671" i="6"/>
  <c r="AD671" i="6"/>
  <c r="AC671" i="6"/>
  <c r="AB671" i="6"/>
  <c r="AA671" i="6"/>
  <c r="Z671" i="6"/>
  <c r="Y671" i="6"/>
  <c r="X671" i="6"/>
  <c r="W671" i="6"/>
  <c r="U671" i="6"/>
  <c r="T671" i="6"/>
  <c r="S671" i="6"/>
  <c r="R671" i="6"/>
  <c r="Q671" i="6"/>
  <c r="P671" i="6"/>
  <c r="O671" i="6"/>
  <c r="N671" i="6"/>
  <c r="M671" i="6"/>
  <c r="K671" i="6"/>
  <c r="J671" i="6"/>
  <c r="I671" i="6"/>
  <c r="H671" i="6"/>
  <c r="G671" i="6"/>
  <c r="BX670" i="6"/>
  <c r="BW670" i="6"/>
  <c r="BV670" i="6"/>
  <c r="BU670" i="6"/>
  <c r="BS670" i="6"/>
  <c r="BR670" i="6"/>
  <c r="BQ670" i="6"/>
  <c r="BP670" i="6"/>
  <c r="BN670" i="6"/>
  <c r="BM670" i="6"/>
  <c r="BL670" i="6"/>
  <c r="BK670" i="6"/>
  <c r="BI670" i="6"/>
  <c r="BH670" i="6"/>
  <c r="BG670" i="6"/>
  <c r="BF670" i="6"/>
  <c r="BD670" i="6"/>
  <c r="BC670" i="6"/>
  <c r="BB670" i="6"/>
  <c r="BA670" i="6"/>
  <c r="AY670" i="6"/>
  <c r="AX670" i="6"/>
  <c r="AW670" i="6"/>
  <c r="AV670" i="6"/>
  <c r="AT670" i="6"/>
  <c r="AS670" i="6"/>
  <c r="AR670" i="6"/>
  <c r="AQ670" i="6"/>
  <c r="AO670" i="6"/>
  <c r="AN670" i="6"/>
  <c r="AM670" i="6"/>
  <c r="AL670" i="6"/>
  <c r="AJ670" i="6"/>
  <c r="AI670" i="6"/>
  <c r="AH670" i="6"/>
  <c r="AG670" i="6"/>
  <c r="AE670" i="6"/>
  <c r="AD670" i="6"/>
  <c r="AC670" i="6"/>
  <c r="AB670" i="6"/>
  <c r="Z670" i="6"/>
  <c r="Y670" i="6"/>
  <c r="X670" i="6"/>
  <c r="W670" i="6"/>
  <c r="U670" i="6"/>
  <c r="T670" i="6"/>
  <c r="S670" i="6"/>
  <c r="R670" i="6"/>
  <c r="P670" i="6"/>
  <c r="O670" i="6"/>
  <c r="N670" i="6"/>
  <c r="M670" i="6"/>
  <c r="K670" i="6"/>
  <c r="J670" i="6"/>
  <c r="I670" i="6"/>
  <c r="H670" i="6"/>
  <c r="CA669" i="6"/>
  <c r="BZ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BX666" i="6"/>
  <c r="BW666" i="6"/>
  <c r="BV666" i="6"/>
  <c r="BU666" i="6"/>
  <c r="BS666" i="6"/>
  <c r="BR666" i="6"/>
  <c r="BQ666" i="6"/>
  <c r="BP666" i="6"/>
  <c r="BN666" i="6"/>
  <c r="BM666" i="6"/>
  <c r="BL666" i="6"/>
  <c r="BK666" i="6"/>
  <c r="BI666" i="6"/>
  <c r="BH666" i="6"/>
  <c r="BG666" i="6"/>
  <c r="BF666" i="6"/>
  <c r="BD666" i="6"/>
  <c r="BC666" i="6"/>
  <c r="BB666" i="6"/>
  <c r="BA666" i="6"/>
  <c r="AY666" i="6"/>
  <c r="AX666" i="6"/>
  <c r="AW666" i="6"/>
  <c r="AV666" i="6"/>
  <c r="AT666" i="6"/>
  <c r="AS666" i="6"/>
  <c r="AR666" i="6"/>
  <c r="AQ666" i="6"/>
  <c r="AO666" i="6"/>
  <c r="AN666" i="6"/>
  <c r="AM666" i="6"/>
  <c r="AL666" i="6"/>
  <c r="AJ666" i="6"/>
  <c r="AI666" i="6"/>
  <c r="AH666" i="6"/>
  <c r="AG666" i="6"/>
  <c r="AE666" i="6"/>
  <c r="AD666" i="6"/>
  <c r="AC666" i="6"/>
  <c r="AB666" i="6"/>
  <c r="Z666" i="6"/>
  <c r="Y666" i="6"/>
  <c r="X666" i="6"/>
  <c r="W666" i="6"/>
  <c r="U666" i="6"/>
  <c r="T666" i="6"/>
  <c r="S666" i="6"/>
  <c r="R666" i="6"/>
  <c r="P666" i="6"/>
  <c r="O666" i="6"/>
  <c r="N666" i="6"/>
  <c r="M666" i="6"/>
  <c r="K666" i="6"/>
  <c r="J666" i="6"/>
  <c r="I666" i="6"/>
  <c r="H666" i="6"/>
  <c r="G666" i="6"/>
  <c r="BX665" i="6"/>
  <c r="BW665" i="6"/>
  <c r="BV665" i="6"/>
  <c r="BU665" i="6"/>
  <c r="BS665" i="6"/>
  <c r="BR665" i="6"/>
  <c r="BQ665" i="6"/>
  <c r="BP665" i="6"/>
  <c r="BN665" i="6"/>
  <c r="BM665" i="6"/>
  <c r="BL665" i="6"/>
  <c r="BK665" i="6"/>
  <c r="BI665" i="6"/>
  <c r="BH665" i="6"/>
  <c r="BG665" i="6"/>
  <c r="BF665" i="6"/>
  <c r="BD665" i="6"/>
  <c r="BC665" i="6"/>
  <c r="BB665" i="6"/>
  <c r="BA665" i="6"/>
  <c r="AY665" i="6"/>
  <c r="AX665" i="6"/>
  <c r="AW665" i="6"/>
  <c r="AV665" i="6"/>
  <c r="AT665" i="6"/>
  <c r="AS665" i="6"/>
  <c r="AR665" i="6"/>
  <c r="AQ665" i="6"/>
  <c r="AO665" i="6"/>
  <c r="AN665" i="6"/>
  <c r="AM665" i="6"/>
  <c r="AL665" i="6"/>
  <c r="AJ665" i="6"/>
  <c r="AI665" i="6"/>
  <c r="AH665" i="6"/>
  <c r="AG665" i="6"/>
  <c r="AE665" i="6"/>
  <c r="AD665" i="6"/>
  <c r="AC665" i="6"/>
  <c r="AB665" i="6"/>
  <c r="Z665" i="6"/>
  <c r="Y665" i="6"/>
  <c r="X665" i="6"/>
  <c r="W665" i="6"/>
  <c r="U665" i="6"/>
  <c r="T665" i="6"/>
  <c r="S665" i="6"/>
  <c r="R665" i="6"/>
  <c r="P665" i="6"/>
  <c r="O665" i="6"/>
  <c r="N665" i="6"/>
  <c r="M665" i="6"/>
  <c r="K665" i="6"/>
  <c r="J665" i="6"/>
  <c r="I665" i="6"/>
  <c r="H665" i="6"/>
  <c r="CA664" i="6"/>
  <c r="BZ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BX661" i="6"/>
  <c r="BW661" i="6"/>
  <c r="BV661" i="6"/>
  <c r="BU661" i="6"/>
  <c r="BS661" i="6"/>
  <c r="BR661" i="6"/>
  <c r="BQ661" i="6"/>
  <c r="BP661" i="6"/>
  <c r="BO661" i="6"/>
  <c r="BN661" i="6"/>
  <c r="BM661" i="6"/>
  <c r="BL661" i="6"/>
  <c r="BK661" i="6"/>
  <c r="BJ661" i="6"/>
  <c r="BI661" i="6"/>
  <c r="BH661" i="6"/>
  <c r="BG661" i="6"/>
  <c r="BF661" i="6"/>
  <c r="BE661" i="6"/>
  <c r="BD661" i="6"/>
  <c r="BC661" i="6"/>
  <c r="BB661" i="6"/>
  <c r="BA661" i="6"/>
  <c r="AZ661" i="6"/>
  <c r="AY661" i="6"/>
  <c r="AX661" i="6"/>
  <c r="AW661" i="6"/>
  <c r="AV661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BX660" i="6"/>
  <c r="BW660" i="6"/>
  <c r="BV660" i="6"/>
  <c r="BU660" i="6"/>
  <c r="BS660" i="6"/>
  <c r="BR660" i="6"/>
  <c r="BQ660" i="6"/>
  <c r="BP660" i="6"/>
  <c r="BN660" i="6"/>
  <c r="BM660" i="6"/>
  <c r="BL660" i="6"/>
  <c r="BK660" i="6"/>
  <c r="BI660" i="6"/>
  <c r="BH660" i="6"/>
  <c r="BG660" i="6"/>
  <c r="BF660" i="6"/>
  <c r="BD660" i="6"/>
  <c r="BC660" i="6"/>
  <c r="BB660" i="6"/>
  <c r="BA660" i="6"/>
  <c r="AY660" i="6"/>
  <c r="AX660" i="6"/>
  <c r="AW660" i="6"/>
  <c r="AV660" i="6"/>
  <c r="AT660" i="6"/>
  <c r="AS660" i="6"/>
  <c r="AR660" i="6"/>
  <c r="AQ660" i="6"/>
  <c r="AO660" i="6"/>
  <c r="AN660" i="6"/>
  <c r="AM660" i="6"/>
  <c r="AL660" i="6"/>
  <c r="AJ660" i="6"/>
  <c r="AI660" i="6"/>
  <c r="AH660" i="6"/>
  <c r="AG660" i="6"/>
  <c r="AE660" i="6"/>
  <c r="AD660" i="6"/>
  <c r="AC660" i="6"/>
  <c r="AB660" i="6"/>
  <c r="Z660" i="6"/>
  <c r="Y660" i="6"/>
  <c r="X660" i="6"/>
  <c r="W660" i="6"/>
  <c r="U660" i="6"/>
  <c r="T660" i="6"/>
  <c r="S660" i="6"/>
  <c r="R660" i="6"/>
  <c r="P660" i="6"/>
  <c r="O660" i="6"/>
  <c r="N660" i="6"/>
  <c r="M660" i="6"/>
  <c r="K660" i="6"/>
  <c r="J660" i="6"/>
  <c r="I660" i="6"/>
  <c r="H660" i="6"/>
  <c r="CA659" i="6"/>
  <c r="BZ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CA658" i="6"/>
  <c r="BZ658" i="6"/>
  <c r="BX658" i="6"/>
  <c r="BW658" i="6"/>
  <c r="BV658" i="6"/>
  <c r="BU658" i="6"/>
  <c r="BT658" i="6"/>
  <c r="BS658" i="6"/>
  <c r="BR658" i="6"/>
  <c r="BQ658" i="6"/>
  <c r="BP658" i="6"/>
  <c r="BO658" i="6"/>
  <c r="BN658" i="6"/>
  <c r="BM658" i="6"/>
  <c r="BL658" i="6"/>
  <c r="BK658" i="6"/>
  <c r="BJ658" i="6"/>
  <c r="BI658" i="6"/>
  <c r="BH658" i="6"/>
  <c r="BG658" i="6"/>
  <c r="BF658" i="6"/>
  <c r="BE658" i="6"/>
  <c r="BD658" i="6"/>
  <c r="BC658" i="6"/>
  <c r="BB658" i="6"/>
  <c r="BA658" i="6"/>
  <c r="AZ658" i="6"/>
  <c r="AY658" i="6"/>
  <c r="AX658" i="6"/>
  <c r="AW658" i="6"/>
  <c r="AV658" i="6"/>
  <c r="AU658" i="6"/>
  <c r="AT658" i="6"/>
  <c r="AS658" i="6"/>
  <c r="AR658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BX657" i="6"/>
  <c r="BW657" i="6"/>
  <c r="BV657" i="6"/>
  <c r="BU657" i="6"/>
  <c r="BS657" i="6"/>
  <c r="BR657" i="6"/>
  <c r="BQ657" i="6"/>
  <c r="BP657" i="6"/>
  <c r="BO657" i="6"/>
  <c r="BN657" i="6"/>
  <c r="BM657" i="6"/>
  <c r="BL657" i="6"/>
  <c r="BK657" i="6"/>
  <c r="BJ657" i="6"/>
  <c r="BI657" i="6"/>
  <c r="BH657" i="6"/>
  <c r="BG657" i="6"/>
  <c r="BF657" i="6"/>
  <c r="BE657" i="6"/>
  <c r="BD657" i="6"/>
  <c r="BC657" i="6"/>
  <c r="BB657" i="6"/>
  <c r="BA657" i="6"/>
  <c r="AZ657" i="6"/>
  <c r="AY657" i="6"/>
  <c r="AX657" i="6"/>
  <c r="AW657" i="6"/>
  <c r="AV657" i="6"/>
  <c r="AU657" i="6"/>
  <c r="AT657" i="6"/>
  <c r="AS657" i="6"/>
  <c r="AR657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BX656" i="6"/>
  <c r="BW656" i="6"/>
  <c r="BV656" i="6"/>
  <c r="BU656" i="6"/>
  <c r="BS656" i="6"/>
  <c r="BR656" i="6"/>
  <c r="BQ656" i="6"/>
  <c r="BP656" i="6"/>
  <c r="BO656" i="6"/>
  <c r="BN656" i="6"/>
  <c r="BM656" i="6"/>
  <c r="BL656" i="6"/>
  <c r="BK656" i="6"/>
  <c r="BJ656" i="6"/>
  <c r="BI656" i="6"/>
  <c r="BH656" i="6"/>
  <c r="BG656" i="6"/>
  <c r="BF656" i="6"/>
  <c r="BE656" i="6"/>
  <c r="BD656" i="6"/>
  <c r="BC656" i="6"/>
  <c r="BB656" i="6"/>
  <c r="BA656" i="6"/>
  <c r="AZ656" i="6"/>
  <c r="AY656" i="6"/>
  <c r="AX656" i="6"/>
  <c r="AW656" i="6"/>
  <c r="AV656" i="6"/>
  <c r="AU656" i="6"/>
  <c r="AT656" i="6"/>
  <c r="AS656" i="6"/>
  <c r="AR656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BX655" i="6"/>
  <c r="BW655" i="6"/>
  <c r="BV655" i="6"/>
  <c r="BU655" i="6"/>
  <c r="BS655" i="6"/>
  <c r="BR655" i="6"/>
  <c r="BQ655" i="6"/>
  <c r="BP655" i="6"/>
  <c r="BO655" i="6"/>
  <c r="BN655" i="6"/>
  <c r="BM655" i="6"/>
  <c r="BL655" i="6"/>
  <c r="BK655" i="6"/>
  <c r="BJ655" i="6"/>
  <c r="BI655" i="6"/>
  <c r="BH655" i="6"/>
  <c r="BG655" i="6"/>
  <c r="BF655" i="6"/>
  <c r="BE655" i="6"/>
  <c r="BD655" i="6"/>
  <c r="BC655" i="6"/>
  <c r="BB655" i="6"/>
  <c r="BA655" i="6"/>
  <c r="AZ655" i="6"/>
  <c r="AY655" i="6"/>
  <c r="AX655" i="6"/>
  <c r="AW655" i="6"/>
  <c r="AV655" i="6"/>
  <c r="AU655" i="6"/>
  <c r="AT655" i="6"/>
  <c r="AS655" i="6"/>
  <c r="AR655" i="6"/>
  <c r="AQ655" i="6"/>
  <c r="AP655" i="6"/>
  <c r="AO655" i="6"/>
  <c r="AN655" i="6"/>
  <c r="AM655" i="6"/>
  <c r="AL655" i="6"/>
  <c r="AK655" i="6"/>
  <c r="AJ655" i="6"/>
  <c r="AI655" i="6"/>
  <c r="AH655" i="6"/>
  <c r="AG655" i="6"/>
  <c r="AF655" i="6"/>
  <c r="AE655" i="6"/>
  <c r="AD655" i="6"/>
  <c r="AC655" i="6"/>
  <c r="AB655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BX654" i="6"/>
  <c r="BW654" i="6"/>
  <c r="BV654" i="6"/>
  <c r="BU654" i="6"/>
  <c r="BS654" i="6"/>
  <c r="BR654" i="6"/>
  <c r="BQ654" i="6"/>
  <c r="BP654" i="6"/>
  <c r="BN654" i="6"/>
  <c r="BM654" i="6"/>
  <c r="BL654" i="6"/>
  <c r="BK654" i="6"/>
  <c r="BI654" i="6"/>
  <c r="BH654" i="6"/>
  <c r="BG654" i="6"/>
  <c r="BF654" i="6"/>
  <c r="BD654" i="6"/>
  <c r="BC654" i="6"/>
  <c r="BB654" i="6"/>
  <c r="BA654" i="6"/>
  <c r="AY654" i="6"/>
  <c r="AX654" i="6"/>
  <c r="AW654" i="6"/>
  <c r="AV654" i="6"/>
  <c r="AT654" i="6"/>
  <c r="AS654" i="6"/>
  <c r="AR654" i="6"/>
  <c r="AQ654" i="6"/>
  <c r="AO654" i="6"/>
  <c r="AN654" i="6"/>
  <c r="AM654" i="6"/>
  <c r="AL654" i="6"/>
  <c r="AJ654" i="6"/>
  <c r="AI654" i="6"/>
  <c r="AH654" i="6"/>
  <c r="AG654" i="6"/>
  <c r="AE654" i="6"/>
  <c r="AD654" i="6"/>
  <c r="AC654" i="6"/>
  <c r="AB654" i="6"/>
  <c r="Z654" i="6"/>
  <c r="Y654" i="6"/>
  <c r="X654" i="6"/>
  <c r="W654" i="6"/>
  <c r="U654" i="6"/>
  <c r="T654" i="6"/>
  <c r="S654" i="6"/>
  <c r="R654" i="6"/>
  <c r="P654" i="6"/>
  <c r="O654" i="6"/>
  <c r="N654" i="6"/>
  <c r="M654" i="6"/>
  <c r="K654" i="6"/>
  <c r="J654" i="6"/>
  <c r="I654" i="6"/>
  <c r="H654" i="6"/>
  <c r="BZ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BX649" i="6"/>
  <c r="BW649" i="6"/>
  <c r="BV649" i="6"/>
  <c r="BU649" i="6"/>
  <c r="BS649" i="6"/>
  <c r="BR649" i="6"/>
  <c r="BQ649" i="6"/>
  <c r="BP649" i="6"/>
  <c r="BO649" i="6"/>
  <c r="BN649" i="6"/>
  <c r="BM649" i="6"/>
  <c r="BL649" i="6"/>
  <c r="BK649" i="6"/>
  <c r="BJ649" i="6"/>
  <c r="BI649" i="6"/>
  <c r="BH649" i="6"/>
  <c r="BG649" i="6"/>
  <c r="BF649" i="6"/>
  <c r="BE649" i="6"/>
  <c r="BD649" i="6"/>
  <c r="BC649" i="6"/>
  <c r="BB649" i="6"/>
  <c r="BA649" i="6"/>
  <c r="AZ649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BX648" i="6"/>
  <c r="BW648" i="6"/>
  <c r="BV648" i="6"/>
  <c r="BU648" i="6"/>
  <c r="BS648" i="6"/>
  <c r="BR648" i="6"/>
  <c r="BQ648" i="6"/>
  <c r="BP648" i="6"/>
  <c r="BN648" i="6"/>
  <c r="BM648" i="6"/>
  <c r="BL648" i="6"/>
  <c r="BK648" i="6"/>
  <c r="BI648" i="6"/>
  <c r="BH648" i="6"/>
  <c r="BG648" i="6"/>
  <c r="BF648" i="6"/>
  <c r="BD648" i="6"/>
  <c r="BC648" i="6"/>
  <c r="BB648" i="6"/>
  <c r="BA648" i="6"/>
  <c r="AY648" i="6"/>
  <c r="AX648" i="6"/>
  <c r="AW648" i="6"/>
  <c r="AV648" i="6"/>
  <c r="AT648" i="6"/>
  <c r="AS648" i="6"/>
  <c r="AR648" i="6"/>
  <c r="AQ648" i="6"/>
  <c r="AO648" i="6"/>
  <c r="AN648" i="6"/>
  <c r="AM648" i="6"/>
  <c r="AL648" i="6"/>
  <c r="AJ648" i="6"/>
  <c r="AI648" i="6"/>
  <c r="AH648" i="6"/>
  <c r="AG648" i="6"/>
  <c r="AE648" i="6"/>
  <c r="AD648" i="6"/>
  <c r="AC648" i="6"/>
  <c r="AB648" i="6"/>
  <c r="Z648" i="6"/>
  <c r="Y648" i="6"/>
  <c r="X648" i="6"/>
  <c r="W648" i="6"/>
  <c r="U648" i="6"/>
  <c r="T648" i="6"/>
  <c r="S648" i="6"/>
  <c r="R648" i="6"/>
  <c r="P648" i="6"/>
  <c r="O648" i="6"/>
  <c r="N648" i="6"/>
  <c r="M648" i="6"/>
  <c r="K648" i="6"/>
  <c r="J648" i="6"/>
  <c r="I648" i="6"/>
  <c r="H648" i="6"/>
  <c r="BZ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CA646" i="6"/>
  <c r="BZ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BX645" i="6"/>
  <c r="BW645" i="6"/>
  <c r="BV645" i="6"/>
  <c r="BU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BX644" i="6"/>
  <c r="BW644" i="6"/>
  <c r="BV644" i="6"/>
  <c r="BU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BX643" i="6"/>
  <c r="BW643" i="6"/>
  <c r="BV643" i="6"/>
  <c r="BU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BX642" i="6"/>
  <c r="BW642" i="6"/>
  <c r="BV642" i="6"/>
  <c r="BU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BX640" i="6"/>
  <c r="BW640" i="6"/>
  <c r="BV640" i="6"/>
  <c r="BU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BX639" i="6"/>
  <c r="BW639" i="6"/>
  <c r="BV639" i="6"/>
  <c r="BU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BX638" i="6"/>
  <c r="BW638" i="6"/>
  <c r="BV638" i="6"/>
  <c r="BU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BX637" i="6"/>
  <c r="BW637" i="6"/>
  <c r="BV637" i="6"/>
  <c r="BU637" i="6"/>
  <c r="BS637" i="6"/>
  <c r="BR637" i="6"/>
  <c r="BQ637" i="6"/>
  <c r="BP637" i="6"/>
  <c r="BN637" i="6"/>
  <c r="BM637" i="6"/>
  <c r="BL637" i="6"/>
  <c r="BK637" i="6"/>
  <c r="BI637" i="6"/>
  <c r="BH637" i="6"/>
  <c r="BG637" i="6"/>
  <c r="BF637" i="6"/>
  <c r="BD637" i="6"/>
  <c r="BC637" i="6"/>
  <c r="BB637" i="6"/>
  <c r="BA637" i="6"/>
  <c r="AY637" i="6"/>
  <c r="AX637" i="6"/>
  <c r="AW637" i="6"/>
  <c r="AV637" i="6"/>
  <c r="AT637" i="6"/>
  <c r="AS637" i="6"/>
  <c r="AR637" i="6"/>
  <c r="AQ637" i="6"/>
  <c r="AO637" i="6"/>
  <c r="AN637" i="6"/>
  <c r="AM637" i="6"/>
  <c r="AL637" i="6"/>
  <c r="AJ637" i="6"/>
  <c r="AI637" i="6"/>
  <c r="AH637" i="6"/>
  <c r="AG637" i="6"/>
  <c r="AE637" i="6"/>
  <c r="AD637" i="6"/>
  <c r="AC637" i="6"/>
  <c r="AB637" i="6"/>
  <c r="Z637" i="6"/>
  <c r="Y637" i="6"/>
  <c r="X637" i="6"/>
  <c r="W637" i="6"/>
  <c r="U637" i="6"/>
  <c r="T637" i="6"/>
  <c r="S637" i="6"/>
  <c r="R637" i="6"/>
  <c r="P637" i="6"/>
  <c r="O637" i="6"/>
  <c r="N637" i="6"/>
  <c r="M637" i="6"/>
  <c r="K637" i="6"/>
  <c r="J637" i="6"/>
  <c r="I637" i="6"/>
  <c r="H637" i="6"/>
  <c r="CA636" i="6"/>
  <c r="BZ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BX635" i="6"/>
  <c r="BW635" i="6"/>
  <c r="BV635" i="6"/>
  <c r="BU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BX634" i="6"/>
  <c r="BW634" i="6"/>
  <c r="BV634" i="6"/>
  <c r="BU634" i="6"/>
  <c r="BS634" i="6"/>
  <c r="BR634" i="6"/>
  <c r="BQ634" i="6"/>
  <c r="BP634" i="6"/>
  <c r="BO634" i="6"/>
  <c r="BN634" i="6"/>
  <c r="BM634" i="6"/>
  <c r="BL634" i="6"/>
  <c r="BK634" i="6"/>
  <c r="BJ634" i="6"/>
  <c r="BI634" i="6"/>
  <c r="BH634" i="6"/>
  <c r="BG634" i="6"/>
  <c r="BF634" i="6"/>
  <c r="BE634" i="6"/>
  <c r="BD634" i="6"/>
  <c r="BC634" i="6"/>
  <c r="BB634" i="6"/>
  <c r="BA634" i="6"/>
  <c r="AZ634" i="6"/>
  <c r="AY634" i="6"/>
  <c r="AX634" i="6"/>
  <c r="AW634" i="6"/>
  <c r="AV634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BX633" i="6"/>
  <c r="BW633" i="6"/>
  <c r="BV633" i="6"/>
  <c r="BU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BC633" i="6"/>
  <c r="BB633" i="6"/>
  <c r="BA633" i="6"/>
  <c r="AZ633" i="6"/>
  <c r="AY633" i="6"/>
  <c r="AX633" i="6"/>
  <c r="AW633" i="6"/>
  <c r="AV633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BX632" i="6"/>
  <c r="BW632" i="6"/>
  <c r="BV632" i="6"/>
  <c r="BU632" i="6"/>
  <c r="BS632" i="6"/>
  <c r="BR632" i="6"/>
  <c r="BQ632" i="6"/>
  <c r="BP632" i="6"/>
  <c r="BN632" i="6"/>
  <c r="BM632" i="6"/>
  <c r="BL632" i="6"/>
  <c r="BK632" i="6"/>
  <c r="BI632" i="6"/>
  <c r="BH632" i="6"/>
  <c r="BG632" i="6"/>
  <c r="BF632" i="6"/>
  <c r="BD632" i="6"/>
  <c r="BC632" i="6"/>
  <c r="BB632" i="6"/>
  <c r="BA632" i="6"/>
  <c r="AY632" i="6"/>
  <c r="AX632" i="6"/>
  <c r="AW632" i="6"/>
  <c r="AV632" i="6"/>
  <c r="AT632" i="6"/>
  <c r="AS632" i="6"/>
  <c r="AR632" i="6"/>
  <c r="AQ632" i="6"/>
  <c r="AO632" i="6"/>
  <c r="AN632" i="6"/>
  <c r="AM632" i="6"/>
  <c r="AL632" i="6"/>
  <c r="AJ632" i="6"/>
  <c r="AI632" i="6"/>
  <c r="AH632" i="6"/>
  <c r="AG632" i="6"/>
  <c r="AE632" i="6"/>
  <c r="AD632" i="6"/>
  <c r="AC632" i="6"/>
  <c r="AB632" i="6"/>
  <c r="Z632" i="6"/>
  <c r="Y632" i="6"/>
  <c r="X632" i="6"/>
  <c r="W632" i="6"/>
  <c r="U632" i="6"/>
  <c r="T632" i="6"/>
  <c r="S632" i="6"/>
  <c r="R632" i="6"/>
  <c r="P632" i="6"/>
  <c r="O632" i="6"/>
  <c r="N632" i="6"/>
  <c r="M632" i="6"/>
  <c r="K632" i="6"/>
  <c r="J632" i="6"/>
  <c r="I632" i="6"/>
  <c r="H632" i="6"/>
  <c r="CA631" i="6"/>
  <c r="BZ631" i="6"/>
  <c r="BX631" i="6"/>
  <c r="BW631" i="6"/>
  <c r="BV631" i="6"/>
  <c r="BU631" i="6"/>
  <c r="BT631" i="6"/>
  <c r="BS631" i="6"/>
  <c r="BR631" i="6"/>
  <c r="BQ631" i="6"/>
  <c r="BP631" i="6"/>
  <c r="BO631" i="6"/>
  <c r="BN631" i="6"/>
  <c r="BM631" i="6"/>
  <c r="BL631" i="6"/>
  <c r="BK631" i="6"/>
  <c r="BJ631" i="6"/>
  <c r="BI631" i="6"/>
  <c r="BH631" i="6"/>
  <c r="BG631" i="6"/>
  <c r="BF631" i="6"/>
  <c r="BE631" i="6"/>
  <c r="BD631" i="6"/>
  <c r="BC631" i="6"/>
  <c r="BB631" i="6"/>
  <c r="BA631" i="6"/>
  <c r="AZ631" i="6"/>
  <c r="AY631" i="6"/>
  <c r="AX631" i="6"/>
  <c r="AW631" i="6"/>
  <c r="AV631" i="6"/>
  <c r="AU631" i="6"/>
  <c r="AT631" i="6"/>
  <c r="AS631" i="6"/>
  <c r="AR631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BX630" i="6"/>
  <c r="BW630" i="6"/>
  <c r="BV630" i="6"/>
  <c r="BU630" i="6"/>
  <c r="BS630" i="6"/>
  <c r="BR630" i="6"/>
  <c r="BQ630" i="6"/>
  <c r="BP630" i="6"/>
  <c r="BO630" i="6"/>
  <c r="BN630" i="6"/>
  <c r="BM630" i="6"/>
  <c r="BL630" i="6"/>
  <c r="BK630" i="6"/>
  <c r="BJ630" i="6"/>
  <c r="BI630" i="6"/>
  <c r="BH630" i="6"/>
  <c r="BG630" i="6"/>
  <c r="BF630" i="6"/>
  <c r="BE630" i="6"/>
  <c r="BD630" i="6"/>
  <c r="BC630" i="6"/>
  <c r="BB630" i="6"/>
  <c r="BA630" i="6"/>
  <c r="AZ630" i="6"/>
  <c r="AY630" i="6"/>
  <c r="AX630" i="6"/>
  <c r="AW630" i="6"/>
  <c r="AV630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BX629" i="6"/>
  <c r="BW629" i="6"/>
  <c r="BV629" i="6"/>
  <c r="BU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BX628" i="6"/>
  <c r="BW628" i="6"/>
  <c r="BV628" i="6"/>
  <c r="BU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BX627" i="6"/>
  <c r="BW627" i="6"/>
  <c r="BV627" i="6"/>
  <c r="BU627" i="6"/>
  <c r="BS627" i="6"/>
  <c r="BR627" i="6"/>
  <c r="BQ627" i="6"/>
  <c r="BP627" i="6"/>
  <c r="BN627" i="6"/>
  <c r="BM627" i="6"/>
  <c r="BL627" i="6"/>
  <c r="BK627" i="6"/>
  <c r="BI627" i="6"/>
  <c r="BH627" i="6"/>
  <c r="BG627" i="6"/>
  <c r="BF627" i="6"/>
  <c r="BD627" i="6"/>
  <c r="BC627" i="6"/>
  <c r="BB627" i="6"/>
  <c r="BA627" i="6"/>
  <c r="AY627" i="6"/>
  <c r="AX627" i="6"/>
  <c r="AW627" i="6"/>
  <c r="AV627" i="6"/>
  <c r="AT627" i="6"/>
  <c r="AS627" i="6"/>
  <c r="AR627" i="6"/>
  <c r="AQ627" i="6"/>
  <c r="AO627" i="6"/>
  <c r="AN627" i="6"/>
  <c r="AM627" i="6"/>
  <c r="AL627" i="6"/>
  <c r="AJ627" i="6"/>
  <c r="AI627" i="6"/>
  <c r="AH627" i="6"/>
  <c r="AG627" i="6"/>
  <c r="AE627" i="6"/>
  <c r="AD627" i="6"/>
  <c r="AC627" i="6"/>
  <c r="AB627" i="6"/>
  <c r="Z627" i="6"/>
  <c r="Y627" i="6"/>
  <c r="X627" i="6"/>
  <c r="W627" i="6"/>
  <c r="U627" i="6"/>
  <c r="T627" i="6"/>
  <c r="S627" i="6"/>
  <c r="R627" i="6"/>
  <c r="P627" i="6"/>
  <c r="O627" i="6"/>
  <c r="N627" i="6"/>
  <c r="M627" i="6"/>
  <c r="K627" i="6"/>
  <c r="J627" i="6"/>
  <c r="I627" i="6"/>
  <c r="H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BX625" i="6"/>
  <c r="BW625" i="6"/>
  <c r="BV625" i="6"/>
  <c r="BU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BX624" i="6"/>
  <c r="BW624" i="6"/>
  <c r="BV624" i="6"/>
  <c r="BU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BX623" i="6"/>
  <c r="BW623" i="6"/>
  <c r="BV623" i="6"/>
  <c r="BU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BX622" i="6"/>
  <c r="BW622" i="6"/>
  <c r="BV622" i="6"/>
  <c r="BU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BX621" i="6"/>
  <c r="BW621" i="6"/>
  <c r="BV621" i="6"/>
  <c r="BU621" i="6"/>
  <c r="BS621" i="6"/>
  <c r="BR621" i="6"/>
  <c r="BQ621" i="6"/>
  <c r="BP621" i="6"/>
  <c r="BN621" i="6"/>
  <c r="BM621" i="6"/>
  <c r="BL621" i="6"/>
  <c r="BK621" i="6"/>
  <c r="BI621" i="6"/>
  <c r="BH621" i="6"/>
  <c r="BG621" i="6"/>
  <c r="BF621" i="6"/>
  <c r="BD621" i="6"/>
  <c r="BC621" i="6"/>
  <c r="BB621" i="6"/>
  <c r="BA621" i="6"/>
  <c r="AY621" i="6"/>
  <c r="AX621" i="6"/>
  <c r="AW621" i="6"/>
  <c r="AV621" i="6"/>
  <c r="AT621" i="6"/>
  <c r="AS621" i="6"/>
  <c r="AR621" i="6"/>
  <c r="AQ621" i="6"/>
  <c r="AO621" i="6"/>
  <c r="AN621" i="6"/>
  <c r="AM621" i="6"/>
  <c r="AL621" i="6"/>
  <c r="AJ621" i="6"/>
  <c r="AI621" i="6"/>
  <c r="AH621" i="6"/>
  <c r="AG621" i="6"/>
  <c r="AE621" i="6"/>
  <c r="AD621" i="6"/>
  <c r="AC621" i="6"/>
  <c r="AB621" i="6"/>
  <c r="Z621" i="6"/>
  <c r="Y621" i="6"/>
  <c r="X621" i="6"/>
  <c r="W621" i="6"/>
  <c r="U621" i="6"/>
  <c r="T621" i="6"/>
  <c r="S621" i="6"/>
  <c r="R621" i="6"/>
  <c r="P621" i="6"/>
  <c r="O621" i="6"/>
  <c r="N621" i="6"/>
  <c r="M621" i="6"/>
  <c r="K621" i="6"/>
  <c r="J621" i="6"/>
  <c r="I621" i="6"/>
  <c r="H621" i="6"/>
  <c r="CA620" i="6"/>
  <c r="BZ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BX619" i="6"/>
  <c r="BW619" i="6"/>
  <c r="BV619" i="6"/>
  <c r="BU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BX618" i="6"/>
  <c r="BW618" i="6"/>
  <c r="BV618" i="6"/>
  <c r="BU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BX617" i="6"/>
  <c r="BW617" i="6"/>
  <c r="BV617" i="6"/>
  <c r="BU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BX616" i="6"/>
  <c r="BW616" i="6"/>
  <c r="BV616" i="6"/>
  <c r="BU616" i="6"/>
  <c r="BS616" i="6"/>
  <c r="BR616" i="6"/>
  <c r="BQ616" i="6"/>
  <c r="BP616" i="6"/>
  <c r="BN616" i="6"/>
  <c r="BM616" i="6"/>
  <c r="BL616" i="6"/>
  <c r="BK616" i="6"/>
  <c r="BI616" i="6"/>
  <c r="BH616" i="6"/>
  <c r="BG616" i="6"/>
  <c r="BF616" i="6"/>
  <c r="BD616" i="6"/>
  <c r="BC616" i="6"/>
  <c r="BB616" i="6"/>
  <c r="BA616" i="6"/>
  <c r="AY616" i="6"/>
  <c r="AX616" i="6"/>
  <c r="AW616" i="6"/>
  <c r="AV616" i="6"/>
  <c r="AT616" i="6"/>
  <c r="AS616" i="6"/>
  <c r="AR616" i="6"/>
  <c r="AQ616" i="6"/>
  <c r="AO616" i="6"/>
  <c r="AN616" i="6"/>
  <c r="AM616" i="6"/>
  <c r="AL616" i="6"/>
  <c r="AJ616" i="6"/>
  <c r="AI616" i="6"/>
  <c r="AH616" i="6"/>
  <c r="AG616" i="6"/>
  <c r="AE616" i="6"/>
  <c r="AD616" i="6"/>
  <c r="AC616" i="6"/>
  <c r="AB616" i="6"/>
  <c r="Z616" i="6"/>
  <c r="Y616" i="6"/>
  <c r="X616" i="6"/>
  <c r="W616" i="6"/>
  <c r="U616" i="6"/>
  <c r="T616" i="6"/>
  <c r="S616" i="6"/>
  <c r="R616" i="6"/>
  <c r="P616" i="6"/>
  <c r="O616" i="6"/>
  <c r="N616" i="6"/>
  <c r="M616" i="6"/>
  <c r="K616" i="6"/>
  <c r="J616" i="6"/>
  <c r="I616" i="6"/>
  <c r="H616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BX614" i="6"/>
  <c r="BW614" i="6"/>
  <c r="BV614" i="6"/>
  <c r="BU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BX613" i="6"/>
  <c r="BW613" i="6"/>
  <c r="BV613" i="6"/>
  <c r="BU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BX612" i="6"/>
  <c r="BW612" i="6"/>
  <c r="BV612" i="6"/>
  <c r="BU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BX611" i="6"/>
  <c r="BW611" i="6"/>
  <c r="BV611" i="6"/>
  <c r="BU611" i="6"/>
  <c r="BS611" i="6"/>
  <c r="BR611" i="6"/>
  <c r="BQ611" i="6"/>
  <c r="BP611" i="6"/>
  <c r="BN611" i="6"/>
  <c r="BM611" i="6"/>
  <c r="BL611" i="6"/>
  <c r="BK611" i="6"/>
  <c r="BI611" i="6"/>
  <c r="BH611" i="6"/>
  <c r="BG611" i="6"/>
  <c r="BF611" i="6"/>
  <c r="BD611" i="6"/>
  <c r="BC611" i="6"/>
  <c r="BB611" i="6"/>
  <c r="BA611" i="6"/>
  <c r="AY611" i="6"/>
  <c r="AX611" i="6"/>
  <c r="AW611" i="6"/>
  <c r="AV611" i="6"/>
  <c r="AT611" i="6"/>
  <c r="AS611" i="6"/>
  <c r="AR611" i="6"/>
  <c r="AQ611" i="6"/>
  <c r="AO611" i="6"/>
  <c r="AN611" i="6"/>
  <c r="AM611" i="6"/>
  <c r="AL611" i="6"/>
  <c r="AJ611" i="6"/>
  <c r="AI611" i="6"/>
  <c r="AH611" i="6"/>
  <c r="AG611" i="6"/>
  <c r="AE611" i="6"/>
  <c r="AD611" i="6"/>
  <c r="AC611" i="6"/>
  <c r="AB611" i="6"/>
  <c r="Z611" i="6"/>
  <c r="Y611" i="6"/>
  <c r="X611" i="6"/>
  <c r="W611" i="6"/>
  <c r="U611" i="6"/>
  <c r="T611" i="6"/>
  <c r="S611" i="6"/>
  <c r="R611" i="6"/>
  <c r="P611" i="6"/>
  <c r="O611" i="6"/>
  <c r="N611" i="6"/>
  <c r="M611" i="6"/>
  <c r="K611" i="6"/>
  <c r="J611" i="6"/>
  <c r="I611" i="6"/>
  <c r="H611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BX609" i="6"/>
  <c r="BW609" i="6"/>
  <c r="BV609" i="6"/>
  <c r="BU609" i="6"/>
  <c r="BS609" i="6"/>
  <c r="BR609" i="6"/>
  <c r="BQ609" i="6"/>
  <c r="BP609" i="6"/>
  <c r="BN609" i="6"/>
  <c r="BM609" i="6"/>
  <c r="BL609" i="6"/>
  <c r="BK609" i="6"/>
  <c r="BI609" i="6"/>
  <c r="BH609" i="6"/>
  <c r="BG609" i="6"/>
  <c r="BF609" i="6"/>
  <c r="BD609" i="6"/>
  <c r="BC609" i="6"/>
  <c r="BB609" i="6"/>
  <c r="BA609" i="6"/>
  <c r="AY609" i="6"/>
  <c r="AX609" i="6"/>
  <c r="AW609" i="6"/>
  <c r="AV609" i="6"/>
  <c r="AT609" i="6"/>
  <c r="AS609" i="6"/>
  <c r="AR609" i="6"/>
  <c r="AQ609" i="6"/>
  <c r="AO609" i="6"/>
  <c r="AN609" i="6"/>
  <c r="AM609" i="6"/>
  <c r="AL609" i="6"/>
  <c r="AJ609" i="6"/>
  <c r="AI609" i="6"/>
  <c r="AH609" i="6"/>
  <c r="AG609" i="6"/>
  <c r="AE609" i="6"/>
  <c r="AD609" i="6"/>
  <c r="AC609" i="6"/>
  <c r="AB609" i="6"/>
  <c r="Z609" i="6"/>
  <c r="Y609" i="6"/>
  <c r="X609" i="6"/>
  <c r="W609" i="6"/>
  <c r="U609" i="6"/>
  <c r="T609" i="6"/>
  <c r="S609" i="6"/>
  <c r="R609" i="6"/>
  <c r="P609" i="6"/>
  <c r="O609" i="6"/>
  <c r="N609" i="6"/>
  <c r="M609" i="6"/>
  <c r="K609" i="6"/>
  <c r="J609" i="6"/>
  <c r="I609" i="6"/>
  <c r="H609" i="6"/>
  <c r="BX608" i="6"/>
  <c r="BW608" i="6"/>
  <c r="BV608" i="6"/>
  <c r="BU608" i="6"/>
  <c r="BS608" i="6"/>
  <c r="BR608" i="6"/>
  <c r="BQ608" i="6"/>
  <c r="BP608" i="6"/>
  <c r="BN608" i="6"/>
  <c r="BM608" i="6"/>
  <c r="BL608" i="6"/>
  <c r="BK608" i="6"/>
  <c r="BI608" i="6"/>
  <c r="BH608" i="6"/>
  <c r="BG608" i="6"/>
  <c r="BF608" i="6"/>
  <c r="BD608" i="6"/>
  <c r="BC608" i="6"/>
  <c r="BB608" i="6"/>
  <c r="BA608" i="6"/>
  <c r="AY608" i="6"/>
  <c r="AX608" i="6"/>
  <c r="AW608" i="6"/>
  <c r="AV608" i="6"/>
  <c r="AT608" i="6"/>
  <c r="AS608" i="6"/>
  <c r="AR608" i="6"/>
  <c r="AQ608" i="6"/>
  <c r="AO608" i="6"/>
  <c r="AN608" i="6"/>
  <c r="AM608" i="6"/>
  <c r="AL608" i="6"/>
  <c r="AJ608" i="6"/>
  <c r="AI608" i="6"/>
  <c r="AH608" i="6"/>
  <c r="AG608" i="6"/>
  <c r="AE608" i="6"/>
  <c r="AD608" i="6"/>
  <c r="AC608" i="6"/>
  <c r="AB608" i="6"/>
  <c r="Z608" i="6"/>
  <c r="Y608" i="6"/>
  <c r="X608" i="6"/>
  <c r="W608" i="6"/>
  <c r="U608" i="6"/>
  <c r="T608" i="6"/>
  <c r="S608" i="6"/>
  <c r="R608" i="6"/>
  <c r="P608" i="6"/>
  <c r="O608" i="6"/>
  <c r="N608" i="6"/>
  <c r="M608" i="6"/>
  <c r="K608" i="6"/>
  <c r="J608" i="6"/>
  <c r="I608" i="6"/>
  <c r="H608" i="6"/>
  <c r="BX607" i="6"/>
  <c r="BW607" i="6"/>
  <c r="BV607" i="6"/>
  <c r="BU607" i="6"/>
  <c r="BS607" i="6"/>
  <c r="BR607" i="6"/>
  <c r="BQ607" i="6"/>
  <c r="BP607" i="6"/>
  <c r="BN607" i="6"/>
  <c r="BM607" i="6"/>
  <c r="BL607" i="6"/>
  <c r="BK607" i="6"/>
  <c r="BI607" i="6"/>
  <c r="BH607" i="6"/>
  <c r="BG607" i="6"/>
  <c r="BF607" i="6"/>
  <c r="BD607" i="6"/>
  <c r="BC607" i="6"/>
  <c r="BB607" i="6"/>
  <c r="BA607" i="6"/>
  <c r="AY607" i="6"/>
  <c r="AX607" i="6"/>
  <c r="AW607" i="6"/>
  <c r="AV607" i="6"/>
  <c r="AT607" i="6"/>
  <c r="AS607" i="6"/>
  <c r="AR607" i="6"/>
  <c r="AQ607" i="6"/>
  <c r="AO607" i="6"/>
  <c r="AN607" i="6"/>
  <c r="AM607" i="6"/>
  <c r="AL607" i="6"/>
  <c r="AJ607" i="6"/>
  <c r="AI607" i="6"/>
  <c r="AH607" i="6"/>
  <c r="AG607" i="6"/>
  <c r="AE607" i="6"/>
  <c r="AD607" i="6"/>
  <c r="AC607" i="6"/>
  <c r="AB607" i="6"/>
  <c r="Z607" i="6"/>
  <c r="Y607" i="6"/>
  <c r="X607" i="6"/>
  <c r="W607" i="6"/>
  <c r="U607" i="6"/>
  <c r="T607" i="6"/>
  <c r="S607" i="6"/>
  <c r="R607" i="6"/>
  <c r="P607" i="6"/>
  <c r="O607" i="6"/>
  <c r="N607" i="6"/>
  <c r="M607" i="6"/>
  <c r="K607" i="6"/>
  <c r="J607" i="6"/>
  <c r="I607" i="6"/>
  <c r="H607" i="6"/>
  <c r="BX606" i="6"/>
  <c r="BW606" i="6"/>
  <c r="BV606" i="6"/>
  <c r="BU606" i="6"/>
  <c r="BS606" i="6"/>
  <c r="BR606" i="6"/>
  <c r="BQ606" i="6"/>
  <c r="BP606" i="6"/>
  <c r="BN606" i="6"/>
  <c r="BM606" i="6"/>
  <c r="BL606" i="6"/>
  <c r="BK606" i="6"/>
  <c r="BI606" i="6"/>
  <c r="BH606" i="6"/>
  <c r="BG606" i="6"/>
  <c r="BF606" i="6"/>
  <c r="BD606" i="6"/>
  <c r="BC606" i="6"/>
  <c r="BB606" i="6"/>
  <c r="BA606" i="6"/>
  <c r="AY606" i="6"/>
  <c r="AX606" i="6"/>
  <c r="AW606" i="6"/>
  <c r="AV606" i="6"/>
  <c r="AT606" i="6"/>
  <c r="AS606" i="6"/>
  <c r="AR606" i="6"/>
  <c r="AQ606" i="6"/>
  <c r="AO606" i="6"/>
  <c r="AN606" i="6"/>
  <c r="AM606" i="6"/>
  <c r="AL606" i="6"/>
  <c r="AJ606" i="6"/>
  <c r="AI606" i="6"/>
  <c r="AH606" i="6"/>
  <c r="AG606" i="6"/>
  <c r="AE606" i="6"/>
  <c r="AD606" i="6"/>
  <c r="AC606" i="6"/>
  <c r="AB606" i="6"/>
  <c r="Z606" i="6"/>
  <c r="Y606" i="6"/>
  <c r="X606" i="6"/>
  <c r="W606" i="6"/>
  <c r="U606" i="6"/>
  <c r="T606" i="6"/>
  <c r="S606" i="6"/>
  <c r="R606" i="6"/>
  <c r="P606" i="6"/>
  <c r="O606" i="6"/>
  <c r="N606" i="6"/>
  <c r="M606" i="6"/>
  <c r="K606" i="6"/>
  <c r="J606" i="6"/>
  <c r="I606" i="6"/>
  <c r="H606" i="6"/>
  <c r="BX605" i="6"/>
  <c r="BW605" i="6"/>
  <c r="BV605" i="6"/>
  <c r="BU605" i="6"/>
  <c r="BS605" i="6"/>
  <c r="BR605" i="6"/>
  <c r="BQ605" i="6"/>
  <c r="BP605" i="6"/>
  <c r="BN605" i="6"/>
  <c r="BM605" i="6"/>
  <c r="BL605" i="6"/>
  <c r="BK605" i="6"/>
  <c r="BI605" i="6"/>
  <c r="BH605" i="6"/>
  <c r="BG605" i="6"/>
  <c r="BF605" i="6"/>
  <c r="BD605" i="6"/>
  <c r="BC605" i="6"/>
  <c r="BB605" i="6"/>
  <c r="BA605" i="6"/>
  <c r="AY605" i="6"/>
  <c r="AX605" i="6"/>
  <c r="AW605" i="6"/>
  <c r="AV605" i="6"/>
  <c r="AT605" i="6"/>
  <c r="AS605" i="6"/>
  <c r="AR605" i="6"/>
  <c r="AQ605" i="6"/>
  <c r="AO605" i="6"/>
  <c r="AN605" i="6"/>
  <c r="AM605" i="6"/>
  <c r="AL605" i="6"/>
  <c r="AJ605" i="6"/>
  <c r="AI605" i="6"/>
  <c r="AH605" i="6"/>
  <c r="AG605" i="6"/>
  <c r="AE605" i="6"/>
  <c r="AD605" i="6"/>
  <c r="AC605" i="6"/>
  <c r="AB605" i="6"/>
  <c r="Z605" i="6"/>
  <c r="Y605" i="6"/>
  <c r="X605" i="6"/>
  <c r="W605" i="6"/>
  <c r="U605" i="6"/>
  <c r="T605" i="6"/>
  <c r="S605" i="6"/>
  <c r="R605" i="6"/>
  <c r="P605" i="6"/>
  <c r="O605" i="6"/>
  <c r="N605" i="6"/>
  <c r="M605" i="6"/>
  <c r="K605" i="6"/>
  <c r="J605" i="6"/>
  <c r="I605" i="6"/>
  <c r="H605" i="6"/>
  <c r="BZ604" i="6"/>
  <c r="BX604" i="6"/>
  <c r="BW604" i="6"/>
  <c r="BV604" i="6"/>
  <c r="BU604" i="6"/>
  <c r="BT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BX603" i="6"/>
  <c r="BW603" i="6"/>
  <c r="BV603" i="6"/>
  <c r="BU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BX602" i="6"/>
  <c r="BW602" i="6"/>
  <c r="BV602" i="6"/>
  <c r="BU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BC602" i="6"/>
  <c r="BB602" i="6"/>
  <c r="BA602" i="6"/>
  <c r="AZ602" i="6"/>
  <c r="AY602" i="6"/>
  <c r="AX602" i="6"/>
  <c r="AW602" i="6"/>
  <c r="AV602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BX601" i="6"/>
  <c r="BW601" i="6"/>
  <c r="BV601" i="6"/>
  <c r="BU601" i="6"/>
  <c r="BS601" i="6"/>
  <c r="BR601" i="6"/>
  <c r="BQ601" i="6"/>
  <c r="BP601" i="6"/>
  <c r="BO601" i="6"/>
  <c r="BN601" i="6"/>
  <c r="BM601" i="6"/>
  <c r="BL601" i="6"/>
  <c r="BK601" i="6"/>
  <c r="BJ601" i="6"/>
  <c r="BI601" i="6"/>
  <c r="BH601" i="6"/>
  <c r="BG601" i="6"/>
  <c r="BF601" i="6"/>
  <c r="BE601" i="6"/>
  <c r="BD601" i="6"/>
  <c r="BC601" i="6"/>
  <c r="BB601" i="6"/>
  <c r="BA601" i="6"/>
  <c r="AZ601" i="6"/>
  <c r="AY601" i="6"/>
  <c r="AX601" i="6"/>
  <c r="AW601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BX600" i="6"/>
  <c r="BW600" i="6"/>
  <c r="BV600" i="6"/>
  <c r="BU600" i="6"/>
  <c r="BS600" i="6"/>
  <c r="BR600" i="6"/>
  <c r="BQ600" i="6"/>
  <c r="BP600" i="6"/>
  <c r="BO600" i="6"/>
  <c r="BN600" i="6"/>
  <c r="BM600" i="6"/>
  <c r="BL600" i="6"/>
  <c r="BK600" i="6"/>
  <c r="BJ600" i="6"/>
  <c r="BI600" i="6"/>
  <c r="BH600" i="6"/>
  <c r="BG600" i="6"/>
  <c r="BF600" i="6"/>
  <c r="BE600" i="6"/>
  <c r="BD600" i="6"/>
  <c r="BC600" i="6"/>
  <c r="BB600" i="6"/>
  <c r="BA600" i="6"/>
  <c r="AZ600" i="6"/>
  <c r="AY600" i="6"/>
  <c r="AX600" i="6"/>
  <c r="AW600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BX599" i="6"/>
  <c r="BW599" i="6"/>
  <c r="BV599" i="6"/>
  <c r="BU599" i="6"/>
  <c r="BS599" i="6"/>
  <c r="BR599" i="6"/>
  <c r="BQ599" i="6"/>
  <c r="BP599" i="6"/>
  <c r="BN599" i="6"/>
  <c r="BM599" i="6"/>
  <c r="BL599" i="6"/>
  <c r="BK599" i="6"/>
  <c r="BI599" i="6"/>
  <c r="BH599" i="6"/>
  <c r="BG599" i="6"/>
  <c r="BF599" i="6"/>
  <c r="BD599" i="6"/>
  <c r="BC599" i="6"/>
  <c r="BB599" i="6"/>
  <c r="BA599" i="6"/>
  <c r="AY599" i="6"/>
  <c r="AX599" i="6"/>
  <c r="AW599" i="6"/>
  <c r="AV599" i="6"/>
  <c r="AT599" i="6"/>
  <c r="AS599" i="6"/>
  <c r="AR599" i="6"/>
  <c r="AQ599" i="6"/>
  <c r="AO599" i="6"/>
  <c r="AN599" i="6"/>
  <c r="AM599" i="6"/>
  <c r="AL599" i="6"/>
  <c r="AJ599" i="6"/>
  <c r="AI599" i="6"/>
  <c r="AH599" i="6"/>
  <c r="AG599" i="6"/>
  <c r="AE599" i="6"/>
  <c r="AD599" i="6"/>
  <c r="AC599" i="6"/>
  <c r="AB599" i="6"/>
  <c r="Z599" i="6"/>
  <c r="Y599" i="6"/>
  <c r="X599" i="6"/>
  <c r="W599" i="6"/>
  <c r="U599" i="6"/>
  <c r="T599" i="6"/>
  <c r="S599" i="6"/>
  <c r="R599" i="6"/>
  <c r="P599" i="6"/>
  <c r="O599" i="6"/>
  <c r="N599" i="6"/>
  <c r="M599" i="6"/>
  <c r="K599" i="6"/>
  <c r="J599" i="6"/>
  <c r="I599" i="6"/>
  <c r="H599" i="6"/>
  <c r="BZ598" i="6"/>
  <c r="BX598" i="6"/>
  <c r="BW598" i="6"/>
  <c r="BV598" i="6"/>
  <c r="BU598" i="6"/>
  <c r="BT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CA597" i="6"/>
  <c r="BZ597" i="6"/>
  <c r="BX597" i="6"/>
  <c r="BW597" i="6"/>
  <c r="BV597" i="6"/>
  <c r="BU597" i="6"/>
  <c r="BT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CA596" i="6"/>
  <c r="BZ596" i="6"/>
  <c r="BX596" i="6"/>
  <c r="BW596" i="6"/>
  <c r="BV596" i="6"/>
  <c r="BU596" i="6"/>
  <c r="BT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BX595" i="6"/>
  <c r="BW595" i="6"/>
  <c r="BV595" i="6"/>
  <c r="BU595" i="6"/>
  <c r="BS595" i="6"/>
  <c r="BR595" i="6"/>
  <c r="BQ595" i="6"/>
  <c r="BP595" i="6"/>
  <c r="BO595" i="6"/>
  <c r="BN595" i="6"/>
  <c r="BM595" i="6"/>
  <c r="BL595" i="6"/>
  <c r="BK595" i="6"/>
  <c r="BJ595" i="6"/>
  <c r="BI595" i="6"/>
  <c r="BH595" i="6"/>
  <c r="BG595" i="6"/>
  <c r="BF595" i="6"/>
  <c r="BE595" i="6"/>
  <c r="BD595" i="6"/>
  <c r="BC595" i="6"/>
  <c r="BB595" i="6"/>
  <c r="BA595" i="6"/>
  <c r="AZ595" i="6"/>
  <c r="AY595" i="6"/>
  <c r="AX595" i="6"/>
  <c r="AW595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CA594" i="6"/>
  <c r="BZ594" i="6"/>
  <c r="BX594" i="6"/>
  <c r="BW594" i="6"/>
  <c r="BV594" i="6"/>
  <c r="BU594" i="6"/>
  <c r="BT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CA593" i="6"/>
  <c r="BZ593" i="6"/>
  <c r="BX593" i="6"/>
  <c r="BW593" i="6"/>
  <c r="BV593" i="6"/>
  <c r="BU593" i="6"/>
  <c r="BT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Z592" i="6"/>
  <c r="BX592" i="6"/>
  <c r="BW592" i="6"/>
  <c r="BV592" i="6"/>
  <c r="BU592" i="6"/>
  <c r="BT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CA591" i="6"/>
  <c r="BZ591" i="6"/>
  <c r="BX591" i="6"/>
  <c r="BW591" i="6"/>
  <c r="BV591" i="6"/>
  <c r="BU591" i="6"/>
  <c r="BT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BC591" i="6"/>
  <c r="BB591" i="6"/>
  <c r="BA591" i="6"/>
  <c r="AZ591" i="6"/>
  <c r="AY591" i="6"/>
  <c r="AX591" i="6"/>
  <c r="AW591" i="6"/>
  <c r="AV591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CA590" i="6"/>
  <c r="BZ590" i="6"/>
  <c r="BX590" i="6"/>
  <c r="BW590" i="6"/>
  <c r="BV590" i="6"/>
  <c r="BU590" i="6"/>
  <c r="BT590" i="6"/>
  <c r="BS590" i="6"/>
  <c r="BR590" i="6"/>
  <c r="BQ590" i="6"/>
  <c r="BP590" i="6"/>
  <c r="BO590" i="6"/>
  <c r="BN590" i="6"/>
  <c r="BM590" i="6"/>
  <c r="BL590" i="6"/>
  <c r="BK590" i="6"/>
  <c r="BJ590" i="6"/>
  <c r="BI590" i="6"/>
  <c r="BH590" i="6"/>
  <c r="BG590" i="6"/>
  <c r="BF590" i="6"/>
  <c r="BE590" i="6"/>
  <c r="BD590" i="6"/>
  <c r="BC590" i="6"/>
  <c r="BB590" i="6"/>
  <c r="BA590" i="6"/>
  <c r="AZ590" i="6"/>
  <c r="AY590" i="6"/>
  <c r="AX590" i="6"/>
  <c r="AW590" i="6"/>
  <c r="AV590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CA589" i="6"/>
  <c r="BZ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Z588" i="6"/>
  <c r="BX588" i="6"/>
  <c r="BW588" i="6"/>
  <c r="BV588" i="6"/>
  <c r="BU588" i="6"/>
  <c r="BT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Z587" i="6"/>
  <c r="BX587" i="6"/>
  <c r="BW587" i="6"/>
  <c r="BV587" i="6"/>
  <c r="BU587" i="6"/>
  <c r="BT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BX586" i="6"/>
  <c r="BW586" i="6"/>
  <c r="BV586" i="6"/>
  <c r="BU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BC586" i="6"/>
  <c r="BB586" i="6"/>
  <c r="BA586" i="6"/>
  <c r="AZ586" i="6"/>
  <c r="AY586" i="6"/>
  <c r="AX586" i="6"/>
  <c r="AW586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BX585" i="6"/>
  <c r="BW585" i="6"/>
  <c r="BV585" i="6"/>
  <c r="BU585" i="6"/>
  <c r="BS585" i="6"/>
  <c r="BR585" i="6"/>
  <c r="BQ585" i="6"/>
  <c r="BP585" i="6"/>
  <c r="BN585" i="6"/>
  <c r="BM585" i="6"/>
  <c r="BL585" i="6"/>
  <c r="BK585" i="6"/>
  <c r="BI585" i="6"/>
  <c r="BH585" i="6"/>
  <c r="BG585" i="6"/>
  <c r="BF585" i="6"/>
  <c r="BD585" i="6"/>
  <c r="BC585" i="6"/>
  <c r="BB585" i="6"/>
  <c r="BA585" i="6"/>
  <c r="AY585" i="6"/>
  <c r="AX585" i="6"/>
  <c r="AW585" i="6"/>
  <c r="AV585" i="6"/>
  <c r="AT585" i="6"/>
  <c r="AS585" i="6"/>
  <c r="AR585" i="6"/>
  <c r="AQ585" i="6"/>
  <c r="AO585" i="6"/>
  <c r="AN585" i="6"/>
  <c r="AM585" i="6"/>
  <c r="AL585" i="6"/>
  <c r="AJ585" i="6"/>
  <c r="AI585" i="6"/>
  <c r="AH585" i="6"/>
  <c r="AG585" i="6"/>
  <c r="AE585" i="6"/>
  <c r="AD585" i="6"/>
  <c r="AC585" i="6"/>
  <c r="AB585" i="6"/>
  <c r="Z585" i="6"/>
  <c r="Y585" i="6"/>
  <c r="X585" i="6"/>
  <c r="W585" i="6"/>
  <c r="U585" i="6"/>
  <c r="T585" i="6"/>
  <c r="S585" i="6"/>
  <c r="R585" i="6"/>
  <c r="P585" i="6"/>
  <c r="O585" i="6"/>
  <c r="N585" i="6"/>
  <c r="M585" i="6"/>
  <c r="K585" i="6"/>
  <c r="J585" i="6"/>
  <c r="I585" i="6"/>
  <c r="H585" i="6"/>
  <c r="CA584" i="6"/>
  <c r="BZ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0" i="6"/>
  <c r="BZ580" i="6"/>
  <c r="BX580" i="6"/>
  <c r="BW580" i="6"/>
  <c r="BV580" i="6"/>
  <c r="BU580" i="6"/>
  <c r="BT580" i="6"/>
  <c r="BS580" i="6"/>
  <c r="BR580" i="6"/>
  <c r="BQ580" i="6"/>
  <c r="BP580" i="6"/>
  <c r="BO580" i="6"/>
  <c r="BN580" i="6"/>
  <c r="BM580" i="6"/>
  <c r="BL580" i="6"/>
  <c r="BK580" i="6"/>
  <c r="BJ580" i="6"/>
  <c r="BI580" i="6"/>
  <c r="BH580" i="6"/>
  <c r="BG580" i="6"/>
  <c r="BF580" i="6"/>
  <c r="BE580" i="6"/>
  <c r="BD580" i="6"/>
  <c r="BC580" i="6"/>
  <c r="BB580" i="6"/>
  <c r="BA580" i="6"/>
  <c r="AZ580" i="6"/>
  <c r="AY580" i="6"/>
  <c r="AX580" i="6"/>
  <c r="AW580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L580" i="6"/>
  <c r="K580" i="6"/>
  <c r="J580" i="6"/>
  <c r="I580" i="6"/>
  <c r="H580" i="6"/>
  <c r="G580" i="6"/>
  <c r="CA579" i="6"/>
  <c r="BZ579" i="6"/>
  <c r="BX579" i="6"/>
  <c r="BW579" i="6"/>
  <c r="BV579" i="6"/>
  <c r="BU579" i="6"/>
  <c r="BT579" i="6"/>
  <c r="BS579" i="6"/>
  <c r="BR579" i="6"/>
  <c r="BQ579" i="6"/>
  <c r="BP579" i="6"/>
  <c r="BO579" i="6"/>
  <c r="BN579" i="6"/>
  <c r="BM579" i="6"/>
  <c r="BL579" i="6"/>
  <c r="BK579" i="6"/>
  <c r="BJ579" i="6"/>
  <c r="BI579" i="6"/>
  <c r="BH579" i="6"/>
  <c r="BG579" i="6"/>
  <c r="BF579" i="6"/>
  <c r="BE579" i="6"/>
  <c r="BD579" i="6"/>
  <c r="BC579" i="6"/>
  <c r="BB579" i="6"/>
  <c r="BA579" i="6"/>
  <c r="AZ579" i="6"/>
  <c r="AY579" i="6"/>
  <c r="AX579" i="6"/>
  <c r="AW579" i="6"/>
  <c r="AV579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CA578" i="6"/>
  <c r="BZ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CA577" i="6"/>
  <c r="BZ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CA576" i="6"/>
  <c r="BZ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Z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Z565" i="6"/>
  <c r="BX565" i="6"/>
  <c r="BW565" i="6"/>
  <c r="BV565" i="6"/>
  <c r="BU565" i="6"/>
  <c r="BT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Z564" i="6"/>
  <c r="BX564" i="6"/>
  <c r="BW564" i="6"/>
  <c r="BV564" i="6"/>
  <c r="BU564" i="6"/>
  <c r="BT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CA563" i="6"/>
  <c r="BZ563" i="6"/>
  <c r="BX563" i="6"/>
  <c r="BW563" i="6"/>
  <c r="BV563" i="6"/>
  <c r="BU563" i="6"/>
  <c r="BT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CA562" i="6"/>
  <c r="BZ562" i="6"/>
  <c r="BX562" i="6"/>
  <c r="BW562" i="6"/>
  <c r="BV562" i="6"/>
  <c r="BU562" i="6"/>
  <c r="BT562" i="6"/>
  <c r="BS562" i="6"/>
  <c r="BR562" i="6"/>
  <c r="BQ562" i="6"/>
  <c r="BP562" i="6"/>
  <c r="BO562" i="6"/>
  <c r="BN562" i="6"/>
  <c r="BM562" i="6"/>
  <c r="BL562" i="6"/>
  <c r="BK562" i="6"/>
  <c r="BJ562" i="6"/>
  <c r="BI562" i="6"/>
  <c r="BH562" i="6"/>
  <c r="BG562" i="6"/>
  <c r="BF562" i="6"/>
  <c r="BE562" i="6"/>
  <c r="BD562" i="6"/>
  <c r="BC562" i="6"/>
  <c r="BB562" i="6"/>
  <c r="BA562" i="6"/>
  <c r="AZ562" i="6"/>
  <c r="AY562" i="6"/>
  <c r="AX562" i="6"/>
  <c r="AW562" i="6"/>
  <c r="AV562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CA561" i="6"/>
  <c r="BZ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Z560" i="6"/>
  <c r="BX560" i="6"/>
  <c r="BW560" i="6"/>
  <c r="BV560" i="6"/>
  <c r="BU560" i="6"/>
  <c r="BT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BX559" i="6"/>
  <c r="BW559" i="6"/>
  <c r="BV559" i="6"/>
  <c r="BU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BX558" i="6"/>
  <c r="BW558" i="6"/>
  <c r="BV558" i="6"/>
  <c r="BU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BX557" i="6"/>
  <c r="BW557" i="6"/>
  <c r="BV557" i="6"/>
  <c r="BU557" i="6"/>
  <c r="BS557" i="6"/>
  <c r="BR557" i="6"/>
  <c r="BQ557" i="6"/>
  <c r="BP557" i="6"/>
  <c r="BO557" i="6"/>
  <c r="BN557" i="6"/>
  <c r="BM557" i="6"/>
  <c r="BL557" i="6"/>
  <c r="BK557" i="6"/>
  <c r="BJ557" i="6"/>
  <c r="BI557" i="6"/>
  <c r="BH557" i="6"/>
  <c r="BG557" i="6"/>
  <c r="BF557" i="6"/>
  <c r="BE557" i="6"/>
  <c r="BD557" i="6"/>
  <c r="BC557" i="6"/>
  <c r="BB557" i="6"/>
  <c r="BA557" i="6"/>
  <c r="AZ557" i="6"/>
  <c r="AY557" i="6"/>
  <c r="AX557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BX556" i="6"/>
  <c r="BW556" i="6"/>
  <c r="BV556" i="6"/>
  <c r="BU556" i="6"/>
  <c r="BS556" i="6"/>
  <c r="BR556" i="6"/>
  <c r="BQ556" i="6"/>
  <c r="BP556" i="6"/>
  <c r="BN556" i="6"/>
  <c r="BM556" i="6"/>
  <c r="BL556" i="6"/>
  <c r="BK556" i="6"/>
  <c r="BI556" i="6"/>
  <c r="BH556" i="6"/>
  <c r="BG556" i="6"/>
  <c r="BF556" i="6"/>
  <c r="BD556" i="6"/>
  <c r="BC556" i="6"/>
  <c r="BB556" i="6"/>
  <c r="BA556" i="6"/>
  <c r="AY556" i="6"/>
  <c r="AX556" i="6"/>
  <c r="AW556" i="6"/>
  <c r="AV556" i="6"/>
  <c r="AT556" i="6"/>
  <c r="AS556" i="6"/>
  <c r="AR556" i="6"/>
  <c r="AQ556" i="6"/>
  <c r="AO556" i="6"/>
  <c r="AN556" i="6"/>
  <c r="AM556" i="6"/>
  <c r="AL556" i="6"/>
  <c r="AJ556" i="6"/>
  <c r="AI556" i="6"/>
  <c r="AH556" i="6"/>
  <c r="AG556" i="6"/>
  <c r="AE556" i="6"/>
  <c r="AD556" i="6"/>
  <c r="AC556" i="6"/>
  <c r="AB556" i="6"/>
  <c r="Z556" i="6"/>
  <c r="Y556" i="6"/>
  <c r="X556" i="6"/>
  <c r="W556" i="6"/>
  <c r="U556" i="6"/>
  <c r="T556" i="6"/>
  <c r="S556" i="6"/>
  <c r="R556" i="6"/>
  <c r="P556" i="6"/>
  <c r="O556" i="6"/>
  <c r="N556" i="6"/>
  <c r="M556" i="6"/>
  <c r="K556" i="6"/>
  <c r="J556" i="6"/>
  <c r="I556" i="6"/>
  <c r="H556" i="6"/>
  <c r="CA555" i="6"/>
  <c r="BZ555" i="6"/>
  <c r="BX555" i="6"/>
  <c r="BW555" i="6"/>
  <c r="BV555" i="6"/>
  <c r="BU555" i="6"/>
  <c r="BT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BX553" i="6"/>
  <c r="BW553" i="6"/>
  <c r="BV553" i="6"/>
  <c r="BU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BX552" i="6"/>
  <c r="BW552" i="6"/>
  <c r="BV552" i="6"/>
  <c r="BU552" i="6"/>
  <c r="BS552" i="6"/>
  <c r="BR552" i="6"/>
  <c r="BQ552" i="6"/>
  <c r="BP552" i="6"/>
  <c r="BO552" i="6"/>
  <c r="BN552" i="6"/>
  <c r="BM552" i="6"/>
  <c r="BL552" i="6"/>
  <c r="BK552" i="6"/>
  <c r="BJ552" i="6"/>
  <c r="BI552" i="6"/>
  <c r="BH552" i="6"/>
  <c r="BG552" i="6"/>
  <c r="BF552" i="6"/>
  <c r="BE552" i="6"/>
  <c r="BD552" i="6"/>
  <c r="BC552" i="6"/>
  <c r="BB552" i="6"/>
  <c r="BA552" i="6"/>
  <c r="AZ552" i="6"/>
  <c r="AY552" i="6"/>
  <c r="AX552" i="6"/>
  <c r="AW552" i="6"/>
  <c r="AV552" i="6"/>
  <c r="AU552" i="6"/>
  <c r="AT552" i="6"/>
  <c r="AS552" i="6"/>
  <c r="AR552" i="6"/>
  <c r="AQ552" i="6"/>
  <c r="AO552" i="6"/>
  <c r="AN552" i="6"/>
  <c r="AM552" i="6"/>
  <c r="AL552" i="6"/>
  <c r="AJ552" i="6"/>
  <c r="AI552" i="6"/>
  <c r="AH552" i="6"/>
  <c r="AG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BX551" i="6"/>
  <c r="BW551" i="6"/>
  <c r="BV551" i="6"/>
  <c r="BU551" i="6"/>
  <c r="BS551" i="6"/>
  <c r="BR551" i="6"/>
  <c r="BQ551" i="6"/>
  <c r="BP551" i="6"/>
  <c r="BN551" i="6"/>
  <c r="BM551" i="6"/>
  <c r="BL551" i="6"/>
  <c r="BK551" i="6"/>
  <c r="BI551" i="6"/>
  <c r="BH551" i="6"/>
  <c r="BG551" i="6"/>
  <c r="BF551" i="6"/>
  <c r="BD551" i="6"/>
  <c r="BC551" i="6"/>
  <c r="BB551" i="6"/>
  <c r="BA551" i="6"/>
  <c r="AY551" i="6"/>
  <c r="AX551" i="6"/>
  <c r="AW551" i="6"/>
  <c r="AV551" i="6"/>
  <c r="AT551" i="6"/>
  <c r="AS551" i="6"/>
  <c r="AR551" i="6"/>
  <c r="AQ551" i="6"/>
  <c r="AO551" i="6"/>
  <c r="AN551" i="6"/>
  <c r="AM551" i="6"/>
  <c r="AL551" i="6"/>
  <c r="AJ551" i="6"/>
  <c r="AI551" i="6"/>
  <c r="AH551" i="6"/>
  <c r="AG551" i="6"/>
  <c r="AE551" i="6"/>
  <c r="AD551" i="6"/>
  <c r="AC551" i="6"/>
  <c r="AB551" i="6"/>
  <c r="Z551" i="6"/>
  <c r="Y551" i="6"/>
  <c r="X551" i="6"/>
  <c r="W551" i="6"/>
  <c r="U551" i="6"/>
  <c r="T551" i="6"/>
  <c r="S551" i="6"/>
  <c r="R551" i="6"/>
  <c r="P551" i="6"/>
  <c r="O551" i="6"/>
  <c r="N551" i="6"/>
  <c r="M551" i="6"/>
  <c r="K551" i="6"/>
  <c r="J551" i="6"/>
  <c r="I551" i="6"/>
  <c r="H551" i="6"/>
  <c r="CA550" i="6"/>
  <c r="BZ550" i="6"/>
  <c r="BX550" i="6"/>
  <c r="BW550" i="6"/>
  <c r="BV550" i="6"/>
  <c r="BU550" i="6"/>
  <c r="BT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BX548" i="6"/>
  <c r="BW548" i="6"/>
  <c r="BV548" i="6"/>
  <c r="BU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BX547" i="6"/>
  <c r="BW547" i="6"/>
  <c r="BV547" i="6"/>
  <c r="BU547" i="6"/>
  <c r="BS547" i="6"/>
  <c r="BR547" i="6"/>
  <c r="BQ547" i="6"/>
  <c r="BP547" i="6"/>
  <c r="BN547" i="6"/>
  <c r="BM547" i="6"/>
  <c r="BL547" i="6"/>
  <c r="BK547" i="6"/>
  <c r="BI547" i="6"/>
  <c r="BH547" i="6"/>
  <c r="BG547" i="6"/>
  <c r="BF547" i="6"/>
  <c r="BD547" i="6"/>
  <c r="BC547" i="6"/>
  <c r="BB547" i="6"/>
  <c r="BA547" i="6"/>
  <c r="AY547" i="6"/>
  <c r="AX547" i="6"/>
  <c r="AW547" i="6"/>
  <c r="AV547" i="6"/>
  <c r="AT547" i="6"/>
  <c r="AS547" i="6"/>
  <c r="AR547" i="6"/>
  <c r="AQ547" i="6"/>
  <c r="AO547" i="6"/>
  <c r="AN547" i="6"/>
  <c r="AM547" i="6"/>
  <c r="AL547" i="6"/>
  <c r="AJ547" i="6"/>
  <c r="AI547" i="6"/>
  <c r="AH547" i="6"/>
  <c r="AG547" i="6"/>
  <c r="AE547" i="6"/>
  <c r="AD547" i="6"/>
  <c r="AC547" i="6"/>
  <c r="AB547" i="6"/>
  <c r="Z547" i="6"/>
  <c r="Y547" i="6"/>
  <c r="X547" i="6"/>
  <c r="W547" i="6"/>
  <c r="U547" i="6"/>
  <c r="T547" i="6"/>
  <c r="S547" i="6"/>
  <c r="R547" i="6"/>
  <c r="P547" i="6"/>
  <c r="O547" i="6"/>
  <c r="N547" i="6"/>
  <c r="M547" i="6"/>
  <c r="K547" i="6"/>
  <c r="J547" i="6"/>
  <c r="I547" i="6"/>
  <c r="H547" i="6"/>
  <c r="G547" i="6"/>
  <c r="BX546" i="6"/>
  <c r="BW546" i="6"/>
  <c r="BV546" i="6"/>
  <c r="BU546" i="6"/>
  <c r="BS546" i="6"/>
  <c r="BR546" i="6"/>
  <c r="BQ546" i="6"/>
  <c r="BP546" i="6"/>
  <c r="BN546" i="6"/>
  <c r="BM546" i="6"/>
  <c r="BL546" i="6"/>
  <c r="BK546" i="6"/>
  <c r="BI546" i="6"/>
  <c r="BH546" i="6"/>
  <c r="BG546" i="6"/>
  <c r="BF546" i="6"/>
  <c r="BD546" i="6"/>
  <c r="BC546" i="6"/>
  <c r="BB546" i="6"/>
  <c r="BA546" i="6"/>
  <c r="AY546" i="6"/>
  <c r="AX546" i="6"/>
  <c r="AW546" i="6"/>
  <c r="AV546" i="6"/>
  <c r="AT546" i="6"/>
  <c r="AS546" i="6"/>
  <c r="AR546" i="6"/>
  <c r="AQ546" i="6"/>
  <c r="AO546" i="6"/>
  <c r="AN546" i="6"/>
  <c r="AM546" i="6"/>
  <c r="AL546" i="6"/>
  <c r="AJ546" i="6"/>
  <c r="AI546" i="6"/>
  <c r="AH546" i="6"/>
  <c r="AG546" i="6"/>
  <c r="AE546" i="6"/>
  <c r="AD546" i="6"/>
  <c r="AC546" i="6"/>
  <c r="AB546" i="6"/>
  <c r="Z546" i="6"/>
  <c r="Y546" i="6"/>
  <c r="X546" i="6"/>
  <c r="W546" i="6"/>
  <c r="U546" i="6"/>
  <c r="T546" i="6"/>
  <c r="S546" i="6"/>
  <c r="R546" i="6"/>
  <c r="P546" i="6"/>
  <c r="O546" i="6"/>
  <c r="N546" i="6"/>
  <c r="M546" i="6"/>
  <c r="K546" i="6"/>
  <c r="J546" i="6"/>
  <c r="I546" i="6"/>
  <c r="H546" i="6"/>
  <c r="BZ545" i="6"/>
  <c r="BX545" i="6"/>
  <c r="BW545" i="6"/>
  <c r="BV545" i="6"/>
  <c r="BU545" i="6"/>
  <c r="BT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BX543" i="6"/>
  <c r="BW543" i="6"/>
  <c r="BV543" i="6"/>
  <c r="BU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BX542" i="6"/>
  <c r="BW542" i="6"/>
  <c r="BV542" i="6"/>
  <c r="BU542" i="6"/>
  <c r="BS542" i="6"/>
  <c r="BR542" i="6"/>
  <c r="BQ542" i="6"/>
  <c r="BP542" i="6"/>
  <c r="BN542" i="6"/>
  <c r="BM542" i="6"/>
  <c r="BL542" i="6"/>
  <c r="BK542" i="6"/>
  <c r="BJ542" i="6"/>
  <c r="BI542" i="6"/>
  <c r="BH542" i="6"/>
  <c r="BG542" i="6"/>
  <c r="BF542" i="6"/>
  <c r="BD542" i="6"/>
  <c r="BC542" i="6"/>
  <c r="BB542" i="6"/>
  <c r="BA542" i="6"/>
  <c r="AZ542" i="6"/>
  <c r="AY542" i="6"/>
  <c r="AX542" i="6"/>
  <c r="AW542" i="6"/>
  <c r="AV542" i="6"/>
  <c r="AT542" i="6"/>
  <c r="AS542" i="6"/>
  <c r="AR542" i="6"/>
  <c r="AQ542" i="6"/>
  <c r="AO542" i="6"/>
  <c r="AN542" i="6"/>
  <c r="AM542" i="6"/>
  <c r="AL542" i="6"/>
  <c r="AJ542" i="6"/>
  <c r="AI542" i="6"/>
  <c r="AH542" i="6"/>
  <c r="AG542" i="6"/>
  <c r="AE542" i="6"/>
  <c r="AD542" i="6"/>
  <c r="AC542" i="6"/>
  <c r="AB542" i="6"/>
  <c r="Z542" i="6"/>
  <c r="Y542" i="6"/>
  <c r="X542" i="6"/>
  <c r="W542" i="6"/>
  <c r="U542" i="6"/>
  <c r="T542" i="6"/>
  <c r="S542" i="6"/>
  <c r="R542" i="6"/>
  <c r="P542" i="6"/>
  <c r="O542" i="6"/>
  <c r="N542" i="6"/>
  <c r="M542" i="6"/>
  <c r="K542" i="6"/>
  <c r="J542" i="6"/>
  <c r="I542" i="6"/>
  <c r="H542" i="6"/>
  <c r="G542" i="6"/>
  <c r="BX541" i="6"/>
  <c r="BW541" i="6"/>
  <c r="BV541" i="6"/>
  <c r="BU541" i="6"/>
  <c r="BS541" i="6"/>
  <c r="BR541" i="6"/>
  <c r="BQ541" i="6"/>
  <c r="BP541" i="6"/>
  <c r="BN541" i="6"/>
  <c r="BM541" i="6"/>
  <c r="BL541" i="6"/>
  <c r="BK541" i="6"/>
  <c r="BI541" i="6"/>
  <c r="BH541" i="6"/>
  <c r="BG541" i="6"/>
  <c r="BF541" i="6"/>
  <c r="BD541" i="6"/>
  <c r="BC541" i="6"/>
  <c r="BB541" i="6"/>
  <c r="BA541" i="6"/>
  <c r="AY541" i="6"/>
  <c r="AX541" i="6"/>
  <c r="AW541" i="6"/>
  <c r="AV541" i="6"/>
  <c r="AT541" i="6"/>
  <c r="AS541" i="6"/>
  <c r="AR541" i="6"/>
  <c r="AQ541" i="6"/>
  <c r="AO541" i="6"/>
  <c r="AN541" i="6"/>
  <c r="AM541" i="6"/>
  <c r="AL541" i="6"/>
  <c r="AJ541" i="6"/>
  <c r="AI541" i="6"/>
  <c r="AH541" i="6"/>
  <c r="AG541" i="6"/>
  <c r="AE541" i="6"/>
  <c r="AD541" i="6"/>
  <c r="AC541" i="6"/>
  <c r="AB541" i="6"/>
  <c r="Z541" i="6"/>
  <c r="Y541" i="6"/>
  <c r="X541" i="6"/>
  <c r="W541" i="6"/>
  <c r="U541" i="6"/>
  <c r="T541" i="6"/>
  <c r="S541" i="6"/>
  <c r="R541" i="6"/>
  <c r="P541" i="6"/>
  <c r="O541" i="6"/>
  <c r="N541" i="6"/>
  <c r="M541" i="6"/>
  <c r="K541" i="6"/>
  <c r="J541" i="6"/>
  <c r="I541" i="6"/>
  <c r="H541" i="6"/>
  <c r="BZ540" i="6"/>
  <c r="BX540" i="6"/>
  <c r="BW540" i="6"/>
  <c r="BV540" i="6"/>
  <c r="BU540" i="6"/>
  <c r="BT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BX539" i="6"/>
  <c r="BW539" i="6"/>
  <c r="BV539" i="6"/>
  <c r="BU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BX538" i="6"/>
  <c r="BW538" i="6"/>
  <c r="BV538" i="6"/>
  <c r="BU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BX537" i="6"/>
  <c r="BW537" i="6"/>
  <c r="BV537" i="6"/>
  <c r="BU537" i="6"/>
  <c r="BS537" i="6"/>
  <c r="BR537" i="6"/>
  <c r="BQ537" i="6"/>
  <c r="BP537" i="6"/>
  <c r="BO537" i="6"/>
  <c r="BN537" i="6"/>
  <c r="BM537" i="6"/>
  <c r="BL537" i="6"/>
  <c r="BK537" i="6"/>
  <c r="BJ537" i="6"/>
  <c r="BI537" i="6"/>
  <c r="BH537" i="6"/>
  <c r="BG537" i="6"/>
  <c r="BF537" i="6"/>
  <c r="BE537" i="6"/>
  <c r="BD537" i="6"/>
  <c r="BC537" i="6"/>
  <c r="BB537" i="6"/>
  <c r="BA537" i="6"/>
  <c r="AZ537" i="6"/>
  <c r="AY537" i="6"/>
  <c r="AX537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BX536" i="6"/>
  <c r="BW536" i="6"/>
  <c r="BV536" i="6"/>
  <c r="BU536" i="6"/>
  <c r="BS536" i="6"/>
  <c r="BR536" i="6"/>
  <c r="BQ536" i="6"/>
  <c r="BP536" i="6"/>
  <c r="BN536" i="6"/>
  <c r="BM536" i="6"/>
  <c r="BL536" i="6"/>
  <c r="BK536" i="6"/>
  <c r="BI536" i="6"/>
  <c r="BH536" i="6"/>
  <c r="BG536" i="6"/>
  <c r="BF536" i="6"/>
  <c r="BD536" i="6"/>
  <c r="BC536" i="6"/>
  <c r="BB536" i="6"/>
  <c r="BA536" i="6"/>
  <c r="AY536" i="6"/>
  <c r="AX536" i="6"/>
  <c r="AW536" i="6"/>
  <c r="AV536" i="6"/>
  <c r="AT536" i="6"/>
  <c r="AS536" i="6"/>
  <c r="AR536" i="6"/>
  <c r="AQ536" i="6"/>
  <c r="AO536" i="6"/>
  <c r="AN536" i="6"/>
  <c r="AM536" i="6"/>
  <c r="AL536" i="6"/>
  <c r="AJ536" i="6"/>
  <c r="AI536" i="6"/>
  <c r="AH536" i="6"/>
  <c r="AG536" i="6"/>
  <c r="AE536" i="6"/>
  <c r="AD536" i="6"/>
  <c r="AC536" i="6"/>
  <c r="AB536" i="6"/>
  <c r="Z536" i="6"/>
  <c r="Y536" i="6"/>
  <c r="X536" i="6"/>
  <c r="W536" i="6"/>
  <c r="U536" i="6"/>
  <c r="T536" i="6"/>
  <c r="S536" i="6"/>
  <c r="R536" i="6"/>
  <c r="P536" i="6"/>
  <c r="O536" i="6"/>
  <c r="N536" i="6"/>
  <c r="M536" i="6"/>
  <c r="K536" i="6"/>
  <c r="J536" i="6"/>
  <c r="I536" i="6"/>
  <c r="H536" i="6"/>
  <c r="CA535" i="6"/>
  <c r="BZ535" i="6"/>
  <c r="BX535" i="6"/>
  <c r="BW535" i="6"/>
  <c r="BV535" i="6"/>
  <c r="BU535" i="6"/>
  <c r="BT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CA533" i="6"/>
  <c r="BZ533" i="6"/>
  <c r="BX533" i="6"/>
  <c r="BW533" i="6"/>
  <c r="BV533" i="6"/>
  <c r="BU533" i="6"/>
  <c r="BT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BX532" i="6"/>
  <c r="BW532" i="6"/>
  <c r="BV532" i="6"/>
  <c r="BU532" i="6"/>
  <c r="BS532" i="6"/>
  <c r="BR532" i="6"/>
  <c r="BQ532" i="6"/>
  <c r="BP532" i="6"/>
  <c r="BO532" i="6"/>
  <c r="BN532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AY532" i="6"/>
  <c r="AX532" i="6"/>
  <c r="AW532" i="6"/>
  <c r="AV532" i="6"/>
  <c r="AU532" i="6"/>
  <c r="AT532" i="6"/>
  <c r="AS532" i="6"/>
  <c r="AR532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BX531" i="6"/>
  <c r="BW531" i="6"/>
  <c r="BV531" i="6"/>
  <c r="BU531" i="6"/>
  <c r="BS531" i="6"/>
  <c r="BR531" i="6"/>
  <c r="BQ531" i="6"/>
  <c r="BP531" i="6"/>
  <c r="BO531" i="6"/>
  <c r="BN531" i="6"/>
  <c r="BM531" i="6"/>
  <c r="BL531" i="6"/>
  <c r="BK531" i="6"/>
  <c r="BI531" i="6"/>
  <c r="BH531" i="6"/>
  <c r="BG531" i="6"/>
  <c r="BF531" i="6"/>
  <c r="BD531" i="6"/>
  <c r="BC531" i="6"/>
  <c r="BB531" i="6"/>
  <c r="BA531" i="6"/>
  <c r="AY531" i="6"/>
  <c r="AX531" i="6"/>
  <c r="AW531" i="6"/>
  <c r="AV531" i="6"/>
  <c r="AT531" i="6"/>
  <c r="AS531" i="6"/>
  <c r="AR531" i="6"/>
  <c r="AQ531" i="6"/>
  <c r="AO531" i="6"/>
  <c r="AN531" i="6"/>
  <c r="AM531" i="6"/>
  <c r="AL531" i="6"/>
  <c r="AJ531" i="6"/>
  <c r="AI531" i="6"/>
  <c r="AH531" i="6"/>
  <c r="AG531" i="6"/>
  <c r="AE531" i="6"/>
  <c r="AD531" i="6"/>
  <c r="AC531" i="6"/>
  <c r="AB531" i="6"/>
  <c r="Z531" i="6"/>
  <c r="Y531" i="6"/>
  <c r="X531" i="6"/>
  <c r="W531" i="6"/>
  <c r="U531" i="6"/>
  <c r="T531" i="6"/>
  <c r="S531" i="6"/>
  <c r="R531" i="6"/>
  <c r="P531" i="6"/>
  <c r="O531" i="6"/>
  <c r="N531" i="6"/>
  <c r="M531" i="6"/>
  <c r="K531" i="6"/>
  <c r="J531" i="6"/>
  <c r="I531" i="6"/>
  <c r="H531" i="6"/>
  <c r="G531" i="6"/>
  <c r="BX530" i="6"/>
  <c r="BW530" i="6"/>
  <c r="BV530" i="6"/>
  <c r="BU530" i="6"/>
  <c r="BS530" i="6"/>
  <c r="BR530" i="6"/>
  <c r="BQ530" i="6"/>
  <c r="BP530" i="6"/>
  <c r="BN530" i="6"/>
  <c r="BM530" i="6"/>
  <c r="BL530" i="6"/>
  <c r="BK530" i="6"/>
  <c r="BI530" i="6"/>
  <c r="BH530" i="6"/>
  <c r="BG530" i="6"/>
  <c r="BF530" i="6"/>
  <c r="BD530" i="6"/>
  <c r="BC530" i="6"/>
  <c r="BB530" i="6"/>
  <c r="BA530" i="6"/>
  <c r="AY530" i="6"/>
  <c r="AX530" i="6"/>
  <c r="AW530" i="6"/>
  <c r="AV530" i="6"/>
  <c r="AT530" i="6"/>
  <c r="AS530" i="6"/>
  <c r="AR530" i="6"/>
  <c r="AQ530" i="6"/>
  <c r="AO530" i="6"/>
  <c r="AN530" i="6"/>
  <c r="AM530" i="6"/>
  <c r="AL530" i="6"/>
  <c r="AJ530" i="6"/>
  <c r="AI530" i="6"/>
  <c r="AH530" i="6"/>
  <c r="AG530" i="6"/>
  <c r="AE530" i="6"/>
  <c r="AD530" i="6"/>
  <c r="AC530" i="6"/>
  <c r="AB530" i="6"/>
  <c r="Z530" i="6"/>
  <c r="Y530" i="6"/>
  <c r="X530" i="6"/>
  <c r="W530" i="6"/>
  <c r="U530" i="6"/>
  <c r="T530" i="6"/>
  <c r="S530" i="6"/>
  <c r="R530" i="6"/>
  <c r="P530" i="6"/>
  <c r="O530" i="6"/>
  <c r="N530" i="6"/>
  <c r="M530" i="6"/>
  <c r="K530" i="6"/>
  <c r="J530" i="6"/>
  <c r="I530" i="6"/>
  <c r="H530" i="6"/>
  <c r="CA529" i="6"/>
  <c r="BZ529" i="6"/>
  <c r="BX529" i="6"/>
  <c r="BW529" i="6"/>
  <c r="BV529" i="6"/>
  <c r="BU529" i="6"/>
  <c r="BT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Z528" i="6"/>
  <c r="BX528" i="6"/>
  <c r="BW528" i="6"/>
  <c r="BV528" i="6"/>
  <c r="BU528" i="6"/>
  <c r="BT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CA527" i="6"/>
  <c r="BZ527" i="6"/>
  <c r="BX527" i="6"/>
  <c r="BW527" i="6"/>
  <c r="BV527" i="6"/>
  <c r="BU527" i="6"/>
  <c r="BT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CA526" i="6"/>
  <c r="BZ526" i="6"/>
  <c r="BX526" i="6"/>
  <c r="BW526" i="6"/>
  <c r="BV526" i="6"/>
  <c r="BU526" i="6"/>
  <c r="BT526" i="6"/>
  <c r="BS526" i="6"/>
  <c r="BR526" i="6"/>
  <c r="BQ526" i="6"/>
  <c r="BP526" i="6"/>
  <c r="BO526" i="6"/>
  <c r="BN526" i="6"/>
  <c r="BM526" i="6"/>
  <c r="BL526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AY526" i="6"/>
  <c r="AX526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CA525" i="6"/>
  <c r="BZ525" i="6"/>
  <c r="BX525" i="6"/>
  <c r="BW525" i="6"/>
  <c r="BV525" i="6"/>
  <c r="BU525" i="6"/>
  <c r="BT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CA524" i="6"/>
  <c r="BZ524" i="6"/>
  <c r="BX524" i="6"/>
  <c r="BW524" i="6"/>
  <c r="BV524" i="6"/>
  <c r="BU524" i="6"/>
  <c r="BT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Z523" i="6"/>
  <c r="BX523" i="6"/>
  <c r="BW523" i="6"/>
  <c r="BV523" i="6"/>
  <c r="BU523" i="6"/>
  <c r="BT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Z522" i="6"/>
  <c r="BX522" i="6"/>
  <c r="BW522" i="6"/>
  <c r="BV522" i="6"/>
  <c r="BU522" i="6"/>
  <c r="BT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CA521" i="6"/>
  <c r="BZ521" i="6"/>
  <c r="BX521" i="6"/>
  <c r="BW521" i="6"/>
  <c r="BV521" i="6"/>
  <c r="BU521" i="6"/>
  <c r="BT521" i="6"/>
  <c r="BS521" i="6"/>
  <c r="BR521" i="6"/>
  <c r="BQ521" i="6"/>
  <c r="BP521" i="6"/>
  <c r="BO521" i="6"/>
  <c r="BN521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AY521" i="6"/>
  <c r="AX521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CA520" i="6"/>
  <c r="BZ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Z519" i="6"/>
  <c r="BX519" i="6"/>
  <c r="BW519" i="6"/>
  <c r="BV519" i="6"/>
  <c r="BU519" i="6"/>
  <c r="BT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Z518" i="6"/>
  <c r="BX518" i="6"/>
  <c r="BW518" i="6"/>
  <c r="BV518" i="6"/>
  <c r="BU518" i="6"/>
  <c r="BT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Z517" i="6"/>
  <c r="BX517" i="6"/>
  <c r="BW517" i="6"/>
  <c r="BV517" i="6"/>
  <c r="BU517" i="6"/>
  <c r="BT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BX516" i="6"/>
  <c r="BW516" i="6"/>
  <c r="BV516" i="6"/>
  <c r="BU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BX515" i="6"/>
  <c r="BW515" i="6"/>
  <c r="BV515" i="6"/>
  <c r="BU515" i="6"/>
  <c r="BS515" i="6"/>
  <c r="BR515" i="6"/>
  <c r="BQ515" i="6"/>
  <c r="BP515" i="6"/>
  <c r="BO515" i="6"/>
  <c r="BN515" i="6"/>
  <c r="BM515" i="6"/>
  <c r="BL515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AY515" i="6"/>
  <c r="AX515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BX514" i="6"/>
  <c r="BW514" i="6"/>
  <c r="BV514" i="6"/>
  <c r="BU514" i="6"/>
  <c r="BS514" i="6"/>
  <c r="BR514" i="6"/>
  <c r="BQ514" i="6"/>
  <c r="BP514" i="6"/>
  <c r="BN514" i="6"/>
  <c r="BM514" i="6"/>
  <c r="BL514" i="6"/>
  <c r="BK514" i="6"/>
  <c r="BI514" i="6"/>
  <c r="BH514" i="6"/>
  <c r="BG514" i="6"/>
  <c r="BF514" i="6"/>
  <c r="BD514" i="6"/>
  <c r="BC514" i="6"/>
  <c r="BB514" i="6"/>
  <c r="BA514" i="6"/>
  <c r="AY514" i="6"/>
  <c r="AX514" i="6"/>
  <c r="AW514" i="6"/>
  <c r="AV514" i="6"/>
  <c r="AT514" i="6"/>
  <c r="AS514" i="6"/>
  <c r="AR514" i="6"/>
  <c r="AQ514" i="6"/>
  <c r="AO514" i="6"/>
  <c r="AN514" i="6"/>
  <c r="AM514" i="6"/>
  <c r="AL514" i="6"/>
  <c r="AJ514" i="6"/>
  <c r="AI514" i="6"/>
  <c r="AH514" i="6"/>
  <c r="AG514" i="6"/>
  <c r="AE514" i="6"/>
  <c r="AD514" i="6"/>
  <c r="AC514" i="6"/>
  <c r="AB514" i="6"/>
  <c r="Z514" i="6"/>
  <c r="Y514" i="6"/>
  <c r="X514" i="6"/>
  <c r="W514" i="6"/>
  <c r="U514" i="6"/>
  <c r="T514" i="6"/>
  <c r="S514" i="6"/>
  <c r="R514" i="6"/>
  <c r="P514" i="6"/>
  <c r="O514" i="6"/>
  <c r="N514" i="6"/>
  <c r="M514" i="6"/>
  <c r="K514" i="6"/>
  <c r="J514" i="6"/>
  <c r="I514" i="6"/>
  <c r="H514" i="6"/>
  <c r="G514" i="6"/>
  <c r="BX513" i="6"/>
  <c r="BW513" i="6"/>
  <c r="BV513" i="6"/>
  <c r="BU513" i="6"/>
  <c r="BS513" i="6"/>
  <c r="BR513" i="6"/>
  <c r="BQ513" i="6"/>
  <c r="BP513" i="6"/>
  <c r="BN513" i="6"/>
  <c r="BM513" i="6"/>
  <c r="BL513" i="6"/>
  <c r="BK513" i="6"/>
  <c r="BI513" i="6"/>
  <c r="BH513" i="6"/>
  <c r="BG513" i="6"/>
  <c r="BF513" i="6"/>
  <c r="BD513" i="6"/>
  <c r="BC513" i="6"/>
  <c r="BB513" i="6"/>
  <c r="BA513" i="6"/>
  <c r="AY513" i="6"/>
  <c r="AX513" i="6"/>
  <c r="AW513" i="6"/>
  <c r="AV513" i="6"/>
  <c r="AT513" i="6"/>
  <c r="AS513" i="6"/>
  <c r="AR513" i="6"/>
  <c r="AQ513" i="6"/>
  <c r="AO513" i="6"/>
  <c r="AN513" i="6"/>
  <c r="AM513" i="6"/>
  <c r="AL513" i="6"/>
  <c r="AJ513" i="6"/>
  <c r="AI513" i="6"/>
  <c r="AH513" i="6"/>
  <c r="AG513" i="6"/>
  <c r="AE513" i="6"/>
  <c r="AD513" i="6"/>
  <c r="AC513" i="6"/>
  <c r="AB513" i="6"/>
  <c r="Z513" i="6"/>
  <c r="Y513" i="6"/>
  <c r="X513" i="6"/>
  <c r="W513" i="6"/>
  <c r="U513" i="6"/>
  <c r="T513" i="6"/>
  <c r="S513" i="6"/>
  <c r="R513" i="6"/>
  <c r="P513" i="6"/>
  <c r="O513" i="6"/>
  <c r="N513" i="6"/>
  <c r="M513" i="6"/>
  <c r="K513" i="6"/>
  <c r="J513" i="6"/>
  <c r="I513" i="6"/>
  <c r="H513" i="6"/>
  <c r="BX512" i="6"/>
  <c r="BW512" i="6"/>
  <c r="BV512" i="6"/>
  <c r="BU512" i="6"/>
  <c r="BT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BX510" i="6"/>
  <c r="BW510" i="6"/>
  <c r="BV510" i="6"/>
  <c r="BU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BX509" i="6"/>
  <c r="BW509" i="6"/>
  <c r="BV509" i="6"/>
  <c r="BU509" i="6"/>
  <c r="BS509" i="6"/>
  <c r="BR509" i="6"/>
  <c r="BQ509" i="6"/>
  <c r="BP509" i="6"/>
  <c r="BO509" i="6"/>
  <c r="BN509" i="6"/>
  <c r="BM509" i="6"/>
  <c r="BL509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AY509" i="6"/>
  <c r="AX509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BX508" i="6"/>
  <c r="BW508" i="6"/>
  <c r="BV508" i="6"/>
  <c r="BU508" i="6"/>
  <c r="BS508" i="6"/>
  <c r="BR508" i="6"/>
  <c r="BQ508" i="6"/>
  <c r="BP508" i="6"/>
  <c r="BN508" i="6"/>
  <c r="BM508" i="6"/>
  <c r="BL508" i="6"/>
  <c r="BK508" i="6"/>
  <c r="BI508" i="6"/>
  <c r="BH508" i="6"/>
  <c r="BG508" i="6"/>
  <c r="BF508" i="6"/>
  <c r="BD508" i="6"/>
  <c r="BC508" i="6"/>
  <c r="BB508" i="6"/>
  <c r="BA508" i="6"/>
  <c r="AY508" i="6"/>
  <c r="AX508" i="6"/>
  <c r="AW508" i="6"/>
  <c r="AV508" i="6"/>
  <c r="AT508" i="6"/>
  <c r="AS508" i="6"/>
  <c r="AR508" i="6"/>
  <c r="AQ508" i="6"/>
  <c r="AO508" i="6"/>
  <c r="AN508" i="6"/>
  <c r="AM508" i="6"/>
  <c r="AL508" i="6"/>
  <c r="AJ508" i="6"/>
  <c r="AI508" i="6"/>
  <c r="AH508" i="6"/>
  <c r="AG508" i="6"/>
  <c r="AE508" i="6"/>
  <c r="AD508" i="6"/>
  <c r="AC508" i="6"/>
  <c r="AB508" i="6"/>
  <c r="Z508" i="6"/>
  <c r="Y508" i="6"/>
  <c r="X508" i="6"/>
  <c r="W508" i="6"/>
  <c r="U508" i="6"/>
  <c r="T508" i="6"/>
  <c r="S508" i="6"/>
  <c r="R508" i="6"/>
  <c r="P508" i="6"/>
  <c r="O508" i="6"/>
  <c r="N508" i="6"/>
  <c r="M508" i="6"/>
  <c r="K508" i="6"/>
  <c r="J508" i="6"/>
  <c r="I508" i="6"/>
  <c r="H508" i="6"/>
  <c r="BX507" i="6"/>
  <c r="BW507" i="6"/>
  <c r="BV507" i="6"/>
  <c r="BU507" i="6"/>
  <c r="BT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BX505" i="6"/>
  <c r="BW505" i="6"/>
  <c r="BV505" i="6"/>
  <c r="BU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BX504" i="6"/>
  <c r="BW504" i="6"/>
  <c r="BV504" i="6"/>
  <c r="BU504" i="6"/>
  <c r="BS504" i="6"/>
  <c r="BR504" i="6"/>
  <c r="BQ504" i="6"/>
  <c r="BP504" i="6"/>
  <c r="BN504" i="6"/>
  <c r="BM504" i="6"/>
  <c r="BL504" i="6"/>
  <c r="BK504" i="6"/>
  <c r="BI504" i="6"/>
  <c r="BH504" i="6"/>
  <c r="BG504" i="6"/>
  <c r="BF504" i="6"/>
  <c r="BD504" i="6"/>
  <c r="BC504" i="6"/>
  <c r="BB504" i="6"/>
  <c r="BA504" i="6"/>
  <c r="AZ504" i="6"/>
  <c r="AY504" i="6"/>
  <c r="AX504" i="6"/>
  <c r="AW504" i="6"/>
  <c r="AV504" i="6"/>
  <c r="AT504" i="6"/>
  <c r="AS504" i="6"/>
  <c r="AR504" i="6"/>
  <c r="AQ504" i="6"/>
  <c r="AO504" i="6"/>
  <c r="AN504" i="6"/>
  <c r="AM504" i="6"/>
  <c r="AL504" i="6"/>
  <c r="AJ504" i="6"/>
  <c r="AI504" i="6"/>
  <c r="AH504" i="6"/>
  <c r="AG504" i="6"/>
  <c r="AE504" i="6"/>
  <c r="AD504" i="6"/>
  <c r="AC504" i="6"/>
  <c r="AB504" i="6"/>
  <c r="Z504" i="6"/>
  <c r="Y504" i="6"/>
  <c r="X504" i="6"/>
  <c r="W504" i="6"/>
  <c r="U504" i="6"/>
  <c r="T504" i="6"/>
  <c r="S504" i="6"/>
  <c r="R504" i="6"/>
  <c r="P504" i="6"/>
  <c r="O504" i="6"/>
  <c r="N504" i="6"/>
  <c r="M504" i="6"/>
  <c r="K504" i="6"/>
  <c r="J504" i="6"/>
  <c r="I504" i="6"/>
  <c r="H504" i="6"/>
  <c r="G504" i="6"/>
  <c r="BX503" i="6"/>
  <c r="BW503" i="6"/>
  <c r="BV503" i="6"/>
  <c r="BU503" i="6"/>
  <c r="BS503" i="6"/>
  <c r="BR503" i="6"/>
  <c r="BQ503" i="6"/>
  <c r="BP503" i="6"/>
  <c r="BN503" i="6"/>
  <c r="BM503" i="6"/>
  <c r="BL503" i="6"/>
  <c r="BK503" i="6"/>
  <c r="BI503" i="6"/>
  <c r="BH503" i="6"/>
  <c r="BG503" i="6"/>
  <c r="BF503" i="6"/>
  <c r="BD503" i="6"/>
  <c r="BC503" i="6"/>
  <c r="BB503" i="6"/>
  <c r="BA503" i="6"/>
  <c r="AY503" i="6"/>
  <c r="AX503" i="6"/>
  <c r="AW503" i="6"/>
  <c r="AV503" i="6"/>
  <c r="AT503" i="6"/>
  <c r="AS503" i="6"/>
  <c r="AR503" i="6"/>
  <c r="AQ503" i="6"/>
  <c r="AO503" i="6"/>
  <c r="AN503" i="6"/>
  <c r="AM503" i="6"/>
  <c r="AL503" i="6"/>
  <c r="AJ503" i="6"/>
  <c r="AI503" i="6"/>
  <c r="AH503" i="6"/>
  <c r="AG503" i="6"/>
  <c r="AE503" i="6"/>
  <c r="AD503" i="6"/>
  <c r="AC503" i="6"/>
  <c r="AB503" i="6"/>
  <c r="Z503" i="6"/>
  <c r="Y503" i="6"/>
  <c r="X503" i="6"/>
  <c r="W503" i="6"/>
  <c r="U503" i="6"/>
  <c r="T503" i="6"/>
  <c r="S503" i="6"/>
  <c r="R503" i="6"/>
  <c r="P503" i="6"/>
  <c r="O503" i="6"/>
  <c r="N503" i="6"/>
  <c r="M503" i="6"/>
  <c r="K503" i="6"/>
  <c r="J503" i="6"/>
  <c r="I503" i="6"/>
  <c r="H503" i="6"/>
  <c r="BX502" i="6"/>
  <c r="BW502" i="6"/>
  <c r="BV502" i="6"/>
  <c r="BU502" i="6"/>
  <c r="BT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BX500" i="6"/>
  <c r="BW500" i="6"/>
  <c r="BV500" i="6"/>
  <c r="BU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BX499" i="6"/>
  <c r="BW499" i="6"/>
  <c r="BV499" i="6"/>
  <c r="BU499" i="6"/>
  <c r="BS499" i="6"/>
  <c r="BR499" i="6"/>
  <c r="BQ499" i="6"/>
  <c r="BP499" i="6"/>
  <c r="BN499" i="6"/>
  <c r="BM499" i="6"/>
  <c r="BL499" i="6"/>
  <c r="BK499" i="6"/>
  <c r="BI499" i="6"/>
  <c r="BH499" i="6"/>
  <c r="BG499" i="6"/>
  <c r="BF499" i="6"/>
  <c r="BE499" i="6"/>
  <c r="BD499" i="6"/>
  <c r="BC499" i="6"/>
  <c r="BB499" i="6"/>
  <c r="BA499" i="6"/>
  <c r="AY499" i="6"/>
  <c r="AX499" i="6"/>
  <c r="AW499" i="6"/>
  <c r="AV499" i="6"/>
  <c r="AT499" i="6"/>
  <c r="AS499" i="6"/>
  <c r="AR499" i="6"/>
  <c r="AQ499" i="6"/>
  <c r="AO499" i="6"/>
  <c r="AN499" i="6"/>
  <c r="AM499" i="6"/>
  <c r="AL499" i="6"/>
  <c r="AJ499" i="6"/>
  <c r="AI499" i="6"/>
  <c r="AH499" i="6"/>
  <c r="AG499" i="6"/>
  <c r="AE499" i="6"/>
  <c r="AD499" i="6"/>
  <c r="AC499" i="6"/>
  <c r="AB499" i="6"/>
  <c r="Z499" i="6"/>
  <c r="Y499" i="6"/>
  <c r="X499" i="6"/>
  <c r="W499" i="6"/>
  <c r="U499" i="6"/>
  <c r="T499" i="6"/>
  <c r="S499" i="6"/>
  <c r="R499" i="6"/>
  <c r="P499" i="6"/>
  <c r="O499" i="6"/>
  <c r="N499" i="6"/>
  <c r="M499" i="6"/>
  <c r="K499" i="6"/>
  <c r="J499" i="6"/>
  <c r="I499" i="6"/>
  <c r="H499" i="6"/>
  <c r="G499" i="6"/>
  <c r="BX498" i="6"/>
  <c r="BW498" i="6"/>
  <c r="BV498" i="6"/>
  <c r="BU498" i="6"/>
  <c r="BS498" i="6"/>
  <c r="BR498" i="6"/>
  <c r="BQ498" i="6"/>
  <c r="BP498" i="6"/>
  <c r="BN498" i="6"/>
  <c r="BM498" i="6"/>
  <c r="BL498" i="6"/>
  <c r="BK498" i="6"/>
  <c r="BI498" i="6"/>
  <c r="BH498" i="6"/>
  <c r="BG498" i="6"/>
  <c r="BF498" i="6"/>
  <c r="BD498" i="6"/>
  <c r="BC498" i="6"/>
  <c r="BB498" i="6"/>
  <c r="BA498" i="6"/>
  <c r="AY498" i="6"/>
  <c r="AX498" i="6"/>
  <c r="AW498" i="6"/>
  <c r="AV498" i="6"/>
  <c r="AT498" i="6"/>
  <c r="AS498" i="6"/>
  <c r="AR498" i="6"/>
  <c r="AQ498" i="6"/>
  <c r="AO498" i="6"/>
  <c r="AN498" i="6"/>
  <c r="AM498" i="6"/>
  <c r="AL498" i="6"/>
  <c r="AJ498" i="6"/>
  <c r="AI498" i="6"/>
  <c r="AH498" i="6"/>
  <c r="AG498" i="6"/>
  <c r="AE498" i="6"/>
  <c r="AD498" i="6"/>
  <c r="AC498" i="6"/>
  <c r="AB498" i="6"/>
  <c r="Z498" i="6"/>
  <c r="Y498" i="6"/>
  <c r="X498" i="6"/>
  <c r="W498" i="6"/>
  <c r="U498" i="6"/>
  <c r="T498" i="6"/>
  <c r="S498" i="6"/>
  <c r="R498" i="6"/>
  <c r="P498" i="6"/>
  <c r="O498" i="6"/>
  <c r="N498" i="6"/>
  <c r="M498" i="6"/>
  <c r="K498" i="6"/>
  <c r="J498" i="6"/>
  <c r="I498" i="6"/>
  <c r="H498" i="6"/>
  <c r="BX497" i="6"/>
  <c r="BW497" i="6"/>
  <c r="BV497" i="6"/>
  <c r="BU497" i="6"/>
  <c r="BT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BX494" i="6"/>
  <c r="BW494" i="6"/>
  <c r="BV494" i="6"/>
  <c r="BU494" i="6"/>
  <c r="BS494" i="6"/>
  <c r="BR494" i="6"/>
  <c r="BQ494" i="6"/>
  <c r="BP494" i="6"/>
  <c r="BO494" i="6"/>
  <c r="BN494" i="6"/>
  <c r="BM494" i="6"/>
  <c r="BL494" i="6"/>
  <c r="BK494" i="6"/>
  <c r="BI494" i="6"/>
  <c r="BH494" i="6"/>
  <c r="BG494" i="6"/>
  <c r="BF494" i="6"/>
  <c r="BE494" i="6"/>
  <c r="BD494" i="6"/>
  <c r="BC494" i="6"/>
  <c r="BB494" i="6"/>
  <c r="BA494" i="6"/>
  <c r="AZ494" i="6"/>
  <c r="AY494" i="6"/>
  <c r="AX494" i="6"/>
  <c r="AW494" i="6"/>
  <c r="AV494" i="6"/>
  <c r="AT494" i="6"/>
  <c r="AS494" i="6"/>
  <c r="AR494" i="6"/>
  <c r="AQ494" i="6"/>
  <c r="AO494" i="6"/>
  <c r="AN494" i="6"/>
  <c r="AM494" i="6"/>
  <c r="AL494" i="6"/>
  <c r="AJ494" i="6"/>
  <c r="AI494" i="6"/>
  <c r="AH494" i="6"/>
  <c r="AG494" i="6"/>
  <c r="AE494" i="6"/>
  <c r="AD494" i="6"/>
  <c r="AC494" i="6"/>
  <c r="AB494" i="6"/>
  <c r="Z494" i="6"/>
  <c r="Y494" i="6"/>
  <c r="X494" i="6"/>
  <c r="W494" i="6"/>
  <c r="U494" i="6"/>
  <c r="T494" i="6"/>
  <c r="S494" i="6"/>
  <c r="R494" i="6"/>
  <c r="P494" i="6"/>
  <c r="O494" i="6"/>
  <c r="N494" i="6"/>
  <c r="M494" i="6"/>
  <c r="K494" i="6"/>
  <c r="J494" i="6"/>
  <c r="I494" i="6"/>
  <c r="H494" i="6"/>
  <c r="G494" i="6"/>
  <c r="BX493" i="6"/>
  <c r="BW493" i="6"/>
  <c r="BV493" i="6"/>
  <c r="BU493" i="6"/>
  <c r="BS493" i="6"/>
  <c r="BR493" i="6"/>
  <c r="BQ493" i="6"/>
  <c r="BP493" i="6"/>
  <c r="BN493" i="6"/>
  <c r="BM493" i="6"/>
  <c r="BL493" i="6"/>
  <c r="BK493" i="6"/>
  <c r="BI493" i="6"/>
  <c r="BH493" i="6"/>
  <c r="BG493" i="6"/>
  <c r="BF493" i="6"/>
  <c r="BD493" i="6"/>
  <c r="BC493" i="6"/>
  <c r="BB493" i="6"/>
  <c r="BA493" i="6"/>
  <c r="AY493" i="6"/>
  <c r="AX493" i="6"/>
  <c r="AW493" i="6"/>
  <c r="AV493" i="6"/>
  <c r="AT493" i="6"/>
  <c r="AS493" i="6"/>
  <c r="AR493" i="6"/>
  <c r="AQ493" i="6"/>
  <c r="AO493" i="6"/>
  <c r="AN493" i="6"/>
  <c r="AM493" i="6"/>
  <c r="AL493" i="6"/>
  <c r="AJ493" i="6"/>
  <c r="AI493" i="6"/>
  <c r="AH493" i="6"/>
  <c r="AG493" i="6"/>
  <c r="AE493" i="6"/>
  <c r="AD493" i="6"/>
  <c r="AC493" i="6"/>
  <c r="AB493" i="6"/>
  <c r="Z493" i="6"/>
  <c r="Y493" i="6"/>
  <c r="X493" i="6"/>
  <c r="W493" i="6"/>
  <c r="U493" i="6"/>
  <c r="T493" i="6"/>
  <c r="S493" i="6"/>
  <c r="R493" i="6"/>
  <c r="P493" i="6"/>
  <c r="O493" i="6"/>
  <c r="N493" i="6"/>
  <c r="M493" i="6"/>
  <c r="K493" i="6"/>
  <c r="J493" i="6"/>
  <c r="I493" i="6"/>
  <c r="H493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BX489" i="6"/>
  <c r="BW489" i="6"/>
  <c r="BV489" i="6"/>
  <c r="BU489" i="6"/>
  <c r="BS489" i="6"/>
  <c r="BR489" i="6"/>
  <c r="BQ489" i="6"/>
  <c r="BP489" i="6"/>
  <c r="BN489" i="6"/>
  <c r="BM489" i="6"/>
  <c r="BL489" i="6"/>
  <c r="BK489" i="6"/>
  <c r="BI489" i="6"/>
  <c r="BH489" i="6"/>
  <c r="BG489" i="6"/>
  <c r="BF489" i="6"/>
  <c r="BD489" i="6"/>
  <c r="BC489" i="6"/>
  <c r="BB489" i="6"/>
  <c r="BA489" i="6"/>
  <c r="AY489" i="6"/>
  <c r="AX489" i="6"/>
  <c r="AW489" i="6"/>
  <c r="AV489" i="6"/>
  <c r="AT489" i="6"/>
  <c r="AS489" i="6"/>
  <c r="AR489" i="6"/>
  <c r="AQ489" i="6"/>
  <c r="AO489" i="6"/>
  <c r="AN489" i="6"/>
  <c r="AM489" i="6"/>
  <c r="AL489" i="6"/>
  <c r="AJ489" i="6"/>
  <c r="AI489" i="6"/>
  <c r="AH489" i="6"/>
  <c r="AG489" i="6"/>
  <c r="AE489" i="6"/>
  <c r="AD489" i="6"/>
  <c r="AC489" i="6"/>
  <c r="AB489" i="6"/>
  <c r="Z489" i="6"/>
  <c r="Y489" i="6"/>
  <c r="X489" i="6"/>
  <c r="W489" i="6"/>
  <c r="V489" i="6"/>
  <c r="U489" i="6"/>
  <c r="T489" i="6"/>
  <c r="S489" i="6"/>
  <c r="R489" i="6"/>
  <c r="P489" i="6"/>
  <c r="O489" i="6"/>
  <c r="N489" i="6"/>
  <c r="M489" i="6"/>
  <c r="K489" i="6"/>
  <c r="J489" i="6"/>
  <c r="I489" i="6"/>
  <c r="H489" i="6"/>
  <c r="G489" i="6"/>
  <c r="BX488" i="6"/>
  <c r="BW488" i="6"/>
  <c r="BV488" i="6"/>
  <c r="BU488" i="6"/>
  <c r="BS488" i="6"/>
  <c r="BR488" i="6"/>
  <c r="BQ488" i="6"/>
  <c r="BP488" i="6"/>
  <c r="BN488" i="6"/>
  <c r="BM488" i="6"/>
  <c r="BL488" i="6"/>
  <c r="BK488" i="6"/>
  <c r="BI488" i="6"/>
  <c r="BH488" i="6"/>
  <c r="BG488" i="6"/>
  <c r="BF488" i="6"/>
  <c r="BD488" i="6"/>
  <c r="BC488" i="6"/>
  <c r="BB488" i="6"/>
  <c r="BA488" i="6"/>
  <c r="AY488" i="6"/>
  <c r="AX488" i="6"/>
  <c r="AW488" i="6"/>
  <c r="AV488" i="6"/>
  <c r="AT488" i="6"/>
  <c r="AS488" i="6"/>
  <c r="AR488" i="6"/>
  <c r="AQ488" i="6"/>
  <c r="AO488" i="6"/>
  <c r="AN488" i="6"/>
  <c r="AM488" i="6"/>
  <c r="AL488" i="6"/>
  <c r="AJ488" i="6"/>
  <c r="AI488" i="6"/>
  <c r="AH488" i="6"/>
  <c r="AG488" i="6"/>
  <c r="AE488" i="6"/>
  <c r="AD488" i="6"/>
  <c r="AC488" i="6"/>
  <c r="AB488" i="6"/>
  <c r="Z488" i="6"/>
  <c r="Y488" i="6"/>
  <c r="X488" i="6"/>
  <c r="W488" i="6"/>
  <c r="U488" i="6"/>
  <c r="T488" i="6"/>
  <c r="S488" i="6"/>
  <c r="R488" i="6"/>
  <c r="P488" i="6"/>
  <c r="O488" i="6"/>
  <c r="N488" i="6"/>
  <c r="M488" i="6"/>
  <c r="K488" i="6"/>
  <c r="J488" i="6"/>
  <c r="I488" i="6"/>
  <c r="H488" i="6"/>
  <c r="BX487" i="6"/>
  <c r="BW487" i="6"/>
  <c r="BV487" i="6"/>
  <c r="BU487" i="6"/>
  <c r="BT487" i="6"/>
  <c r="BS487" i="6"/>
  <c r="BR487" i="6"/>
  <c r="BQ487" i="6"/>
  <c r="BP487" i="6"/>
  <c r="BO487" i="6"/>
  <c r="BN487" i="6"/>
  <c r="BM487" i="6"/>
  <c r="BL487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AY487" i="6"/>
  <c r="AX487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BX486" i="6"/>
  <c r="BW486" i="6"/>
  <c r="BV486" i="6"/>
  <c r="BU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BX484" i="6"/>
  <c r="BW484" i="6"/>
  <c r="BV484" i="6"/>
  <c r="BU484" i="6"/>
  <c r="BS484" i="6"/>
  <c r="BR484" i="6"/>
  <c r="BQ484" i="6"/>
  <c r="BP484" i="6"/>
  <c r="BN484" i="6"/>
  <c r="BM484" i="6"/>
  <c r="BL484" i="6"/>
  <c r="BK484" i="6"/>
  <c r="BI484" i="6"/>
  <c r="BH484" i="6"/>
  <c r="BG484" i="6"/>
  <c r="BF484" i="6"/>
  <c r="BD484" i="6"/>
  <c r="BC484" i="6"/>
  <c r="BB484" i="6"/>
  <c r="BA484" i="6"/>
  <c r="AZ484" i="6"/>
  <c r="AY484" i="6"/>
  <c r="AX484" i="6"/>
  <c r="AW484" i="6"/>
  <c r="AV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Z484" i="6"/>
  <c r="Y484" i="6"/>
  <c r="X484" i="6"/>
  <c r="W484" i="6"/>
  <c r="V484" i="6"/>
  <c r="U484" i="6"/>
  <c r="T484" i="6"/>
  <c r="S484" i="6"/>
  <c r="R484" i="6"/>
  <c r="P484" i="6"/>
  <c r="O484" i="6"/>
  <c r="N484" i="6"/>
  <c r="M484" i="6"/>
  <c r="K484" i="6"/>
  <c r="J484" i="6"/>
  <c r="I484" i="6"/>
  <c r="H484" i="6"/>
  <c r="G484" i="6"/>
  <c r="BX483" i="6"/>
  <c r="BW483" i="6"/>
  <c r="BV483" i="6"/>
  <c r="BU483" i="6"/>
  <c r="BS483" i="6"/>
  <c r="BR483" i="6"/>
  <c r="BQ483" i="6"/>
  <c r="BP483" i="6"/>
  <c r="BN483" i="6"/>
  <c r="BM483" i="6"/>
  <c r="BL483" i="6"/>
  <c r="BK483" i="6"/>
  <c r="BI483" i="6"/>
  <c r="BH483" i="6"/>
  <c r="BG483" i="6"/>
  <c r="BF483" i="6"/>
  <c r="BD483" i="6"/>
  <c r="BC483" i="6"/>
  <c r="BB483" i="6"/>
  <c r="BA483" i="6"/>
  <c r="AY483" i="6"/>
  <c r="AX483" i="6"/>
  <c r="AW483" i="6"/>
  <c r="AV483" i="6"/>
  <c r="AT483" i="6"/>
  <c r="AS483" i="6"/>
  <c r="AR483" i="6"/>
  <c r="AQ483" i="6"/>
  <c r="AO483" i="6"/>
  <c r="AN483" i="6"/>
  <c r="AM483" i="6"/>
  <c r="AL483" i="6"/>
  <c r="AJ483" i="6"/>
  <c r="AI483" i="6"/>
  <c r="AH483" i="6"/>
  <c r="AG483" i="6"/>
  <c r="AE483" i="6"/>
  <c r="AD483" i="6"/>
  <c r="AC483" i="6"/>
  <c r="AB483" i="6"/>
  <c r="Z483" i="6"/>
  <c r="Y483" i="6"/>
  <c r="X483" i="6"/>
  <c r="W483" i="6"/>
  <c r="U483" i="6"/>
  <c r="T483" i="6"/>
  <c r="S483" i="6"/>
  <c r="R483" i="6"/>
  <c r="P483" i="6"/>
  <c r="O483" i="6"/>
  <c r="N483" i="6"/>
  <c r="M483" i="6"/>
  <c r="K483" i="6"/>
  <c r="J483" i="6"/>
  <c r="I483" i="6"/>
  <c r="H483" i="6"/>
  <c r="BZ482" i="6"/>
  <c r="BX482" i="6"/>
  <c r="BW482" i="6"/>
  <c r="BV482" i="6"/>
  <c r="BU482" i="6"/>
  <c r="BT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BX481" i="6"/>
  <c r="BW481" i="6"/>
  <c r="BV481" i="6"/>
  <c r="BU481" i="6"/>
  <c r="BS481" i="6"/>
  <c r="BR481" i="6"/>
  <c r="BQ481" i="6"/>
  <c r="BP481" i="6"/>
  <c r="BO481" i="6"/>
  <c r="BN481" i="6"/>
  <c r="BM481" i="6"/>
  <c r="BL481" i="6"/>
  <c r="BK481" i="6"/>
  <c r="BJ481" i="6"/>
  <c r="BI481" i="6"/>
  <c r="BH481" i="6"/>
  <c r="BG481" i="6"/>
  <c r="BF481" i="6"/>
  <c r="BE481" i="6"/>
  <c r="BD481" i="6"/>
  <c r="BC481" i="6"/>
  <c r="BB481" i="6"/>
  <c r="BA481" i="6"/>
  <c r="AZ481" i="6"/>
  <c r="AY481" i="6"/>
  <c r="AX481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BX480" i="6"/>
  <c r="BW480" i="6"/>
  <c r="BV480" i="6"/>
  <c r="BU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BX479" i="6"/>
  <c r="BW479" i="6"/>
  <c r="BV479" i="6"/>
  <c r="BU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BX478" i="6"/>
  <c r="BW478" i="6"/>
  <c r="BV478" i="6"/>
  <c r="BU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BX477" i="6"/>
  <c r="BW477" i="6"/>
  <c r="BV477" i="6"/>
  <c r="BU477" i="6"/>
  <c r="BS477" i="6"/>
  <c r="BR477" i="6"/>
  <c r="BQ477" i="6"/>
  <c r="BP477" i="6"/>
  <c r="BN477" i="6"/>
  <c r="BM477" i="6"/>
  <c r="BL477" i="6"/>
  <c r="BK477" i="6"/>
  <c r="BI477" i="6"/>
  <c r="BH477" i="6"/>
  <c r="BG477" i="6"/>
  <c r="BF477" i="6"/>
  <c r="BD477" i="6"/>
  <c r="BC477" i="6"/>
  <c r="BB477" i="6"/>
  <c r="BA477" i="6"/>
  <c r="AY477" i="6"/>
  <c r="AX477" i="6"/>
  <c r="AW477" i="6"/>
  <c r="AV477" i="6"/>
  <c r="AT477" i="6"/>
  <c r="AS477" i="6"/>
  <c r="AR477" i="6"/>
  <c r="AQ477" i="6"/>
  <c r="AO477" i="6"/>
  <c r="AN477" i="6"/>
  <c r="AM477" i="6"/>
  <c r="AL477" i="6"/>
  <c r="AJ477" i="6"/>
  <c r="AI477" i="6"/>
  <c r="AH477" i="6"/>
  <c r="AG477" i="6"/>
  <c r="AE477" i="6"/>
  <c r="AD477" i="6"/>
  <c r="AC477" i="6"/>
  <c r="AB477" i="6"/>
  <c r="Z477" i="6"/>
  <c r="Y477" i="6"/>
  <c r="X477" i="6"/>
  <c r="W477" i="6"/>
  <c r="U477" i="6"/>
  <c r="T477" i="6"/>
  <c r="S477" i="6"/>
  <c r="R477" i="6"/>
  <c r="P477" i="6"/>
  <c r="O477" i="6"/>
  <c r="N477" i="6"/>
  <c r="M477" i="6"/>
  <c r="K477" i="6"/>
  <c r="J477" i="6"/>
  <c r="I477" i="6"/>
  <c r="H477" i="6"/>
  <c r="BZ476" i="6"/>
  <c r="BX476" i="6"/>
  <c r="BW476" i="6"/>
  <c r="BV476" i="6"/>
  <c r="BU476" i="6"/>
  <c r="BT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BX475" i="6"/>
  <c r="BW475" i="6"/>
  <c r="BV475" i="6"/>
  <c r="BU475" i="6"/>
  <c r="BS475" i="6"/>
  <c r="BR475" i="6"/>
  <c r="BQ475" i="6"/>
  <c r="BP475" i="6"/>
  <c r="BO475" i="6"/>
  <c r="BN475" i="6"/>
  <c r="BM475" i="6"/>
  <c r="BL475" i="6"/>
  <c r="BK475" i="6"/>
  <c r="BJ475" i="6"/>
  <c r="BI475" i="6"/>
  <c r="BH475" i="6"/>
  <c r="BG475" i="6"/>
  <c r="BF475" i="6"/>
  <c r="BE475" i="6"/>
  <c r="BD475" i="6"/>
  <c r="BC475" i="6"/>
  <c r="BB475" i="6"/>
  <c r="BA475" i="6"/>
  <c r="AZ475" i="6"/>
  <c r="AY475" i="6"/>
  <c r="AX475" i="6"/>
  <c r="AW475" i="6"/>
  <c r="AV475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BX474" i="6"/>
  <c r="BW474" i="6"/>
  <c r="BV474" i="6"/>
  <c r="BU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BX472" i="6"/>
  <c r="BW472" i="6"/>
  <c r="BV472" i="6"/>
  <c r="BU472" i="6"/>
  <c r="BS472" i="6"/>
  <c r="BR472" i="6"/>
  <c r="BQ472" i="6"/>
  <c r="BP472" i="6"/>
  <c r="BN472" i="6"/>
  <c r="BM472" i="6"/>
  <c r="BL472" i="6"/>
  <c r="BK472" i="6"/>
  <c r="BI472" i="6"/>
  <c r="BH472" i="6"/>
  <c r="BG472" i="6"/>
  <c r="BF472" i="6"/>
  <c r="BD472" i="6"/>
  <c r="BC472" i="6"/>
  <c r="BB472" i="6"/>
  <c r="BA472" i="6"/>
  <c r="AY472" i="6"/>
  <c r="AX472" i="6"/>
  <c r="AW472" i="6"/>
  <c r="AV472" i="6"/>
  <c r="AT472" i="6"/>
  <c r="AS472" i="6"/>
  <c r="AR472" i="6"/>
  <c r="AQ472" i="6"/>
  <c r="AO472" i="6"/>
  <c r="AN472" i="6"/>
  <c r="AM472" i="6"/>
  <c r="AL472" i="6"/>
  <c r="AJ472" i="6"/>
  <c r="AI472" i="6"/>
  <c r="AH472" i="6"/>
  <c r="AG472" i="6"/>
  <c r="AE472" i="6"/>
  <c r="AD472" i="6"/>
  <c r="AC472" i="6"/>
  <c r="AB472" i="6"/>
  <c r="Z472" i="6"/>
  <c r="Y472" i="6"/>
  <c r="X472" i="6"/>
  <c r="W472" i="6"/>
  <c r="U472" i="6"/>
  <c r="T472" i="6"/>
  <c r="S472" i="6"/>
  <c r="R472" i="6"/>
  <c r="P472" i="6"/>
  <c r="O472" i="6"/>
  <c r="N472" i="6"/>
  <c r="M472" i="6"/>
  <c r="K472" i="6"/>
  <c r="J472" i="6"/>
  <c r="I472" i="6"/>
  <c r="H472" i="6"/>
  <c r="CA471" i="6"/>
  <c r="BZ471" i="6"/>
  <c r="BX471" i="6"/>
  <c r="BW471" i="6"/>
  <c r="BV471" i="6"/>
  <c r="BU471" i="6"/>
  <c r="BT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BX470" i="6"/>
  <c r="BW470" i="6"/>
  <c r="BV470" i="6"/>
  <c r="BU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BX469" i="6"/>
  <c r="BW469" i="6"/>
  <c r="BV469" i="6"/>
  <c r="BU469" i="6"/>
  <c r="BS469" i="6"/>
  <c r="BR469" i="6"/>
  <c r="BQ469" i="6"/>
  <c r="BP469" i="6"/>
  <c r="BO469" i="6"/>
  <c r="BN469" i="6"/>
  <c r="BM469" i="6"/>
  <c r="BL469" i="6"/>
  <c r="BK469" i="6"/>
  <c r="BJ469" i="6"/>
  <c r="BI469" i="6"/>
  <c r="BH469" i="6"/>
  <c r="BG469" i="6"/>
  <c r="BF469" i="6"/>
  <c r="BE469" i="6"/>
  <c r="BD469" i="6"/>
  <c r="BC469" i="6"/>
  <c r="BB469" i="6"/>
  <c r="BA469" i="6"/>
  <c r="AZ469" i="6"/>
  <c r="AY469" i="6"/>
  <c r="AX469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BX468" i="6"/>
  <c r="BW468" i="6"/>
  <c r="BV468" i="6"/>
  <c r="BU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BX467" i="6"/>
  <c r="BW467" i="6"/>
  <c r="BV467" i="6"/>
  <c r="BU467" i="6"/>
  <c r="BS467" i="6"/>
  <c r="BR467" i="6"/>
  <c r="BQ467" i="6"/>
  <c r="BP467" i="6"/>
  <c r="BN467" i="6"/>
  <c r="BM467" i="6"/>
  <c r="BL467" i="6"/>
  <c r="BK467" i="6"/>
  <c r="BI467" i="6"/>
  <c r="BH467" i="6"/>
  <c r="BG467" i="6"/>
  <c r="BF467" i="6"/>
  <c r="BD467" i="6"/>
  <c r="BC467" i="6"/>
  <c r="BB467" i="6"/>
  <c r="BA467" i="6"/>
  <c r="AY467" i="6"/>
  <c r="AX467" i="6"/>
  <c r="AW467" i="6"/>
  <c r="AV467" i="6"/>
  <c r="AT467" i="6"/>
  <c r="AS467" i="6"/>
  <c r="AR467" i="6"/>
  <c r="AQ467" i="6"/>
  <c r="AO467" i="6"/>
  <c r="AN467" i="6"/>
  <c r="AM467" i="6"/>
  <c r="AL467" i="6"/>
  <c r="AJ467" i="6"/>
  <c r="AI467" i="6"/>
  <c r="AH467" i="6"/>
  <c r="AG467" i="6"/>
  <c r="AE467" i="6"/>
  <c r="AD467" i="6"/>
  <c r="AC467" i="6"/>
  <c r="AB467" i="6"/>
  <c r="Z467" i="6"/>
  <c r="Y467" i="6"/>
  <c r="X467" i="6"/>
  <c r="W467" i="6"/>
  <c r="U467" i="6"/>
  <c r="T467" i="6"/>
  <c r="S467" i="6"/>
  <c r="R467" i="6"/>
  <c r="P467" i="6"/>
  <c r="O467" i="6"/>
  <c r="N467" i="6"/>
  <c r="M467" i="6"/>
  <c r="K467" i="6"/>
  <c r="J467" i="6"/>
  <c r="I467" i="6"/>
  <c r="H467" i="6"/>
  <c r="G467" i="6"/>
  <c r="BX466" i="6"/>
  <c r="BW466" i="6"/>
  <c r="BV466" i="6"/>
  <c r="BU466" i="6"/>
  <c r="BS466" i="6"/>
  <c r="BR466" i="6"/>
  <c r="BQ466" i="6"/>
  <c r="BP466" i="6"/>
  <c r="BN466" i="6"/>
  <c r="BM466" i="6"/>
  <c r="BL466" i="6"/>
  <c r="BK466" i="6"/>
  <c r="BI466" i="6"/>
  <c r="BH466" i="6"/>
  <c r="BG466" i="6"/>
  <c r="BF466" i="6"/>
  <c r="BD466" i="6"/>
  <c r="BC466" i="6"/>
  <c r="BB466" i="6"/>
  <c r="BA466" i="6"/>
  <c r="AY466" i="6"/>
  <c r="AX466" i="6"/>
  <c r="AW466" i="6"/>
  <c r="AV466" i="6"/>
  <c r="AT466" i="6"/>
  <c r="AS466" i="6"/>
  <c r="AR466" i="6"/>
  <c r="AQ466" i="6"/>
  <c r="AO466" i="6"/>
  <c r="AN466" i="6"/>
  <c r="AM466" i="6"/>
  <c r="AL466" i="6"/>
  <c r="AJ466" i="6"/>
  <c r="AI466" i="6"/>
  <c r="AH466" i="6"/>
  <c r="AG466" i="6"/>
  <c r="AE466" i="6"/>
  <c r="AD466" i="6"/>
  <c r="AC466" i="6"/>
  <c r="AB466" i="6"/>
  <c r="Z466" i="6"/>
  <c r="Y466" i="6"/>
  <c r="X466" i="6"/>
  <c r="W466" i="6"/>
  <c r="U466" i="6"/>
  <c r="T466" i="6"/>
  <c r="S466" i="6"/>
  <c r="R466" i="6"/>
  <c r="P466" i="6"/>
  <c r="O466" i="6"/>
  <c r="N466" i="6"/>
  <c r="M466" i="6"/>
  <c r="K466" i="6"/>
  <c r="J466" i="6"/>
  <c r="I466" i="6"/>
  <c r="H466" i="6"/>
  <c r="BX465" i="6"/>
  <c r="BW465" i="6"/>
  <c r="BV465" i="6"/>
  <c r="BU465" i="6"/>
  <c r="BT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BX464" i="6"/>
  <c r="BW464" i="6"/>
  <c r="BV464" i="6"/>
  <c r="BU464" i="6"/>
  <c r="BS464" i="6"/>
  <c r="BR464" i="6"/>
  <c r="BQ464" i="6"/>
  <c r="BP464" i="6"/>
  <c r="BO464" i="6"/>
  <c r="BN464" i="6"/>
  <c r="BM464" i="6"/>
  <c r="BL464" i="6"/>
  <c r="BK464" i="6"/>
  <c r="BJ464" i="6"/>
  <c r="BI464" i="6"/>
  <c r="BH464" i="6"/>
  <c r="BG464" i="6"/>
  <c r="BF464" i="6"/>
  <c r="BE464" i="6"/>
  <c r="BD464" i="6"/>
  <c r="BC464" i="6"/>
  <c r="BB464" i="6"/>
  <c r="BA464" i="6"/>
  <c r="AZ464" i="6"/>
  <c r="AY464" i="6"/>
  <c r="AX464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BX463" i="6"/>
  <c r="BW463" i="6"/>
  <c r="BV463" i="6"/>
  <c r="BU463" i="6"/>
  <c r="BS463" i="6"/>
  <c r="BR463" i="6"/>
  <c r="BQ463" i="6"/>
  <c r="BP463" i="6"/>
  <c r="BO463" i="6"/>
  <c r="BN463" i="6"/>
  <c r="BM463" i="6"/>
  <c r="BL463" i="6"/>
  <c r="BK463" i="6"/>
  <c r="BJ463" i="6"/>
  <c r="BI463" i="6"/>
  <c r="BH463" i="6"/>
  <c r="BG463" i="6"/>
  <c r="BF463" i="6"/>
  <c r="BE463" i="6"/>
  <c r="BD463" i="6"/>
  <c r="BC463" i="6"/>
  <c r="BB463" i="6"/>
  <c r="BA463" i="6"/>
  <c r="AZ463" i="6"/>
  <c r="AY463" i="6"/>
  <c r="AX463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BX462" i="6"/>
  <c r="BW462" i="6"/>
  <c r="BV462" i="6"/>
  <c r="BU462" i="6"/>
  <c r="BS462" i="6"/>
  <c r="BR462" i="6"/>
  <c r="BQ462" i="6"/>
  <c r="BP462" i="6"/>
  <c r="BO462" i="6"/>
  <c r="BN462" i="6"/>
  <c r="BM462" i="6"/>
  <c r="BL462" i="6"/>
  <c r="BK462" i="6"/>
  <c r="BJ462" i="6"/>
  <c r="BI462" i="6"/>
  <c r="BH462" i="6"/>
  <c r="BG462" i="6"/>
  <c r="BF462" i="6"/>
  <c r="BE462" i="6"/>
  <c r="BD462" i="6"/>
  <c r="BC462" i="6"/>
  <c r="BB462" i="6"/>
  <c r="BA462" i="6"/>
  <c r="AZ462" i="6"/>
  <c r="AY462" i="6"/>
  <c r="AX462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G461" i="6"/>
  <c r="BX460" i="6"/>
  <c r="BW460" i="6"/>
  <c r="BV460" i="6"/>
  <c r="BU460" i="6"/>
  <c r="BS460" i="6"/>
  <c r="BR460" i="6"/>
  <c r="BQ460" i="6"/>
  <c r="BP460" i="6"/>
  <c r="BN460" i="6"/>
  <c r="BM460" i="6"/>
  <c r="BL460" i="6"/>
  <c r="BK460" i="6"/>
  <c r="BI460" i="6"/>
  <c r="BH460" i="6"/>
  <c r="BG460" i="6"/>
  <c r="BF460" i="6"/>
  <c r="BD460" i="6"/>
  <c r="BC460" i="6"/>
  <c r="BB460" i="6"/>
  <c r="BA460" i="6"/>
  <c r="AY460" i="6"/>
  <c r="AX460" i="6"/>
  <c r="AW460" i="6"/>
  <c r="AV460" i="6"/>
  <c r="AT460" i="6"/>
  <c r="AS460" i="6"/>
  <c r="AR460" i="6"/>
  <c r="AQ460" i="6"/>
  <c r="AO460" i="6"/>
  <c r="AN460" i="6"/>
  <c r="AM460" i="6"/>
  <c r="AL460" i="6"/>
  <c r="AJ460" i="6"/>
  <c r="AI460" i="6"/>
  <c r="AH460" i="6"/>
  <c r="AG460" i="6"/>
  <c r="AE460" i="6"/>
  <c r="AD460" i="6"/>
  <c r="AC460" i="6"/>
  <c r="AB460" i="6"/>
  <c r="Z460" i="6"/>
  <c r="Y460" i="6"/>
  <c r="X460" i="6"/>
  <c r="W460" i="6"/>
  <c r="U460" i="6"/>
  <c r="T460" i="6"/>
  <c r="S460" i="6"/>
  <c r="R460" i="6"/>
  <c r="P460" i="6"/>
  <c r="O460" i="6"/>
  <c r="N460" i="6"/>
  <c r="M460" i="6"/>
  <c r="K460" i="6"/>
  <c r="J460" i="6"/>
  <c r="I460" i="6"/>
  <c r="H460" i="6"/>
  <c r="CA459" i="6"/>
  <c r="BZ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BX458" i="6"/>
  <c r="BW458" i="6"/>
  <c r="BV458" i="6"/>
  <c r="BU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BX457" i="6"/>
  <c r="BW457" i="6"/>
  <c r="BV457" i="6"/>
  <c r="BU457" i="6"/>
  <c r="BS457" i="6"/>
  <c r="BR457" i="6"/>
  <c r="BQ457" i="6"/>
  <c r="BP457" i="6"/>
  <c r="BO457" i="6"/>
  <c r="BN457" i="6"/>
  <c r="BM457" i="6"/>
  <c r="BL457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AY457" i="6"/>
  <c r="AX457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Z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G456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CA454" i="6"/>
  <c r="BZ454" i="6"/>
  <c r="BX454" i="6"/>
  <c r="BW454" i="6"/>
  <c r="BV454" i="6"/>
  <c r="BU454" i="6"/>
  <c r="BT454" i="6"/>
  <c r="BS454" i="6"/>
  <c r="BR454" i="6"/>
  <c r="BQ454" i="6"/>
  <c r="BP454" i="6"/>
  <c r="BO454" i="6"/>
  <c r="BN454" i="6"/>
  <c r="BM454" i="6"/>
  <c r="BL454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AY454" i="6"/>
  <c r="AX454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BX453" i="6"/>
  <c r="BW453" i="6"/>
  <c r="BV453" i="6"/>
  <c r="BU453" i="6"/>
  <c r="BS453" i="6"/>
  <c r="BR453" i="6"/>
  <c r="BQ453" i="6"/>
  <c r="BP453" i="6"/>
  <c r="BO453" i="6"/>
  <c r="BN453" i="6"/>
  <c r="BM453" i="6"/>
  <c r="BL453" i="6"/>
  <c r="BK453" i="6"/>
  <c r="BJ453" i="6"/>
  <c r="BI453" i="6"/>
  <c r="BH453" i="6"/>
  <c r="BG453" i="6"/>
  <c r="BF453" i="6"/>
  <c r="BE453" i="6"/>
  <c r="BD453" i="6"/>
  <c r="BC453" i="6"/>
  <c r="BB453" i="6"/>
  <c r="BA453" i="6"/>
  <c r="AZ453" i="6"/>
  <c r="AY453" i="6"/>
  <c r="AX453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BX452" i="6"/>
  <c r="BW452" i="6"/>
  <c r="BV452" i="6"/>
  <c r="BU452" i="6"/>
  <c r="BS452" i="6"/>
  <c r="BR452" i="6"/>
  <c r="BQ452" i="6"/>
  <c r="BP452" i="6"/>
  <c r="BO452" i="6"/>
  <c r="BN452" i="6"/>
  <c r="BM452" i="6"/>
  <c r="BL452" i="6"/>
  <c r="BK452" i="6"/>
  <c r="BJ452" i="6"/>
  <c r="BI452" i="6"/>
  <c r="BH452" i="6"/>
  <c r="BG452" i="6"/>
  <c r="BF452" i="6"/>
  <c r="BE452" i="6"/>
  <c r="BD452" i="6"/>
  <c r="BC452" i="6"/>
  <c r="BB452" i="6"/>
  <c r="BA452" i="6"/>
  <c r="AZ452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BX451" i="6"/>
  <c r="BW451" i="6"/>
  <c r="BV451" i="6"/>
  <c r="BU451" i="6"/>
  <c r="BS451" i="6"/>
  <c r="BR451" i="6"/>
  <c r="BQ451" i="6"/>
  <c r="BP451" i="6"/>
  <c r="BO451" i="6"/>
  <c r="BN451" i="6"/>
  <c r="BM451" i="6"/>
  <c r="BL451" i="6"/>
  <c r="BK451" i="6"/>
  <c r="BJ451" i="6"/>
  <c r="BI451" i="6"/>
  <c r="BH451" i="6"/>
  <c r="BG451" i="6"/>
  <c r="BF451" i="6"/>
  <c r="BE451" i="6"/>
  <c r="BD451" i="6"/>
  <c r="BC451" i="6"/>
  <c r="BB451" i="6"/>
  <c r="BA451" i="6"/>
  <c r="AZ451" i="6"/>
  <c r="AY451" i="6"/>
  <c r="AX451" i="6"/>
  <c r="AW451" i="6"/>
  <c r="AV451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BX450" i="6"/>
  <c r="BW450" i="6"/>
  <c r="BV450" i="6"/>
  <c r="BU450" i="6"/>
  <c r="BS450" i="6"/>
  <c r="BR450" i="6"/>
  <c r="BQ450" i="6"/>
  <c r="BP450" i="6"/>
  <c r="BN450" i="6"/>
  <c r="BM450" i="6"/>
  <c r="BL450" i="6"/>
  <c r="BK450" i="6"/>
  <c r="BI450" i="6"/>
  <c r="BH450" i="6"/>
  <c r="BG450" i="6"/>
  <c r="BF450" i="6"/>
  <c r="BD450" i="6"/>
  <c r="BC450" i="6"/>
  <c r="BB450" i="6"/>
  <c r="BA450" i="6"/>
  <c r="AY450" i="6"/>
  <c r="AX450" i="6"/>
  <c r="AW450" i="6"/>
  <c r="AV450" i="6"/>
  <c r="AT450" i="6"/>
  <c r="AS450" i="6"/>
  <c r="AR450" i="6"/>
  <c r="AQ450" i="6"/>
  <c r="AO450" i="6"/>
  <c r="AN450" i="6"/>
  <c r="AM450" i="6"/>
  <c r="AL450" i="6"/>
  <c r="AJ450" i="6"/>
  <c r="AI450" i="6"/>
  <c r="AH450" i="6"/>
  <c r="AG450" i="6"/>
  <c r="AE450" i="6"/>
  <c r="AD450" i="6"/>
  <c r="AC450" i="6"/>
  <c r="AB450" i="6"/>
  <c r="Z450" i="6"/>
  <c r="Y450" i="6"/>
  <c r="X450" i="6"/>
  <c r="W450" i="6"/>
  <c r="U450" i="6"/>
  <c r="T450" i="6"/>
  <c r="S450" i="6"/>
  <c r="R450" i="6"/>
  <c r="P450" i="6"/>
  <c r="O450" i="6"/>
  <c r="N450" i="6"/>
  <c r="M450" i="6"/>
  <c r="K450" i="6"/>
  <c r="J450" i="6"/>
  <c r="I450" i="6"/>
  <c r="H450" i="6"/>
  <c r="CA449" i="6"/>
  <c r="BZ449" i="6"/>
  <c r="BX449" i="6"/>
  <c r="BW449" i="6"/>
  <c r="BV449" i="6"/>
  <c r="BU449" i="6"/>
  <c r="BT449" i="6"/>
  <c r="BS449" i="6"/>
  <c r="BR449" i="6"/>
  <c r="BQ449" i="6"/>
  <c r="BP449" i="6"/>
  <c r="BO449" i="6"/>
  <c r="BN449" i="6"/>
  <c r="BM449" i="6"/>
  <c r="BL449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AY449" i="6"/>
  <c r="AX449" i="6"/>
  <c r="AW449" i="6"/>
  <c r="AV449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BX448" i="6"/>
  <c r="BW448" i="6"/>
  <c r="BV448" i="6"/>
  <c r="BU448" i="6"/>
  <c r="BS448" i="6"/>
  <c r="BR448" i="6"/>
  <c r="BQ448" i="6"/>
  <c r="BP448" i="6"/>
  <c r="BO448" i="6"/>
  <c r="BN448" i="6"/>
  <c r="BM448" i="6"/>
  <c r="BL448" i="6"/>
  <c r="BK448" i="6"/>
  <c r="BJ448" i="6"/>
  <c r="BI448" i="6"/>
  <c r="BH448" i="6"/>
  <c r="BG448" i="6"/>
  <c r="BF448" i="6"/>
  <c r="BE448" i="6"/>
  <c r="BD448" i="6"/>
  <c r="BC448" i="6"/>
  <c r="BB448" i="6"/>
  <c r="BA448" i="6"/>
  <c r="AZ448" i="6"/>
  <c r="AY448" i="6"/>
  <c r="AX448" i="6"/>
  <c r="AW448" i="6"/>
  <c r="AV448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BX447" i="6"/>
  <c r="BW447" i="6"/>
  <c r="BV447" i="6"/>
  <c r="BU447" i="6"/>
  <c r="BS447" i="6"/>
  <c r="BR447" i="6"/>
  <c r="BQ447" i="6"/>
  <c r="BP447" i="6"/>
  <c r="BO447" i="6"/>
  <c r="BN447" i="6"/>
  <c r="BM447" i="6"/>
  <c r="BL447" i="6"/>
  <c r="BK447" i="6"/>
  <c r="BJ447" i="6"/>
  <c r="BI447" i="6"/>
  <c r="BH447" i="6"/>
  <c r="BG447" i="6"/>
  <c r="BF447" i="6"/>
  <c r="BE447" i="6"/>
  <c r="BD447" i="6"/>
  <c r="BC447" i="6"/>
  <c r="BB447" i="6"/>
  <c r="BA447" i="6"/>
  <c r="AZ447" i="6"/>
  <c r="AY447" i="6"/>
  <c r="AX447" i="6"/>
  <c r="AW447" i="6"/>
  <c r="AV447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BX446" i="6"/>
  <c r="BW446" i="6"/>
  <c r="BV446" i="6"/>
  <c r="BU446" i="6"/>
  <c r="BS446" i="6"/>
  <c r="BR446" i="6"/>
  <c r="BQ446" i="6"/>
  <c r="BP446" i="6"/>
  <c r="BO446" i="6"/>
  <c r="BN446" i="6"/>
  <c r="BM446" i="6"/>
  <c r="BL446" i="6"/>
  <c r="BK446" i="6"/>
  <c r="BJ446" i="6"/>
  <c r="BI446" i="6"/>
  <c r="BH446" i="6"/>
  <c r="BG446" i="6"/>
  <c r="BF446" i="6"/>
  <c r="BE446" i="6"/>
  <c r="BD446" i="6"/>
  <c r="BC446" i="6"/>
  <c r="BB446" i="6"/>
  <c r="BA446" i="6"/>
  <c r="AZ446" i="6"/>
  <c r="AY446" i="6"/>
  <c r="AX446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BX445" i="6"/>
  <c r="BW445" i="6"/>
  <c r="BV445" i="6"/>
  <c r="BU445" i="6"/>
  <c r="BS445" i="6"/>
  <c r="BR445" i="6"/>
  <c r="BQ445" i="6"/>
  <c r="BP445" i="6"/>
  <c r="BN445" i="6"/>
  <c r="BM445" i="6"/>
  <c r="BL445" i="6"/>
  <c r="BK445" i="6"/>
  <c r="BI445" i="6"/>
  <c r="BH445" i="6"/>
  <c r="BG445" i="6"/>
  <c r="BF445" i="6"/>
  <c r="BD445" i="6"/>
  <c r="BC445" i="6"/>
  <c r="BB445" i="6"/>
  <c r="BA445" i="6"/>
  <c r="AY445" i="6"/>
  <c r="AX445" i="6"/>
  <c r="AW445" i="6"/>
  <c r="AV445" i="6"/>
  <c r="AT445" i="6"/>
  <c r="AS445" i="6"/>
  <c r="AR445" i="6"/>
  <c r="AQ445" i="6"/>
  <c r="AO445" i="6"/>
  <c r="AN445" i="6"/>
  <c r="AM445" i="6"/>
  <c r="AL445" i="6"/>
  <c r="AJ445" i="6"/>
  <c r="AI445" i="6"/>
  <c r="AH445" i="6"/>
  <c r="AG445" i="6"/>
  <c r="AE445" i="6"/>
  <c r="AD445" i="6"/>
  <c r="AC445" i="6"/>
  <c r="AB445" i="6"/>
  <c r="Z445" i="6"/>
  <c r="Y445" i="6"/>
  <c r="X445" i="6"/>
  <c r="W445" i="6"/>
  <c r="U445" i="6"/>
  <c r="T445" i="6"/>
  <c r="S445" i="6"/>
  <c r="R445" i="6"/>
  <c r="P445" i="6"/>
  <c r="O445" i="6"/>
  <c r="N445" i="6"/>
  <c r="M445" i="6"/>
  <c r="K445" i="6"/>
  <c r="J445" i="6"/>
  <c r="I445" i="6"/>
  <c r="H445" i="6"/>
  <c r="G445" i="6"/>
  <c r="BX444" i="6"/>
  <c r="BW444" i="6"/>
  <c r="BV444" i="6"/>
  <c r="BU444" i="6"/>
  <c r="BS444" i="6"/>
  <c r="BR444" i="6"/>
  <c r="BQ444" i="6"/>
  <c r="BP444" i="6"/>
  <c r="BN444" i="6"/>
  <c r="BM444" i="6"/>
  <c r="BL444" i="6"/>
  <c r="BK444" i="6"/>
  <c r="BI444" i="6"/>
  <c r="BH444" i="6"/>
  <c r="BG444" i="6"/>
  <c r="BF444" i="6"/>
  <c r="BD444" i="6"/>
  <c r="BC444" i="6"/>
  <c r="BB444" i="6"/>
  <c r="BA444" i="6"/>
  <c r="AY444" i="6"/>
  <c r="AX444" i="6"/>
  <c r="AW444" i="6"/>
  <c r="AV444" i="6"/>
  <c r="AT444" i="6"/>
  <c r="AS444" i="6"/>
  <c r="AR444" i="6"/>
  <c r="AQ444" i="6"/>
  <c r="AO444" i="6"/>
  <c r="AN444" i="6"/>
  <c r="AM444" i="6"/>
  <c r="AL444" i="6"/>
  <c r="AJ444" i="6"/>
  <c r="AI444" i="6"/>
  <c r="AH444" i="6"/>
  <c r="AG444" i="6"/>
  <c r="AE444" i="6"/>
  <c r="AD444" i="6"/>
  <c r="AC444" i="6"/>
  <c r="AB444" i="6"/>
  <c r="Z444" i="6"/>
  <c r="Y444" i="6"/>
  <c r="X444" i="6"/>
  <c r="W444" i="6"/>
  <c r="U444" i="6"/>
  <c r="T444" i="6"/>
  <c r="S444" i="6"/>
  <c r="R444" i="6"/>
  <c r="P444" i="6"/>
  <c r="O444" i="6"/>
  <c r="N444" i="6"/>
  <c r="M444" i="6"/>
  <c r="K444" i="6"/>
  <c r="J444" i="6"/>
  <c r="I444" i="6"/>
  <c r="H444" i="6"/>
  <c r="CA443" i="6"/>
  <c r="BZ443" i="6"/>
  <c r="BX443" i="6"/>
  <c r="BW443" i="6"/>
  <c r="BV443" i="6"/>
  <c r="BU443" i="6"/>
  <c r="BT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BX442" i="6"/>
  <c r="BW442" i="6"/>
  <c r="BV442" i="6"/>
  <c r="BU442" i="6"/>
  <c r="BS442" i="6"/>
  <c r="BR442" i="6"/>
  <c r="BQ442" i="6"/>
  <c r="BP442" i="6"/>
  <c r="BO442" i="6"/>
  <c r="BN442" i="6"/>
  <c r="BM442" i="6"/>
  <c r="BL442" i="6"/>
  <c r="BK442" i="6"/>
  <c r="BJ442" i="6"/>
  <c r="BI442" i="6"/>
  <c r="BH442" i="6"/>
  <c r="BG442" i="6"/>
  <c r="BF442" i="6"/>
  <c r="BE442" i="6"/>
  <c r="BD442" i="6"/>
  <c r="BC442" i="6"/>
  <c r="BB442" i="6"/>
  <c r="BA442" i="6"/>
  <c r="AZ442" i="6"/>
  <c r="AY442" i="6"/>
  <c r="AX442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BX441" i="6"/>
  <c r="BW441" i="6"/>
  <c r="BV441" i="6"/>
  <c r="BU441" i="6"/>
  <c r="BS441" i="6"/>
  <c r="BR441" i="6"/>
  <c r="BQ441" i="6"/>
  <c r="BP441" i="6"/>
  <c r="BO441" i="6"/>
  <c r="BN441" i="6"/>
  <c r="BM441" i="6"/>
  <c r="BL441" i="6"/>
  <c r="BK441" i="6"/>
  <c r="BJ441" i="6"/>
  <c r="BI441" i="6"/>
  <c r="BH441" i="6"/>
  <c r="BG441" i="6"/>
  <c r="BF441" i="6"/>
  <c r="BE441" i="6"/>
  <c r="BD441" i="6"/>
  <c r="BC441" i="6"/>
  <c r="BB441" i="6"/>
  <c r="BA441" i="6"/>
  <c r="AZ441" i="6"/>
  <c r="AY441" i="6"/>
  <c r="AX441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BX440" i="6"/>
  <c r="BW440" i="6"/>
  <c r="BV440" i="6"/>
  <c r="BU440" i="6"/>
  <c r="BS440" i="6"/>
  <c r="BR440" i="6"/>
  <c r="BQ440" i="6"/>
  <c r="BP440" i="6"/>
  <c r="BO440" i="6"/>
  <c r="BN440" i="6"/>
  <c r="BM440" i="6"/>
  <c r="BL440" i="6"/>
  <c r="BK440" i="6"/>
  <c r="BJ440" i="6"/>
  <c r="BI440" i="6"/>
  <c r="BH440" i="6"/>
  <c r="BG440" i="6"/>
  <c r="BF440" i="6"/>
  <c r="BE440" i="6"/>
  <c r="BD440" i="6"/>
  <c r="BC440" i="6"/>
  <c r="BB440" i="6"/>
  <c r="BA440" i="6"/>
  <c r="AZ440" i="6"/>
  <c r="AY440" i="6"/>
  <c r="AX440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BX439" i="6"/>
  <c r="BW439" i="6"/>
  <c r="BV439" i="6"/>
  <c r="BU439" i="6"/>
  <c r="BS439" i="6"/>
  <c r="BR439" i="6"/>
  <c r="BQ439" i="6"/>
  <c r="BP439" i="6"/>
  <c r="BN439" i="6"/>
  <c r="BM439" i="6"/>
  <c r="BL439" i="6"/>
  <c r="BK439" i="6"/>
  <c r="BI439" i="6"/>
  <c r="BH439" i="6"/>
  <c r="BG439" i="6"/>
  <c r="BF439" i="6"/>
  <c r="BE439" i="6"/>
  <c r="BD439" i="6"/>
  <c r="BC439" i="6"/>
  <c r="BB439" i="6"/>
  <c r="BA439" i="6"/>
  <c r="AY439" i="6"/>
  <c r="AX439" i="6"/>
  <c r="AW439" i="6"/>
  <c r="AV439" i="6"/>
  <c r="AT439" i="6"/>
  <c r="AS439" i="6"/>
  <c r="AR439" i="6"/>
  <c r="AQ439" i="6"/>
  <c r="AO439" i="6"/>
  <c r="AN439" i="6"/>
  <c r="AM439" i="6"/>
  <c r="AL439" i="6"/>
  <c r="AJ439" i="6"/>
  <c r="AI439" i="6"/>
  <c r="AH439" i="6"/>
  <c r="AG439" i="6"/>
  <c r="AE439" i="6"/>
  <c r="AD439" i="6"/>
  <c r="AC439" i="6"/>
  <c r="AB439" i="6"/>
  <c r="Z439" i="6"/>
  <c r="Y439" i="6"/>
  <c r="X439" i="6"/>
  <c r="W439" i="6"/>
  <c r="U439" i="6"/>
  <c r="T439" i="6"/>
  <c r="S439" i="6"/>
  <c r="R439" i="6"/>
  <c r="P439" i="6"/>
  <c r="O439" i="6"/>
  <c r="N439" i="6"/>
  <c r="M439" i="6"/>
  <c r="K439" i="6"/>
  <c r="J439" i="6"/>
  <c r="I439" i="6"/>
  <c r="H439" i="6"/>
  <c r="G439" i="6"/>
  <c r="BX438" i="6"/>
  <c r="BW438" i="6"/>
  <c r="BV438" i="6"/>
  <c r="BU438" i="6"/>
  <c r="BS438" i="6"/>
  <c r="BR438" i="6"/>
  <c r="BQ438" i="6"/>
  <c r="BP438" i="6"/>
  <c r="BN438" i="6"/>
  <c r="BM438" i="6"/>
  <c r="BL438" i="6"/>
  <c r="BK438" i="6"/>
  <c r="BI438" i="6"/>
  <c r="BH438" i="6"/>
  <c r="BG438" i="6"/>
  <c r="BF438" i="6"/>
  <c r="BD438" i="6"/>
  <c r="BC438" i="6"/>
  <c r="BB438" i="6"/>
  <c r="BA438" i="6"/>
  <c r="AY438" i="6"/>
  <c r="AX438" i="6"/>
  <c r="AW438" i="6"/>
  <c r="AV438" i="6"/>
  <c r="AT438" i="6"/>
  <c r="AS438" i="6"/>
  <c r="AR438" i="6"/>
  <c r="AQ438" i="6"/>
  <c r="AO438" i="6"/>
  <c r="AN438" i="6"/>
  <c r="AM438" i="6"/>
  <c r="AL438" i="6"/>
  <c r="AJ438" i="6"/>
  <c r="AI438" i="6"/>
  <c r="AH438" i="6"/>
  <c r="AG438" i="6"/>
  <c r="AE438" i="6"/>
  <c r="AD438" i="6"/>
  <c r="AC438" i="6"/>
  <c r="AB438" i="6"/>
  <c r="Z438" i="6"/>
  <c r="Y438" i="6"/>
  <c r="X438" i="6"/>
  <c r="W438" i="6"/>
  <c r="U438" i="6"/>
  <c r="T438" i="6"/>
  <c r="S438" i="6"/>
  <c r="R438" i="6"/>
  <c r="P438" i="6"/>
  <c r="O438" i="6"/>
  <c r="N438" i="6"/>
  <c r="M438" i="6"/>
  <c r="K438" i="6"/>
  <c r="J438" i="6"/>
  <c r="I438" i="6"/>
  <c r="H438" i="6"/>
  <c r="CA437" i="6"/>
  <c r="BZ437" i="6"/>
  <c r="BX437" i="6"/>
  <c r="BW437" i="6"/>
  <c r="BV437" i="6"/>
  <c r="BU437" i="6"/>
  <c r="BT437" i="6"/>
  <c r="BS437" i="6"/>
  <c r="BR437" i="6"/>
  <c r="BQ437" i="6"/>
  <c r="BP437" i="6"/>
  <c r="BO437" i="6"/>
  <c r="BN437" i="6"/>
  <c r="BM437" i="6"/>
  <c r="BL437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AY437" i="6"/>
  <c r="AX437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BX436" i="6"/>
  <c r="BW436" i="6"/>
  <c r="BV436" i="6"/>
  <c r="BU436" i="6"/>
  <c r="BS436" i="6"/>
  <c r="BR436" i="6"/>
  <c r="BQ436" i="6"/>
  <c r="BP436" i="6"/>
  <c r="BO436" i="6"/>
  <c r="BN436" i="6"/>
  <c r="BM436" i="6"/>
  <c r="BL436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AY436" i="6"/>
  <c r="AX436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BX435" i="6"/>
  <c r="BW435" i="6"/>
  <c r="BV435" i="6"/>
  <c r="BU435" i="6"/>
  <c r="BS435" i="6"/>
  <c r="BR435" i="6"/>
  <c r="BQ435" i="6"/>
  <c r="BP435" i="6"/>
  <c r="BO435" i="6"/>
  <c r="BN435" i="6"/>
  <c r="BM435" i="6"/>
  <c r="BL435" i="6"/>
  <c r="BK435" i="6"/>
  <c r="BJ435" i="6"/>
  <c r="BI435" i="6"/>
  <c r="BH435" i="6"/>
  <c r="BG435" i="6"/>
  <c r="BF435" i="6"/>
  <c r="BE435" i="6"/>
  <c r="BD435" i="6"/>
  <c r="BC435" i="6"/>
  <c r="BB435" i="6"/>
  <c r="BA435" i="6"/>
  <c r="AZ435" i="6"/>
  <c r="AY435" i="6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BX434" i="6"/>
  <c r="BW434" i="6"/>
  <c r="BV434" i="6"/>
  <c r="BU434" i="6"/>
  <c r="BS434" i="6"/>
  <c r="BR434" i="6"/>
  <c r="BQ434" i="6"/>
  <c r="BP434" i="6"/>
  <c r="BO434" i="6"/>
  <c r="BN434" i="6"/>
  <c r="BM434" i="6"/>
  <c r="BL434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AY434" i="6"/>
  <c r="AX434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BX433" i="6"/>
  <c r="BW433" i="6"/>
  <c r="BV433" i="6"/>
  <c r="BU433" i="6"/>
  <c r="BS433" i="6"/>
  <c r="BR433" i="6"/>
  <c r="BQ433" i="6"/>
  <c r="BP433" i="6"/>
  <c r="BO433" i="6"/>
  <c r="BN433" i="6"/>
  <c r="BM433" i="6"/>
  <c r="BL433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AY433" i="6"/>
  <c r="AX433" i="6"/>
  <c r="AW433" i="6"/>
  <c r="AV433" i="6"/>
  <c r="AU433" i="6"/>
  <c r="AT433" i="6"/>
  <c r="AS433" i="6"/>
  <c r="AR433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BX432" i="6"/>
  <c r="BW432" i="6"/>
  <c r="BV432" i="6"/>
  <c r="BU432" i="6"/>
  <c r="BS432" i="6"/>
  <c r="BR432" i="6"/>
  <c r="BQ432" i="6"/>
  <c r="BP432" i="6"/>
  <c r="BN432" i="6"/>
  <c r="BM432" i="6"/>
  <c r="BL432" i="6"/>
  <c r="BK432" i="6"/>
  <c r="BI432" i="6"/>
  <c r="BH432" i="6"/>
  <c r="BG432" i="6"/>
  <c r="BF432" i="6"/>
  <c r="BD432" i="6"/>
  <c r="BC432" i="6"/>
  <c r="BB432" i="6"/>
  <c r="BA432" i="6"/>
  <c r="AY432" i="6"/>
  <c r="AX432" i="6"/>
  <c r="AW432" i="6"/>
  <c r="AV432" i="6"/>
  <c r="AT432" i="6"/>
  <c r="AS432" i="6"/>
  <c r="AR432" i="6"/>
  <c r="AQ432" i="6"/>
  <c r="AO432" i="6"/>
  <c r="AN432" i="6"/>
  <c r="AM432" i="6"/>
  <c r="AL432" i="6"/>
  <c r="AJ432" i="6"/>
  <c r="AI432" i="6"/>
  <c r="AH432" i="6"/>
  <c r="AG432" i="6"/>
  <c r="AE432" i="6"/>
  <c r="AD432" i="6"/>
  <c r="AC432" i="6"/>
  <c r="AB432" i="6"/>
  <c r="Z432" i="6"/>
  <c r="Y432" i="6"/>
  <c r="X432" i="6"/>
  <c r="W432" i="6"/>
  <c r="U432" i="6"/>
  <c r="T432" i="6"/>
  <c r="S432" i="6"/>
  <c r="R432" i="6"/>
  <c r="P432" i="6"/>
  <c r="O432" i="6"/>
  <c r="N432" i="6"/>
  <c r="M432" i="6"/>
  <c r="K432" i="6"/>
  <c r="J432" i="6"/>
  <c r="I432" i="6"/>
  <c r="H432" i="6"/>
  <c r="CA431" i="6"/>
  <c r="BZ431" i="6"/>
  <c r="BX431" i="6"/>
  <c r="BW431" i="6"/>
  <c r="BV431" i="6"/>
  <c r="BU431" i="6"/>
  <c r="BT431" i="6"/>
  <c r="BS431" i="6"/>
  <c r="BR431" i="6"/>
  <c r="BQ431" i="6"/>
  <c r="BP431" i="6"/>
  <c r="BO431" i="6"/>
  <c r="BN431" i="6"/>
  <c r="BM431" i="6"/>
  <c r="BL431" i="6"/>
  <c r="BK431" i="6"/>
  <c r="BJ431" i="6"/>
  <c r="BI431" i="6"/>
  <c r="BH431" i="6"/>
  <c r="BG431" i="6"/>
  <c r="BF431" i="6"/>
  <c r="BE431" i="6"/>
  <c r="BD431" i="6"/>
  <c r="BC431" i="6"/>
  <c r="BB431" i="6"/>
  <c r="BA431" i="6"/>
  <c r="AZ431" i="6"/>
  <c r="AY431" i="6"/>
  <c r="AX431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BX430" i="6"/>
  <c r="BW430" i="6"/>
  <c r="BV430" i="6"/>
  <c r="BU430" i="6"/>
  <c r="BS430" i="6"/>
  <c r="BR430" i="6"/>
  <c r="BQ430" i="6"/>
  <c r="BP430" i="6"/>
  <c r="BO430" i="6"/>
  <c r="BN430" i="6"/>
  <c r="BM430" i="6"/>
  <c r="BL430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AY430" i="6"/>
  <c r="AX430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BX429" i="6"/>
  <c r="BW429" i="6"/>
  <c r="BV429" i="6"/>
  <c r="BU429" i="6"/>
  <c r="BS429" i="6"/>
  <c r="BR429" i="6"/>
  <c r="BQ429" i="6"/>
  <c r="BP429" i="6"/>
  <c r="BO429" i="6"/>
  <c r="BN429" i="6"/>
  <c r="BM429" i="6"/>
  <c r="BL429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AY429" i="6"/>
  <c r="AX429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BX428" i="6"/>
  <c r="BW428" i="6"/>
  <c r="BV428" i="6"/>
  <c r="BU428" i="6"/>
  <c r="BS428" i="6"/>
  <c r="BR428" i="6"/>
  <c r="BQ428" i="6"/>
  <c r="BP428" i="6"/>
  <c r="BO428" i="6"/>
  <c r="BN428" i="6"/>
  <c r="BM428" i="6"/>
  <c r="BL428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AY428" i="6"/>
  <c r="AX428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BX427" i="6"/>
  <c r="BW427" i="6"/>
  <c r="BV427" i="6"/>
  <c r="BU427" i="6"/>
  <c r="BS427" i="6"/>
  <c r="BR427" i="6"/>
  <c r="BQ427" i="6"/>
  <c r="BP427" i="6"/>
  <c r="BN427" i="6"/>
  <c r="BM427" i="6"/>
  <c r="BL427" i="6"/>
  <c r="BK427" i="6"/>
  <c r="BI427" i="6"/>
  <c r="BH427" i="6"/>
  <c r="BG427" i="6"/>
  <c r="BF427" i="6"/>
  <c r="BE427" i="6"/>
  <c r="BD427" i="6"/>
  <c r="BC427" i="6"/>
  <c r="BB427" i="6"/>
  <c r="BA427" i="6"/>
  <c r="AZ427" i="6"/>
  <c r="AY427" i="6"/>
  <c r="AX427" i="6"/>
  <c r="AW427" i="6"/>
  <c r="AV427" i="6"/>
  <c r="AU427" i="6"/>
  <c r="AT427" i="6"/>
  <c r="AS427" i="6"/>
  <c r="AR427" i="6"/>
  <c r="AQ427" i="6"/>
  <c r="AO427" i="6"/>
  <c r="AN427" i="6"/>
  <c r="AM427" i="6"/>
  <c r="AL427" i="6"/>
  <c r="AJ427" i="6"/>
  <c r="AI427" i="6"/>
  <c r="AH427" i="6"/>
  <c r="AG427" i="6"/>
  <c r="AE427" i="6"/>
  <c r="AD427" i="6"/>
  <c r="AC427" i="6"/>
  <c r="AB427" i="6"/>
  <c r="AA427" i="6"/>
  <c r="Z427" i="6"/>
  <c r="Y427" i="6"/>
  <c r="X427" i="6"/>
  <c r="W427" i="6"/>
  <c r="U427" i="6"/>
  <c r="T427" i="6"/>
  <c r="S427" i="6"/>
  <c r="R427" i="6"/>
  <c r="P427" i="6"/>
  <c r="O427" i="6"/>
  <c r="N427" i="6"/>
  <c r="M427" i="6"/>
  <c r="K427" i="6"/>
  <c r="J427" i="6"/>
  <c r="I427" i="6"/>
  <c r="H427" i="6"/>
  <c r="G427" i="6"/>
  <c r="BX426" i="6"/>
  <c r="BW426" i="6"/>
  <c r="BV426" i="6"/>
  <c r="BU426" i="6"/>
  <c r="BS426" i="6"/>
  <c r="BR426" i="6"/>
  <c r="BQ426" i="6"/>
  <c r="BP426" i="6"/>
  <c r="BN426" i="6"/>
  <c r="BM426" i="6"/>
  <c r="BL426" i="6"/>
  <c r="BK426" i="6"/>
  <c r="BI426" i="6"/>
  <c r="BH426" i="6"/>
  <c r="BG426" i="6"/>
  <c r="BF426" i="6"/>
  <c r="BD426" i="6"/>
  <c r="BC426" i="6"/>
  <c r="BB426" i="6"/>
  <c r="BA426" i="6"/>
  <c r="AY426" i="6"/>
  <c r="AX426" i="6"/>
  <c r="AW426" i="6"/>
  <c r="AV426" i="6"/>
  <c r="AT426" i="6"/>
  <c r="AS426" i="6"/>
  <c r="AR426" i="6"/>
  <c r="AQ426" i="6"/>
  <c r="AO426" i="6"/>
  <c r="AN426" i="6"/>
  <c r="AM426" i="6"/>
  <c r="AL426" i="6"/>
  <c r="AJ426" i="6"/>
  <c r="AI426" i="6"/>
  <c r="AH426" i="6"/>
  <c r="AG426" i="6"/>
  <c r="AE426" i="6"/>
  <c r="AD426" i="6"/>
  <c r="AC426" i="6"/>
  <c r="AB426" i="6"/>
  <c r="Z426" i="6"/>
  <c r="Y426" i="6"/>
  <c r="X426" i="6"/>
  <c r="W426" i="6"/>
  <c r="U426" i="6"/>
  <c r="T426" i="6"/>
  <c r="S426" i="6"/>
  <c r="R426" i="6"/>
  <c r="P426" i="6"/>
  <c r="O426" i="6"/>
  <c r="N426" i="6"/>
  <c r="M426" i="6"/>
  <c r="K426" i="6"/>
  <c r="J426" i="6"/>
  <c r="I426" i="6"/>
  <c r="H426" i="6"/>
  <c r="CA425" i="6"/>
  <c r="BZ425" i="6"/>
  <c r="BX425" i="6"/>
  <c r="BW425" i="6"/>
  <c r="BV425" i="6"/>
  <c r="BU425" i="6"/>
  <c r="BT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BX424" i="6"/>
  <c r="BW424" i="6"/>
  <c r="BV424" i="6"/>
  <c r="BU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BX423" i="6"/>
  <c r="BW423" i="6"/>
  <c r="BV423" i="6"/>
  <c r="BU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BX422" i="6"/>
  <c r="BW422" i="6"/>
  <c r="BV422" i="6"/>
  <c r="BU422" i="6"/>
  <c r="BS422" i="6"/>
  <c r="BR422" i="6"/>
  <c r="BQ422" i="6"/>
  <c r="BP422" i="6"/>
  <c r="BO422" i="6"/>
  <c r="BN422" i="6"/>
  <c r="BM422" i="6"/>
  <c r="BL422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BX421" i="6"/>
  <c r="BW421" i="6"/>
  <c r="BV421" i="6"/>
  <c r="BU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AY421" i="6"/>
  <c r="AX421" i="6"/>
  <c r="AW421" i="6"/>
  <c r="AV421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BX420" i="6"/>
  <c r="BW420" i="6"/>
  <c r="BV420" i="6"/>
  <c r="BU420" i="6"/>
  <c r="BS420" i="6"/>
  <c r="BR420" i="6"/>
  <c r="BQ420" i="6"/>
  <c r="BP420" i="6"/>
  <c r="BN420" i="6"/>
  <c r="BM420" i="6"/>
  <c r="BL420" i="6"/>
  <c r="BK420" i="6"/>
  <c r="BI420" i="6"/>
  <c r="BH420" i="6"/>
  <c r="BG420" i="6"/>
  <c r="BF420" i="6"/>
  <c r="BD420" i="6"/>
  <c r="BC420" i="6"/>
  <c r="BB420" i="6"/>
  <c r="BA420" i="6"/>
  <c r="AY420" i="6"/>
  <c r="AX420" i="6"/>
  <c r="AW420" i="6"/>
  <c r="AV420" i="6"/>
  <c r="AT420" i="6"/>
  <c r="AS420" i="6"/>
  <c r="AR420" i="6"/>
  <c r="AQ420" i="6"/>
  <c r="AO420" i="6"/>
  <c r="AN420" i="6"/>
  <c r="AM420" i="6"/>
  <c r="AL420" i="6"/>
  <c r="AJ420" i="6"/>
  <c r="AI420" i="6"/>
  <c r="AH420" i="6"/>
  <c r="AG420" i="6"/>
  <c r="AE420" i="6"/>
  <c r="AD420" i="6"/>
  <c r="AC420" i="6"/>
  <c r="AB420" i="6"/>
  <c r="Z420" i="6"/>
  <c r="Y420" i="6"/>
  <c r="X420" i="6"/>
  <c r="W420" i="6"/>
  <c r="U420" i="6"/>
  <c r="T420" i="6"/>
  <c r="S420" i="6"/>
  <c r="R420" i="6"/>
  <c r="P420" i="6"/>
  <c r="O420" i="6"/>
  <c r="N420" i="6"/>
  <c r="M420" i="6"/>
  <c r="K420" i="6"/>
  <c r="J420" i="6"/>
  <c r="I420" i="6"/>
  <c r="H420" i="6"/>
  <c r="CA419" i="6"/>
  <c r="BZ419" i="6"/>
  <c r="BX419" i="6"/>
  <c r="BW419" i="6"/>
  <c r="BV419" i="6"/>
  <c r="BU419" i="6"/>
  <c r="BT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BX418" i="6"/>
  <c r="BW418" i="6"/>
  <c r="BV418" i="6"/>
  <c r="BU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BX417" i="6"/>
  <c r="BW417" i="6"/>
  <c r="BV417" i="6"/>
  <c r="BU417" i="6"/>
  <c r="BS417" i="6"/>
  <c r="BR417" i="6"/>
  <c r="BQ417" i="6"/>
  <c r="BP417" i="6"/>
  <c r="BN417" i="6"/>
  <c r="BM417" i="6"/>
  <c r="BL417" i="6"/>
  <c r="BK417" i="6"/>
  <c r="BI417" i="6"/>
  <c r="BH417" i="6"/>
  <c r="BG417" i="6"/>
  <c r="BF417" i="6"/>
  <c r="BD417" i="6"/>
  <c r="BC417" i="6"/>
  <c r="BB417" i="6"/>
  <c r="BA417" i="6"/>
  <c r="AY417" i="6"/>
  <c r="AX417" i="6"/>
  <c r="AW417" i="6"/>
  <c r="AV417" i="6"/>
  <c r="AT417" i="6"/>
  <c r="AS417" i="6"/>
  <c r="AR417" i="6"/>
  <c r="AQ417" i="6"/>
  <c r="AO417" i="6"/>
  <c r="AN417" i="6"/>
  <c r="AM417" i="6"/>
  <c r="AL417" i="6"/>
  <c r="AJ417" i="6"/>
  <c r="AI417" i="6"/>
  <c r="AH417" i="6"/>
  <c r="AG417" i="6"/>
  <c r="AE417" i="6"/>
  <c r="AD417" i="6"/>
  <c r="AC417" i="6"/>
  <c r="AB417" i="6"/>
  <c r="Z417" i="6"/>
  <c r="Y417" i="6"/>
  <c r="X417" i="6"/>
  <c r="W417" i="6"/>
  <c r="U417" i="6"/>
  <c r="T417" i="6"/>
  <c r="S417" i="6"/>
  <c r="R417" i="6"/>
  <c r="P417" i="6"/>
  <c r="O417" i="6"/>
  <c r="N417" i="6"/>
  <c r="M417" i="6"/>
  <c r="K417" i="6"/>
  <c r="J417" i="6"/>
  <c r="I417" i="6"/>
  <c r="H417" i="6"/>
  <c r="CA416" i="6"/>
  <c r="BZ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BX415" i="6"/>
  <c r="BW415" i="6"/>
  <c r="BV415" i="6"/>
  <c r="BU415" i="6"/>
  <c r="BS415" i="6"/>
  <c r="BR415" i="6"/>
  <c r="BQ415" i="6"/>
  <c r="BP415" i="6"/>
  <c r="BN415" i="6"/>
  <c r="BM415" i="6"/>
  <c r="BL415" i="6"/>
  <c r="BK415" i="6"/>
  <c r="BI415" i="6"/>
  <c r="BH415" i="6"/>
  <c r="BG415" i="6"/>
  <c r="BF415" i="6"/>
  <c r="BD415" i="6"/>
  <c r="BC415" i="6"/>
  <c r="BB415" i="6"/>
  <c r="BA415" i="6"/>
  <c r="AY415" i="6"/>
  <c r="AX415" i="6"/>
  <c r="AW415" i="6"/>
  <c r="AV415" i="6"/>
  <c r="AT415" i="6"/>
  <c r="AS415" i="6"/>
  <c r="AR415" i="6"/>
  <c r="AQ415" i="6"/>
  <c r="AO415" i="6"/>
  <c r="AN415" i="6"/>
  <c r="AM415" i="6"/>
  <c r="AL415" i="6"/>
  <c r="AJ415" i="6"/>
  <c r="AI415" i="6"/>
  <c r="AH415" i="6"/>
  <c r="AG415" i="6"/>
  <c r="AE415" i="6"/>
  <c r="AD415" i="6"/>
  <c r="AC415" i="6"/>
  <c r="AB415" i="6"/>
  <c r="Z415" i="6"/>
  <c r="Y415" i="6"/>
  <c r="X415" i="6"/>
  <c r="W415" i="6"/>
  <c r="U415" i="6"/>
  <c r="T415" i="6"/>
  <c r="S415" i="6"/>
  <c r="R415" i="6"/>
  <c r="P415" i="6"/>
  <c r="O415" i="6"/>
  <c r="N415" i="6"/>
  <c r="M415" i="6"/>
  <c r="K415" i="6"/>
  <c r="J415" i="6"/>
  <c r="I415" i="6"/>
  <c r="H415" i="6"/>
  <c r="BX414" i="6"/>
  <c r="BW414" i="6"/>
  <c r="BV414" i="6"/>
  <c r="BU414" i="6"/>
  <c r="BS414" i="6"/>
  <c r="BR414" i="6"/>
  <c r="BQ414" i="6"/>
  <c r="BP414" i="6"/>
  <c r="BN414" i="6"/>
  <c r="BM414" i="6"/>
  <c r="BL414" i="6"/>
  <c r="BK414" i="6"/>
  <c r="BI414" i="6"/>
  <c r="BH414" i="6"/>
  <c r="BG414" i="6"/>
  <c r="BF414" i="6"/>
  <c r="BD414" i="6"/>
  <c r="BC414" i="6"/>
  <c r="BB414" i="6"/>
  <c r="BA414" i="6"/>
  <c r="AY414" i="6"/>
  <c r="AX414" i="6"/>
  <c r="AW414" i="6"/>
  <c r="AV414" i="6"/>
  <c r="AT414" i="6"/>
  <c r="AS414" i="6"/>
  <c r="AR414" i="6"/>
  <c r="AQ414" i="6"/>
  <c r="AO414" i="6"/>
  <c r="AN414" i="6"/>
  <c r="AM414" i="6"/>
  <c r="AL414" i="6"/>
  <c r="AJ414" i="6"/>
  <c r="AI414" i="6"/>
  <c r="AH414" i="6"/>
  <c r="AG414" i="6"/>
  <c r="AE414" i="6"/>
  <c r="AD414" i="6"/>
  <c r="AC414" i="6"/>
  <c r="AB414" i="6"/>
  <c r="Z414" i="6"/>
  <c r="Y414" i="6"/>
  <c r="X414" i="6"/>
  <c r="W414" i="6"/>
  <c r="U414" i="6"/>
  <c r="T414" i="6"/>
  <c r="S414" i="6"/>
  <c r="R414" i="6"/>
  <c r="P414" i="6"/>
  <c r="O414" i="6"/>
  <c r="N414" i="6"/>
  <c r="M414" i="6"/>
  <c r="K414" i="6"/>
  <c r="J414" i="6"/>
  <c r="I414" i="6"/>
  <c r="H414" i="6"/>
  <c r="BX413" i="6"/>
  <c r="BW413" i="6"/>
  <c r="BV413" i="6"/>
  <c r="BU413" i="6"/>
  <c r="BS413" i="6"/>
  <c r="BR413" i="6"/>
  <c r="BQ413" i="6"/>
  <c r="BP413" i="6"/>
  <c r="BN413" i="6"/>
  <c r="BM413" i="6"/>
  <c r="BL413" i="6"/>
  <c r="BK413" i="6"/>
  <c r="BI413" i="6"/>
  <c r="BH413" i="6"/>
  <c r="BG413" i="6"/>
  <c r="BF413" i="6"/>
  <c r="BD413" i="6"/>
  <c r="BC413" i="6"/>
  <c r="BB413" i="6"/>
  <c r="BA413" i="6"/>
  <c r="AY413" i="6"/>
  <c r="AX413" i="6"/>
  <c r="AW413" i="6"/>
  <c r="AV413" i="6"/>
  <c r="AT413" i="6"/>
  <c r="AS413" i="6"/>
  <c r="AR413" i="6"/>
  <c r="AQ413" i="6"/>
  <c r="AO413" i="6"/>
  <c r="AN413" i="6"/>
  <c r="AM413" i="6"/>
  <c r="AL413" i="6"/>
  <c r="AJ413" i="6"/>
  <c r="AI413" i="6"/>
  <c r="AH413" i="6"/>
  <c r="AG413" i="6"/>
  <c r="AE413" i="6"/>
  <c r="AD413" i="6"/>
  <c r="AC413" i="6"/>
  <c r="AB413" i="6"/>
  <c r="Z413" i="6"/>
  <c r="Y413" i="6"/>
  <c r="X413" i="6"/>
  <c r="W413" i="6"/>
  <c r="U413" i="6"/>
  <c r="T413" i="6"/>
  <c r="S413" i="6"/>
  <c r="R413" i="6"/>
  <c r="P413" i="6"/>
  <c r="O413" i="6"/>
  <c r="N413" i="6"/>
  <c r="M413" i="6"/>
  <c r="K413" i="6"/>
  <c r="J413" i="6"/>
  <c r="I413" i="6"/>
  <c r="H413" i="6"/>
  <c r="BX412" i="6"/>
  <c r="BW412" i="6"/>
  <c r="BV412" i="6"/>
  <c r="BU412" i="6"/>
  <c r="BS412" i="6"/>
  <c r="BR412" i="6"/>
  <c r="BQ412" i="6"/>
  <c r="BP412" i="6"/>
  <c r="BN412" i="6"/>
  <c r="BM412" i="6"/>
  <c r="BL412" i="6"/>
  <c r="BK412" i="6"/>
  <c r="BI412" i="6"/>
  <c r="BH412" i="6"/>
  <c r="BG412" i="6"/>
  <c r="BF412" i="6"/>
  <c r="BD412" i="6"/>
  <c r="BC412" i="6"/>
  <c r="BB412" i="6"/>
  <c r="BA412" i="6"/>
  <c r="AY412" i="6"/>
  <c r="AX412" i="6"/>
  <c r="AW412" i="6"/>
  <c r="AV412" i="6"/>
  <c r="AT412" i="6"/>
  <c r="AS412" i="6"/>
  <c r="AR412" i="6"/>
  <c r="AQ412" i="6"/>
  <c r="AO412" i="6"/>
  <c r="AN412" i="6"/>
  <c r="AM412" i="6"/>
  <c r="AL412" i="6"/>
  <c r="AJ412" i="6"/>
  <c r="AI412" i="6"/>
  <c r="AH412" i="6"/>
  <c r="AG412" i="6"/>
  <c r="AE412" i="6"/>
  <c r="AD412" i="6"/>
  <c r="AC412" i="6"/>
  <c r="AB412" i="6"/>
  <c r="Z412" i="6"/>
  <c r="Y412" i="6"/>
  <c r="X412" i="6"/>
  <c r="W412" i="6"/>
  <c r="U412" i="6"/>
  <c r="T412" i="6"/>
  <c r="S412" i="6"/>
  <c r="R412" i="6"/>
  <c r="P412" i="6"/>
  <c r="O412" i="6"/>
  <c r="N412" i="6"/>
  <c r="M412" i="6"/>
  <c r="K412" i="6"/>
  <c r="J412" i="6"/>
  <c r="I412" i="6"/>
  <c r="H412" i="6"/>
  <c r="BX411" i="6"/>
  <c r="BW411" i="6"/>
  <c r="BV411" i="6"/>
  <c r="BU411" i="6"/>
  <c r="BS411" i="6"/>
  <c r="BR411" i="6"/>
  <c r="BQ411" i="6"/>
  <c r="BP411" i="6"/>
  <c r="BN411" i="6"/>
  <c r="BM411" i="6"/>
  <c r="BL411" i="6"/>
  <c r="BK411" i="6"/>
  <c r="BI411" i="6"/>
  <c r="BH411" i="6"/>
  <c r="BG411" i="6"/>
  <c r="BF411" i="6"/>
  <c r="BD411" i="6"/>
  <c r="BC411" i="6"/>
  <c r="BB411" i="6"/>
  <c r="BA411" i="6"/>
  <c r="AY411" i="6"/>
  <c r="AX411" i="6"/>
  <c r="AW411" i="6"/>
  <c r="AV411" i="6"/>
  <c r="AT411" i="6"/>
  <c r="AS411" i="6"/>
  <c r="AR411" i="6"/>
  <c r="AQ411" i="6"/>
  <c r="AO411" i="6"/>
  <c r="AN411" i="6"/>
  <c r="AM411" i="6"/>
  <c r="AL411" i="6"/>
  <c r="AJ411" i="6"/>
  <c r="AI411" i="6"/>
  <c r="AH411" i="6"/>
  <c r="AG411" i="6"/>
  <c r="AE411" i="6"/>
  <c r="AD411" i="6"/>
  <c r="AC411" i="6"/>
  <c r="AB411" i="6"/>
  <c r="Z411" i="6"/>
  <c r="Y411" i="6"/>
  <c r="X411" i="6"/>
  <c r="W411" i="6"/>
  <c r="U411" i="6"/>
  <c r="T411" i="6"/>
  <c r="S411" i="6"/>
  <c r="R411" i="6"/>
  <c r="P411" i="6"/>
  <c r="O411" i="6"/>
  <c r="N411" i="6"/>
  <c r="M411" i="6"/>
  <c r="K411" i="6"/>
  <c r="J411" i="6"/>
  <c r="I411" i="6"/>
  <c r="H411" i="6"/>
  <c r="CA410" i="6"/>
  <c r="BZ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CA409" i="6"/>
  <c r="BZ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BX408" i="6"/>
  <c r="BW408" i="6"/>
  <c r="BV408" i="6"/>
  <c r="BU408" i="6"/>
  <c r="BS408" i="6"/>
  <c r="BR408" i="6"/>
  <c r="BQ408" i="6"/>
  <c r="BP408" i="6"/>
  <c r="BN408" i="6"/>
  <c r="BM408" i="6"/>
  <c r="BL408" i="6"/>
  <c r="BK408" i="6"/>
  <c r="BI408" i="6"/>
  <c r="BH408" i="6"/>
  <c r="BG408" i="6"/>
  <c r="BF408" i="6"/>
  <c r="BD408" i="6"/>
  <c r="BC408" i="6"/>
  <c r="BB408" i="6"/>
  <c r="BA408" i="6"/>
  <c r="AY408" i="6"/>
  <c r="AX408" i="6"/>
  <c r="AW408" i="6"/>
  <c r="AV408" i="6"/>
  <c r="AT408" i="6"/>
  <c r="AS408" i="6"/>
  <c r="AR408" i="6"/>
  <c r="AQ408" i="6"/>
  <c r="AO408" i="6"/>
  <c r="AN408" i="6"/>
  <c r="AM408" i="6"/>
  <c r="AL408" i="6"/>
  <c r="AJ408" i="6"/>
  <c r="AI408" i="6"/>
  <c r="AH408" i="6"/>
  <c r="AG408" i="6"/>
  <c r="AE408" i="6"/>
  <c r="AD408" i="6"/>
  <c r="AC408" i="6"/>
  <c r="AB408" i="6"/>
  <c r="Z408" i="6"/>
  <c r="Y408" i="6"/>
  <c r="X408" i="6"/>
  <c r="W408" i="6"/>
  <c r="U408" i="6"/>
  <c r="T408" i="6"/>
  <c r="S408" i="6"/>
  <c r="R408" i="6"/>
  <c r="P408" i="6"/>
  <c r="O408" i="6"/>
  <c r="N408" i="6"/>
  <c r="M408" i="6"/>
  <c r="K408" i="6"/>
  <c r="J408" i="6"/>
  <c r="I408" i="6"/>
  <c r="H408" i="6"/>
  <c r="BX407" i="6"/>
  <c r="BW407" i="6"/>
  <c r="BV407" i="6"/>
  <c r="BU407" i="6"/>
  <c r="BS407" i="6"/>
  <c r="BR407" i="6"/>
  <c r="BQ407" i="6"/>
  <c r="BP407" i="6"/>
  <c r="BN407" i="6"/>
  <c r="BM407" i="6"/>
  <c r="BL407" i="6"/>
  <c r="BK407" i="6"/>
  <c r="BI407" i="6"/>
  <c r="BH407" i="6"/>
  <c r="BG407" i="6"/>
  <c r="BF407" i="6"/>
  <c r="BD407" i="6"/>
  <c r="BC407" i="6"/>
  <c r="BB407" i="6"/>
  <c r="BA407" i="6"/>
  <c r="AY407" i="6"/>
  <c r="AX407" i="6"/>
  <c r="AW407" i="6"/>
  <c r="AV407" i="6"/>
  <c r="AT407" i="6"/>
  <c r="AS407" i="6"/>
  <c r="AR407" i="6"/>
  <c r="AQ407" i="6"/>
  <c r="AO407" i="6"/>
  <c r="AN407" i="6"/>
  <c r="AM407" i="6"/>
  <c r="AL407" i="6"/>
  <c r="AJ407" i="6"/>
  <c r="AI407" i="6"/>
  <c r="AH407" i="6"/>
  <c r="AG407" i="6"/>
  <c r="AE407" i="6"/>
  <c r="AD407" i="6"/>
  <c r="AC407" i="6"/>
  <c r="AB407" i="6"/>
  <c r="Z407" i="6"/>
  <c r="Y407" i="6"/>
  <c r="X407" i="6"/>
  <c r="W407" i="6"/>
  <c r="U407" i="6"/>
  <c r="T407" i="6"/>
  <c r="S407" i="6"/>
  <c r="R407" i="6"/>
  <c r="P407" i="6"/>
  <c r="O407" i="6"/>
  <c r="N407" i="6"/>
  <c r="M407" i="6"/>
  <c r="K407" i="6"/>
  <c r="J407" i="6"/>
  <c r="I407" i="6"/>
  <c r="H407" i="6"/>
  <c r="BX406" i="6"/>
  <c r="BW406" i="6"/>
  <c r="BV406" i="6"/>
  <c r="BU406" i="6"/>
  <c r="BS406" i="6"/>
  <c r="BR406" i="6"/>
  <c r="BQ406" i="6"/>
  <c r="BP406" i="6"/>
  <c r="BN406" i="6"/>
  <c r="BM406" i="6"/>
  <c r="BL406" i="6"/>
  <c r="BK406" i="6"/>
  <c r="BI406" i="6"/>
  <c r="BH406" i="6"/>
  <c r="BG406" i="6"/>
  <c r="BF406" i="6"/>
  <c r="BD406" i="6"/>
  <c r="BC406" i="6"/>
  <c r="BB406" i="6"/>
  <c r="BA406" i="6"/>
  <c r="AY406" i="6"/>
  <c r="AX406" i="6"/>
  <c r="AW406" i="6"/>
  <c r="AV406" i="6"/>
  <c r="AT406" i="6"/>
  <c r="AS406" i="6"/>
  <c r="AR406" i="6"/>
  <c r="AQ406" i="6"/>
  <c r="AO406" i="6"/>
  <c r="AN406" i="6"/>
  <c r="AM406" i="6"/>
  <c r="AL406" i="6"/>
  <c r="AJ406" i="6"/>
  <c r="AI406" i="6"/>
  <c r="AH406" i="6"/>
  <c r="AG406" i="6"/>
  <c r="AE406" i="6"/>
  <c r="AD406" i="6"/>
  <c r="AC406" i="6"/>
  <c r="AB406" i="6"/>
  <c r="Z406" i="6"/>
  <c r="Y406" i="6"/>
  <c r="X406" i="6"/>
  <c r="W406" i="6"/>
  <c r="U406" i="6"/>
  <c r="T406" i="6"/>
  <c r="S406" i="6"/>
  <c r="R406" i="6"/>
  <c r="P406" i="6"/>
  <c r="O406" i="6"/>
  <c r="N406" i="6"/>
  <c r="M406" i="6"/>
  <c r="K406" i="6"/>
  <c r="J406" i="6"/>
  <c r="I406" i="6"/>
  <c r="H406" i="6"/>
  <c r="BX405" i="6"/>
  <c r="BW405" i="6"/>
  <c r="BV405" i="6"/>
  <c r="BU405" i="6"/>
  <c r="BS405" i="6"/>
  <c r="BR405" i="6"/>
  <c r="BQ405" i="6"/>
  <c r="BP405" i="6"/>
  <c r="BN405" i="6"/>
  <c r="BM405" i="6"/>
  <c r="BL405" i="6"/>
  <c r="BK405" i="6"/>
  <c r="BI405" i="6"/>
  <c r="BH405" i="6"/>
  <c r="BG405" i="6"/>
  <c r="BF405" i="6"/>
  <c r="BD405" i="6"/>
  <c r="BC405" i="6"/>
  <c r="BB405" i="6"/>
  <c r="BA405" i="6"/>
  <c r="AY405" i="6"/>
  <c r="AX405" i="6"/>
  <c r="AW405" i="6"/>
  <c r="AV405" i="6"/>
  <c r="AT405" i="6"/>
  <c r="AS405" i="6"/>
  <c r="AR405" i="6"/>
  <c r="AQ405" i="6"/>
  <c r="AO405" i="6"/>
  <c r="AN405" i="6"/>
  <c r="AM405" i="6"/>
  <c r="AL405" i="6"/>
  <c r="AJ405" i="6"/>
  <c r="AI405" i="6"/>
  <c r="AH405" i="6"/>
  <c r="AG405" i="6"/>
  <c r="AE405" i="6"/>
  <c r="AD405" i="6"/>
  <c r="AC405" i="6"/>
  <c r="AB405" i="6"/>
  <c r="Z405" i="6"/>
  <c r="Y405" i="6"/>
  <c r="X405" i="6"/>
  <c r="W405" i="6"/>
  <c r="U405" i="6"/>
  <c r="T405" i="6"/>
  <c r="S405" i="6"/>
  <c r="R405" i="6"/>
  <c r="P405" i="6"/>
  <c r="O405" i="6"/>
  <c r="N405" i="6"/>
  <c r="M405" i="6"/>
  <c r="K405" i="6"/>
  <c r="J405" i="6"/>
  <c r="I405" i="6"/>
  <c r="H405" i="6"/>
  <c r="EL397" i="6"/>
  <c r="BT397" i="6"/>
  <c r="BT396" i="6" s="1"/>
  <c r="EL396" i="6"/>
  <c r="EG396" i="6"/>
  <c r="EB396" i="6"/>
  <c r="DW396" i="6"/>
  <c r="DR396" i="6"/>
  <c r="DM396" i="6"/>
  <c r="DH396" i="6"/>
  <c r="DC396" i="6"/>
  <c r="CX396" i="6"/>
  <c r="CS396" i="6"/>
  <c r="CN396" i="6"/>
  <c r="CI396" i="6"/>
  <c r="CD396" i="6"/>
  <c r="BY396" i="6"/>
  <c r="BO396" i="6"/>
  <c r="BJ396" i="6"/>
  <c r="BE396" i="6"/>
  <c r="AZ396" i="6"/>
  <c r="AU396" i="6"/>
  <c r="AP396" i="6"/>
  <c r="AK396" i="6"/>
  <c r="AF396" i="6"/>
  <c r="AA396" i="6"/>
  <c r="V396" i="6"/>
  <c r="Q396" i="6"/>
  <c r="L396" i="6"/>
  <c r="G396" i="6"/>
  <c r="EL394" i="6"/>
  <c r="BT394" i="6"/>
  <c r="BT393" i="6" s="1"/>
  <c r="EL393" i="6"/>
  <c r="EG393" i="6"/>
  <c r="EB393" i="6"/>
  <c r="DW393" i="6"/>
  <c r="DR393" i="6"/>
  <c r="DM393" i="6"/>
  <c r="DH393" i="6"/>
  <c r="DC393" i="6"/>
  <c r="CX393" i="6"/>
  <c r="CS393" i="6"/>
  <c r="CN393" i="6"/>
  <c r="CI393" i="6"/>
  <c r="CD393" i="6"/>
  <c r="BY393" i="6"/>
  <c r="BO393" i="6"/>
  <c r="BJ393" i="6"/>
  <c r="BE393" i="6"/>
  <c r="AZ393" i="6"/>
  <c r="AU393" i="6"/>
  <c r="AP393" i="6"/>
  <c r="AK393" i="6"/>
  <c r="AF393" i="6"/>
  <c r="AA393" i="6"/>
  <c r="V393" i="6"/>
  <c r="Q393" i="6"/>
  <c r="L393" i="6"/>
  <c r="G393" i="6"/>
  <c r="EL391" i="6"/>
  <c r="BT391" i="6"/>
  <c r="BT390" i="6" s="1"/>
  <c r="EL390" i="6"/>
  <c r="EG390" i="6"/>
  <c r="EB390" i="6"/>
  <c r="DW390" i="6"/>
  <c r="DR390" i="6"/>
  <c r="DM390" i="6"/>
  <c r="DH390" i="6"/>
  <c r="DC390" i="6"/>
  <c r="CX390" i="6"/>
  <c r="CS390" i="6"/>
  <c r="CN390" i="6"/>
  <c r="CI390" i="6"/>
  <c r="CD390" i="6"/>
  <c r="BY390" i="6"/>
  <c r="BO390" i="6"/>
  <c r="BJ390" i="6"/>
  <c r="BE390" i="6"/>
  <c r="AZ390" i="6"/>
  <c r="AU390" i="6"/>
  <c r="AP390" i="6"/>
  <c r="AK390" i="6"/>
  <c r="AF390" i="6"/>
  <c r="AA390" i="6"/>
  <c r="V390" i="6"/>
  <c r="Q390" i="6"/>
  <c r="L390" i="6"/>
  <c r="G390" i="6"/>
  <c r="EL388" i="6"/>
  <c r="BT388" i="6"/>
  <c r="BT387" i="6" s="1"/>
  <c r="EL387" i="6"/>
  <c r="EG387" i="6"/>
  <c r="EB387" i="6"/>
  <c r="DW387" i="6"/>
  <c r="DR387" i="6"/>
  <c r="DM387" i="6"/>
  <c r="DH387" i="6"/>
  <c r="DC387" i="6"/>
  <c r="CX387" i="6"/>
  <c r="CS387" i="6"/>
  <c r="CN387" i="6"/>
  <c r="CI387" i="6"/>
  <c r="CD387" i="6"/>
  <c r="BY387" i="6"/>
  <c r="BO387" i="6"/>
  <c r="BJ387" i="6"/>
  <c r="BE387" i="6"/>
  <c r="AZ387" i="6"/>
  <c r="AU387" i="6"/>
  <c r="AP387" i="6"/>
  <c r="AK387" i="6"/>
  <c r="AF387" i="6"/>
  <c r="AA387" i="6"/>
  <c r="V387" i="6"/>
  <c r="Q387" i="6"/>
  <c r="L387" i="6"/>
  <c r="G387" i="6"/>
  <c r="EL385" i="6"/>
  <c r="BT385" i="6"/>
  <c r="BT384" i="6" s="1"/>
  <c r="EL384" i="6"/>
  <c r="EG384" i="6"/>
  <c r="EB384" i="6"/>
  <c r="DW384" i="6"/>
  <c r="DR384" i="6"/>
  <c r="DM384" i="6"/>
  <c r="DH384" i="6"/>
  <c r="DC384" i="6"/>
  <c r="CX384" i="6"/>
  <c r="CS384" i="6"/>
  <c r="CN384" i="6"/>
  <c r="CI384" i="6"/>
  <c r="CD384" i="6"/>
  <c r="BY384" i="6"/>
  <c r="BO384" i="6"/>
  <c r="BJ384" i="6"/>
  <c r="BE384" i="6"/>
  <c r="AZ384" i="6"/>
  <c r="AU384" i="6"/>
  <c r="AP384" i="6"/>
  <c r="AK384" i="6"/>
  <c r="AF384" i="6"/>
  <c r="AA384" i="6"/>
  <c r="V384" i="6"/>
  <c r="Q384" i="6"/>
  <c r="L384" i="6"/>
  <c r="G384" i="6"/>
  <c r="CA738" i="6"/>
  <c r="BZ738" i="6"/>
  <c r="EL382" i="6"/>
  <c r="EL381" i="6" s="1"/>
  <c r="BT382" i="6"/>
  <c r="CA737" i="6"/>
  <c r="BZ737" i="6"/>
  <c r="EG381" i="6"/>
  <c r="EB381" i="6"/>
  <c r="DW381" i="6"/>
  <c r="DR381" i="6"/>
  <c r="DM381" i="6"/>
  <c r="DH381" i="6"/>
  <c r="DC381" i="6"/>
  <c r="CX381" i="6"/>
  <c r="CS381" i="6"/>
  <c r="CN381" i="6"/>
  <c r="CI381" i="6"/>
  <c r="CD381" i="6"/>
  <c r="BY381" i="6"/>
  <c r="BT381" i="6"/>
  <c r="BT737" i="6" s="1"/>
  <c r="BO381" i="6"/>
  <c r="BO737" i="6" s="1"/>
  <c r="BJ381" i="6"/>
  <c r="BE381" i="6"/>
  <c r="AZ381" i="6"/>
  <c r="AU381" i="6"/>
  <c r="AP381" i="6"/>
  <c r="AP737" i="6" s="1"/>
  <c r="AK381" i="6"/>
  <c r="AK737" i="6" s="1"/>
  <c r="AF381" i="6"/>
  <c r="AA381" i="6"/>
  <c r="V381" i="6"/>
  <c r="Q381" i="6"/>
  <c r="L381" i="6"/>
  <c r="L737" i="6" s="1"/>
  <c r="G381" i="6"/>
  <c r="G737" i="6" s="1"/>
  <c r="CA735" i="6"/>
  <c r="BZ735" i="6"/>
  <c r="EL379" i="6"/>
  <c r="EL378" i="6" s="1"/>
  <c r="BT379" i="6"/>
  <c r="CA734" i="6"/>
  <c r="BZ734" i="6"/>
  <c r="EG378" i="6"/>
  <c r="EB378" i="6"/>
  <c r="DW378" i="6"/>
  <c r="DR378" i="6"/>
  <c r="DM378" i="6"/>
  <c r="DH378" i="6"/>
  <c r="DC378" i="6"/>
  <c r="CX378" i="6"/>
  <c r="CS378" i="6"/>
  <c r="CN378" i="6"/>
  <c r="CI378" i="6"/>
  <c r="CD378" i="6"/>
  <c r="BY378" i="6"/>
  <c r="BT378" i="6"/>
  <c r="BO378" i="6"/>
  <c r="BJ378" i="6"/>
  <c r="BE378" i="6"/>
  <c r="BE734" i="6" s="1"/>
  <c r="AZ378" i="6"/>
  <c r="AU378" i="6"/>
  <c r="AP378" i="6"/>
  <c r="AP734" i="6" s="1"/>
  <c r="AK378" i="6"/>
  <c r="AF378" i="6"/>
  <c r="AA378" i="6"/>
  <c r="AA734" i="6" s="1"/>
  <c r="V378" i="6"/>
  <c r="Q378" i="6"/>
  <c r="L378" i="6"/>
  <c r="L734" i="6" s="1"/>
  <c r="G378" i="6"/>
  <c r="CA732" i="6"/>
  <c r="BZ732" i="6"/>
  <c r="EL376" i="6"/>
  <c r="BT376" i="6"/>
  <c r="BT732" i="6" s="1"/>
  <c r="CA731" i="6"/>
  <c r="BZ731" i="6"/>
  <c r="EL375" i="6"/>
  <c r="EG375" i="6"/>
  <c r="EB375" i="6"/>
  <c r="DW375" i="6"/>
  <c r="DR375" i="6"/>
  <c r="DM375" i="6"/>
  <c r="DH375" i="6"/>
  <c r="DC375" i="6"/>
  <c r="CX375" i="6"/>
  <c r="CS375" i="6"/>
  <c r="CN375" i="6"/>
  <c r="CI375" i="6"/>
  <c r="CD375" i="6"/>
  <c r="BY375" i="6"/>
  <c r="BO375" i="6"/>
  <c r="BJ375" i="6"/>
  <c r="BE375" i="6"/>
  <c r="AZ375" i="6"/>
  <c r="AU375" i="6"/>
  <c r="AP375" i="6"/>
  <c r="AK375" i="6"/>
  <c r="AF375" i="6"/>
  <c r="AA375" i="6"/>
  <c r="V375" i="6"/>
  <c r="Q375" i="6"/>
  <c r="L375" i="6"/>
  <c r="G375" i="6"/>
  <c r="CA729" i="6"/>
  <c r="BZ729" i="6"/>
  <c r="EL373" i="6"/>
  <c r="EL372" i="6" s="1"/>
  <c r="BT373" i="6"/>
  <c r="BT729" i="6" s="1"/>
  <c r="CA728" i="6"/>
  <c r="BZ728" i="6"/>
  <c r="EG372" i="6"/>
  <c r="EB372" i="6"/>
  <c r="DW372" i="6"/>
  <c r="DR372" i="6"/>
  <c r="DM372" i="6"/>
  <c r="DH372" i="6"/>
  <c r="DC372" i="6"/>
  <c r="CX372" i="6"/>
  <c r="CS372" i="6"/>
  <c r="CN372" i="6"/>
  <c r="CI372" i="6"/>
  <c r="CD372" i="6"/>
  <c r="BY372" i="6"/>
  <c r="BO372" i="6"/>
  <c r="BO728" i="6" s="1"/>
  <c r="BJ372" i="6"/>
  <c r="BE372" i="6"/>
  <c r="AZ372" i="6"/>
  <c r="AU372" i="6"/>
  <c r="AP372" i="6"/>
  <c r="AP728" i="6" s="1"/>
  <c r="AK372" i="6"/>
  <c r="AK728" i="6" s="1"/>
  <c r="AF372" i="6"/>
  <c r="AA372" i="6"/>
  <c r="V372" i="6"/>
  <c r="Q372" i="6"/>
  <c r="L372" i="6"/>
  <c r="L728" i="6" s="1"/>
  <c r="G372" i="6"/>
  <c r="G728" i="6" s="1"/>
  <c r="CA726" i="6"/>
  <c r="BZ726" i="6"/>
  <c r="EL370" i="6"/>
  <c r="EL369" i="6" s="1"/>
  <c r="BT370" i="6"/>
  <c r="CA725" i="6"/>
  <c r="BZ725" i="6"/>
  <c r="EG369" i="6"/>
  <c r="EB369" i="6"/>
  <c r="DW369" i="6"/>
  <c r="DR369" i="6"/>
  <c r="DM369" i="6"/>
  <c r="DH369" i="6"/>
  <c r="DC369" i="6"/>
  <c r="CX369" i="6"/>
  <c r="CS369" i="6"/>
  <c r="CN369" i="6"/>
  <c r="CI369" i="6"/>
  <c r="CD369" i="6"/>
  <c r="BY369" i="6"/>
  <c r="BT369" i="6"/>
  <c r="BO369" i="6"/>
  <c r="BJ369" i="6"/>
  <c r="BE369" i="6"/>
  <c r="BE725" i="6" s="1"/>
  <c r="AZ369" i="6"/>
  <c r="AU369" i="6"/>
  <c r="AP369" i="6"/>
  <c r="AP725" i="6" s="1"/>
  <c r="AK369" i="6"/>
  <c r="AF369" i="6"/>
  <c r="AA369" i="6"/>
  <c r="AA725" i="6" s="1"/>
  <c r="V369" i="6"/>
  <c r="Q369" i="6"/>
  <c r="L369" i="6"/>
  <c r="L725" i="6" s="1"/>
  <c r="G369" i="6"/>
  <c r="CA723" i="6"/>
  <c r="BZ723" i="6"/>
  <c r="EL367" i="6"/>
  <c r="BT367" i="6"/>
  <c r="BT723" i="6" s="1"/>
  <c r="CA722" i="6"/>
  <c r="BZ722" i="6"/>
  <c r="EL366" i="6"/>
  <c r="EG366" i="6"/>
  <c r="EB366" i="6"/>
  <c r="DW366" i="6"/>
  <c r="DR366" i="6"/>
  <c r="DM366" i="6"/>
  <c r="DH366" i="6"/>
  <c r="DC366" i="6"/>
  <c r="CX366" i="6"/>
  <c r="CS366" i="6"/>
  <c r="CN366" i="6"/>
  <c r="CI366" i="6"/>
  <c r="CD366" i="6"/>
  <c r="BY366" i="6"/>
  <c r="BO366" i="6"/>
  <c r="BJ366" i="6"/>
  <c r="BE366" i="6"/>
  <c r="AZ366" i="6"/>
  <c r="AU366" i="6"/>
  <c r="AP366" i="6"/>
  <c r="AK366" i="6"/>
  <c r="AF366" i="6"/>
  <c r="AA366" i="6"/>
  <c r="V366" i="6"/>
  <c r="Q366" i="6"/>
  <c r="L366" i="6"/>
  <c r="G366" i="6"/>
  <c r="CA720" i="6"/>
  <c r="BZ720" i="6"/>
  <c r="EL364" i="6"/>
  <c r="EL363" i="6" s="1"/>
  <c r="BT364" i="6"/>
  <c r="CA719" i="6"/>
  <c r="BZ719" i="6"/>
  <c r="EG363" i="6"/>
  <c r="EB363" i="6"/>
  <c r="DW363" i="6"/>
  <c r="DR363" i="6"/>
  <c r="DM363" i="6"/>
  <c r="DH363" i="6"/>
  <c r="DC363" i="6"/>
  <c r="CX363" i="6"/>
  <c r="CS363" i="6"/>
  <c r="CN363" i="6"/>
  <c r="CI363" i="6"/>
  <c r="CD363" i="6"/>
  <c r="BY363" i="6"/>
  <c r="BT363" i="6"/>
  <c r="BT719" i="6" s="1"/>
  <c r="BO363" i="6"/>
  <c r="BO719" i="6" s="1"/>
  <c r="BJ363" i="6"/>
  <c r="BE363" i="6"/>
  <c r="AZ363" i="6"/>
  <c r="AU363" i="6"/>
  <c r="AP363" i="6"/>
  <c r="AP719" i="6" s="1"/>
  <c r="AK363" i="6"/>
  <c r="AK719" i="6" s="1"/>
  <c r="AF363" i="6"/>
  <c r="AA363" i="6"/>
  <c r="V363" i="6"/>
  <c r="Q363" i="6"/>
  <c r="L363" i="6"/>
  <c r="L719" i="6" s="1"/>
  <c r="G363" i="6"/>
  <c r="G719" i="6" s="1"/>
  <c r="CA717" i="6"/>
  <c r="BZ717" i="6"/>
  <c r="EL361" i="6"/>
  <c r="EL360" i="6" s="1"/>
  <c r="BT361" i="6"/>
  <c r="BT717" i="6" s="1"/>
  <c r="CA716" i="6"/>
  <c r="BZ716" i="6"/>
  <c r="EG360" i="6"/>
  <c r="EB360" i="6"/>
  <c r="DW360" i="6"/>
  <c r="DR360" i="6"/>
  <c r="DM360" i="6"/>
  <c r="DH360" i="6"/>
  <c r="DC360" i="6"/>
  <c r="CX360" i="6"/>
  <c r="CS360" i="6"/>
  <c r="CN360" i="6"/>
  <c r="CI360" i="6"/>
  <c r="CD360" i="6"/>
  <c r="BY360" i="6"/>
  <c r="BT360" i="6"/>
  <c r="BO360" i="6"/>
  <c r="BJ360" i="6"/>
  <c r="BE360" i="6"/>
  <c r="BE716" i="6" s="1"/>
  <c r="AZ360" i="6"/>
  <c r="AU360" i="6"/>
  <c r="AP360" i="6"/>
  <c r="AP716" i="6" s="1"/>
  <c r="AK360" i="6"/>
  <c r="AF360" i="6"/>
  <c r="AA360" i="6"/>
  <c r="AA716" i="6" s="1"/>
  <c r="V360" i="6"/>
  <c r="Q360" i="6"/>
  <c r="L360" i="6"/>
  <c r="L716" i="6" s="1"/>
  <c r="G360" i="6"/>
  <c r="EL358" i="6"/>
  <c r="EL357" i="6" s="1"/>
  <c r="BT358" i="6"/>
  <c r="BT357" i="6" s="1"/>
  <c r="EG357" i="6"/>
  <c r="EB357" i="6"/>
  <c r="DW357" i="6"/>
  <c r="DR357" i="6"/>
  <c r="DM357" i="6"/>
  <c r="DH357" i="6"/>
  <c r="DC357" i="6"/>
  <c r="CX357" i="6"/>
  <c r="CS357" i="6"/>
  <c r="CN357" i="6"/>
  <c r="CI357" i="6"/>
  <c r="CD357" i="6"/>
  <c r="BY357" i="6"/>
  <c r="BO357" i="6"/>
  <c r="BJ357" i="6"/>
  <c r="BE357" i="6"/>
  <c r="AZ357" i="6"/>
  <c r="AU357" i="6"/>
  <c r="AP357" i="6"/>
  <c r="AK357" i="6"/>
  <c r="AF357" i="6"/>
  <c r="AA357" i="6"/>
  <c r="V357" i="6"/>
  <c r="Q357" i="6"/>
  <c r="L357" i="6"/>
  <c r="G357" i="6"/>
  <c r="CA714" i="6"/>
  <c r="BZ714" i="6"/>
  <c r="EL355" i="6"/>
  <c r="BT355" i="6"/>
  <c r="EL354" i="6"/>
  <c r="EI354" i="6"/>
  <c r="EH354" i="6"/>
  <c r="EG354" i="6"/>
  <c r="EB354" i="6"/>
  <c r="DW354" i="6"/>
  <c r="DR354" i="6"/>
  <c r="DM354" i="6"/>
  <c r="DH354" i="6"/>
  <c r="DC354" i="6"/>
  <c r="CX354" i="6"/>
  <c r="CS354" i="6"/>
  <c r="CN354" i="6"/>
  <c r="CI354" i="6"/>
  <c r="CE354" i="6"/>
  <c r="M713" i="6" s="1"/>
  <c r="CD354" i="6"/>
  <c r="BY354" i="6"/>
  <c r="CA713" i="6" s="1"/>
  <c r="BQ354" i="6"/>
  <c r="BQ713" i="6" s="1"/>
  <c r="BP354" i="6"/>
  <c r="BO354" i="6"/>
  <c r="BN354" i="6"/>
  <c r="BN713" i="6" s="1"/>
  <c r="BM354" i="6"/>
  <c r="BM713" i="6" s="1"/>
  <c r="BL354" i="6"/>
  <c r="BL713" i="6" s="1"/>
  <c r="BK354" i="6"/>
  <c r="BK713" i="6" s="1"/>
  <c r="BJ354" i="6"/>
  <c r="BI354" i="6"/>
  <c r="BI713" i="6" s="1"/>
  <c r="BH354" i="6"/>
  <c r="BH713" i="6" s="1"/>
  <c r="BG354" i="6"/>
  <c r="BG713" i="6" s="1"/>
  <c r="BF354" i="6"/>
  <c r="BF713" i="6" s="1"/>
  <c r="BE354" i="6"/>
  <c r="BD354" i="6"/>
  <c r="BD713" i="6" s="1"/>
  <c r="BC354" i="6"/>
  <c r="BC713" i="6" s="1"/>
  <c r="BB354" i="6"/>
  <c r="BB713" i="6" s="1"/>
  <c r="BA354" i="6"/>
  <c r="BA713" i="6" s="1"/>
  <c r="AZ354" i="6"/>
  <c r="AY354" i="6"/>
  <c r="AY713" i="6" s="1"/>
  <c r="AX354" i="6"/>
  <c r="AX713" i="6" s="1"/>
  <c r="AW354" i="6"/>
  <c r="AW713" i="6" s="1"/>
  <c r="AV354" i="6"/>
  <c r="AV713" i="6" s="1"/>
  <c r="AU354" i="6"/>
  <c r="AU713" i="6" s="1"/>
  <c r="AT354" i="6"/>
  <c r="AT713" i="6" s="1"/>
  <c r="AS354" i="6"/>
  <c r="AS713" i="6" s="1"/>
  <c r="AR354" i="6"/>
  <c r="AR713" i="6" s="1"/>
  <c r="AQ354" i="6"/>
  <c r="AQ713" i="6" s="1"/>
  <c r="AP354" i="6"/>
  <c r="AO354" i="6"/>
  <c r="AO713" i="6" s="1"/>
  <c r="AN354" i="6"/>
  <c r="AN713" i="6" s="1"/>
  <c r="AM354" i="6"/>
  <c r="AM713" i="6" s="1"/>
  <c r="AL354" i="6"/>
  <c r="AL713" i="6" s="1"/>
  <c r="AK354" i="6"/>
  <c r="AJ354" i="6"/>
  <c r="AJ713" i="6" s="1"/>
  <c r="AI354" i="6"/>
  <c r="AI713" i="6" s="1"/>
  <c r="AH354" i="6"/>
  <c r="AH713" i="6" s="1"/>
  <c r="AG354" i="6"/>
  <c r="AG713" i="6" s="1"/>
  <c r="AF354" i="6"/>
  <c r="AE354" i="6"/>
  <c r="AE713" i="6" s="1"/>
  <c r="AD354" i="6"/>
  <c r="AD713" i="6" s="1"/>
  <c r="AC354" i="6"/>
  <c r="AC713" i="6" s="1"/>
  <c r="AB354" i="6"/>
  <c r="AB713" i="6" s="1"/>
  <c r="AA354" i="6"/>
  <c r="Z354" i="6"/>
  <c r="Z713" i="6" s="1"/>
  <c r="V354" i="6"/>
  <c r="V713" i="6" s="1"/>
  <c r="Q354" i="6"/>
  <c r="Q713" i="6" s="1"/>
  <c r="L354" i="6"/>
  <c r="L713" i="6" s="1"/>
  <c r="G354" i="6"/>
  <c r="G713" i="6" s="1"/>
  <c r="CA711" i="6"/>
  <c r="BZ711" i="6"/>
  <c r="CA710" i="6"/>
  <c r="EL352" i="6"/>
  <c r="BZ710" i="6" s="1"/>
  <c r="BT352" i="6"/>
  <c r="BT351" i="6" s="1"/>
  <c r="EG351" i="6"/>
  <c r="EB351" i="6"/>
  <c r="DW351" i="6"/>
  <c r="DR351" i="6"/>
  <c r="DM351" i="6"/>
  <c r="DH351" i="6"/>
  <c r="DC351" i="6"/>
  <c r="CX351" i="6"/>
  <c r="CS351" i="6"/>
  <c r="CN351" i="6"/>
  <c r="CI351" i="6"/>
  <c r="CD351" i="6"/>
  <c r="BY351" i="6"/>
  <c r="BO351" i="6"/>
  <c r="BJ351" i="6"/>
  <c r="BE351" i="6"/>
  <c r="BE709" i="6" s="1"/>
  <c r="AZ351" i="6"/>
  <c r="AU351" i="6"/>
  <c r="AP351" i="6"/>
  <c r="AK351" i="6"/>
  <c r="AF351" i="6"/>
  <c r="AA351" i="6"/>
  <c r="AA709" i="6" s="1"/>
  <c r="V351" i="6"/>
  <c r="Q351" i="6"/>
  <c r="L351" i="6"/>
  <c r="G351" i="6"/>
  <c r="CA707" i="6"/>
  <c r="BZ707" i="6"/>
  <c r="EL349" i="6"/>
  <c r="EL348" i="6" s="1"/>
  <c r="BY349" i="6"/>
  <c r="BO349" i="6"/>
  <c r="BO706" i="6" s="1"/>
  <c r="BJ349" i="6"/>
  <c r="BJ706" i="6" s="1"/>
  <c r="BE349" i="6"/>
  <c r="BE706" i="6" s="1"/>
  <c r="AZ349" i="6"/>
  <c r="AU349" i="6"/>
  <c r="AU319" i="6" s="1"/>
  <c r="AP349" i="6"/>
  <c r="AP706" i="6" s="1"/>
  <c r="AK349" i="6"/>
  <c r="AK706" i="6" s="1"/>
  <c r="AF349" i="6"/>
  <c r="AF706" i="6" s="1"/>
  <c r="AA349" i="6"/>
  <c r="AA706" i="6" s="1"/>
  <c r="V349" i="6"/>
  <c r="Q349" i="6"/>
  <c r="L349" i="6"/>
  <c r="L706" i="6" s="1"/>
  <c r="G349" i="6"/>
  <c r="G319" i="6" s="1"/>
  <c r="EG348" i="6"/>
  <c r="EB348" i="6"/>
  <c r="DW348" i="6"/>
  <c r="DR348" i="6"/>
  <c r="DM348" i="6"/>
  <c r="DH348" i="6"/>
  <c r="DC348" i="6"/>
  <c r="CX348" i="6"/>
  <c r="CS348" i="6"/>
  <c r="CN348" i="6"/>
  <c r="CI348" i="6"/>
  <c r="CD348" i="6"/>
  <c r="AZ348" i="6"/>
  <c r="AZ705" i="6" s="1"/>
  <c r="AP348" i="6"/>
  <c r="L348" i="6"/>
  <c r="EL346" i="6"/>
  <c r="BT346" i="6"/>
  <c r="EG345" i="6"/>
  <c r="EB345" i="6"/>
  <c r="DW345" i="6"/>
  <c r="DR345" i="6"/>
  <c r="DM345" i="6"/>
  <c r="DH345" i="6"/>
  <c r="DC345" i="6"/>
  <c r="CX345" i="6"/>
  <c r="CS345" i="6"/>
  <c r="CN345" i="6"/>
  <c r="CI345" i="6"/>
  <c r="CD345" i="6"/>
  <c r="BY345" i="6"/>
  <c r="BO345" i="6"/>
  <c r="BJ345" i="6"/>
  <c r="BE345" i="6"/>
  <c r="AZ345" i="6"/>
  <c r="AU345" i="6"/>
  <c r="AP345" i="6"/>
  <c r="AK345" i="6"/>
  <c r="AF345" i="6"/>
  <c r="AA345" i="6"/>
  <c r="V345" i="6"/>
  <c r="Q345" i="6"/>
  <c r="L345" i="6"/>
  <c r="G345" i="6"/>
  <c r="EL343" i="6"/>
  <c r="BT343" i="6"/>
  <c r="EG342" i="6"/>
  <c r="EB342" i="6"/>
  <c r="DW342" i="6"/>
  <c r="DR342" i="6"/>
  <c r="DM342" i="6"/>
  <c r="DH342" i="6"/>
  <c r="DC342" i="6"/>
  <c r="CX342" i="6"/>
  <c r="CS342" i="6"/>
  <c r="CN342" i="6"/>
  <c r="CI342" i="6"/>
  <c r="CE342" i="6"/>
  <c r="M699" i="6" s="1"/>
  <c r="CD342" i="6"/>
  <c r="BY342" i="6"/>
  <c r="BO342" i="6"/>
  <c r="BJ342" i="6"/>
  <c r="BE342" i="6"/>
  <c r="BE699" i="6" s="1"/>
  <c r="AZ342" i="6"/>
  <c r="AU342" i="6"/>
  <c r="AP342" i="6"/>
  <c r="AK342" i="6"/>
  <c r="AF342" i="6"/>
  <c r="AA342" i="6"/>
  <c r="AA699" i="6" s="1"/>
  <c r="V342" i="6"/>
  <c r="Q342" i="6"/>
  <c r="L342" i="6"/>
  <c r="G342" i="6"/>
  <c r="BZ697" i="6"/>
  <c r="EL340" i="6"/>
  <c r="BT340" i="6"/>
  <c r="BT339" i="6" s="1"/>
  <c r="EG339" i="6"/>
  <c r="EB339" i="6"/>
  <c r="DW339" i="6"/>
  <c r="DR339" i="6"/>
  <c r="DM339" i="6"/>
  <c r="DH339" i="6"/>
  <c r="DC339" i="6"/>
  <c r="CX339" i="6"/>
  <c r="CS339" i="6"/>
  <c r="CN339" i="6"/>
  <c r="CI339" i="6"/>
  <c r="CE339" i="6"/>
  <c r="M696" i="6" s="1"/>
  <c r="CD339" i="6"/>
  <c r="BY339" i="6"/>
  <c r="BO339" i="6"/>
  <c r="BJ339" i="6"/>
  <c r="BJ696" i="6" s="1"/>
  <c r="BE339" i="6"/>
  <c r="BE696" i="6" s="1"/>
  <c r="AZ339" i="6"/>
  <c r="AU339" i="6"/>
  <c r="AP339" i="6"/>
  <c r="AK339" i="6"/>
  <c r="AF339" i="6"/>
  <c r="AF696" i="6" s="1"/>
  <c r="AA339" i="6"/>
  <c r="AA696" i="6" s="1"/>
  <c r="V339" i="6"/>
  <c r="Q339" i="6"/>
  <c r="L339" i="6"/>
  <c r="G339" i="6"/>
  <c r="CA694" i="6"/>
  <c r="EL337" i="6"/>
  <c r="BT337" i="6"/>
  <c r="BZ693" i="6"/>
  <c r="EG336" i="6"/>
  <c r="EB336" i="6"/>
  <c r="DW336" i="6"/>
  <c r="DR336" i="6"/>
  <c r="DM336" i="6"/>
  <c r="DH336" i="6"/>
  <c r="DC336" i="6"/>
  <c r="CX336" i="6"/>
  <c r="CS336" i="6"/>
  <c r="CN336" i="6"/>
  <c r="CI336" i="6"/>
  <c r="CD336" i="6"/>
  <c r="BY336" i="6"/>
  <c r="BT336" i="6"/>
  <c r="BO336" i="6"/>
  <c r="BJ336" i="6"/>
  <c r="BE336" i="6"/>
  <c r="AZ336" i="6"/>
  <c r="AU336" i="6"/>
  <c r="AP336" i="6"/>
  <c r="AK336" i="6"/>
  <c r="AF336" i="6"/>
  <c r="AA336" i="6"/>
  <c r="V336" i="6"/>
  <c r="Q336" i="6"/>
  <c r="L336" i="6"/>
  <c r="G336" i="6"/>
  <c r="CA691" i="6"/>
  <c r="EL334" i="6"/>
  <c r="BZ691" i="6" s="1"/>
  <c r="BT334" i="6"/>
  <c r="BT333" i="6" s="1"/>
  <c r="BZ690" i="6"/>
  <c r="EL333" i="6"/>
  <c r="EG333" i="6"/>
  <c r="EB333" i="6"/>
  <c r="DW333" i="6"/>
  <c r="DR333" i="6"/>
  <c r="DM333" i="6"/>
  <c r="DH333" i="6"/>
  <c r="DC333" i="6"/>
  <c r="CX333" i="6"/>
  <c r="CS333" i="6"/>
  <c r="CN333" i="6"/>
  <c r="CI333" i="6"/>
  <c r="CD333" i="6"/>
  <c r="BY333" i="6"/>
  <c r="BO333" i="6"/>
  <c r="BJ333" i="6"/>
  <c r="BJ690" i="6" s="1"/>
  <c r="BE333" i="6"/>
  <c r="AZ333" i="6"/>
  <c r="AU333" i="6"/>
  <c r="AU690" i="6" s="1"/>
  <c r="AP333" i="6"/>
  <c r="AK333" i="6"/>
  <c r="AF333" i="6"/>
  <c r="AF690" i="6" s="1"/>
  <c r="AA333" i="6"/>
  <c r="V333" i="6"/>
  <c r="Q333" i="6"/>
  <c r="Q690" i="6" s="1"/>
  <c r="L333" i="6"/>
  <c r="G333" i="6"/>
  <c r="CA688" i="6"/>
  <c r="EL331" i="6"/>
  <c r="BZ688" i="6" s="1"/>
  <c r="BT331" i="6"/>
  <c r="BT330" i="6" s="1"/>
  <c r="BZ687" i="6"/>
  <c r="EG330" i="6"/>
  <c r="EB330" i="6"/>
  <c r="DW330" i="6"/>
  <c r="DR330" i="6"/>
  <c r="DM330" i="6"/>
  <c r="DH330" i="6"/>
  <c r="DC330" i="6"/>
  <c r="CX330" i="6"/>
  <c r="CS330" i="6"/>
  <c r="CN330" i="6"/>
  <c r="CI330" i="6"/>
  <c r="CD330" i="6"/>
  <c r="BY330" i="6"/>
  <c r="BO330" i="6"/>
  <c r="BJ330" i="6"/>
  <c r="BJ687" i="6" s="1"/>
  <c r="BE330" i="6"/>
  <c r="BE687" i="6" s="1"/>
  <c r="AZ330" i="6"/>
  <c r="AU330" i="6"/>
  <c r="AP330" i="6"/>
  <c r="AK330" i="6"/>
  <c r="AF330" i="6"/>
  <c r="AF687" i="6" s="1"/>
  <c r="AA330" i="6"/>
  <c r="AA687" i="6" s="1"/>
  <c r="V330" i="6"/>
  <c r="Q330" i="6"/>
  <c r="L330" i="6"/>
  <c r="G330" i="6"/>
  <c r="CA685" i="6"/>
  <c r="EL328" i="6"/>
  <c r="BZ685" i="6" s="1"/>
  <c r="BT328" i="6"/>
  <c r="EG327" i="6"/>
  <c r="EB327" i="6"/>
  <c r="DW327" i="6"/>
  <c r="DR327" i="6"/>
  <c r="DM327" i="6"/>
  <c r="DH327" i="6"/>
  <c r="DC327" i="6"/>
  <c r="CX327" i="6"/>
  <c r="CS327" i="6"/>
  <c r="CN327" i="6"/>
  <c r="CI327" i="6"/>
  <c r="CD327" i="6"/>
  <c r="BY327" i="6"/>
  <c r="BT327" i="6"/>
  <c r="BO327" i="6"/>
  <c r="BJ327" i="6"/>
  <c r="BJ684" i="6" s="1"/>
  <c r="BE327" i="6"/>
  <c r="BE684" i="6" s="1"/>
  <c r="AZ327" i="6"/>
  <c r="AU327" i="6"/>
  <c r="AP327" i="6"/>
  <c r="AK327" i="6"/>
  <c r="AF327" i="6"/>
  <c r="AF684" i="6" s="1"/>
  <c r="AA327" i="6"/>
  <c r="AA684" i="6" s="1"/>
  <c r="V327" i="6"/>
  <c r="Q327" i="6"/>
  <c r="L327" i="6"/>
  <c r="G327" i="6"/>
  <c r="EL326" i="6"/>
  <c r="BT683" i="6" s="1"/>
  <c r="CA682" i="6"/>
  <c r="BZ682" i="6"/>
  <c r="EL325" i="6"/>
  <c r="BT325" i="6"/>
  <c r="CA681" i="6"/>
  <c r="EL324" i="6"/>
  <c r="BZ681" i="6" s="1"/>
  <c r="EG324" i="6"/>
  <c r="EB324" i="6"/>
  <c r="DW324" i="6"/>
  <c r="DR324" i="6"/>
  <c r="DM324" i="6"/>
  <c r="DH324" i="6"/>
  <c r="DC324" i="6"/>
  <c r="CX324" i="6"/>
  <c r="CS324" i="6"/>
  <c r="CN324" i="6"/>
  <c r="CI324" i="6"/>
  <c r="CD324" i="6"/>
  <c r="BY324" i="6"/>
  <c r="BT324" i="6"/>
  <c r="BO324" i="6"/>
  <c r="BJ324" i="6"/>
  <c r="BJ681" i="6" s="1"/>
  <c r="BE324" i="6"/>
  <c r="AZ324" i="6"/>
  <c r="AZ681" i="6" s="1"/>
  <c r="AU324" i="6"/>
  <c r="AP324" i="6"/>
  <c r="AK324" i="6"/>
  <c r="AF324" i="6"/>
  <c r="AF681" i="6" s="1"/>
  <c r="AA324" i="6"/>
  <c r="V324" i="6"/>
  <c r="V681" i="6" s="1"/>
  <c r="Q324" i="6"/>
  <c r="L324" i="6"/>
  <c r="G324" i="6"/>
  <c r="CA680" i="6"/>
  <c r="BZ680" i="6"/>
  <c r="EL322" i="6"/>
  <c r="BT322" i="6"/>
  <c r="EG321" i="6"/>
  <c r="EB321" i="6"/>
  <c r="DW321" i="6"/>
  <c r="DR321" i="6"/>
  <c r="DM321" i="6"/>
  <c r="DH321" i="6"/>
  <c r="DC321" i="6"/>
  <c r="CX321" i="6"/>
  <c r="CS321" i="6"/>
  <c r="CN321" i="6"/>
  <c r="CI321" i="6"/>
  <c r="CD321" i="6"/>
  <c r="BY321" i="6"/>
  <c r="BO321" i="6"/>
  <c r="BJ321" i="6"/>
  <c r="BE321" i="6"/>
  <c r="AZ321" i="6"/>
  <c r="AU321" i="6"/>
  <c r="AP321" i="6"/>
  <c r="AK321" i="6"/>
  <c r="AF321" i="6"/>
  <c r="AA321" i="6"/>
  <c r="V321" i="6"/>
  <c r="Q321" i="6"/>
  <c r="L321" i="6"/>
  <c r="G321" i="6"/>
  <c r="EG319" i="6"/>
  <c r="EG318" i="6" s="1"/>
  <c r="EG15" i="6" s="1"/>
  <c r="EB319" i="6"/>
  <c r="EB318" i="6" s="1"/>
  <c r="DW319" i="6"/>
  <c r="DW318" i="6" s="1"/>
  <c r="DR319" i="6"/>
  <c r="DM319" i="6"/>
  <c r="DM318" i="6" s="1"/>
  <c r="DH319" i="6"/>
  <c r="DC319" i="6"/>
  <c r="DC318" i="6" s="1"/>
  <c r="DC15" i="6" s="1"/>
  <c r="CX319" i="6"/>
  <c r="CX318" i="6" s="1"/>
  <c r="CS319" i="6"/>
  <c r="CS318" i="6" s="1"/>
  <c r="CN319" i="6"/>
  <c r="CN318" i="6" s="1"/>
  <c r="CN15" i="6" s="1"/>
  <c r="CI319" i="6"/>
  <c r="CI318" i="6" s="1"/>
  <c r="CD319" i="6"/>
  <c r="BY319" i="6"/>
  <c r="BY318" i="6" s="1"/>
  <c r="BY15" i="6" s="1"/>
  <c r="BE319" i="6"/>
  <c r="AP319" i="6"/>
  <c r="AA319" i="6"/>
  <c r="V319" i="6"/>
  <c r="Q319" i="6"/>
  <c r="L319" i="6"/>
  <c r="DR318" i="6"/>
  <c r="DH318" i="6"/>
  <c r="CD318" i="6"/>
  <c r="CD15" i="6" s="1"/>
  <c r="EL316" i="6"/>
  <c r="BT316" i="6"/>
  <c r="EL315" i="6"/>
  <c r="BT315" i="6"/>
  <c r="EL314" i="6"/>
  <c r="BT314" i="6"/>
  <c r="EG313" i="6"/>
  <c r="EB313" i="6"/>
  <c r="DW313" i="6"/>
  <c r="DR313" i="6"/>
  <c r="DM313" i="6"/>
  <c r="DH313" i="6"/>
  <c r="DC313" i="6"/>
  <c r="CX313" i="6"/>
  <c r="CS313" i="6"/>
  <c r="CN313" i="6"/>
  <c r="CI313" i="6"/>
  <c r="CD313" i="6"/>
  <c r="BY313" i="6"/>
  <c r="BO313" i="6"/>
  <c r="BJ313" i="6"/>
  <c r="BE313" i="6"/>
  <c r="AZ313" i="6"/>
  <c r="AU313" i="6"/>
  <c r="AP313" i="6"/>
  <c r="AK313" i="6"/>
  <c r="AF313" i="6"/>
  <c r="AA313" i="6"/>
  <c r="V313" i="6"/>
  <c r="Q313" i="6"/>
  <c r="L313" i="6"/>
  <c r="G313" i="6"/>
  <c r="EL311" i="6"/>
  <c r="BT311" i="6"/>
  <c r="EL310" i="6"/>
  <c r="BT310" i="6"/>
  <c r="EL309" i="6"/>
  <c r="BT309" i="6"/>
  <c r="BT308" i="6" s="1"/>
  <c r="EG308" i="6"/>
  <c r="EB308" i="6"/>
  <c r="DW308" i="6"/>
  <c r="DR308" i="6"/>
  <c r="DM308" i="6"/>
  <c r="DH308" i="6"/>
  <c r="DC308" i="6"/>
  <c r="CX308" i="6"/>
  <c r="CS308" i="6"/>
  <c r="CN308" i="6"/>
  <c r="CI308" i="6"/>
  <c r="CD308" i="6"/>
  <c r="BY308" i="6"/>
  <c r="BO308" i="6"/>
  <c r="BJ308" i="6"/>
  <c r="BE308" i="6"/>
  <c r="AZ308" i="6"/>
  <c r="AU308" i="6"/>
  <c r="AP308" i="6"/>
  <c r="AK308" i="6"/>
  <c r="AF308" i="6"/>
  <c r="AA308" i="6"/>
  <c r="V308" i="6"/>
  <c r="Q308" i="6"/>
  <c r="L308" i="6"/>
  <c r="G308" i="6"/>
  <c r="EL306" i="6"/>
  <c r="BT306" i="6"/>
  <c r="EL305" i="6"/>
  <c r="BT305" i="6"/>
  <c r="DW304" i="6"/>
  <c r="DR304" i="6"/>
  <c r="DC304" i="6"/>
  <c r="CX304" i="6"/>
  <c r="CS304" i="6"/>
  <c r="CS303" i="6" s="1"/>
  <c r="CN304" i="6"/>
  <c r="CI304" i="6"/>
  <c r="CD304" i="6"/>
  <c r="BT304" i="6"/>
  <c r="L304" i="6"/>
  <c r="EG303" i="6"/>
  <c r="EB303" i="6"/>
  <c r="DW303" i="6"/>
  <c r="DR303" i="6"/>
  <c r="DM303" i="6"/>
  <c r="DH303" i="6"/>
  <c r="DC303" i="6"/>
  <c r="CX303" i="6"/>
  <c r="CN303" i="6"/>
  <c r="CI303" i="6"/>
  <c r="CD303" i="6"/>
  <c r="BY303" i="6"/>
  <c r="BO303" i="6"/>
  <c r="BJ303" i="6"/>
  <c r="BE303" i="6"/>
  <c r="AZ303" i="6"/>
  <c r="AU303" i="6"/>
  <c r="AP303" i="6"/>
  <c r="AK303" i="6"/>
  <c r="AF303" i="6"/>
  <c r="AA303" i="6"/>
  <c r="V303" i="6"/>
  <c r="Q303" i="6"/>
  <c r="L303" i="6"/>
  <c r="G303" i="6"/>
  <c r="EL301" i="6"/>
  <c r="BT301" i="6"/>
  <c r="EL300" i="6"/>
  <c r="BT300" i="6"/>
  <c r="EL299" i="6"/>
  <c r="DR299" i="6"/>
  <c r="DM299" i="6"/>
  <c r="Q299" i="6"/>
  <c r="L299" i="6"/>
  <c r="EG298" i="6"/>
  <c r="EB298" i="6"/>
  <c r="DW298" i="6"/>
  <c r="DR298" i="6"/>
  <c r="DM298" i="6"/>
  <c r="DH298" i="6"/>
  <c r="DC298" i="6"/>
  <c r="CX298" i="6"/>
  <c r="CS298" i="6"/>
  <c r="CN298" i="6"/>
  <c r="CI298" i="6"/>
  <c r="CD298" i="6"/>
  <c r="BY298" i="6"/>
  <c r="BO298" i="6"/>
  <c r="BJ298" i="6"/>
  <c r="BE298" i="6"/>
  <c r="AZ298" i="6"/>
  <c r="AU298" i="6"/>
  <c r="AP298" i="6"/>
  <c r="AK298" i="6"/>
  <c r="AF298" i="6"/>
  <c r="AA298" i="6"/>
  <c r="V298" i="6"/>
  <c r="Q298" i="6"/>
  <c r="G298" i="6"/>
  <c r="EL296" i="6"/>
  <c r="BT296" i="6"/>
  <c r="EL295" i="6"/>
  <c r="BT295" i="6"/>
  <c r="EL294" i="6"/>
  <c r="BT294" i="6"/>
  <c r="EG293" i="6"/>
  <c r="EB293" i="6"/>
  <c r="DW293" i="6"/>
  <c r="DR293" i="6"/>
  <c r="DM293" i="6"/>
  <c r="DH293" i="6"/>
  <c r="DC293" i="6"/>
  <c r="CX293" i="6"/>
  <c r="CS293" i="6"/>
  <c r="CN293" i="6"/>
  <c r="CI293" i="6"/>
  <c r="CD293" i="6"/>
  <c r="BY293" i="6"/>
  <c r="BO293" i="6"/>
  <c r="BJ293" i="6"/>
  <c r="BE293" i="6"/>
  <c r="AZ293" i="6"/>
  <c r="AU293" i="6"/>
  <c r="AP293" i="6"/>
  <c r="AK293" i="6"/>
  <c r="AF293" i="6"/>
  <c r="AA293" i="6"/>
  <c r="V293" i="6"/>
  <c r="Q293" i="6"/>
  <c r="L293" i="6"/>
  <c r="G293" i="6"/>
  <c r="EL291" i="6"/>
  <c r="EL288" i="6" s="1"/>
  <c r="BT291" i="6"/>
  <c r="EL290" i="6"/>
  <c r="BT290" i="6"/>
  <c r="EG289" i="6"/>
  <c r="EB289" i="6"/>
  <c r="EB288" i="6" s="1"/>
  <c r="DH289" i="6"/>
  <c r="CD289" i="6"/>
  <c r="EL289" i="6" s="1"/>
  <c r="BT289" i="6"/>
  <c r="Q289" i="6"/>
  <c r="L289" i="6"/>
  <c r="EG288" i="6"/>
  <c r="DW288" i="6"/>
  <c r="DR288" i="6"/>
  <c r="DM288" i="6"/>
  <c r="DH288" i="6"/>
  <c r="DC288" i="6"/>
  <c r="CX288" i="6"/>
  <c r="CS288" i="6"/>
  <c r="CN288" i="6"/>
  <c r="CI288" i="6"/>
  <c r="BY288" i="6"/>
  <c r="BO288" i="6"/>
  <c r="BJ288" i="6"/>
  <c r="BE288" i="6"/>
  <c r="AZ288" i="6"/>
  <c r="AU288" i="6"/>
  <c r="AP288" i="6"/>
  <c r="AK288" i="6"/>
  <c r="AF288" i="6"/>
  <c r="AA288" i="6"/>
  <c r="V288" i="6"/>
  <c r="Q288" i="6"/>
  <c r="L288" i="6"/>
  <c r="G288" i="6"/>
  <c r="EL286" i="6"/>
  <c r="BT286" i="6"/>
  <c r="EL285" i="6"/>
  <c r="BT285" i="6"/>
  <c r="EG284" i="6"/>
  <c r="EG283" i="6" s="1"/>
  <c r="EB284" i="6"/>
  <c r="DW284" i="6"/>
  <c r="DM284" i="6"/>
  <c r="DH284" i="6"/>
  <c r="DC284" i="6"/>
  <c r="DC283" i="6" s="1"/>
  <c r="CI284" i="6"/>
  <c r="CI283" i="6" s="1"/>
  <c r="CD284" i="6"/>
  <c r="BT284" i="6"/>
  <c r="BT283" i="6" s="1"/>
  <c r="EB283" i="6"/>
  <c r="DW283" i="6"/>
  <c r="DR283" i="6"/>
  <c r="DM283" i="6"/>
  <c r="DH283" i="6"/>
  <c r="CX283" i="6"/>
  <c r="CS283" i="6"/>
  <c r="CN283" i="6"/>
  <c r="CD283" i="6"/>
  <c r="BY283" i="6"/>
  <c r="BO283" i="6"/>
  <c r="BJ283" i="6"/>
  <c r="BE283" i="6"/>
  <c r="AZ283" i="6"/>
  <c r="AU283" i="6"/>
  <c r="AP283" i="6"/>
  <c r="AK283" i="6"/>
  <c r="AF283" i="6"/>
  <c r="AA283" i="6"/>
  <c r="V283" i="6"/>
  <c r="Q283" i="6"/>
  <c r="L283" i="6"/>
  <c r="G283" i="6"/>
  <c r="EL281" i="6"/>
  <c r="BT281" i="6"/>
  <c r="EL280" i="6"/>
  <c r="BT280" i="6"/>
  <c r="EL279" i="6"/>
  <c r="EL278" i="6" s="1"/>
  <c r="BT279" i="6"/>
  <c r="BT278" i="6" s="1"/>
  <c r="EG278" i="6"/>
  <c r="EB278" i="6"/>
  <c r="DW278" i="6"/>
  <c r="DR278" i="6"/>
  <c r="DM278" i="6"/>
  <c r="DH278" i="6"/>
  <c r="DC278" i="6"/>
  <c r="CX278" i="6"/>
  <c r="CS278" i="6"/>
  <c r="CN278" i="6"/>
  <c r="CI278" i="6"/>
  <c r="CD278" i="6"/>
  <c r="BY278" i="6"/>
  <c r="BO278" i="6"/>
  <c r="BJ278" i="6"/>
  <c r="BE278" i="6"/>
  <c r="AZ278" i="6"/>
  <c r="AU278" i="6"/>
  <c r="AP278" i="6"/>
  <c r="AK278" i="6"/>
  <c r="AF278" i="6"/>
  <c r="AA278" i="6"/>
  <c r="V278" i="6"/>
  <c r="Q278" i="6"/>
  <c r="L278" i="6"/>
  <c r="G278" i="6"/>
  <c r="EL276" i="6"/>
  <c r="BT276" i="6"/>
  <c r="EL275" i="6"/>
  <c r="BT275" i="6"/>
  <c r="CX274" i="6"/>
  <c r="EL274" i="6" s="1"/>
  <c r="CS274" i="6"/>
  <c r="V274" i="6"/>
  <c r="Q274" i="6"/>
  <c r="L274" i="6"/>
  <c r="BT274" i="6" s="1"/>
  <c r="EG273" i="6"/>
  <c r="EB273" i="6"/>
  <c r="DW273" i="6"/>
  <c r="DR273" i="6"/>
  <c r="DM273" i="6"/>
  <c r="DH273" i="6"/>
  <c r="DC273" i="6"/>
  <c r="CS273" i="6"/>
  <c r="CN273" i="6"/>
  <c r="CI273" i="6"/>
  <c r="CD273" i="6"/>
  <c r="BY273" i="6"/>
  <c r="BO273" i="6"/>
  <c r="BJ273" i="6"/>
  <c r="BE273" i="6"/>
  <c r="AZ273" i="6"/>
  <c r="AU273" i="6"/>
  <c r="AP273" i="6"/>
  <c r="AK273" i="6"/>
  <c r="AF273" i="6"/>
  <c r="AA273" i="6"/>
  <c r="V273" i="6"/>
  <c r="Q273" i="6"/>
  <c r="G273" i="6"/>
  <c r="EL271" i="6"/>
  <c r="BT271" i="6"/>
  <c r="EL270" i="6"/>
  <c r="BT270" i="6"/>
  <c r="EG269" i="6"/>
  <c r="DR269" i="6"/>
  <c r="DR268" i="6" s="1"/>
  <c r="DC269" i="6"/>
  <c r="DC268" i="6" s="1"/>
  <c r="CX269" i="6"/>
  <c r="CX268" i="6" s="1"/>
  <c r="CS269" i="6"/>
  <c r="CN269" i="6"/>
  <c r="CN268" i="6" s="1"/>
  <c r="CI269" i="6"/>
  <c r="CD269" i="6"/>
  <c r="CD268" i="6" s="1"/>
  <c r="BT269" i="6"/>
  <c r="V269" i="6"/>
  <c r="Q269" i="6"/>
  <c r="EG268" i="6"/>
  <c r="EB268" i="6"/>
  <c r="DW268" i="6"/>
  <c r="DM268" i="6"/>
  <c r="DH268" i="6"/>
  <c r="CS268" i="6"/>
  <c r="CI268" i="6"/>
  <c r="BY268" i="6"/>
  <c r="BO268" i="6"/>
  <c r="BJ268" i="6"/>
  <c r="BE268" i="6"/>
  <c r="AZ268" i="6"/>
  <c r="AU268" i="6"/>
  <c r="AP268" i="6"/>
  <c r="AK268" i="6"/>
  <c r="AF268" i="6"/>
  <c r="AA268" i="6"/>
  <c r="V268" i="6"/>
  <c r="Q268" i="6"/>
  <c r="L268" i="6"/>
  <c r="G268" i="6"/>
  <c r="EL266" i="6"/>
  <c r="BT266" i="6"/>
  <c r="EL265" i="6"/>
  <c r="BT265" i="6"/>
  <c r="BT263" i="6" s="1"/>
  <c r="EL264" i="6"/>
  <c r="EL263" i="6" s="1"/>
  <c r="CD264" i="6"/>
  <c r="BT264" i="6"/>
  <c r="EG263" i="6"/>
  <c r="EB263" i="6"/>
  <c r="DW263" i="6"/>
  <c r="DR263" i="6"/>
  <c r="DM263" i="6"/>
  <c r="DH263" i="6"/>
  <c r="DC263" i="6"/>
  <c r="CX263" i="6"/>
  <c r="CS263" i="6"/>
  <c r="CN263" i="6"/>
  <c r="CI263" i="6"/>
  <c r="CD263" i="6"/>
  <c r="BY263" i="6"/>
  <c r="BO263" i="6"/>
  <c r="BJ263" i="6"/>
  <c r="BE263" i="6"/>
  <c r="AZ263" i="6"/>
  <c r="AU263" i="6"/>
  <c r="AP263" i="6"/>
  <c r="AK263" i="6"/>
  <c r="AF263" i="6"/>
  <c r="AA263" i="6"/>
  <c r="V263" i="6"/>
  <c r="Q263" i="6"/>
  <c r="L263" i="6"/>
  <c r="G263" i="6"/>
  <c r="EL261" i="6"/>
  <c r="BZ673" i="6" s="1"/>
  <c r="BT261" i="6"/>
  <c r="BZ672" i="6"/>
  <c r="EL260" i="6"/>
  <c r="BT260" i="6"/>
  <c r="BT672" i="6" s="1"/>
  <c r="EB259" i="6"/>
  <c r="DW259" i="6"/>
  <c r="BE671" i="6" s="1"/>
  <c r="DM259" i="6"/>
  <c r="AU671" i="6" s="1"/>
  <c r="DH259" i="6"/>
  <c r="AP671" i="6" s="1"/>
  <c r="CX259" i="6"/>
  <c r="CN259" i="6"/>
  <c r="CD259" i="6"/>
  <c r="BT259" i="6"/>
  <c r="V259" i="6"/>
  <c r="V671" i="6" s="1"/>
  <c r="L259" i="6"/>
  <c r="EG258" i="6"/>
  <c r="DR258" i="6"/>
  <c r="DM258" i="6"/>
  <c r="DH258" i="6"/>
  <c r="DC258" i="6"/>
  <c r="CS258" i="6"/>
  <c r="CN258" i="6"/>
  <c r="CI258" i="6"/>
  <c r="CD258" i="6"/>
  <c r="BY258" i="6"/>
  <c r="BO258" i="6"/>
  <c r="BJ258" i="6"/>
  <c r="BE258" i="6"/>
  <c r="AZ258" i="6"/>
  <c r="AZ670" i="6" s="1"/>
  <c r="AU258" i="6"/>
  <c r="AU670" i="6" s="1"/>
  <c r="AP258" i="6"/>
  <c r="AK258" i="6"/>
  <c r="AK670" i="6" s="1"/>
  <c r="AF258" i="6"/>
  <c r="AA258" i="6"/>
  <c r="V258" i="6"/>
  <c r="V670" i="6" s="1"/>
  <c r="Q258" i="6"/>
  <c r="Q670" i="6" s="1"/>
  <c r="L258" i="6"/>
  <c r="G258" i="6"/>
  <c r="BZ668" i="6"/>
  <c r="EL256" i="6"/>
  <c r="CA668" i="6" s="1"/>
  <c r="BT256" i="6"/>
  <c r="CA667" i="6"/>
  <c r="EL255" i="6"/>
  <c r="BZ667" i="6" s="1"/>
  <c r="BT255" i="6"/>
  <c r="EG254" i="6"/>
  <c r="BO666" i="6" s="1"/>
  <c r="EB254" i="6"/>
  <c r="BJ666" i="6" s="1"/>
  <c r="DW254" i="6"/>
  <c r="BE666" i="6" s="1"/>
  <c r="DR254" i="6"/>
  <c r="DM254" i="6"/>
  <c r="AU666" i="6" s="1"/>
  <c r="DH254" i="6"/>
  <c r="DC254" i="6"/>
  <c r="AK666" i="6" s="1"/>
  <c r="CX254" i="6"/>
  <c r="AF666" i="6" s="1"/>
  <c r="CS254" i="6"/>
  <c r="AA666" i="6" s="1"/>
  <c r="CN254" i="6"/>
  <c r="CI254" i="6"/>
  <c r="Q666" i="6" s="1"/>
  <c r="CD254" i="6"/>
  <c r="BT254" i="6"/>
  <c r="BT253" i="6" s="1"/>
  <c r="DW253" i="6"/>
  <c r="DM253" i="6"/>
  <c r="CX253" i="6"/>
  <c r="CS253" i="6"/>
  <c r="CI253" i="6"/>
  <c r="BY253" i="6"/>
  <c r="BO253" i="6"/>
  <c r="BJ253" i="6"/>
  <c r="BE253" i="6"/>
  <c r="AZ253" i="6"/>
  <c r="AU253" i="6"/>
  <c r="AP253" i="6"/>
  <c r="AK253" i="6"/>
  <c r="AF253" i="6"/>
  <c r="AA253" i="6"/>
  <c r="V253" i="6"/>
  <c r="Q253" i="6"/>
  <c r="Q665" i="6" s="1"/>
  <c r="L253" i="6"/>
  <c r="G253" i="6"/>
  <c r="EL251" i="6"/>
  <c r="BT251" i="6"/>
  <c r="EL250" i="6"/>
  <c r="BT250" i="6"/>
  <c r="EL249" i="6"/>
  <c r="BT249" i="6"/>
  <c r="EL248" i="6"/>
  <c r="BT248" i="6"/>
  <c r="BT247" i="6" s="1"/>
  <c r="EG247" i="6"/>
  <c r="EB247" i="6"/>
  <c r="DW247" i="6"/>
  <c r="DR247" i="6"/>
  <c r="DM247" i="6"/>
  <c r="DH247" i="6"/>
  <c r="DC247" i="6"/>
  <c r="CX247" i="6"/>
  <c r="CS247" i="6"/>
  <c r="CN247" i="6"/>
  <c r="CI247" i="6"/>
  <c r="CD247" i="6"/>
  <c r="BY247" i="6"/>
  <c r="BO247" i="6"/>
  <c r="BJ247" i="6"/>
  <c r="BE247" i="6"/>
  <c r="AZ247" i="6"/>
  <c r="AU247" i="6"/>
  <c r="AP247" i="6"/>
  <c r="AK247" i="6"/>
  <c r="AF247" i="6"/>
  <c r="AA247" i="6"/>
  <c r="V247" i="6"/>
  <c r="Q247" i="6"/>
  <c r="L247" i="6"/>
  <c r="G247" i="6"/>
  <c r="EL245" i="6"/>
  <c r="BT245" i="6"/>
  <c r="EL244" i="6"/>
  <c r="BT244" i="6"/>
  <c r="CA662" i="6"/>
  <c r="EL243" i="6"/>
  <c r="BZ662" i="6" s="1"/>
  <c r="BT243" i="6"/>
  <c r="EL242" i="6"/>
  <c r="BT242" i="6"/>
  <c r="EG241" i="6"/>
  <c r="EB241" i="6"/>
  <c r="DW241" i="6"/>
  <c r="DR241" i="6"/>
  <c r="DM241" i="6"/>
  <c r="DH241" i="6"/>
  <c r="DC241" i="6"/>
  <c r="CX241" i="6"/>
  <c r="CS241" i="6"/>
  <c r="CN241" i="6"/>
  <c r="CI241" i="6"/>
  <c r="CD241" i="6"/>
  <c r="BY241" i="6"/>
  <c r="BO241" i="6"/>
  <c r="BO660" i="6" s="1"/>
  <c r="BJ241" i="6"/>
  <c r="BE241" i="6"/>
  <c r="AZ241" i="6"/>
  <c r="AU241" i="6"/>
  <c r="AP241" i="6"/>
  <c r="AK241" i="6"/>
  <c r="AK660" i="6" s="1"/>
  <c r="AF241" i="6"/>
  <c r="AA241" i="6"/>
  <c r="V241" i="6"/>
  <c r="Q241" i="6"/>
  <c r="L241" i="6"/>
  <c r="G241" i="6"/>
  <c r="G660" i="6" s="1"/>
  <c r="BZ657" i="6"/>
  <c r="EL239" i="6"/>
  <c r="BT239" i="6"/>
  <c r="BT657" i="6" s="1"/>
  <c r="EL238" i="6"/>
  <c r="BT238" i="6"/>
  <c r="CA656" i="6"/>
  <c r="EL237" i="6"/>
  <c r="BZ656" i="6" s="1"/>
  <c r="BT237" i="6"/>
  <c r="BT656" i="6" s="1"/>
  <c r="EL236" i="6"/>
  <c r="BZ655" i="6" s="1"/>
  <c r="BT236" i="6"/>
  <c r="EG235" i="6"/>
  <c r="EB235" i="6"/>
  <c r="DW235" i="6"/>
  <c r="DR235" i="6"/>
  <c r="DM235" i="6"/>
  <c r="DH235" i="6"/>
  <c r="DC235" i="6"/>
  <c r="CX235" i="6"/>
  <c r="CS235" i="6"/>
  <c r="CN235" i="6"/>
  <c r="CI235" i="6"/>
  <c r="CD235" i="6"/>
  <c r="BY235" i="6"/>
  <c r="BO235" i="6"/>
  <c r="BJ235" i="6"/>
  <c r="BE235" i="6"/>
  <c r="BE654" i="6" s="1"/>
  <c r="AZ235" i="6"/>
  <c r="AU235" i="6"/>
  <c r="AP235" i="6"/>
  <c r="AK235" i="6"/>
  <c r="AF235" i="6"/>
  <c r="AA235" i="6"/>
  <c r="AA654" i="6" s="1"/>
  <c r="V235" i="6"/>
  <c r="Q235" i="6"/>
  <c r="L235" i="6"/>
  <c r="G235" i="6"/>
  <c r="CA653" i="6"/>
  <c r="BZ652" i="6"/>
  <c r="EL233" i="6"/>
  <c r="CA652" i="6" s="1"/>
  <c r="BT233" i="6"/>
  <c r="CA651" i="6"/>
  <c r="EL232" i="6"/>
  <c r="BZ651" i="6" s="1"/>
  <c r="BT232" i="6"/>
  <c r="EL231" i="6"/>
  <c r="BZ650" i="6" s="1"/>
  <c r="BT231" i="6"/>
  <c r="BT650" i="6" s="1"/>
  <c r="CA649" i="6"/>
  <c r="BZ649" i="6"/>
  <c r="EL230" i="6"/>
  <c r="BT230" i="6"/>
  <c r="CA648" i="6"/>
  <c r="BZ648" i="6"/>
  <c r="EG229" i="6"/>
  <c r="EB229" i="6"/>
  <c r="DW229" i="6"/>
  <c r="DR229" i="6"/>
  <c r="DM229" i="6"/>
  <c r="DH229" i="6"/>
  <c r="DC229" i="6"/>
  <c r="CX229" i="6"/>
  <c r="CS229" i="6"/>
  <c r="CN229" i="6"/>
  <c r="CI229" i="6"/>
  <c r="CD229" i="6"/>
  <c r="BY229" i="6"/>
  <c r="BO229" i="6"/>
  <c r="BO648" i="6" s="1"/>
  <c r="BJ229" i="6"/>
  <c r="BE229" i="6"/>
  <c r="AZ229" i="6"/>
  <c r="AU229" i="6"/>
  <c r="AP229" i="6"/>
  <c r="AK229" i="6"/>
  <c r="AK648" i="6" s="1"/>
  <c r="AF229" i="6"/>
  <c r="AA229" i="6"/>
  <c r="V229" i="6"/>
  <c r="Q229" i="6"/>
  <c r="L229" i="6"/>
  <c r="G229" i="6"/>
  <c r="G648" i="6" s="1"/>
  <c r="CA647" i="6"/>
  <c r="CA645" i="6"/>
  <c r="EL227" i="6"/>
  <c r="BZ645" i="6" s="1"/>
  <c r="BT227" i="6"/>
  <c r="EL226" i="6"/>
  <c r="BT226" i="6"/>
  <c r="CA644" i="6"/>
  <c r="BZ644" i="6"/>
  <c r="EL225" i="6"/>
  <c r="BT225" i="6"/>
  <c r="CA643" i="6"/>
  <c r="BZ643" i="6"/>
  <c r="EL224" i="6"/>
  <c r="BT224" i="6"/>
  <c r="EL221" i="6"/>
  <c r="CA640" i="6" s="1"/>
  <c r="BT221" i="6"/>
  <c r="EL220" i="6"/>
  <c r="BT220" i="6"/>
  <c r="CA639" i="6"/>
  <c r="BZ639" i="6"/>
  <c r="EL219" i="6"/>
  <c r="BT219" i="6"/>
  <c r="BZ638" i="6"/>
  <c r="EL218" i="6"/>
  <c r="CA638" i="6" s="1"/>
  <c r="BT218" i="6"/>
  <c r="EG217" i="6"/>
  <c r="EB217" i="6"/>
  <c r="DW217" i="6"/>
  <c r="DR217" i="6"/>
  <c r="DM217" i="6"/>
  <c r="DH217" i="6"/>
  <c r="DC217" i="6"/>
  <c r="CX217" i="6"/>
  <c r="CS217" i="6"/>
  <c r="CN217" i="6"/>
  <c r="CI217" i="6"/>
  <c r="CD217" i="6"/>
  <c r="BY217" i="6"/>
  <c r="BO217" i="6"/>
  <c r="BO637" i="6" s="1"/>
  <c r="BJ217" i="6"/>
  <c r="BE217" i="6"/>
  <c r="AZ217" i="6"/>
  <c r="AZ637" i="6" s="1"/>
  <c r="AU217" i="6"/>
  <c r="AP217" i="6"/>
  <c r="AK217" i="6"/>
  <c r="AK637" i="6" s="1"/>
  <c r="AF217" i="6"/>
  <c r="AA217" i="6"/>
  <c r="V217" i="6"/>
  <c r="V637" i="6" s="1"/>
  <c r="Q217" i="6"/>
  <c r="L217" i="6"/>
  <c r="G217" i="6"/>
  <c r="G637" i="6" s="1"/>
  <c r="BZ635" i="6"/>
  <c r="EL215" i="6"/>
  <c r="CA635" i="6" s="1"/>
  <c r="BT215" i="6"/>
  <c r="EL214" i="6"/>
  <c r="BT214" i="6"/>
  <c r="CA634" i="6"/>
  <c r="BZ634" i="6"/>
  <c r="EL213" i="6"/>
  <c r="BT213" i="6"/>
  <c r="EL212" i="6"/>
  <c r="CA633" i="6" s="1"/>
  <c r="BT212" i="6"/>
  <c r="EG211" i="6"/>
  <c r="EB211" i="6"/>
  <c r="DW211" i="6"/>
  <c r="DR211" i="6"/>
  <c r="DM211" i="6"/>
  <c r="DH211" i="6"/>
  <c r="DC211" i="6"/>
  <c r="CX211" i="6"/>
  <c r="CS211" i="6"/>
  <c r="CN211" i="6"/>
  <c r="CI211" i="6"/>
  <c r="CD211" i="6"/>
  <c r="BY211" i="6"/>
  <c r="BO211" i="6"/>
  <c r="BJ211" i="6"/>
  <c r="BE211" i="6"/>
  <c r="BE632" i="6" s="1"/>
  <c r="AZ211" i="6"/>
  <c r="AU211" i="6"/>
  <c r="AU632" i="6" s="1"/>
  <c r="AP211" i="6"/>
  <c r="AK211" i="6"/>
  <c r="AF211" i="6"/>
  <c r="AA211" i="6"/>
  <c r="AA632" i="6" s="1"/>
  <c r="V211" i="6"/>
  <c r="Q211" i="6"/>
  <c r="Q632" i="6" s="1"/>
  <c r="L211" i="6"/>
  <c r="G211" i="6"/>
  <c r="BZ630" i="6"/>
  <c r="EL209" i="6"/>
  <c r="CA630" i="6" s="1"/>
  <c r="BT209" i="6"/>
  <c r="EL208" i="6"/>
  <c r="BT208" i="6"/>
  <c r="CA629" i="6"/>
  <c r="BZ629" i="6"/>
  <c r="EL207" i="6"/>
  <c r="BT207" i="6"/>
  <c r="BZ628" i="6"/>
  <c r="EL206" i="6"/>
  <c r="BT206" i="6"/>
  <c r="EG205" i="6"/>
  <c r="EB205" i="6"/>
  <c r="DW205" i="6"/>
  <c r="DR205" i="6"/>
  <c r="DM205" i="6"/>
  <c r="DH205" i="6"/>
  <c r="DC205" i="6"/>
  <c r="CX205" i="6"/>
  <c r="CS205" i="6"/>
  <c r="CN205" i="6"/>
  <c r="CI205" i="6"/>
  <c r="CD205" i="6"/>
  <c r="BY205" i="6"/>
  <c r="BO205" i="6"/>
  <c r="BJ205" i="6"/>
  <c r="BE205" i="6"/>
  <c r="BE627" i="6" s="1"/>
  <c r="AZ205" i="6"/>
  <c r="AZ627" i="6" s="1"/>
  <c r="AU205" i="6"/>
  <c r="AP205" i="6"/>
  <c r="AK205" i="6"/>
  <c r="AF205" i="6"/>
  <c r="AA205" i="6"/>
  <c r="AA627" i="6" s="1"/>
  <c r="V205" i="6"/>
  <c r="V627" i="6" s="1"/>
  <c r="Q205" i="6"/>
  <c r="L205" i="6"/>
  <c r="G205" i="6"/>
  <c r="EL203" i="6"/>
  <c r="CA625" i="6" s="1"/>
  <c r="BT203" i="6"/>
  <c r="BT625" i="6" s="1"/>
  <c r="CA624" i="6"/>
  <c r="EL202" i="6"/>
  <c r="BZ624" i="6" s="1"/>
  <c r="BT202" i="6"/>
  <c r="BT624" i="6" s="1"/>
  <c r="CA623" i="6"/>
  <c r="BZ623" i="6"/>
  <c r="EL201" i="6"/>
  <c r="BT201" i="6"/>
  <c r="CA622" i="6"/>
  <c r="BZ622" i="6"/>
  <c r="EL200" i="6"/>
  <c r="BT200" i="6"/>
  <c r="BT622" i="6" s="1"/>
  <c r="EL199" i="6"/>
  <c r="EG199" i="6"/>
  <c r="EB199" i="6"/>
  <c r="DW199" i="6"/>
  <c r="DR199" i="6"/>
  <c r="DM199" i="6"/>
  <c r="DH199" i="6"/>
  <c r="DC199" i="6"/>
  <c r="CX199" i="6"/>
  <c r="CS199" i="6"/>
  <c r="CN199" i="6"/>
  <c r="CI199" i="6"/>
  <c r="CD199" i="6"/>
  <c r="BY199" i="6"/>
  <c r="BO199" i="6"/>
  <c r="BJ199" i="6"/>
  <c r="BE199" i="6"/>
  <c r="AZ199" i="6"/>
  <c r="AZ621" i="6" s="1"/>
  <c r="AU199" i="6"/>
  <c r="AP199" i="6"/>
  <c r="AK199" i="6"/>
  <c r="AF199" i="6"/>
  <c r="AA199" i="6"/>
  <c r="V199" i="6"/>
  <c r="V621" i="6" s="1"/>
  <c r="Q199" i="6"/>
  <c r="L199" i="6"/>
  <c r="G199" i="6"/>
  <c r="CA619" i="6"/>
  <c r="BZ619" i="6"/>
  <c r="EL197" i="6"/>
  <c r="BT197" i="6"/>
  <c r="BT619" i="6" s="1"/>
  <c r="EL196" i="6"/>
  <c r="BT196" i="6"/>
  <c r="EL195" i="6"/>
  <c r="BT195" i="6"/>
  <c r="EL194" i="6"/>
  <c r="BT194" i="6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J193" i="6"/>
  <c r="BE193" i="6"/>
  <c r="AZ193" i="6"/>
  <c r="AU193" i="6"/>
  <c r="AU616" i="6" s="1"/>
  <c r="AP193" i="6"/>
  <c r="AK193" i="6"/>
  <c r="AF193" i="6"/>
  <c r="AA193" i="6"/>
  <c r="V193" i="6"/>
  <c r="Q193" i="6"/>
  <c r="Q616" i="6" s="1"/>
  <c r="L193" i="6"/>
  <c r="G193" i="6"/>
  <c r="CA615" i="6"/>
  <c r="EL191" i="6"/>
  <c r="BT191" i="6"/>
  <c r="EL190" i="6"/>
  <c r="BT190" i="6"/>
  <c r="BZ613" i="6"/>
  <c r="EL189" i="6"/>
  <c r="CA613" i="6" s="1"/>
  <c r="BT189" i="6"/>
  <c r="BT613" i="6" s="1"/>
  <c r="EL188" i="6"/>
  <c r="BT188" i="6"/>
  <c r="EG187" i="6"/>
  <c r="EB187" i="6"/>
  <c r="DW187" i="6"/>
  <c r="DR187" i="6"/>
  <c r="DM187" i="6"/>
  <c r="DH187" i="6"/>
  <c r="DC187" i="6"/>
  <c r="CX187" i="6"/>
  <c r="CS187" i="6"/>
  <c r="CN187" i="6"/>
  <c r="CI187" i="6"/>
  <c r="CD187" i="6"/>
  <c r="BY187" i="6"/>
  <c r="BO187" i="6"/>
  <c r="BJ187" i="6"/>
  <c r="BE187" i="6"/>
  <c r="AZ187" i="6"/>
  <c r="AZ611" i="6" s="1"/>
  <c r="AU187" i="6"/>
  <c r="AU611" i="6" s="1"/>
  <c r="AP187" i="6"/>
  <c r="AK187" i="6"/>
  <c r="AF187" i="6"/>
  <c r="AA187" i="6"/>
  <c r="V187" i="6"/>
  <c r="V611" i="6" s="1"/>
  <c r="Q187" i="6"/>
  <c r="Q611" i="6" s="1"/>
  <c r="L187" i="6"/>
  <c r="G187" i="6"/>
  <c r="CA610" i="6"/>
  <c r="EG185" i="6"/>
  <c r="EB185" i="6"/>
  <c r="DW185" i="6"/>
  <c r="DW181" i="6" s="1"/>
  <c r="DW14" i="6" s="1"/>
  <c r="DR185" i="6"/>
  <c r="DM185" i="6"/>
  <c r="DH185" i="6"/>
  <c r="DC185" i="6"/>
  <c r="CX185" i="6"/>
  <c r="CS185" i="6"/>
  <c r="CN185" i="6"/>
  <c r="CI185" i="6"/>
  <c r="CD185" i="6"/>
  <c r="BY185" i="6"/>
  <c r="BO185" i="6"/>
  <c r="BO181" i="6" s="1"/>
  <c r="BJ185" i="6"/>
  <c r="BJ609" i="6" s="1"/>
  <c r="BE185" i="6"/>
  <c r="AZ185" i="6"/>
  <c r="AZ181" i="6" s="1"/>
  <c r="AU185" i="6"/>
  <c r="AP185" i="6"/>
  <c r="AK185" i="6"/>
  <c r="AF185" i="6"/>
  <c r="AF609" i="6" s="1"/>
  <c r="AA185" i="6"/>
  <c r="V185" i="6"/>
  <c r="Q185" i="6"/>
  <c r="L185" i="6"/>
  <c r="G185" i="6"/>
  <c r="G181" i="6" s="1"/>
  <c r="EG184" i="6"/>
  <c r="EG181" i="6" s="1"/>
  <c r="EG14" i="6" s="1"/>
  <c r="EB184" i="6"/>
  <c r="DW184" i="6"/>
  <c r="DR184" i="6"/>
  <c r="DM184" i="6"/>
  <c r="DH184" i="6"/>
  <c r="DC184" i="6"/>
  <c r="CX184" i="6"/>
  <c r="CS184" i="6"/>
  <c r="CN184" i="6"/>
  <c r="CI184" i="6"/>
  <c r="CD184" i="6"/>
  <c r="BY184" i="6"/>
  <c r="BY181" i="6" s="1"/>
  <c r="BY14" i="6" s="1"/>
  <c r="BO184" i="6"/>
  <c r="BJ184" i="6"/>
  <c r="BJ608" i="6" s="1"/>
  <c r="BE184" i="6"/>
  <c r="AZ184" i="6"/>
  <c r="AU184" i="6"/>
  <c r="AP184" i="6"/>
  <c r="AK184" i="6"/>
  <c r="AF184" i="6"/>
  <c r="AF608" i="6" s="1"/>
  <c r="AA184" i="6"/>
  <c r="V184" i="6"/>
  <c r="Q184" i="6"/>
  <c r="L184" i="6"/>
  <c r="G184" i="6"/>
  <c r="EG183" i="6"/>
  <c r="EB183" i="6"/>
  <c r="DW183" i="6"/>
  <c r="DR183" i="6"/>
  <c r="DM183" i="6"/>
  <c r="DM181" i="6" s="1"/>
  <c r="DH183" i="6"/>
  <c r="DC183" i="6"/>
  <c r="CX183" i="6"/>
  <c r="CS183" i="6"/>
  <c r="CN183" i="6"/>
  <c r="CI183" i="6"/>
  <c r="CI181" i="6" s="1"/>
  <c r="CI14" i="6" s="1"/>
  <c r="CD183" i="6"/>
  <c r="BY183" i="6"/>
  <c r="BO183" i="6"/>
  <c r="BJ183" i="6"/>
  <c r="BE183" i="6"/>
  <c r="AZ183" i="6"/>
  <c r="AU183" i="6"/>
  <c r="AP183" i="6"/>
  <c r="AP607" i="6" s="1"/>
  <c r="AK183" i="6"/>
  <c r="AF183" i="6"/>
  <c r="AA183" i="6"/>
  <c r="V183" i="6"/>
  <c r="Q183" i="6"/>
  <c r="L183" i="6"/>
  <c r="L607" i="6" s="1"/>
  <c r="G183" i="6"/>
  <c r="EG182" i="6"/>
  <c r="EB182" i="6"/>
  <c r="EB181" i="6" s="1"/>
  <c r="DW182" i="6"/>
  <c r="DR182" i="6"/>
  <c r="DM182" i="6"/>
  <c r="DC182" i="6"/>
  <c r="CX182" i="6"/>
  <c r="CS182" i="6"/>
  <c r="CN182" i="6"/>
  <c r="CI182" i="6"/>
  <c r="BY182" i="6"/>
  <c r="BO182" i="6"/>
  <c r="BJ182" i="6"/>
  <c r="BE182" i="6"/>
  <c r="AZ182" i="6"/>
  <c r="AU182" i="6"/>
  <c r="AU606" i="6" s="1"/>
  <c r="AP182" i="6"/>
  <c r="AK182" i="6"/>
  <c r="AF182" i="6"/>
  <c r="AA182" i="6"/>
  <c r="V182" i="6"/>
  <c r="Q182" i="6"/>
  <c r="Q606" i="6" s="1"/>
  <c r="L182" i="6"/>
  <c r="G182" i="6"/>
  <c r="AK181" i="6"/>
  <c r="V181" i="6"/>
  <c r="CA604" i="6"/>
  <c r="BZ603" i="6"/>
  <c r="EL179" i="6"/>
  <c r="BT179" i="6"/>
  <c r="EL178" i="6"/>
  <c r="BT178" i="6"/>
  <c r="EL177" i="6"/>
  <c r="BT177" i="6"/>
  <c r="EL176" i="6"/>
  <c r="BT176" i="6"/>
  <c r="CA602" i="6"/>
  <c r="BZ602" i="6"/>
  <c r="EL175" i="6"/>
  <c r="BT175" i="6"/>
  <c r="BT602" i="6" s="1"/>
  <c r="CA601" i="6"/>
  <c r="BZ601" i="6"/>
  <c r="EL174" i="6"/>
  <c r="BT174" i="6"/>
  <c r="BT601" i="6" s="1"/>
  <c r="EL173" i="6"/>
  <c r="BT173" i="6"/>
  <c r="EG172" i="6"/>
  <c r="EG18" i="6" s="1"/>
  <c r="EG17" i="6" s="1"/>
  <c r="EG13" i="6" s="1"/>
  <c r="EB172" i="6"/>
  <c r="DW172" i="6"/>
  <c r="DR172" i="6"/>
  <c r="DM172" i="6"/>
  <c r="DH172" i="6"/>
  <c r="DC172" i="6"/>
  <c r="CX172" i="6"/>
  <c r="CS172" i="6"/>
  <c r="CN172" i="6"/>
  <c r="CI172" i="6"/>
  <c r="CD172" i="6"/>
  <c r="BY172" i="6"/>
  <c r="BO172" i="6"/>
  <c r="BJ172" i="6"/>
  <c r="BE172" i="6"/>
  <c r="BE599" i="6" s="1"/>
  <c r="AZ172" i="6"/>
  <c r="AU172" i="6"/>
  <c r="AP172" i="6"/>
  <c r="AP18" i="6" s="1"/>
  <c r="AP17" i="6" s="1"/>
  <c r="AK172" i="6"/>
  <c r="AF172" i="6"/>
  <c r="AA172" i="6"/>
  <c r="AA599" i="6" s="1"/>
  <c r="V172" i="6"/>
  <c r="Q172" i="6"/>
  <c r="L172" i="6"/>
  <c r="G172" i="6"/>
  <c r="CA598" i="6"/>
  <c r="CA595" i="6"/>
  <c r="BZ595" i="6"/>
  <c r="EL170" i="6"/>
  <c r="BT170" i="6"/>
  <c r="EL169" i="6"/>
  <c r="BT169" i="6"/>
  <c r="EG168" i="6"/>
  <c r="EB168" i="6"/>
  <c r="DW168" i="6"/>
  <c r="DR168" i="6"/>
  <c r="DM168" i="6"/>
  <c r="DH168" i="6"/>
  <c r="DC168" i="6"/>
  <c r="CX168" i="6"/>
  <c r="CS168" i="6"/>
  <c r="CN168" i="6"/>
  <c r="CI168" i="6"/>
  <c r="CD168" i="6"/>
  <c r="BO168" i="6"/>
  <c r="BJ168" i="6"/>
  <c r="BE168" i="6"/>
  <c r="AZ168" i="6"/>
  <c r="AU168" i="6"/>
  <c r="AP168" i="6"/>
  <c r="AP585" i="6" s="1"/>
  <c r="AK168" i="6"/>
  <c r="AF168" i="6"/>
  <c r="AA168" i="6"/>
  <c r="V168" i="6"/>
  <c r="V18" i="6" s="1"/>
  <c r="V17" i="6" s="1"/>
  <c r="V13" i="6" s="1"/>
  <c r="Q168" i="6"/>
  <c r="L168" i="6"/>
  <c r="L585" i="6" s="1"/>
  <c r="BZ559" i="6"/>
  <c r="EL157" i="6"/>
  <c r="CA559" i="6" s="1"/>
  <c r="BT157" i="6"/>
  <c r="EL156" i="6"/>
  <c r="BT156" i="6"/>
  <c r="EL155" i="6"/>
  <c r="BT155" i="6"/>
  <c r="EG154" i="6"/>
  <c r="EB154" i="6"/>
  <c r="DW154" i="6"/>
  <c r="DR154" i="6"/>
  <c r="DM154" i="6"/>
  <c r="DH154" i="6"/>
  <c r="DC154" i="6"/>
  <c r="CX154" i="6"/>
  <c r="CS154" i="6"/>
  <c r="CN154" i="6"/>
  <c r="CI154" i="6"/>
  <c r="CD154" i="6"/>
  <c r="BY154" i="6"/>
  <c r="BO154" i="6"/>
  <c r="BJ154" i="6"/>
  <c r="BJ556" i="6" s="1"/>
  <c r="BE154" i="6"/>
  <c r="AZ154" i="6"/>
  <c r="AU154" i="6"/>
  <c r="AP154" i="6"/>
  <c r="AP556" i="6" s="1"/>
  <c r="AK154" i="6"/>
  <c r="AF154" i="6"/>
  <c r="AF556" i="6" s="1"/>
  <c r="AA154" i="6"/>
  <c r="V154" i="6"/>
  <c r="Q154" i="6"/>
  <c r="L154" i="6"/>
  <c r="L556" i="6" s="1"/>
  <c r="G154" i="6"/>
  <c r="EL152" i="6"/>
  <c r="BT152" i="6"/>
  <c r="CA553" i="6"/>
  <c r="BZ553" i="6"/>
  <c r="EL151" i="6"/>
  <c r="BT151" i="6"/>
  <c r="CA552" i="6"/>
  <c r="BZ552" i="6"/>
  <c r="EL150" i="6"/>
  <c r="AP150" i="6"/>
  <c r="AK150" i="6"/>
  <c r="AK552" i="6" s="1"/>
  <c r="AF150" i="6"/>
  <c r="AF552" i="6" s="1"/>
  <c r="EG149" i="6"/>
  <c r="EB149" i="6"/>
  <c r="DW149" i="6"/>
  <c r="DR149" i="6"/>
  <c r="DM149" i="6"/>
  <c r="DH149" i="6"/>
  <c r="DC149" i="6"/>
  <c r="CX149" i="6"/>
  <c r="CS149" i="6"/>
  <c r="CN149" i="6"/>
  <c r="CI149" i="6"/>
  <c r="CD149" i="6"/>
  <c r="BY149" i="6"/>
  <c r="BO149" i="6"/>
  <c r="BJ149" i="6"/>
  <c r="BE149" i="6"/>
  <c r="AZ149" i="6"/>
  <c r="AZ551" i="6" s="1"/>
  <c r="AU149" i="6"/>
  <c r="AA149" i="6"/>
  <c r="V149" i="6"/>
  <c r="V551" i="6" s="1"/>
  <c r="Q149" i="6"/>
  <c r="L149" i="6"/>
  <c r="G149" i="6"/>
  <c r="G551" i="6" s="1"/>
  <c r="EL147" i="6"/>
  <c r="BT147" i="6"/>
  <c r="CA548" i="6"/>
  <c r="EL146" i="6"/>
  <c r="BT146" i="6"/>
  <c r="EG145" i="6"/>
  <c r="EB145" i="6"/>
  <c r="BJ547" i="6" s="1"/>
  <c r="DW145" i="6"/>
  <c r="BE547" i="6" s="1"/>
  <c r="DR145" i="6"/>
  <c r="DM145" i="6"/>
  <c r="AU547" i="6" s="1"/>
  <c r="DH145" i="6"/>
  <c r="AP547" i="6" s="1"/>
  <c r="DC145" i="6"/>
  <c r="DC144" i="6" s="1"/>
  <c r="CX145" i="6"/>
  <c r="CX144" i="6" s="1"/>
  <c r="CS145" i="6"/>
  <c r="CN145" i="6"/>
  <c r="CN144" i="6" s="1"/>
  <c r="CI145" i="6"/>
  <c r="CD145" i="6"/>
  <c r="AK145" i="6"/>
  <c r="AK547" i="6" s="1"/>
  <c r="AF145" i="6"/>
  <c r="AA145" i="6"/>
  <c r="AA547" i="6" s="1"/>
  <c r="V145" i="6"/>
  <c r="Q145" i="6"/>
  <c r="Q547" i="6" s="1"/>
  <c r="L145" i="6"/>
  <c r="L547" i="6" s="1"/>
  <c r="EB144" i="6"/>
  <c r="DW144" i="6"/>
  <c r="DM144" i="6"/>
  <c r="CS144" i="6"/>
  <c r="CI144" i="6"/>
  <c r="BY144" i="6"/>
  <c r="BO144" i="6"/>
  <c r="BJ144" i="6"/>
  <c r="BE144" i="6"/>
  <c r="AZ144" i="6"/>
  <c r="AU144" i="6"/>
  <c r="AP144" i="6"/>
  <c r="AF144" i="6"/>
  <c r="V144" i="6"/>
  <c r="Q144" i="6"/>
  <c r="L144" i="6"/>
  <c r="G144" i="6"/>
  <c r="G546" i="6" s="1"/>
  <c r="CA545" i="6"/>
  <c r="EL142" i="6"/>
  <c r="BT142" i="6"/>
  <c r="EL141" i="6"/>
  <c r="CA543" i="6" s="1"/>
  <c r="BT141" i="6"/>
  <c r="EG140" i="6"/>
  <c r="DW140" i="6"/>
  <c r="DM140" i="6"/>
  <c r="AU542" i="6" s="1"/>
  <c r="DH140" i="6"/>
  <c r="DC140" i="6"/>
  <c r="CX140" i="6"/>
  <c r="AF542" i="6" s="1"/>
  <c r="CS140" i="6"/>
  <c r="CS139" i="6" s="1"/>
  <c r="CI140" i="6"/>
  <c r="CD140" i="6"/>
  <c r="AP140" i="6"/>
  <c r="AK140" i="6"/>
  <c r="AK542" i="6" s="1"/>
  <c r="AA140" i="6"/>
  <c r="AA542" i="6" s="1"/>
  <c r="V140" i="6"/>
  <c r="V542" i="6" s="1"/>
  <c r="Q140" i="6"/>
  <c r="L140" i="6"/>
  <c r="L542" i="6" s="1"/>
  <c r="EB139" i="6"/>
  <c r="DR139" i="6"/>
  <c r="DM139" i="6"/>
  <c r="DH139" i="6"/>
  <c r="DC139" i="6"/>
  <c r="CX139" i="6"/>
  <c r="CN139" i="6"/>
  <c r="CI139" i="6"/>
  <c r="CD139" i="6"/>
  <c r="BY139" i="6"/>
  <c r="BO139" i="6"/>
  <c r="BJ139" i="6"/>
  <c r="BE139" i="6"/>
  <c r="AZ139" i="6"/>
  <c r="AZ541" i="6" s="1"/>
  <c r="AU139" i="6"/>
  <c r="AP139" i="6"/>
  <c r="AP541" i="6" s="1"/>
  <c r="AF139" i="6"/>
  <c r="AA139" i="6"/>
  <c r="AA541" i="6" s="1"/>
  <c r="V139" i="6"/>
  <c r="V541" i="6" s="1"/>
  <c r="Q139" i="6"/>
  <c r="L139" i="6"/>
  <c r="L541" i="6" s="1"/>
  <c r="G139" i="6"/>
  <c r="CA540" i="6"/>
  <c r="CA539" i="6"/>
  <c r="BZ539" i="6"/>
  <c r="EL137" i="6"/>
  <c r="BT137" i="6"/>
  <c r="CA538" i="6"/>
  <c r="BZ538" i="6"/>
  <c r="EL136" i="6"/>
  <c r="EL134" i="6" s="1"/>
  <c r="BT136" i="6"/>
  <c r="BZ537" i="6"/>
  <c r="EL135" i="6"/>
  <c r="CA537" i="6" s="1"/>
  <c r="BT135" i="6"/>
  <c r="BT537" i="6" s="1"/>
  <c r="EG134" i="6"/>
  <c r="EB134" i="6"/>
  <c r="DW134" i="6"/>
  <c r="DR134" i="6"/>
  <c r="DM134" i="6"/>
  <c r="DH134" i="6"/>
  <c r="DC134" i="6"/>
  <c r="CX134" i="6"/>
  <c r="CS134" i="6"/>
  <c r="CN134" i="6"/>
  <c r="CI134" i="6"/>
  <c r="CD134" i="6"/>
  <c r="BY134" i="6"/>
  <c r="BT134" i="6"/>
  <c r="BT536" i="6" s="1"/>
  <c r="BO134" i="6"/>
  <c r="BJ134" i="6"/>
  <c r="BE134" i="6"/>
  <c r="AZ134" i="6"/>
  <c r="AZ536" i="6" s="1"/>
  <c r="AU134" i="6"/>
  <c r="AP134" i="6"/>
  <c r="AP536" i="6" s="1"/>
  <c r="AK134" i="6"/>
  <c r="AF134" i="6"/>
  <c r="AA134" i="6"/>
  <c r="V134" i="6"/>
  <c r="V536" i="6" s="1"/>
  <c r="Q134" i="6"/>
  <c r="L134" i="6"/>
  <c r="L536" i="6" s="1"/>
  <c r="G134" i="6"/>
  <c r="BZ534" i="6"/>
  <c r="EL132" i="6"/>
  <c r="CA534" i="6" s="1"/>
  <c r="BT132" i="6"/>
  <c r="EL131" i="6"/>
  <c r="BT131" i="6"/>
  <c r="EB130" i="6"/>
  <c r="BJ531" i="6" s="1"/>
  <c r="DW130" i="6"/>
  <c r="BE531" i="6" s="1"/>
  <c r="DR130" i="6"/>
  <c r="AZ531" i="6" s="1"/>
  <c r="DM130" i="6"/>
  <c r="AU531" i="6" s="1"/>
  <c r="DH130" i="6"/>
  <c r="DH129" i="6" s="1"/>
  <c r="CX130" i="6"/>
  <c r="CS130" i="6"/>
  <c r="CN130" i="6"/>
  <c r="CI130" i="6"/>
  <c r="EL130" i="6" s="1"/>
  <c r="CD130" i="6"/>
  <c r="AP130" i="6"/>
  <c r="AP531" i="6" s="1"/>
  <c r="AK130" i="6"/>
  <c r="AK531" i="6" s="1"/>
  <c r="AF130" i="6"/>
  <c r="AF531" i="6" s="1"/>
  <c r="AA130" i="6"/>
  <c r="AA531" i="6" s="1"/>
  <c r="V130" i="6"/>
  <c r="Q130" i="6"/>
  <c r="L130" i="6"/>
  <c r="EG129" i="6"/>
  <c r="EB129" i="6"/>
  <c r="DW129" i="6"/>
  <c r="DM129" i="6"/>
  <c r="DC129" i="6"/>
  <c r="CX129" i="6"/>
  <c r="CS129" i="6"/>
  <c r="CN129" i="6"/>
  <c r="CD129" i="6"/>
  <c r="BY129" i="6"/>
  <c r="BO129" i="6"/>
  <c r="BJ129" i="6"/>
  <c r="BE129" i="6"/>
  <c r="BE530" i="6" s="1"/>
  <c r="AZ129" i="6"/>
  <c r="AU129" i="6"/>
  <c r="AP129" i="6"/>
  <c r="AK129" i="6"/>
  <c r="AK530" i="6" s="1"/>
  <c r="AF129" i="6"/>
  <c r="V129" i="6"/>
  <c r="Q129" i="6"/>
  <c r="L129" i="6"/>
  <c r="L530" i="6" s="1"/>
  <c r="G129" i="6"/>
  <c r="G530" i="6" s="1"/>
  <c r="CA516" i="6"/>
  <c r="BZ516" i="6"/>
  <c r="EL127" i="6"/>
  <c r="BT127" i="6"/>
  <c r="CA515" i="6"/>
  <c r="BZ515" i="6"/>
  <c r="EL126" i="6"/>
  <c r="BT126" i="6"/>
  <c r="BT515" i="6" s="1"/>
  <c r="EG125" i="6"/>
  <c r="BO514" i="6" s="1"/>
  <c r="EB125" i="6"/>
  <c r="BJ514" i="6" s="1"/>
  <c r="DW125" i="6"/>
  <c r="DR125" i="6"/>
  <c r="DM125" i="6"/>
  <c r="AU514" i="6" s="1"/>
  <c r="DC125" i="6"/>
  <c r="CX125" i="6"/>
  <c r="CS125" i="6"/>
  <c r="CS124" i="6" s="1"/>
  <c r="CN125" i="6"/>
  <c r="CN124" i="6" s="1"/>
  <c r="CI125" i="6"/>
  <c r="Q514" i="6" s="1"/>
  <c r="CD125" i="6"/>
  <c r="EL125" i="6" s="1"/>
  <c r="AP125" i="6"/>
  <c r="AP514" i="6" s="1"/>
  <c r="AK125" i="6"/>
  <c r="AK124" i="6" s="1"/>
  <c r="AK513" i="6" s="1"/>
  <c r="AF125" i="6"/>
  <c r="AA125" i="6"/>
  <c r="AA514" i="6" s="1"/>
  <c r="V125" i="6"/>
  <c r="L125" i="6"/>
  <c r="EG124" i="6"/>
  <c r="EB124" i="6"/>
  <c r="DM124" i="6"/>
  <c r="DH124" i="6"/>
  <c r="DC124" i="6"/>
  <c r="CX124" i="6"/>
  <c r="CI124" i="6"/>
  <c r="CD124" i="6"/>
  <c r="BY124" i="6"/>
  <c r="BO124" i="6"/>
  <c r="BJ124" i="6"/>
  <c r="BE124" i="6"/>
  <c r="AZ124" i="6"/>
  <c r="AU124" i="6"/>
  <c r="AU513" i="6" s="1"/>
  <c r="AP124" i="6"/>
  <c r="AP513" i="6" s="1"/>
  <c r="Q124" i="6"/>
  <c r="L124" i="6"/>
  <c r="G124" i="6"/>
  <c r="CA512" i="6"/>
  <c r="BZ512" i="6"/>
  <c r="CA511" i="6"/>
  <c r="BZ511" i="6"/>
  <c r="EL122" i="6"/>
  <c r="BT122" i="6"/>
  <c r="CA510" i="6"/>
  <c r="BZ510" i="6"/>
  <c r="EL121" i="6"/>
  <c r="BT121" i="6"/>
  <c r="EL120" i="6"/>
  <c r="BZ509" i="6" s="1"/>
  <c r="BT120" i="6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O119" i="6"/>
  <c r="BJ119" i="6"/>
  <c r="BE119" i="6"/>
  <c r="AZ119" i="6"/>
  <c r="AU119" i="6"/>
  <c r="AP119" i="6"/>
  <c r="AK119" i="6"/>
  <c r="AF119" i="6"/>
  <c r="AA119" i="6"/>
  <c r="V119" i="6"/>
  <c r="Q119" i="6"/>
  <c r="L119" i="6"/>
  <c r="G119" i="6"/>
  <c r="CA507" i="6"/>
  <c r="BZ507" i="6"/>
  <c r="EL117" i="6"/>
  <c r="BT117" i="6"/>
  <c r="CA505" i="6"/>
  <c r="BZ505" i="6"/>
  <c r="EL116" i="6"/>
  <c r="BT116" i="6"/>
  <c r="EG115" i="6"/>
  <c r="BO504" i="6" s="1"/>
  <c r="EB115" i="6"/>
  <c r="DW115" i="6"/>
  <c r="BE504" i="6" s="1"/>
  <c r="DM115" i="6"/>
  <c r="AU504" i="6" s="1"/>
  <c r="DH115" i="6"/>
  <c r="DH114" i="6" s="1"/>
  <c r="DC115" i="6"/>
  <c r="CX115" i="6"/>
  <c r="CS115" i="6"/>
  <c r="CN115" i="6"/>
  <c r="CI115" i="6"/>
  <c r="CD115" i="6"/>
  <c r="EL115" i="6" s="1"/>
  <c r="CA504" i="6" s="1"/>
  <c r="AP115" i="6"/>
  <c r="AK115" i="6"/>
  <c r="AK504" i="6" s="1"/>
  <c r="AF115" i="6"/>
  <c r="AF504" i="6" s="1"/>
  <c r="AA115" i="6"/>
  <c r="AA504" i="6" s="1"/>
  <c r="V115" i="6"/>
  <c r="V504" i="6" s="1"/>
  <c r="Q115" i="6"/>
  <c r="L115" i="6"/>
  <c r="BT115" i="6" s="1"/>
  <c r="DW114" i="6"/>
  <c r="DR114" i="6"/>
  <c r="DM114" i="6"/>
  <c r="DC114" i="6"/>
  <c r="CX114" i="6"/>
  <c r="CS114" i="6"/>
  <c r="CN114" i="6"/>
  <c r="CI114" i="6"/>
  <c r="BY114" i="6"/>
  <c r="BO114" i="6"/>
  <c r="BJ114" i="6"/>
  <c r="BE114" i="6"/>
  <c r="AZ114" i="6"/>
  <c r="AU114" i="6"/>
  <c r="AP114" i="6"/>
  <c r="AF114" i="6"/>
  <c r="AF503" i="6" s="1"/>
  <c r="AA114" i="6"/>
  <c r="AA503" i="6" s="1"/>
  <c r="V114" i="6"/>
  <c r="Q114" i="6"/>
  <c r="L114" i="6"/>
  <c r="G114" i="6"/>
  <c r="G503" i="6" s="1"/>
  <c r="CA502" i="6"/>
  <c r="BZ502" i="6"/>
  <c r="EL112" i="6"/>
  <c r="BT112" i="6"/>
  <c r="BT501" i="6" s="1"/>
  <c r="CA500" i="6"/>
  <c r="EL111" i="6"/>
  <c r="BT111" i="6"/>
  <c r="EG110" i="6"/>
  <c r="EB110" i="6"/>
  <c r="BJ499" i="6" s="1"/>
  <c r="DR110" i="6"/>
  <c r="AZ499" i="6" s="1"/>
  <c r="DM110" i="6"/>
  <c r="AU499" i="6" s="1"/>
  <c r="DH110" i="6"/>
  <c r="DC110" i="6"/>
  <c r="CX110" i="6"/>
  <c r="CS110" i="6"/>
  <c r="CS109" i="6" s="1"/>
  <c r="CN110" i="6"/>
  <c r="CN109" i="6" s="1"/>
  <c r="CI110" i="6"/>
  <c r="CD110" i="6"/>
  <c r="AP110" i="6"/>
  <c r="AP499" i="6" s="1"/>
  <c r="AK110" i="6"/>
  <c r="AK499" i="6" s="1"/>
  <c r="AF110" i="6"/>
  <c r="AF499" i="6" s="1"/>
  <c r="AA110" i="6"/>
  <c r="V110" i="6"/>
  <c r="Q110" i="6"/>
  <c r="L110" i="6"/>
  <c r="DW109" i="6"/>
  <c r="DH109" i="6"/>
  <c r="DC109" i="6"/>
  <c r="CX109" i="6"/>
  <c r="CD109" i="6"/>
  <c r="BY109" i="6"/>
  <c r="BO109" i="6"/>
  <c r="BJ109" i="6"/>
  <c r="BE109" i="6"/>
  <c r="AZ109" i="6"/>
  <c r="AU109" i="6"/>
  <c r="AP109" i="6"/>
  <c r="AP498" i="6" s="1"/>
  <c r="V109" i="6"/>
  <c r="Q109" i="6"/>
  <c r="L109" i="6"/>
  <c r="G109" i="6"/>
  <c r="CA497" i="6"/>
  <c r="BZ497" i="6"/>
  <c r="BZ496" i="6"/>
  <c r="EL107" i="6"/>
  <c r="CA496" i="6" s="1"/>
  <c r="BT107" i="6"/>
  <c r="BT496" i="6" s="1"/>
  <c r="EL106" i="6"/>
  <c r="BT106" i="6"/>
  <c r="BT495" i="6" s="1"/>
  <c r="EB105" i="6"/>
  <c r="BJ494" i="6" s="1"/>
  <c r="DM105" i="6"/>
  <c r="DC105" i="6"/>
  <c r="CX105" i="6"/>
  <c r="CN105" i="6"/>
  <c r="CN104" i="6" s="1"/>
  <c r="CI105" i="6"/>
  <c r="CI104" i="6" s="1"/>
  <c r="CD105" i="6"/>
  <c r="L494" i="6" s="1"/>
  <c r="AP105" i="6"/>
  <c r="AP494" i="6" s="1"/>
  <c r="AK105" i="6"/>
  <c r="AF105" i="6"/>
  <c r="AF494" i="6" s="1"/>
  <c r="AA105" i="6"/>
  <c r="V105" i="6"/>
  <c r="V494" i="6" s="1"/>
  <c r="Q105" i="6"/>
  <c r="Q494" i="6" s="1"/>
  <c r="EG104" i="6"/>
  <c r="DW104" i="6"/>
  <c r="DR104" i="6"/>
  <c r="DH104" i="6"/>
  <c r="DC104" i="6"/>
  <c r="CX104" i="6"/>
  <c r="CS104" i="6"/>
  <c r="CD104" i="6"/>
  <c r="BY104" i="6"/>
  <c r="BO104" i="6"/>
  <c r="BJ104" i="6"/>
  <c r="BE104" i="6"/>
  <c r="AZ104" i="6"/>
  <c r="AZ493" i="6" s="1"/>
  <c r="AU104" i="6"/>
  <c r="AP104" i="6"/>
  <c r="AP493" i="6" s="1"/>
  <c r="AK104" i="6"/>
  <c r="V104" i="6"/>
  <c r="V493" i="6" s="1"/>
  <c r="L104" i="6"/>
  <c r="L493" i="6" s="1"/>
  <c r="G104" i="6"/>
  <c r="G493" i="6" s="1"/>
  <c r="CA492" i="6"/>
  <c r="BZ492" i="6"/>
  <c r="CA491" i="6"/>
  <c r="BZ491" i="6"/>
  <c r="EL102" i="6"/>
  <c r="BT102" i="6"/>
  <c r="CA490" i="6"/>
  <c r="EL101" i="6"/>
  <c r="BT101" i="6"/>
  <c r="EG100" i="6"/>
  <c r="BO489" i="6" s="1"/>
  <c r="EB100" i="6"/>
  <c r="BJ489" i="6" s="1"/>
  <c r="DW100" i="6"/>
  <c r="BE489" i="6" s="1"/>
  <c r="DR100" i="6"/>
  <c r="AZ489" i="6" s="1"/>
  <c r="DM100" i="6"/>
  <c r="DH100" i="6"/>
  <c r="DC100" i="6"/>
  <c r="CX100" i="6"/>
  <c r="CS100" i="6"/>
  <c r="AA489" i="6" s="1"/>
  <c r="CI100" i="6"/>
  <c r="CI99" i="6" s="1"/>
  <c r="CD100" i="6"/>
  <c r="EL100" i="6" s="1"/>
  <c r="AP100" i="6"/>
  <c r="AP489" i="6" s="1"/>
  <c r="AK100" i="6"/>
  <c r="AF100" i="6"/>
  <c r="AF489" i="6" s="1"/>
  <c r="Q100" i="6"/>
  <c r="Q489" i="6" s="1"/>
  <c r="L100" i="6"/>
  <c r="L489" i="6" s="1"/>
  <c r="EG99" i="6"/>
  <c r="EB99" i="6"/>
  <c r="DW99" i="6"/>
  <c r="DH99" i="6"/>
  <c r="DC99" i="6"/>
  <c r="CX99" i="6"/>
  <c r="CS99" i="6"/>
  <c r="CN99" i="6"/>
  <c r="BY99" i="6"/>
  <c r="BO99" i="6"/>
  <c r="BO488" i="6" s="1"/>
  <c r="BJ99" i="6"/>
  <c r="BJ488" i="6" s="1"/>
  <c r="BE99" i="6"/>
  <c r="AZ99" i="6"/>
  <c r="AU99" i="6"/>
  <c r="AP99" i="6"/>
  <c r="AP488" i="6" s="1"/>
  <c r="AK99" i="6"/>
  <c r="AK488" i="6" s="1"/>
  <c r="AF99" i="6"/>
  <c r="AF488" i="6" s="1"/>
  <c r="AA99" i="6"/>
  <c r="V99" i="6"/>
  <c r="G99" i="6"/>
  <c r="CA487" i="6"/>
  <c r="BZ487" i="6"/>
  <c r="EL97" i="6"/>
  <c r="CA486" i="6" s="1"/>
  <c r="BT97" i="6"/>
  <c r="EL96" i="6"/>
  <c r="BZ485" i="6" s="1"/>
  <c r="BT96" i="6"/>
  <c r="EG95" i="6"/>
  <c r="BO484" i="6" s="1"/>
  <c r="EB95" i="6"/>
  <c r="BJ484" i="6" s="1"/>
  <c r="DW95" i="6"/>
  <c r="BE484" i="6" s="1"/>
  <c r="DM95" i="6"/>
  <c r="AU484" i="6" s="1"/>
  <c r="CS95" i="6"/>
  <c r="CI95" i="6"/>
  <c r="Q484" i="6" s="1"/>
  <c r="CD95" i="6"/>
  <c r="L484" i="6" s="1"/>
  <c r="BT95" i="6"/>
  <c r="DW94" i="6"/>
  <c r="DR94" i="6"/>
  <c r="DM94" i="6"/>
  <c r="DH94" i="6"/>
  <c r="DC94" i="6"/>
  <c r="CX94" i="6"/>
  <c r="CN94" i="6"/>
  <c r="CI94" i="6"/>
  <c r="CD94" i="6"/>
  <c r="BY94" i="6"/>
  <c r="BO94" i="6"/>
  <c r="BJ94" i="6"/>
  <c r="BE94" i="6"/>
  <c r="BE483" i="6" s="1"/>
  <c r="AZ94" i="6"/>
  <c r="AU94" i="6"/>
  <c r="AP94" i="6"/>
  <c r="AP483" i="6" s="1"/>
  <c r="AK94" i="6"/>
  <c r="AF94" i="6"/>
  <c r="AF483" i="6" s="1"/>
  <c r="AA94" i="6"/>
  <c r="V94" i="6"/>
  <c r="Q94" i="6"/>
  <c r="L94" i="6"/>
  <c r="G94" i="6"/>
  <c r="CA482" i="6"/>
  <c r="CA481" i="6"/>
  <c r="BZ481" i="6"/>
  <c r="EL91" i="6"/>
  <c r="BT91" i="6"/>
  <c r="CA480" i="6"/>
  <c r="BZ480" i="6"/>
  <c r="EL90" i="6"/>
  <c r="BT90" i="6"/>
  <c r="CA479" i="6"/>
  <c r="BZ479" i="6"/>
  <c r="EL89" i="6"/>
  <c r="BT89" i="6"/>
  <c r="EL88" i="6"/>
  <c r="CA478" i="6" s="1"/>
  <c r="BT88" i="6"/>
  <c r="EG87" i="6"/>
  <c r="EB87" i="6"/>
  <c r="DW87" i="6"/>
  <c r="DR87" i="6"/>
  <c r="DM87" i="6"/>
  <c r="DH87" i="6"/>
  <c r="DC87" i="6"/>
  <c r="CX87" i="6"/>
  <c r="CS87" i="6"/>
  <c r="CN87" i="6"/>
  <c r="CI87" i="6"/>
  <c r="CD87" i="6"/>
  <c r="BY87" i="6"/>
  <c r="BO87" i="6"/>
  <c r="BJ87" i="6"/>
  <c r="BE87" i="6"/>
  <c r="AZ87" i="6"/>
  <c r="AU87" i="6"/>
  <c r="AP87" i="6"/>
  <c r="AP477" i="6" s="1"/>
  <c r="AK87" i="6"/>
  <c r="AF87" i="6"/>
  <c r="AA87" i="6"/>
  <c r="V87" i="6"/>
  <c r="Q87" i="6"/>
  <c r="L87" i="6"/>
  <c r="L477" i="6" s="1"/>
  <c r="G87" i="6"/>
  <c r="CA476" i="6"/>
  <c r="BZ475" i="6"/>
  <c r="EL85" i="6"/>
  <c r="CA475" i="6" s="1"/>
  <c r="BT85" i="6"/>
  <c r="EL84" i="6"/>
  <c r="BT84" i="6"/>
  <c r="CA474" i="6"/>
  <c r="BZ474" i="6"/>
  <c r="EL83" i="6"/>
  <c r="BT83" i="6"/>
  <c r="BZ473" i="6"/>
  <c r="EL82" i="6"/>
  <c r="CA473" i="6" s="1"/>
  <c r="BT82" i="6"/>
  <c r="EG81" i="6"/>
  <c r="EB81" i="6"/>
  <c r="DW81" i="6"/>
  <c r="DR81" i="6"/>
  <c r="DM81" i="6"/>
  <c r="DH81" i="6"/>
  <c r="DC81" i="6"/>
  <c r="CX81" i="6"/>
  <c r="CS81" i="6"/>
  <c r="CN81" i="6"/>
  <c r="CI81" i="6"/>
  <c r="CD81" i="6"/>
  <c r="BY81" i="6"/>
  <c r="BO81" i="6"/>
  <c r="BJ81" i="6"/>
  <c r="BE81" i="6"/>
  <c r="BE472" i="6" s="1"/>
  <c r="AZ81" i="6"/>
  <c r="AZ472" i="6" s="1"/>
  <c r="AU81" i="6"/>
  <c r="AP81" i="6"/>
  <c r="AK81" i="6"/>
  <c r="AF81" i="6"/>
  <c r="AA81" i="6"/>
  <c r="AA472" i="6" s="1"/>
  <c r="V81" i="6"/>
  <c r="V472" i="6" s="1"/>
  <c r="Q81" i="6"/>
  <c r="L81" i="6"/>
  <c r="G81" i="6"/>
  <c r="EL79" i="6"/>
  <c r="CA470" i="6" s="1"/>
  <c r="BT79" i="6"/>
  <c r="EL78" i="6"/>
  <c r="BZ469" i="6" s="1"/>
  <c r="BT78" i="6"/>
  <c r="CA468" i="6"/>
  <c r="EL77" i="6"/>
  <c r="BT77" i="6"/>
  <c r="EG76" i="6"/>
  <c r="BO467" i="6" s="1"/>
  <c r="EB76" i="6"/>
  <c r="BJ467" i="6" s="1"/>
  <c r="DW76" i="6"/>
  <c r="BE467" i="6" s="1"/>
  <c r="DR76" i="6"/>
  <c r="AZ467" i="6" s="1"/>
  <c r="DM76" i="6"/>
  <c r="AU467" i="6" s="1"/>
  <c r="DH76" i="6"/>
  <c r="DC76" i="6"/>
  <c r="CX76" i="6"/>
  <c r="CS76" i="6"/>
  <c r="CN76" i="6"/>
  <c r="CI76" i="6"/>
  <c r="CD76" i="6"/>
  <c r="EL76" i="6" s="1"/>
  <c r="AP76" i="6"/>
  <c r="AP467" i="6" s="1"/>
  <c r="AK76" i="6"/>
  <c r="AK467" i="6" s="1"/>
  <c r="AF76" i="6"/>
  <c r="AF18" i="6" s="1"/>
  <c r="AA76" i="6"/>
  <c r="V76" i="6"/>
  <c r="Q76" i="6"/>
  <c r="Q467" i="6" s="1"/>
  <c r="L76" i="6"/>
  <c r="L467" i="6" s="1"/>
  <c r="EG75" i="6"/>
  <c r="EB75" i="6"/>
  <c r="DW75" i="6"/>
  <c r="DR75" i="6"/>
  <c r="DM75" i="6"/>
  <c r="DH75" i="6"/>
  <c r="DC75" i="6"/>
  <c r="CX75" i="6"/>
  <c r="CS75" i="6"/>
  <c r="CN75" i="6"/>
  <c r="CI75" i="6"/>
  <c r="CD75" i="6"/>
  <c r="BY75" i="6"/>
  <c r="BO75" i="6"/>
  <c r="BJ75" i="6"/>
  <c r="BE75" i="6"/>
  <c r="AZ75" i="6"/>
  <c r="AU75" i="6"/>
  <c r="AU466" i="6" s="1"/>
  <c r="AP75" i="6"/>
  <c r="AP466" i="6" s="1"/>
  <c r="AK75" i="6"/>
  <c r="AF75" i="6"/>
  <c r="AA75" i="6"/>
  <c r="Q75" i="6"/>
  <c r="Q466" i="6" s="1"/>
  <c r="L75" i="6"/>
  <c r="L466" i="6" s="1"/>
  <c r="G75" i="6"/>
  <c r="G466" i="6" s="1"/>
  <c r="CA465" i="6"/>
  <c r="BZ465" i="6"/>
  <c r="BZ464" i="6"/>
  <c r="EL73" i="6"/>
  <c r="CA464" i="6" s="1"/>
  <c r="BT73" i="6"/>
  <c r="EL72" i="6"/>
  <c r="CA463" i="6" s="1"/>
  <c r="BT72" i="6"/>
  <c r="EL71" i="6"/>
  <c r="BZ462" i="6" s="1"/>
  <c r="BT71" i="6"/>
  <c r="BT462" i="6" s="1"/>
  <c r="EG70" i="6"/>
  <c r="BO461" i="6" s="1"/>
  <c r="EB70" i="6"/>
  <c r="BJ461" i="6" s="1"/>
  <c r="DW70" i="6"/>
  <c r="BE461" i="6" s="1"/>
  <c r="DR70" i="6"/>
  <c r="AZ461" i="6" s="1"/>
  <c r="DM70" i="6"/>
  <c r="AU461" i="6" s="1"/>
  <c r="DH70" i="6"/>
  <c r="DC70" i="6"/>
  <c r="CX70" i="6"/>
  <c r="CS70" i="6"/>
  <c r="CN70" i="6"/>
  <c r="CI70" i="6"/>
  <c r="CD70" i="6"/>
  <c r="EL70" i="6" s="1"/>
  <c r="AP70" i="6"/>
  <c r="AP461" i="6" s="1"/>
  <c r="AK70" i="6"/>
  <c r="AF70" i="6"/>
  <c r="AA70" i="6"/>
  <c r="V70" i="6"/>
  <c r="V461" i="6" s="1"/>
  <c r="Q70" i="6"/>
  <c r="Q461" i="6" s="1"/>
  <c r="L70" i="6"/>
  <c r="L461" i="6" s="1"/>
  <c r="EG69" i="6"/>
  <c r="EB69" i="6"/>
  <c r="DW69" i="6"/>
  <c r="DR69" i="6"/>
  <c r="DM69" i="6"/>
  <c r="DH69" i="6"/>
  <c r="DC69" i="6"/>
  <c r="CX69" i="6"/>
  <c r="CS69" i="6"/>
  <c r="CN69" i="6"/>
  <c r="CI69" i="6"/>
  <c r="CD69" i="6"/>
  <c r="BY69" i="6"/>
  <c r="BO69" i="6"/>
  <c r="BJ69" i="6"/>
  <c r="BE69" i="6"/>
  <c r="AZ69" i="6"/>
  <c r="AZ460" i="6" s="1"/>
  <c r="AU69" i="6"/>
  <c r="AP69" i="6"/>
  <c r="AP460" i="6" s="1"/>
  <c r="AK69" i="6"/>
  <c r="AF69" i="6"/>
  <c r="AA69" i="6"/>
  <c r="V69" i="6"/>
  <c r="V460" i="6" s="1"/>
  <c r="Q69" i="6"/>
  <c r="L69" i="6"/>
  <c r="L460" i="6" s="1"/>
  <c r="G69" i="6"/>
  <c r="EL67" i="6"/>
  <c r="BZ458" i="6" s="1"/>
  <c r="BT67" i="6"/>
  <c r="EL66" i="6"/>
  <c r="BT66" i="6"/>
  <c r="EL65" i="6"/>
  <c r="CA457" i="6" s="1"/>
  <c r="BT65" i="6"/>
  <c r="EG64" i="6"/>
  <c r="BO456" i="6" s="1"/>
  <c r="EB64" i="6"/>
  <c r="BJ456" i="6" s="1"/>
  <c r="DW64" i="6"/>
  <c r="BE456" i="6" s="1"/>
  <c r="DM64" i="6"/>
  <c r="AU456" i="6" s="1"/>
  <c r="DH64" i="6"/>
  <c r="DC64" i="6"/>
  <c r="CX64" i="6"/>
  <c r="EL64" i="6" s="1"/>
  <c r="CS64" i="6"/>
  <c r="CN64" i="6"/>
  <c r="CI64" i="6"/>
  <c r="CD64" i="6"/>
  <c r="AP64" i="6"/>
  <c r="AP456" i="6" s="1"/>
  <c r="AK64" i="6"/>
  <c r="AF64" i="6"/>
  <c r="AA64" i="6"/>
  <c r="V64" i="6"/>
  <c r="V456" i="6" s="1"/>
  <c r="Q64" i="6"/>
  <c r="Q456" i="6" s="1"/>
  <c r="L64" i="6"/>
  <c r="L456" i="6" s="1"/>
  <c r="EB63" i="6"/>
  <c r="DW63" i="6"/>
  <c r="DR63" i="6"/>
  <c r="DM63" i="6"/>
  <c r="DH63" i="6"/>
  <c r="DC63" i="6"/>
  <c r="CX63" i="6"/>
  <c r="CS63" i="6"/>
  <c r="CN63" i="6"/>
  <c r="CI63" i="6"/>
  <c r="CD63" i="6"/>
  <c r="BY63" i="6"/>
  <c r="BO63" i="6"/>
  <c r="BJ63" i="6"/>
  <c r="BE63" i="6"/>
  <c r="AZ63" i="6"/>
  <c r="AU63" i="6"/>
  <c r="AU455" i="6" s="1"/>
  <c r="AP63" i="6"/>
  <c r="AP455" i="6" s="1"/>
  <c r="AK63" i="6"/>
  <c r="AF63" i="6"/>
  <c r="AA63" i="6"/>
  <c r="V63" i="6"/>
  <c r="Q63" i="6"/>
  <c r="Q455" i="6" s="1"/>
  <c r="L63" i="6"/>
  <c r="L455" i="6" s="1"/>
  <c r="G63" i="6"/>
  <c r="EL61" i="6"/>
  <c r="BT61" i="6"/>
  <c r="BT453" i="6" s="1"/>
  <c r="EL60" i="6"/>
  <c r="BT60" i="6"/>
  <c r="EL59" i="6"/>
  <c r="EL19" i="6" s="1"/>
  <c r="BT59" i="6"/>
  <c r="BT19" i="6" s="1"/>
  <c r="EL58" i="6"/>
  <c r="BZ451" i="6" s="1"/>
  <c r="BT58" i="6"/>
  <c r="BT451" i="6" s="1"/>
  <c r="EG57" i="6"/>
  <c r="EB57" i="6"/>
  <c r="DW57" i="6"/>
  <c r="DR57" i="6"/>
  <c r="DM57" i="6"/>
  <c r="DH57" i="6"/>
  <c r="DC57" i="6"/>
  <c r="CX57" i="6"/>
  <c r="CS57" i="6"/>
  <c r="CN57" i="6"/>
  <c r="CI57" i="6"/>
  <c r="CD57" i="6"/>
  <c r="BY57" i="6"/>
  <c r="BT57" i="6"/>
  <c r="BO57" i="6"/>
  <c r="BJ57" i="6"/>
  <c r="BE57" i="6"/>
  <c r="AZ57" i="6"/>
  <c r="AU57" i="6"/>
  <c r="AU450" i="6" s="1"/>
  <c r="AP57" i="6"/>
  <c r="AP450" i="6" s="1"/>
  <c r="AK57" i="6"/>
  <c r="AF57" i="6"/>
  <c r="AA57" i="6"/>
  <c r="V57" i="6"/>
  <c r="Q57" i="6"/>
  <c r="Q450" i="6" s="1"/>
  <c r="L57" i="6"/>
  <c r="L450" i="6" s="1"/>
  <c r="G57" i="6"/>
  <c r="EL55" i="6"/>
  <c r="BT55" i="6"/>
  <c r="CA447" i="6"/>
  <c r="EL54" i="6"/>
  <c r="BZ447" i="6" s="1"/>
  <c r="BT54" i="6"/>
  <c r="BT447" i="6" s="1"/>
  <c r="CA446" i="6"/>
  <c r="BZ446" i="6"/>
  <c r="EL53" i="6"/>
  <c r="BT53" i="6"/>
  <c r="BT446" i="6" s="1"/>
  <c r="EG52" i="6"/>
  <c r="BO445" i="6" s="1"/>
  <c r="EB52" i="6"/>
  <c r="BJ445" i="6" s="1"/>
  <c r="DW52" i="6"/>
  <c r="BE445" i="6" s="1"/>
  <c r="DR52" i="6"/>
  <c r="AZ445" i="6" s="1"/>
  <c r="DM52" i="6"/>
  <c r="AU445" i="6" s="1"/>
  <c r="DH52" i="6"/>
  <c r="DC52" i="6"/>
  <c r="CX52" i="6"/>
  <c r="CS52" i="6"/>
  <c r="CN52" i="6"/>
  <c r="CI52" i="6"/>
  <c r="CD52" i="6"/>
  <c r="EL52" i="6" s="1"/>
  <c r="AP52" i="6"/>
  <c r="AP445" i="6" s="1"/>
  <c r="AK52" i="6"/>
  <c r="AK445" i="6" s="1"/>
  <c r="AF52" i="6"/>
  <c r="AF445" i="6" s="1"/>
  <c r="AA52" i="6"/>
  <c r="V52" i="6"/>
  <c r="Q52" i="6"/>
  <c r="L52" i="6"/>
  <c r="L445" i="6" s="1"/>
  <c r="EG51" i="6"/>
  <c r="EB51" i="6"/>
  <c r="DW51" i="6"/>
  <c r="DR51" i="6"/>
  <c r="DM51" i="6"/>
  <c r="DH51" i="6"/>
  <c r="DC51" i="6"/>
  <c r="CX51" i="6"/>
  <c r="CS51" i="6"/>
  <c r="CN51" i="6"/>
  <c r="CI51" i="6"/>
  <c r="CD51" i="6"/>
  <c r="BY51" i="6"/>
  <c r="BO51" i="6"/>
  <c r="BO444" i="6" s="1"/>
  <c r="BJ51" i="6"/>
  <c r="BE51" i="6"/>
  <c r="AZ51" i="6"/>
  <c r="AU51" i="6"/>
  <c r="AP51" i="6"/>
  <c r="AP444" i="6" s="1"/>
  <c r="AK51" i="6"/>
  <c r="AK444" i="6" s="1"/>
  <c r="AF51" i="6"/>
  <c r="AA51" i="6"/>
  <c r="V51" i="6"/>
  <c r="Q51" i="6"/>
  <c r="L51" i="6"/>
  <c r="L444" i="6" s="1"/>
  <c r="G51" i="6"/>
  <c r="G444" i="6" s="1"/>
  <c r="CA442" i="6"/>
  <c r="BZ442" i="6"/>
  <c r="EL49" i="6"/>
  <c r="BT49" i="6"/>
  <c r="CA441" i="6"/>
  <c r="BZ441" i="6"/>
  <c r="EL48" i="6"/>
  <c r="BT48" i="6"/>
  <c r="BZ440" i="6"/>
  <c r="EL47" i="6"/>
  <c r="CA440" i="6" s="1"/>
  <c r="BT47" i="6"/>
  <c r="EG46" i="6"/>
  <c r="BO439" i="6" s="1"/>
  <c r="EB46" i="6"/>
  <c r="BJ439" i="6" s="1"/>
  <c r="DR46" i="6"/>
  <c r="AZ439" i="6" s="1"/>
  <c r="DM46" i="6"/>
  <c r="AU439" i="6" s="1"/>
  <c r="DC46" i="6"/>
  <c r="AK439" i="6" s="1"/>
  <c r="CX46" i="6"/>
  <c r="CX45" i="6" s="1"/>
  <c r="CS46" i="6"/>
  <c r="CN46" i="6"/>
  <c r="CI46" i="6"/>
  <c r="CD46" i="6"/>
  <c r="L439" i="6" s="1"/>
  <c r="AP46" i="6"/>
  <c r="AP439" i="6" s="1"/>
  <c r="AF46" i="6"/>
  <c r="AA46" i="6"/>
  <c r="V46" i="6"/>
  <c r="V439" i="6" s="1"/>
  <c r="Q46" i="6"/>
  <c r="Q439" i="6" s="1"/>
  <c r="EB45" i="6"/>
  <c r="DW45" i="6"/>
  <c r="DR45" i="6"/>
  <c r="DM45" i="6"/>
  <c r="DH45" i="6"/>
  <c r="CS45" i="6"/>
  <c r="CN45" i="6"/>
  <c r="CI45" i="6"/>
  <c r="BY45" i="6"/>
  <c r="BO45" i="6"/>
  <c r="BJ45" i="6"/>
  <c r="BJ438" i="6" s="1"/>
  <c r="BE45" i="6"/>
  <c r="AZ45" i="6"/>
  <c r="AU45" i="6"/>
  <c r="AK45" i="6"/>
  <c r="AF45" i="6"/>
  <c r="AA45" i="6"/>
  <c r="L45" i="6"/>
  <c r="G45" i="6"/>
  <c r="CA436" i="6"/>
  <c r="BZ436" i="6"/>
  <c r="EL43" i="6"/>
  <c r="BT43" i="6"/>
  <c r="CA435" i="6"/>
  <c r="BZ435" i="6"/>
  <c r="EL42" i="6"/>
  <c r="BT42" i="6"/>
  <c r="BT435" i="6" s="1"/>
  <c r="BZ434" i="6"/>
  <c r="EL41" i="6"/>
  <c r="CA434" i="6" s="1"/>
  <c r="BT41" i="6"/>
  <c r="EL40" i="6"/>
  <c r="CA433" i="6" s="1"/>
  <c r="BT40" i="6"/>
  <c r="EG39" i="6"/>
  <c r="EB39" i="6"/>
  <c r="DW39" i="6"/>
  <c r="DR39" i="6"/>
  <c r="DM39" i="6"/>
  <c r="DH39" i="6"/>
  <c r="DC39" i="6"/>
  <c r="CX39" i="6"/>
  <c r="CS39" i="6"/>
  <c r="CN39" i="6"/>
  <c r="CI39" i="6"/>
  <c r="CD39" i="6"/>
  <c r="BY39" i="6"/>
  <c r="BT39" i="6"/>
  <c r="BO39" i="6"/>
  <c r="BJ39" i="6"/>
  <c r="BE39" i="6"/>
  <c r="AZ39" i="6"/>
  <c r="AZ432" i="6" s="1"/>
  <c r="AU39" i="6"/>
  <c r="AU432" i="6" s="1"/>
  <c r="AP39" i="6"/>
  <c r="AK39" i="6"/>
  <c r="AF39" i="6"/>
  <c r="AA39" i="6"/>
  <c r="V39" i="6"/>
  <c r="V432" i="6" s="1"/>
  <c r="Q39" i="6"/>
  <c r="Q432" i="6" s="1"/>
  <c r="L39" i="6"/>
  <c r="G39" i="6"/>
  <c r="EL37" i="6"/>
  <c r="CA430" i="6" s="1"/>
  <c r="BT37" i="6"/>
  <c r="EL36" i="6"/>
  <c r="CA429" i="6" s="1"/>
  <c r="BT36" i="6"/>
  <c r="BT429" i="6" s="1"/>
  <c r="CA428" i="6"/>
  <c r="EL35" i="6"/>
  <c r="BT35" i="6"/>
  <c r="EG34" i="6"/>
  <c r="BO427" i="6" s="1"/>
  <c r="EB34" i="6"/>
  <c r="BJ427" i="6" s="1"/>
  <c r="DH34" i="6"/>
  <c r="AP427" i="6" s="1"/>
  <c r="DC34" i="6"/>
  <c r="AK427" i="6" s="1"/>
  <c r="CX34" i="6"/>
  <c r="AF427" i="6" s="1"/>
  <c r="CN34" i="6"/>
  <c r="V427" i="6" s="1"/>
  <c r="CI34" i="6"/>
  <c r="Q427" i="6" s="1"/>
  <c r="CD34" i="6"/>
  <c r="L427" i="6" s="1"/>
  <c r="BT34" i="6"/>
  <c r="BT33" i="6" s="1"/>
  <c r="EG33" i="6"/>
  <c r="EB33" i="6"/>
  <c r="DW33" i="6"/>
  <c r="DR33" i="6"/>
  <c r="DM33" i="6"/>
  <c r="DC33" i="6"/>
  <c r="CX33" i="6"/>
  <c r="CS33" i="6"/>
  <c r="BY33" i="6"/>
  <c r="BO33" i="6"/>
  <c r="BJ33" i="6"/>
  <c r="BE33" i="6"/>
  <c r="AZ33" i="6"/>
  <c r="AZ426" i="6" s="1"/>
  <c r="AU33" i="6"/>
  <c r="AU426" i="6" s="1"/>
  <c r="AP33" i="6"/>
  <c r="AK33" i="6"/>
  <c r="AF33" i="6"/>
  <c r="AA33" i="6"/>
  <c r="V33" i="6"/>
  <c r="Q33" i="6"/>
  <c r="L33" i="6"/>
  <c r="G33" i="6"/>
  <c r="EL31" i="6"/>
  <c r="BT31" i="6"/>
  <c r="BT424" i="6" s="1"/>
  <c r="CA423" i="6"/>
  <c r="EL30" i="6"/>
  <c r="BZ423" i="6" s="1"/>
  <c r="BT30" i="6"/>
  <c r="BT423" i="6" s="1"/>
  <c r="CA422" i="6"/>
  <c r="BZ422" i="6"/>
  <c r="EL29" i="6"/>
  <c r="BT29" i="6"/>
  <c r="BT422" i="6" s="1"/>
  <c r="CA421" i="6"/>
  <c r="BZ421" i="6"/>
  <c r="EL28" i="6"/>
  <c r="BT28" i="6"/>
  <c r="BT421" i="6" s="1"/>
  <c r="EG27" i="6"/>
  <c r="EB27" i="6"/>
  <c r="DW27" i="6"/>
  <c r="DR27" i="6"/>
  <c r="DM27" i="6"/>
  <c r="DH27" i="6"/>
  <c r="DC27" i="6"/>
  <c r="CX27" i="6"/>
  <c r="CS27" i="6"/>
  <c r="CN27" i="6"/>
  <c r="CI27" i="6"/>
  <c r="CD27" i="6"/>
  <c r="BY27" i="6"/>
  <c r="BO27" i="6"/>
  <c r="BO420" i="6" s="1"/>
  <c r="BJ27" i="6"/>
  <c r="BE27" i="6"/>
  <c r="BE420" i="6" s="1"/>
  <c r="AZ27" i="6"/>
  <c r="AU27" i="6"/>
  <c r="AP27" i="6"/>
  <c r="AK27" i="6"/>
  <c r="AK420" i="6" s="1"/>
  <c r="AF27" i="6"/>
  <c r="AA27" i="6"/>
  <c r="AA420" i="6" s="1"/>
  <c r="V27" i="6"/>
  <c r="Q27" i="6"/>
  <c r="L27" i="6"/>
  <c r="G27" i="6"/>
  <c r="G420" i="6" s="1"/>
  <c r="CA418" i="6"/>
  <c r="BZ418" i="6"/>
  <c r="EL24" i="6"/>
  <c r="BT24" i="6"/>
  <c r="BT418" i="6" s="1"/>
  <c r="BZ417" i="6"/>
  <c r="EL23" i="6"/>
  <c r="CA417" i="6" s="1"/>
  <c r="EG23" i="6"/>
  <c r="EB23" i="6"/>
  <c r="DW23" i="6"/>
  <c r="DR23" i="6"/>
  <c r="DM23" i="6"/>
  <c r="DH23" i="6"/>
  <c r="DC23" i="6"/>
  <c r="CX23" i="6"/>
  <c r="CS23" i="6"/>
  <c r="CN23" i="6"/>
  <c r="CI23" i="6"/>
  <c r="CD23" i="6"/>
  <c r="BY23" i="6"/>
  <c r="BT23" i="6"/>
  <c r="BO23" i="6"/>
  <c r="BO417" i="6" s="1"/>
  <c r="BJ23" i="6"/>
  <c r="BJ417" i="6" s="1"/>
  <c r="BE23" i="6"/>
  <c r="BE417" i="6" s="1"/>
  <c r="AZ23" i="6"/>
  <c r="AU23" i="6"/>
  <c r="AP23" i="6"/>
  <c r="AK23" i="6"/>
  <c r="AK417" i="6" s="1"/>
  <c r="AF23" i="6"/>
  <c r="AF417" i="6" s="1"/>
  <c r="AA23" i="6"/>
  <c r="AA417" i="6" s="1"/>
  <c r="V23" i="6"/>
  <c r="Q23" i="6"/>
  <c r="L23" i="6"/>
  <c r="G23" i="6"/>
  <c r="G417" i="6" s="1"/>
  <c r="EG21" i="6"/>
  <c r="EB21" i="6"/>
  <c r="DW21" i="6"/>
  <c r="DR21" i="6"/>
  <c r="DM21" i="6"/>
  <c r="DH21" i="6"/>
  <c r="DC21" i="6"/>
  <c r="CX21" i="6"/>
  <c r="CS21" i="6"/>
  <c r="CN21" i="6"/>
  <c r="CI21" i="6"/>
  <c r="CD21" i="6"/>
  <c r="BY21" i="6"/>
  <c r="BO21" i="6"/>
  <c r="BO415" i="6" s="1"/>
  <c r="BJ21" i="6"/>
  <c r="BJ415" i="6" s="1"/>
  <c r="BE21" i="6"/>
  <c r="AZ21" i="6"/>
  <c r="AU21" i="6"/>
  <c r="AP21" i="6"/>
  <c r="AP415" i="6" s="1"/>
  <c r="AK21" i="6"/>
  <c r="AK415" i="6" s="1"/>
  <c r="AF21" i="6"/>
  <c r="AF415" i="6" s="1"/>
  <c r="AA21" i="6"/>
  <c r="V21" i="6"/>
  <c r="Q21" i="6"/>
  <c r="L21" i="6"/>
  <c r="L415" i="6" s="1"/>
  <c r="G21" i="6"/>
  <c r="G415" i="6" s="1"/>
  <c r="EG20" i="6"/>
  <c r="EB20" i="6"/>
  <c r="DW20" i="6"/>
  <c r="DR20" i="6"/>
  <c r="DM20" i="6"/>
  <c r="DH20" i="6"/>
  <c r="DC20" i="6"/>
  <c r="CX20" i="6"/>
  <c r="CS20" i="6"/>
  <c r="CN20" i="6"/>
  <c r="CI20" i="6"/>
  <c r="CD20" i="6"/>
  <c r="BY20" i="6"/>
  <c r="BO20" i="6"/>
  <c r="BJ20" i="6"/>
  <c r="BJ414" i="6" s="1"/>
  <c r="BE20" i="6"/>
  <c r="AZ20" i="6"/>
  <c r="AU20" i="6"/>
  <c r="AU414" i="6" s="1"/>
  <c r="AP20" i="6"/>
  <c r="AP414" i="6" s="1"/>
  <c r="AK20" i="6"/>
  <c r="AF20" i="6"/>
  <c r="AF414" i="6" s="1"/>
  <c r="AA20" i="6"/>
  <c r="V20" i="6"/>
  <c r="Q20" i="6"/>
  <c r="Q414" i="6" s="1"/>
  <c r="L20" i="6"/>
  <c r="L414" i="6" s="1"/>
  <c r="G20" i="6"/>
  <c r="EG19" i="6"/>
  <c r="EB19" i="6"/>
  <c r="DW19" i="6"/>
  <c r="DR19" i="6"/>
  <c r="DM19" i="6"/>
  <c r="DH19" i="6"/>
  <c r="DC19" i="6"/>
  <c r="CX19" i="6"/>
  <c r="CS19" i="6"/>
  <c r="CN19" i="6"/>
  <c r="CI19" i="6"/>
  <c r="CD19" i="6"/>
  <c r="BY19" i="6"/>
  <c r="G413" i="6" s="1"/>
  <c r="BO19" i="6"/>
  <c r="BJ19" i="6"/>
  <c r="BE19" i="6"/>
  <c r="AZ19" i="6"/>
  <c r="AU19" i="6"/>
  <c r="AP19" i="6"/>
  <c r="AK19" i="6"/>
  <c r="AF19" i="6"/>
  <c r="AA19" i="6"/>
  <c r="V19" i="6"/>
  <c r="Q19" i="6"/>
  <c r="L19" i="6"/>
  <c r="EB18" i="6"/>
  <c r="EB17" i="6" s="1"/>
  <c r="EB13" i="6" s="1"/>
  <c r="EB12" i="6" s="1"/>
  <c r="DW18" i="6"/>
  <c r="DW17" i="6" s="1"/>
  <c r="DW13" i="6" s="1"/>
  <c r="DC18" i="6"/>
  <c r="DC17" i="6" s="1"/>
  <c r="DC13" i="6" s="1"/>
  <c r="CX18" i="6"/>
  <c r="CS18" i="6"/>
  <c r="BO18" i="6"/>
  <c r="BE18" i="6"/>
  <c r="AZ18" i="6"/>
  <c r="AZ17" i="6" s="1"/>
  <c r="AU18" i="6"/>
  <c r="AK18" i="6"/>
  <c r="Q18" i="6"/>
  <c r="Q17" i="6" s="1"/>
  <c r="L18" i="6"/>
  <c r="L17" i="6" s="1"/>
  <c r="G18" i="6"/>
  <c r="AU17" i="6"/>
  <c r="EB15" i="6"/>
  <c r="DW15" i="6"/>
  <c r="DR15" i="6"/>
  <c r="DM15" i="6"/>
  <c r="DH15" i="6"/>
  <c r="CX15" i="6"/>
  <c r="CS15" i="6"/>
  <c r="CI15" i="6"/>
  <c r="EB14" i="6"/>
  <c r="DM14" i="6"/>
  <c r="BO14" i="6"/>
  <c r="AZ14" i="6"/>
  <c r="AK14" i="6"/>
  <c r="G14" i="6"/>
  <c r="BY9" i="6"/>
  <c r="BY165" i="6" s="1"/>
  <c r="G9" i="6"/>
  <c r="G165" i="6" s="1"/>
  <c r="BY8" i="6"/>
  <c r="BY164" i="6" s="1"/>
  <c r="G8" i="6"/>
  <c r="E164" i="6" s="1"/>
  <c r="M1" i="6"/>
  <c r="DC12" i="6" l="1"/>
  <c r="BT617" i="6"/>
  <c r="BT193" i="6"/>
  <c r="Q676" i="6"/>
  <c r="Q318" i="6"/>
  <c r="BO412" i="6"/>
  <c r="AK413" i="6"/>
  <c r="BO413" i="6"/>
  <c r="EL27" i="6"/>
  <c r="G605" i="6"/>
  <c r="V676" i="6"/>
  <c r="V318" i="6"/>
  <c r="BT703" i="6"/>
  <c r="BT345" i="6"/>
  <c r="AK412" i="6"/>
  <c r="CS17" i="6"/>
  <c r="CS13" i="6" s="1"/>
  <c r="L413" i="6"/>
  <c r="AP413" i="6"/>
  <c r="EL149" i="6"/>
  <c r="BT595" i="6"/>
  <c r="BT168" i="6"/>
  <c r="BT679" i="6"/>
  <c r="BT321" i="6"/>
  <c r="CA703" i="6"/>
  <c r="EL345" i="6"/>
  <c r="AU676" i="6"/>
  <c r="AU318" i="6"/>
  <c r="BT372" i="6"/>
  <c r="BT728" i="6" s="1"/>
  <c r="BT623" i="6"/>
  <c r="BT183" i="6"/>
  <c r="CA628" i="6"/>
  <c r="EL205" i="6"/>
  <c r="BZ627" i="6" s="1"/>
  <c r="BT20" i="6"/>
  <c r="AK605" i="6"/>
  <c r="V14" i="6"/>
  <c r="CX17" i="6"/>
  <c r="CX13" i="6" s="1"/>
  <c r="Q413" i="6"/>
  <c r="AU413" i="6"/>
  <c r="BT491" i="6"/>
  <c r="AF508" i="6"/>
  <c r="BJ508" i="6"/>
  <c r="BT516" i="6"/>
  <c r="AU551" i="6"/>
  <c r="BT553" i="6"/>
  <c r="BT559" i="6"/>
  <c r="AA665" i="6"/>
  <c r="CA679" i="6"/>
  <c r="EL321" i="6"/>
  <c r="BT700" i="6"/>
  <c r="V706" i="6"/>
  <c r="V348" i="6"/>
  <c r="V705" i="6" s="1"/>
  <c r="AZ706" i="6"/>
  <c r="AZ319" i="6"/>
  <c r="BT720" i="6"/>
  <c r="BT738" i="6"/>
  <c r="DW12" i="6"/>
  <c r="G17" i="6"/>
  <c r="V413" i="6"/>
  <c r="AZ413" i="6"/>
  <c r="G414" i="6"/>
  <c r="AK414" i="6"/>
  <c r="BO414" i="6"/>
  <c r="BT436" i="6"/>
  <c r="AF444" i="6"/>
  <c r="BJ444" i="6"/>
  <c r="AK466" i="6"/>
  <c r="BO466" i="6"/>
  <c r="BT469" i="6"/>
  <c r="Q472" i="6"/>
  <c r="AU472" i="6"/>
  <c r="EL81" i="6"/>
  <c r="CA472" i="6" s="1"/>
  <c r="BT479" i="6"/>
  <c r="BT87" i="6"/>
  <c r="DC181" i="6"/>
  <c r="DC14" i="6" s="1"/>
  <c r="AK407" i="6" s="1"/>
  <c r="G632" i="6"/>
  <c r="AK632" i="6"/>
  <c r="BO632" i="6"/>
  <c r="BT644" i="6"/>
  <c r="BT645" i="6"/>
  <c r="EL229" i="6"/>
  <c r="BT655" i="6"/>
  <c r="BT661" i="6"/>
  <c r="BZ694" i="6"/>
  <c r="EL336" i="6"/>
  <c r="CA700" i="6"/>
  <c r="EL342" i="6"/>
  <c r="G607" i="6"/>
  <c r="AK607" i="6"/>
  <c r="BO607" i="6"/>
  <c r="EL184" i="6"/>
  <c r="EL313" i="6"/>
  <c r="G678" i="6"/>
  <c r="AK678" i="6"/>
  <c r="BO678" i="6"/>
  <c r="AA681" i="6"/>
  <c r="BE681" i="6"/>
  <c r="AA690" i="6"/>
  <c r="BE690" i="6"/>
  <c r="Q693" i="6"/>
  <c r="AU693" i="6"/>
  <c r="G702" i="6"/>
  <c r="AK702" i="6"/>
  <c r="BO702" i="6"/>
  <c r="G348" i="6"/>
  <c r="BO348" i="6"/>
  <c r="BO705" i="6" s="1"/>
  <c r="AF709" i="6"/>
  <c r="BJ709" i="6"/>
  <c r="AK713" i="6"/>
  <c r="BO713" i="6"/>
  <c r="G716" i="6"/>
  <c r="AK716" i="6"/>
  <c r="BO716" i="6"/>
  <c r="AA722" i="6"/>
  <c r="BE722" i="6"/>
  <c r="G725" i="6"/>
  <c r="AK725" i="6"/>
  <c r="BO725" i="6"/>
  <c r="BT726" i="6"/>
  <c r="AA731" i="6"/>
  <c r="BE731" i="6"/>
  <c r="G734" i="6"/>
  <c r="AK734" i="6"/>
  <c r="BO734" i="6"/>
  <c r="BT735" i="6"/>
  <c r="BT442" i="6"/>
  <c r="EL20" i="6"/>
  <c r="V455" i="6"/>
  <c r="AZ455" i="6"/>
  <c r="Q460" i="6"/>
  <c r="AU460" i="6"/>
  <c r="BT468" i="6"/>
  <c r="AF472" i="6"/>
  <c r="BJ472" i="6"/>
  <c r="BT481" i="6"/>
  <c r="BT485" i="6"/>
  <c r="G488" i="6"/>
  <c r="AK493" i="6"/>
  <c r="BO493" i="6"/>
  <c r="G498" i="6"/>
  <c r="BT506" i="6"/>
  <c r="Q508" i="6"/>
  <c r="AU508" i="6"/>
  <c r="BT511" i="6"/>
  <c r="BO530" i="6"/>
  <c r="BT534" i="6"/>
  <c r="Q556" i="6"/>
  <c r="AU556" i="6"/>
  <c r="BT557" i="6"/>
  <c r="AK585" i="6"/>
  <c r="BO585" i="6"/>
  <c r="G627" i="6"/>
  <c r="AK627" i="6"/>
  <c r="BO627" i="6"/>
  <c r="V632" i="6"/>
  <c r="AZ632" i="6"/>
  <c r="Q637" i="6"/>
  <c r="AU637" i="6"/>
  <c r="AF648" i="6"/>
  <c r="BJ648" i="6"/>
  <c r="BT649" i="6"/>
  <c r="BT651" i="6"/>
  <c r="L699" i="6"/>
  <c r="BT716" i="6"/>
  <c r="BT725" i="6"/>
  <c r="BT734" i="6"/>
  <c r="AA432" i="6"/>
  <c r="BE432" i="6"/>
  <c r="G438" i="6"/>
  <c r="V450" i="6"/>
  <c r="AZ450" i="6"/>
  <c r="Q477" i="6"/>
  <c r="AU477" i="6"/>
  <c r="L498" i="6"/>
  <c r="BE498" i="6"/>
  <c r="L513" i="6"/>
  <c r="AP530" i="6"/>
  <c r="AA536" i="6"/>
  <c r="BE536" i="6"/>
  <c r="Q551" i="6"/>
  <c r="DR181" i="6"/>
  <c r="DR14" i="6" s="1"/>
  <c r="AZ407" i="6" s="1"/>
  <c r="CS181" i="6"/>
  <c r="CS14" i="6" s="1"/>
  <c r="BT268" i="6"/>
  <c r="Q678" i="6"/>
  <c r="AU678" i="6"/>
  <c r="G681" i="6"/>
  <c r="AK681" i="6"/>
  <c r="BO681" i="6"/>
  <c r="Q684" i="6"/>
  <c r="AU684" i="6"/>
  <c r="Q687" i="6"/>
  <c r="AU687" i="6"/>
  <c r="AA693" i="6"/>
  <c r="BE693" i="6"/>
  <c r="Q699" i="6"/>
  <c r="AU699" i="6"/>
  <c r="Q702" i="6"/>
  <c r="AU702" i="6"/>
  <c r="AA719" i="6"/>
  <c r="BE719" i="6"/>
  <c r="G722" i="6"/>
  <c r="AK722" i="6"/>
  <c r="BO722" i="6"/>
  <c r="AA728" i="6"/>
  <c r="BE728" i="6"/>
  <c r="G731" i="6"/>
  <c r="AK731" i="6"/>
  <c r="BO731" i="6"/>
  <c r="AA737" i="6"/>
  <c r="BE737" i="6"/>
  <c r="AF420" i="6"/>
  <c r="BJ420" i="6"/>
  <c r="BT428" i="6"/>
  <c r="BT441" i="6"/>
  <c r="BT448" i="6"/>
  <c r="BT458" i="6"/>
  <c r="CN18" i="6"/>
  <c r="CN17" i="6" s="1"/>
  <c r="CN13" i="6" s="1"/>
  <c r="CN12" i="6" s="1"/>
  <c r="V477" i="6"/>
  <c r="AZ477" i="6"/>
  <c r="BE503" i="6"/>
  <c r="BT505" i="6"/>
  <c r="AA508" i="6"/>
  <c r="BE508" i="6"/>
  <c r="BT510" i="6"/>
  <c r="Q513" i="6"/>
  <c r="BT539" i="6"/>
  <c r="BT543" i="6"/>
  <c r="BO551" i="6"/>
  <c r="AF599" i="6"/>
  <c r="BJ599" i="6"/>
  <c r="Q181" i="6"/>
  <c r="Q605" i="6" s="1"/>
  <c r="CN181" i="6"/>
  <c r="CN14" i="6" s="1"/>
  <c r="G608" i="6"/>
  <c r="AK608" i="6"/>
  <c r="BO608" i="6"/>
  <c r="AA609" i="6"/>
  <c r="BE609" i="6"/>
  <c r="L616" i="6"/>
  <c r="AP616" i="6"/>
  <c r="G621" i="6"/>
  <c r="AK621" i="6"/>
  <c r="BO621" i="6"/>
  <c r="Q627" i="6"/>
  <c r="AU627" i="6"/>
  <c r="AA637" i="6"/>
  <c r="BE637" i="6"/>
  <c r="L654" i="6"/>
  <c r="AP654" i="6"/>
  <c r="L660" i="6"/>
  <c r="AP660" i="6"/>
  <c r="BT273" i="6"/>
  <c r="BT293" i="6"/>
  <c r="BT313" i="6"/>
  <c r="V678" i="6"/>
  <c r="AZ678" i="6"/>
  <c r="EL330" i="6"/>
  <c r="AF693" i="6"/>
  <c r="BJ693" i="6"/>
  <c r="V696" i="6"/>
  <c r="AZ696" i="6"/>
  <c r="V699" i="6"/>
  <c r="AZ699" i="6"/>
  <c r="V702" i="6"/>
  <c r="AZ702" i="6"/>
  <c r="AK348" i="6"/>
  <c r="AK705" i="6" s="1"/>
  <c r="Q709" i="6"/>
  <c r="AU709" i="6"/>
  <c r="AZ713" i="6"/>
  <c r="L722" i="6"/>
  <c r="AP722" i="6"/>
  <c r="BT366" i="6"/>
  <c r="BT722" i="6" s="1"/>
  <c r="L731" i="6"/>
  <c r="AP731" i="6"/>
  <c r="BT375" i="6"/>
  <c r="BT731" i="6" s="1"/>
  <c r="CA413" i="6"/>
  <c r="BZ413" i="6"/>
  <c r="G13" i="6"/>
  <c r="CA414" i="6"/>
  <c r="BZ414" i="6"/>
  <c r="EL124" i="6"/>
  <c r="CA514" i="6"/>
  <c r="BZ514" i="6"/>
  <c r="BZ551" i="6"/>
  <c r="CA551" i="6"/>
  <c r="BZ420" i="6"/>
  <c r="CA420" i="6"/>
  <c r="CA445" i="6"/>
  <c r="BZ445" i="6"/>
  <c r="EL51" i="6"/>
  <c r="EL69" i="6"/>
  <c r="CA461" i="6"/>
  <c r="BZ461" i="6"/>
  <c r="EL75" i="6"/>
  <c r="CA467" i="6"/>
  <c r="BZ467" i="6"/>
  <c r="BZ531" i="6"/>
  <c r="EL129" i="6"/>
  <c r="CA531" i="6"/>
  <c r="BZ456" i="6"/>
  <c r="EL63" i="6"/>
  <c r="CA456" i="6"/>
  <c r="EG12" i="6"/>
  <c r="AF412" i="6"/>
  <c r="AF17" i="6"/>
  <c r="CA489" i="6"/>
  <c r="EL99" i="6"/>
  <c r="BZ489" i="6"/>
  <c r="AU411" i="6"/>
  <c r="V412" i="6"/>
  <c r="DH18" i="6"/>
  <c r="DH17" i="6" s="1"/>
  <c r="DH13" i="6" s="1"/>
  <c r="CD33" i="6"/>
  <c r="L426" i="6" s="1"/>
  <c r="AU13" i="6"/>
  <c r="BE412" i="6"/>
  <c r="DM18" i="6"/>
  <c r="DM17" i="6" s="1"/>
  <c r="DM13" i="6" s="1"/>
  <c r="DM12" i="6" s="1"/>
  <c r="BE413" i="6"/>
  <c r="AZ414" i="6"/>
  <c r="AU415" i="6"/>
  <c r="AP417" i="6"/>
  <c r="AP420" i="6"/>
  <c r="BZ424" i="6"/>
  <c r="BE426" i="6"/>
  <c r="EL34" i="6"/>
  <c r="BZ429" i="6"/>
  <c r="BJ432" i="6"/>
  <c r="Q45" i="6"/>
  <c r="Q438" i="6" s="1"/>
  <c r="Q444" i="6"/>
  <c r="AU444" i="6"/>
  <c r="BT52" i="6"/>
  <c r="BZ448" i="6"/>
  <c r="AA450" i="6"/>
  <c r="CA452" i="6"/>
  <c r="BZ453" i="6"/>
  <c r="BE455" i="6"/>
  <c r="BE460" i="6"/>
  <c r="V467" i="6"/>
  <c r="AZ13" i="6"/>
  <c r="Q14" i="6"/>
  <c r="Q407" i="6" s="1"/>
  <c r="AK17" i="6"/>
  <c r="BO17" i="6"/>
  <c r="BJ18" i="6"/>
  <c r="DR18" i="6"/>
  <c r="DR17" i="6" s="1"/>
  <c r="DR13" i="6" s="1"/>
  <c r="DR12" i="6" s="1"/>
  <c r="AF413" i="6"/>
  <c r="BJ413" i="6"/>
  <c r="AA414" i="6"/>
  <c r="BE414" i="6"/>
  <c r="V415" i="6"/>
  <c r="AZ415" i="6"/>
  <c r="EL21" i="6"/>
  <c r="Q417" i="6"/>
  <c r="AU417" i="6"/>
  <c r="Q420" i="6"/>
  <c r="AU420" i="6"/>
  <c r="CA424" i="6"/>
  <c r="AF426" i="6"/>
  <c r="BJ426" i="6"/>
  <c r="CN33" i="6"/>
  <c r="BZ428" i="6"/>
  <c r="G432" i="6"/>
  <c r="AK432" i="6"/>
  <c r="BO432" i="6"/>
  <c r="BT434" i="6"/>
  <c r="V45" i="6"/>
  <c r="V438" i="6" s="1"/>
  <c r="AZ438" i="6"/>
  <c r="CD45" i="6"/>
  <c r="L438" i="6" s="1"/>
  <c r="AA439" i="6"/>
  <c r="BT440" i="6"/>
  <c r="V444" i="6"/>
  <c r="AZ444" i="6"/>
  <c r="V445" i="6"/>
  <c r="CA448" i="6"/>
  <c r="AF450" i="6"/>
  <c r="BJ450" i="6"/>
  <c r="CA451" i="6"/>
  <c r="CA453" i="6"/>
  <c r="AF455" i="6"/>
  <c r="BJ455" i="6"/>
  <c r="AF456" i="6"/>
  <c r="CA458" i="6"/>
  <c r="AF460" i="6"/>
  <c r="BJ460" i="6"/>
  <c r="AF461" i="6"/>
  <c r="CA462" i="6"/>
  <c r="BT464" i="6"/>
  <c r="AA466" i="6"/>
  <c r="BE466" i="6"/>
  <c r="AA467" i="6"/>
  <c r="BZ468" i="6"/>
  <c r="CA469" i="6"/>
  <c r="G472" i="6"/>
  <c r="AK472" i="6"/>
  <c r="BO472" i="6"/>
  <c r="Q483" i="6"/>
  <c r="AU483" i="6"/>
  <c r="AA484" i="6"/>
  <c r="CS94" i="6"/>
  <c r="AA483" i="6" s="1"/>
  <c r="CA485" i="6"/>
  <c r="V488" i="6"/>
  <c r="CD99" i="6"/>
  <c r="DR99" i="6"/>
  <c r="AZ488" i="6" s="1"/>
  <c r="BT100" i="6"/>
  <c r="BZ490" i="6"/>
  <c r="Q104" i="6"/>
  <c r="Q493" i="6" s="1"/>
  <c r="EB104" i="6"/>
  <c r="AA494" i="6"/>
  <c r="AA104" i="6"/>
  <c r="AA493" i="6" s="1"/>
  <c r="EL105" i="6"/>
  <c r="AK109" i="6"/>
  <c r="AK498" i="6" s="1"/>
  <c r="CD114" i="6"/>
  <c r="BJ504" i="6"/>
  <c r="EB114" i="6"/>
  <c r="BJ503" i="6" s="1"/>
  <c r="V508" i="6"/>
  <c r="AZ508" i="6"/>
  <c r="CA509" i="6"/>
  <c r="L514" i="6"/>
  <c r="BT125" i="6"/>
  <c r="AF530" i="6"/>
  <c r="BJ530" i="6"/>
  <c r="L531" i="6"/>
  <c r="BT130" i="6"/>
  <c r="EL140" i="6"/>
  <c r="AK144" i="6"/>
  <c r="AK546" i="6" s="1"/>
  <c r="EL145" i="6"/>
  <c r="AK149" i="6"/>
  <c r="AK551" i="6" s="1"/>
  <c r="BT154" i="6"/>
  <c r="AA585" i="6"/>
  <c r="BE585" i="6"/>
  <c r="BT586" i="6"/>
  <c r="BY169" i="6"/>
  <c r="Q599" i="6"/>
  <c r="AU599" i="6"/>
  <c r="L181" i="6"/>
  <c r="AP181" i="6"/>
  <c r="BZ608" i="6"/>
  <c r="AP411" i="6"/>
  <c r="AA415" i="6"/>
  <c r="BE415" i="6"/>
  <c r="V417" i="6"/>
  <c r="AZ417" i="6"/>
  <c r="V420" i="6"/>
  <c r="AZ420" i="6"/>
  <c r="G426" i="6"/>
  <c r="AK426" i="6"/>
  <c r="BO426" i="6"/>
  <c r="BT430" i="6"/>
  <c r="L432" i="6"/>
  <c r="AP432" i="6"/>
  <c r="BT433" i="6"/>
  <c r="AA438" i="6"/>
  <c r="BE438" i="6"/>
  <c r="AF439" i="6"/>
  <c r="AA444" i="6"/>
  <c r="BE444" i="6"/>
  <c r="AA445" i="6"/>
  <c r="G450" i="6"/>
  <c r="AK450" i="6"/>
  <c r="BO450" i="6"/>
  <c r="BT452" i="6"/>
  <c r="G455" i="6"/>
  <c r="AK455" i="6"/>
  <c r="AK456" i="6"/>
  <c r="BT457" i="6"/>
  <c r="G460" i="6"/>
  <c r="AK460" i="6"/>
  <c r="BO460" i="6"/>
  <c r="AK461" i="6"/>
  <c r="BT463" i="6"/>
  <c r="AF466" i="6"/>
  <c r="BJ466" i="6"/>
  <c r="AF467" i="6"/>
  <c r="BT470" i="6"/>
  <c r="L472" i="6"/>
  <c r="AP472" i="6"/>
  <c r="G477" i="6"/>
  <c r="AK477" i="6"/>
  <c r="BO477" i="6"/>
  <c r="BT478" i="6"/>
  <c r="V483" i="6"/>
  <c r="AZ483" i="6"/>
  <c r="AU489" i="6"/>
  <c r="DM99" i="6"/>
  <c r="AU488" i="6" s="1"/>
  <c r="EB109" i="6"/>
  <c r="EL110" i="6"/>
  <c r="BT500" i="6"/>
  <c r="V503" i="6"/>
  <c r="AZ503" i="6"/>
  <c r="V514" i="6"/>
  <c r="BE542" i="6"/>
  <c r="DW139" i="6"/>
  <c r="BE541" i="6" s="1"/>
  <c r="BT548" i="6"/>
  <c r="BZ558" i="6"/>
  <c r="CA558" i="6"/>
  <c r="BO605" i="6"/>
  <c r="CA608" i="6"/>
  <c r="BT413" i="6"/>
  <c r="BT427" i="6"/>
  <c r="AF438" i="6"/>
  <c r="EL46" i="6"/>
  <c r="AA499" i="6"/>
  <c r="BZ500" i="6"/>
  <c r="BT504" i="6"/>
  <c r="BT114" i="6"/>
  <c r="AZ514" i="6"/>
  <c r="DR124" i="6"/>
  <c r="AZ513" i="6" s="1"/>
  <c r="BZ532" i="6"/>
  <c r="CA532" i="6"/>
  <c r="BO542" i="6"/>
  <c r="EG139" i="6"/>
  <c r="BZ544" i="6"/>
  <c r="CA544" i="6"/>
  <c r="AZ547" i="6"/>
  <c r="DR144" i="6"/>
  <c r="AZ546" i="6" s="1"/>
  <c r="BZ548" i="6"/>
  <c r="BT554" i="6"/>
  <c r="AP412" i="6"/>
  <c r="BT414" i="6"/>
  <c r="EL39" i="6"/>
  <c r="BT46" i="6"/>
  <c r="EG63" i="6"/>
  <c r="BO455" i="6" s="1"/>
  <c r="BT64" i="6"/>
  <c r="BT70" i="6"/>
  <c r="BZ495" i="6"/>
  <c r="CA495" i="6"/>
  <c r="BZ504" i="6"/>
  <c r="AF514" i="6"/>
  <c r="AF124" i="6"/>
  <c r="AF513" i="6" s="1"/>
  <c r="BE514" i="6"/>
  <c r="DW124" i="6"/>
  <c r="BE513" i="6" s="1"/>
  <c r="BZ554" i="6"/>
  <c r="EL172" i="6"/>
  <c r="BZ612" i="6"/>
  <c r="EL187" i="6"/>
  <c r="CA612" i="6"/>
  <c r="EL273" i="6"/>
  <c r="AP13" i="6"/>
  <c r="G407" i="6"/>
  <c r="BE17" i="6"/>
  <c r="CD18" i="6"/>
  <c r="CD17" i="6" s="1"/>
  <c r="CD13" i="6" s="1"/>
  <c r="BT21" i="6"/>
  <c r="BT415" i="6" s="1"/>
  <c r="BZ430" i="6"/>
  <c r="EL57" i="6"/>
  <c r="BZ452" i="6"/>
  <c r="BZ457" i="6"/>
  <c r="BZ463" i="6"/>
  <c r="BT76" i="6"/>
  <c r="BZ470" i="6"/>
  <c r="BZ472" i="6"/>
  <c r="EL87" i="6"/>
  <c r="BZ478" i="6"/>
  <c r="EB94" i="6"/>
  <c r="BJ483" i="6" s="1"/>
  <c r="BZ486" i="6"/>
  <c r="L99" i="6"/>
  <c r="L488" i="6" s="1"/>
  <c r="BT105" i="6"/>
  <c r="AU494" i="6"/>
  <c r="DM104" i="6"/>
  <c r="AU493" i="6" s="1"/>
  <c r="AA109" i="6"/>
  <c r="AA498" i="6" s="1"/>
  <c r="CI109" i="6"/>
  <c r="DM109" i="6"/>
  <c r="AU498" i="6" s="1"/>
  <c r="BO499" i="6"/>
  <c r="EG109" i="6"/>
  <c r="BO498" i="6" s="1"/>
  <c r="AK114" i="6"/>
  <c r="AK503" i="6" s="1"/>
  <c r="EL114" i="6"/>
  <c r="BZ506" i="6"/>
  <c r="V124" i="6"/>
  <c r="V513" i="6" s="1"/>
  <c r="AA144" i="6"/>
  <c r="AA546" i="6" s="1"/>
  <c r="BE546" i="6"/>
  <c r="CA554" i="6"/>
  <c r="EL154" i="6"/>
  <c r="BZ557" i="6"/>
  <c r="BZ600" i="6"/>
  <c r="CA603" i="6"/>
  <c r="AF606" i="6"/>
  <c r="AF181" i="6"/>
  <c r="BJ606" i="6"/>
  <c r="BJ181" i="6"/>
  <c r="L412" i="6"/>
  <c r="L13" i="6"/>
  <c r="BO407" i="6"/>
  <c r="AZ412" i="6"/>
  <c r="V426" i="6"/>
  <c r="DH33" i="6"/>
  <c r="AP426" i="6" s="1"/>
  <c r="AP45" i="6"/>
  <c r="AP438" i="6" s="1"/>
  <c r="Q13" i="6"/>
  <c r="AA18" i="6"/>
  <c r="CI18" i="6"/>
  <c r="CI17" i="6" s="1"/>
  <c r="CI13" i="6" s="1"/>
  <c r="CI12" i="6" s="1"/>
  <c r="AA413" i="6"/>
  <c r="V414" i="6"/>
  <c r="Q415" i="6"/>
  <c r="L417" i="6"/>
  <c r="BT417" i="6"/>
  <c r="L420" i="6"/>
  <c r="BT27" i="6"/>
  <c r="BT420" i="6" s="1"/>
  <c r="AA426" i="6"/>
  <c r="CI33" i="6"/>
  <c r="Q426" i="6" s="1"/>
  <c r="AF432" i="6"/>
  <c r="AU438" i="6"/>
  <c r="DC45" i="6"/>
  <c r="AK438" i="6" s="1"/>
  <c r="EG45" i="6"/>
  <c r="BO438" i="6" s="1"/>
  <c r="Q445" i="6"/>
  <c r="BE450" i="6"/>
  <c r="AA455" i="6"/>
  <c r="AA456" i="6"/>
  <c r="AA460" i="6"/>
  <c r="AA461" i="6"/>
  <c r="V75" i="6"/>
  <c r="V466" i="6" s="1"/>
  <c r="AZ466" i="6"/>
  <c r="BT474" i="6"/>
  <c r="BT81" i="6"/>
  <c r="AA477" i="6"/>
  <c r="BE477" i="6"/>
  <c r="L483" i="6"/>
  <c r="BT94" i="6"/>
  <c r="EG94" i="6"/>
  <c r="EL95" i="6"/>
  <c r="Q99" i="6"/>
  <c r="Q488" i="6" s="1"/>
  <c r="AF109" i="6"/>
  <c r="AF498" i="6" s="1"/>
  <c r="BJ498" i="6"/>
  <c r="DR109" i="6"/>
  <c r="AZ498" i="6" s="1"/>
  <c r="L499" i="6"/>
  <c r="BT110" i="6"/>
  <c r="BZ501" i="6"/>
  <c r="CA501" i="6"/>
  <c r="CA506" i="6"/>
  <c r="EL119" i="6"/>
  <c r="AA124" i="6"/>
  <c r="AA513" i="6" s="1"/>
  <c r="AA129" i="6"/>
  <c r="AA530" i="6" s="1"/>
  <c r="CI129" i="6"/>
  <c r="DR129" i="6"/>
  <c r="BZ536" i="6"/>
  <c r="CA536" i="6"/>
  <c r="BT140" i="6"/>
  <c r="BZ543" i="6"/>
  <c r="BT145" i="6"/>
  <c r="BO547" i="6"/>
  <c r="EG144" i="6"/>
  <c r="BO546" i="6" s="1"/>
  <c r="BZ549" i="6"/>
  <c r="CA549" i="6"/>
  <c r="AP552" i="6"/>
  <c r="AP149" i="6"/>
  <c r="AP551" i="6" s="1"/>
  <c r="CA557" i="6"/>
  <c r="CA600" i="6"/>
  <c r="AU181" i="6"/>
  <c r="CX181" i="6"/>
  <c r="CX14" i="6" s="1"/>
  <c r="BZ614" i="6"/>
  <c r="CA614" i="6"/>
  <c r="BT473" i="6"/>
  <c r="BT475" i="6"/>
  <c r="AF477" i="6"/>
  <c r="BJ477" i="6"/>
  <c r="BT480" i="6"/>
  <c r="G483" i="6"/>
  <c r="AK483" i="6"/>
  <c r="BO483" i="6"/>
  <c r="BT486" i="6"/>
  <c r="AA488" i="6"/>
  <c r="BE488" i="6"/>
  <c r="AK489" i="6"/>
  <c r="BT490" i="6"/>
  <c r="AF104" i="6"/>
  <c r="AF493" i="6" s="1"/>
  <c r="BJ493" i="6"/>
  <c r="AK494" i="6"/>
  <c r="V498" i="6"/>
  <c r="V499" i="6"/>
  <c r="Q503" i="6"/>
  <c r="AU503" i="6"/>
  <c r="EG114" i="6"/>
  <c r="BO503" i="6" s="1"/>
  <c r="Q504" i="6"/>
  <c r="L508" i="6"/>
  <c r="AP508" i="6"/>
  <c r="BT119" i="6"/>
  <c r="BT508" i="6" s="1"/>
  <c r="BT509" i="6"/>
  <c r="G513" i="6"/>
  <c r="BO513" i="6"/>
  <c r="V530" i="6"/>
  <c r="AZ530" i="6"/>
  <c r="V531" i="6"/>
  <c r="G536" i="6"/>
  <c r="AK536" i="6"/>
  <c r="BO536" i="6"/>
  <c r="BT538" i="6"/>
  <c r="G541" i="6"/>
  <c r="AK139" i="6"/>
  <c r="AK541" i="6" s="1"/>
  <c r="BO541" i="6"/>
  <c r="AP542" i="6"/>
  <c r="V546" i="6"/>
  <c r="CD144" i="6"/>
  <c r="L546" i="6" s="1"/>
  <c r="DH144" i="6"/>
  <c r="AP546" i="6" s="1"/>
  <c r="V547" i="6"/>
  <c r="AF149" i="6"/>
  <c r="AF551" i="6" s="1"/>
  <c r="BJ551" i="6"/>
  <c r="AA556" i="6"/>
  <c r="BE556" i="6"/>
  <c r="V585" i="6"/>
  <c r="AZ585" i="6"/>
  <c r="EL168" i="6"/>
  <c r="L599" i="6"/>
  <c r="AP599" i="6"/>
  <c r="BT172" i="6"/>
  <c r="BT600" i="6"/>
  <c r="BT603" i="6"/>
  <c r="AA606" i="6"/>
  <c r="BE606" i="6"/>
  <c r="V607" i="6"/>
  <c r="AZ607" i="6"/>
  <c r="EL183" i="6"/>
  <c r="BT607" i="6" s="1"/>
  <c r="Q608" i="6"/>
  <c r="AU608" i="6"/>
  <c r="L609" i="6"/>
  <c r="AP609" i="6"/>
  <c r="BT185" i="6"/>
  <c r="BT609" i="6" s="1"/>
  <c r="AF611" i="6"/>
  <c r="BJ611" i="6"/>
  <c r="AA616" i="6"/>
  <c r="BE616" i="6"/>
  <c r="BZ617" i="6"/>
  <c r="AF621" i="6"/>
  <c r="BJ621" i="6"/>
  <c r="BZ621" i="6"/>
  <c r="BZ625" i="6"/>
  <c r="BT634" i="6"/>
  <c r="BT211" i="6"/>
  <c r="BZ640" i="6"/>
  <c r="EL223" i="6"/>
  <c r="L648" i="6"/>
  <c r="AP648" i="6"/>
  <c r="BT229" i="6"/>
  <c r="BT648" i="6" s="1"/>
  <c r="BT235" i="6"/>
  <c r="Q660" i="6"/>
  <c r="AU660" i="6"/>
  <c r="BT662" i="6"/>
  <c r="BT663" i="6"/>
  <c r="BE665" i="6"/>
  <c r="EG253" i="6"/>
  <c r="BO665" i="6" s="1"/>
  <c r="V666" i="6"/>
  <c r="CN253" i="6"/>
  <c r="V665" i="6" s="1"/>
  <c r="AZ666" i="6"/>
  <c r="DR253" i="6"/>
  <c r="BT667" i="6"/>
  <c r="AA670" i="6"/>
  <c r="DW258" i="6"/>
  <c r="BE670" i="6" s="1"/>
  <c r="CA672" i="6"/>
  <c r="EL269" i="6"/>
  <c r="L273" i="6"/>
  <c r="CX273" i="6"/>
  <c r="AA607" i="6"/>
  <c r="BE607" i="6"/>
  <c r="V608" i="6"/>
  <c r="AZ608" i="6"/>
  <c r="Q609" i="6"/>
  <c r="AU609" i="6"/>
  <c r="G611" i="6"/>
  <c r="AK611" i="6"/>
  <c r="BO611" i="6"/>
  <c r="AF616" i="6"/>
  <c r="BJ616" i="6"/>
  <c r="CA617" i="6"/>
  <c r="CA621" i="6"/>
  <c r="EL217" i="6"/>
  <c r="BT223" i="6"/>
  <c r="Q654" i="6"/>
  <c r="AU654" i="6"/>
  <c r="CA663" i="6"/>
  <c r="EL247" i="6"/>
  <c r="BT258" i="6"/>
  <c r="EL293" i="6"/>
  <c r="L676" i="6"/>
  <c r="L318" i="6"/>
  <c r="L678" i="6"/>
  <c r="AP678" i="6"/>
  <c r="BT678" i="6"/>
  <c r="CA699" i="6"/>
  <c r="BZ699" i="6"/>
  <c r="CA705" i="6"/>
  <c r="BT532" i="6"/>
  <c r="Q536" i="6"/>
  <c r="AU536" i="6"/>
  <c r="Q541" i="6"/>
  <c r="AU541" i="6"/>
  <c r="Q542" i="6"/>
  <c r="BT544" i="6"/>
  <c r="AF546" i="6"/>
  <c r="BJ546" i="6"/>
  <c r="AF547" i="6"/>
  <c r="BT549" i="6"/>
  <c r="L551" i="6"/>
  <c r="G556" i="6"/>
  <c r="AK556" i="6"/>
  <c r="BO556" i="6"/>
  <c r="BT558" i="6"/>
  <c r="AF585" i="6"/>
  <c r="BJ585" i="6"/>
  <c r="V599" i="6"/>
  <c r="AZ599" i="6"/>
  <c r="G606" i="6"/>
  <c r="AK606" i="6"/>
  <c r="BO606" i="6"/>
  <c r="AF607" i="6"/>
  <c r="BJ607" i="6"/>
  <c r="AA608" i="6"/>
  <c r="BE608" i="6"/>
  <c r="V609" i="6"/>
  <c r="AZ609" i="6"/>
  <c r="EL185" i="6"/>
  <c r="L611" i="6"/>
  <c r="AP611" i="6"/>
  <c r="BT187" i="6"/>
  <c r="BT611" i="6" s="1"/>
  <c r="BT612" i="6"/>
  <c r="BT614" i="6"/>
  <c r="G616" i="6"/>
  <c r="AK616" i="6"/>
  <c r="BO616" i="6"/>
  <c r="BT618" i="6"/>
  <c r="L621" i="6"/>
  <c r="AP621" i="6"/>
  <c r="BT199" i="6"/>
  <c r="BT621" i="6" s="1"/>
  <c r="L627" i="6"/>
  <c r="AP627" i="6"/>
  <c r="BT639" i="6"/>
  <c r="BT217" i="6"/>
  <c r="V648" i="6"/>
  <c r="AZ648" i="6"/>
  <c r="CA657" i="6"/>
  <c r="AA660" i="6"/>
  <c r="BE660" i="6"/>
  <c r="BZ663" i="6"/>
  <c r="G665" i="6"/>
  <c r="DC253" i="6"/>
  <c r="AK665" i="6" s="1"/>
  <c r="G670" i="6"/>
  <c r="BO670" i="6"/>
  <c r="EL259" i="6"/>
  <c r="BT671" i="6" s="1"/>
  <c r="BJ671" i="6"/>
  <c r="EB258" i="6"/>
  <c r="BT673" i="6"/>
  <c r="EL304" i="6"/>
  <c r="EL327" i="6"/>
  <c r="CA702" i="6"/>
  <c r="BZ702" i="6"/>
  <c r="G676" i="6"/>
  <c r="G318" i="6"/>
  <c r="BT714" i="6"/>
  <c r="BT354" i="6"/>
  <c r="BT713" i="6" s="1"/>
  <c r="EL284" i="6"/>
  <c r="BZ678" i="6"/>
  <c r="BY348" i="6"/>
  <c r="BZ705" i="6" s="1"/>
  <c r="CA706" i="6"/>
  <c r="BZ706" i="6"/>
  <c r="BZ618" i="6"/>
  <c r="BT629" i="6"/>
  <c r="BT205" i="6"/>
  <c r="BT627" i="6" s="1"/>
  <c r="CA661" i="6"/>
  <c r="EL241" i="6"/>
  <c r="AU665" i="6"/>
  <c r="L666" i="6"/>
  <c r="CD253" i="6"/>
  <c r="L665" i="6" s="1"/>
  <c r="AP666" i="6"/>
  <c r="DH253" i="6"/>
  <c r="AP665" i="6" s="1"/>
  <c r="EL254" i="6"/>
  <c r="EL182" i="6" s="1"/>
  <c r="AF671" i="6"/>
  <c r="CX258" i="6"/>
  <c r="AF670" i="6" s="1"/>
  <c r="CD288" i="6"/>
  <c r="BT299" i="6"/>
  <c r="BT298" i="6" s="1"/>
  <c r="L298" i="6"/>
  <c r="AA676" i="6"/>
  <c r="AA318" i="6"/>
  <c r="CA678" i="6"/>
  <c r="BE493" i="6"/>
  <c r="Q498" i="6"/>
  <c r="Q499" i="6"/>
  <c r="L503" i="6"/>
  <c r="AP503" i="6"/>
  <c r="L504" i="6"/>
  <c r="AP504" i="6"/>
  <c r="G508" i="6"/>
  <c r="AK508" i="6"/>
  <c r="BO508" i="6"/>
  <c r="BJ513" i="6"/>
  <c r="AK514" i="6"/>
  <c r="Q530" i="6"/>
  <c r="AU530" i="6"/>
  <c r="Q531" i="6"/>
  <c r="AF536" i="6"/>
  <c r="BJ536" i="6"/>
  <c r="AF541" i="6"/>
  <c r="BJ541" i="6"/>
  <c r="Q546" i="6"/>
  <c r="AU546" i="6"/>
  <c r="AA551" i="6"/>
  <c r="BE551" i="6"/>
  <c r="BT150" i="6"/>
  <c r="V556" i="6"/>
  <c r="AZ556" i="6"/>
  <c r="Q585" i="6"/>
  <c r="AU585" i="6"/>
  <c r="G599" i="6"/>
  <c r="AK599" i="6"/>
  <c r="BO599" i="6"/>
  <c r="AA181" i="6"/>
  <c r="BE181" i="6"/>
  <c r="V606" i="6"/>
  <c r="AZ606" i="6"/>
  <c r="CD182" i="6"/>
  <c r="CD181" i="6" s="1"/>
  <c r="CD14" i="6" s="1"/>
  <c r="DH182" i="6"/>
  <c r="DH181" i="6" s="1"/>
  <c r="DH14" i="6" s="1"/>
  <c r="Q607" i="6"/>
  <c r="AU607" i="6"/>
  <c r="L608" i="6"/>
  <c r="AP608" i="6"/>
  <c r="BT184" i="6"/>
  <c r="BT608" i="6" s="1"/>
  <c r="G609" i="6"/>
  <c r="AK609" i="6"/>
  <c r="BO609" i="6"/>
  <c r="AA611" i="6"/>
  <c r="BE611" i="6"/>
  <c r="V616" i="6"/>
  <c r="AZ616" i="6"/>
  <c r="EL193" i="6"/>
  <c r="CA618" i="6"/>
  <c r="AA621" i="6"/>
  <c r="BE621" i="6"/>
  <c r="CA627" i="6"/>
  <c r="EL211" i="6"/>
  <c r="BZ633" i="6"/>
  <c r="CA650" i="6"/>
  <c r="G654" i="6"/>
  <c r="AK654" i="6"/>
  <c r="BO654" i="6"/>
  <c r="CA655" i="6"/>
  <c r="EL235" i="6"/>
  <c r="BT241" i="6"/>
  <c r="BT660" i="6" s="1"/>
  <c r="BZ661" i="6"/>
  <c r="EB253" i="6"/>
  <c r="CA673" i="6"/>
  <c r="EL298" i="6"/>
  <c r="BT303" i="6"/>
  <c r="AP676" i="6"/>
  <c r="AP318" i="6"/>
  <c r="Q621" i="6"/>
  <c r="AU621" i="6"/>
  <c r="AF627" i="6"/>
  <c r="BJ627" i="6"/>
  <c r="AF632" i="6"/>
  <c r="BJ632" i="6"/>
  <c r="AF637" i="6"/>
  <c r="BJ637" i="6"/>
  <c r="BT643" i="6"/>
  <c r="Q648" i="6"/>
  <c r="AU648" i="6"/>
  <c r="V654" i="6"/>
  <c r="AZ654" i="6"/>
  <c r="V660" i="6"/>
  <c r="AZ660" i="6"/>
  <c r="AZ665" i="6"/>
  <c r="BJ670" i="6"/>
  <c r="Q706" i="6"/>
  <c r="Q348" i="6"/>
  <c r="Q705" i="6" s="1"/>
  <c r="AU706" i="6"/>
  <c r="AU348" i="6"/>
  <c r="AU705" i="6" s="1"/>
  <c r="BT628" i="6"/>
  <c r="BT630" i="6"/>
  <c r="L632" i="6"/>
  <c r="AP632" i="6"/>
  <c r="BT633" i="6"/>
  <c r="BT635" i="6"/>
  <c r="L637" i="6"/>
  <c r="AP637" i="6"/>
  <c r="BT638" i="6"/>
  <c r="BT640" i="6"/>
  <c r="AA648" i="6"/>
  <c r="BE648" i="6"/>
  <c r="BT652" i="6"/>
  <c r="AF654" i="6"/>
  <c r="BJ654" i="6"/>
  <c r="AF660" i="6"/>
  <c r="BJ660" i="6"/>
  <c r="AF665" i="6"/>
  <c r="BJ665" i="6"/>
  <c r="BT668" i="6"/>
  <c r="L670" i="6"/>
  <c r="AP670" i="6"/>
  <c r="L671" i="6"/>
  <c r="BT288" i="6"/>
  <c r="EL308" i="6"/>
  <c r="BE676" i="6"/>
  <c r="BE318" i="6"/>
  <c r="V684" i="6"/>
  <c r="AZ684" i="6"/>
  <c r="AF319" i="6"/>
  <c r="BJ319" i="6"/>
  <c r="AA678" i="6"/>
  <c r="BE678" i="6"/>
  <c r="BZ679" i="6"/>
  <c r="L681" i="6"/>
  <c r="AP681" i="6"/>
  <c r="BT681" i="6"/>
  <c r="BT682" i="6"/>
  <c r="G684" i="6"/>
  <c r="AK684" i="6"/>
  <c r="BO684" i="6"/>
  <c r="G687" i="6"/>
  <c r="AK687" i="6"/>
  <c r="BO687" i="6"/>
  <c r="CA687" i="6"/>
  <c r="G690" i="6"/>
  <c r="AK690" i="6"/>
  <c r="BO690" i="6"/>
  <c r="CA690" i="6"/>
  <c r="G693" i="6"/>
  <c r="AK693" i="6"/>
  <c r="BO693" i="6"/>
  <c r="CA693" i="6"/>
  <c r="G696" i="6"/>
  <c r="AK696" i="6"/>
  <c r="BO696" i="6"/>
  <c r="CA697" i="6"/>
  <c r="AF699" i="6"/>
  <c r="BJ699" i="6"/>
  <c r="BZ700" i="6"/>
  <c r="AA702" i="6"/>
  <c r="BE702" i="6"/>
  <c r="BZ703" i="6"/>
  <c r="AA348" i="6"/>
  <c r="AA705" i="6" s="1"/>
  <c r="BE348" i="6"/>
  <c r="BE705" i="6" s="1"/>
  <c r="G709" i="6"/>
  <c r="AK709" i="6"/>
  <c r="BO709" i="6"/>
  <c r="AF713" i="6"/>
  <c r="BJ713" i="6"/>
  <c r="BP713" i="6"/>
  <c r="Q716" i="6"/>
  <c r="AU716" i="6"/>
  <c r="Q719" i="6"/>
  <c r="AU719" i="6"/>
  <c r="Q722" i="6"/>
  <c r="AU722" i="6"/>
  <c r="Q725" i="6"/>
  <c r="AU725" i="6"/>
  <c r="Q728" i="6"/>
  <c r="AU728" i="6"/>
  <c r="Q731" i="6"/>
  <c r="AU731" i="6"/>
  <c r="Q734" i="6"/>
  <c r="AU734" i="6"/>
  <c r="Q737" i="6"/>
  <c r="AU737" i="6"/>
  <c r="AK319" i="6"/>
  <c r="BO319" i="6"/>
  <c r="AF678" i="6"/>
  <c r="BJ678" i="6"/>
  <c r="Q681" i="6"/>
  <c r="AU681" i="6"/>
  <c r="L684" i="6"/>
  <c r="AP684" i="6"/>
  <c r="BT684" i="6"/>
  <c r="BT685" i="6"/>
  <c r="L687" i="6"/>
  <c r="AP687" i="6"/>
  <c r="BT687" i="6"/>
  <c r="BT688" i="6"/>
  <c r="L690" i="6"/>
  <c r="AP690" i="6"/>
  <c r="BT690" i="6"/>
  <c r="BT691" i="6"/>
  <c r="L693" i="6"/>
  <c r="AP693" i="6"/>
  <c r="BT693" i="6"/>
  <c r="BT694" i="6"/>
  <c r="L696" i="6"/>
  <c r="AP696" i="6"/>
  <c r="G699" i="6"/>
  <c r="AK699" i="6"/>
  <c r="BO699" i="6"/>
  <c r="AF702" i="6"/>
  <c r="BJ702" i="6"/>
  <c r="AF348" i="6"/>
  <c r="AF705" i="6" s="1"/>
  <c r="BJ348" i="6"/>
  <c r="BJ705" i="6" s="1"/>
  <c r="L709" i="6"/>
  <c r="AP709" i="6"/>
  <c r="BT710" i="6"/>
  <c r="AA713" i="6"/>
  <c r="BE713" i="6"/>
  <c r="V716" i="6"/>
  <c r="AZ716" i="6"/>
  <c r="V719" i="6"/>
  <c r="AZ719" i="6"/>
  <c r="V722" i="6"/>
  <c r="AZ722" i="6"/>
  <c r="V725" i="6"/>
  <c r="AZ725" i="6"/>
  <c r="V728" i="6"/>
  <c r="AZ728" i="6"/>
  <c r="V731" i="6"/>
  <c r="AZ731" i="6"/>
  <c r="V734" i="6"/>
  <c r="AZ734" i="6"/>
  <c r="V737" i="6"/>
  <c r="AZ737" i="6"/>
  <c r="Q696" i="6"/>
  <c r="AU696" i="6"/>
  <c r="BT697" i="6"/>
  <c r="AP699" i="6"/>
  <c r="BT342" i="6"/>
  <c r="BT699" i="6" s="1"/>
  <c r="G705" i="6"/>
  <c r="V687" i="6"/>
  <c r="AZ687" i="6"/>
  <c r="V690" i="6"/>
  <c r="AZ690" i="6"/>
  <c r="V693" i="6"/>
  <c r="AZ693" i="6"/>
  <c r="L702" i="6"/>
  <c r="AP702" i="6"/>
  <c r="BT702" i="6"/>
  <c r="L705" i="6"/>
  <c r="AP705" i="6"/>
  <c r="G706" i="6"/>
  <c r="V709" i="6"/>
  <c r="AZ709" i="6"/>
  <c r="EL351" i="6"/>
  <c r="BT709" i="6" s="1"/>
  <c r="BZ713" i="6"/>
  <c r="AF716" i="6"/>
  <c r="BJ716" i="6"/>
  <c r="AF719" i="6"/>
  <c r="BJ719" i="6"/>
  <c r="AF722" i="6"/>
  <c r="BJ722" i="6"/>
  <c r="AF725" i="6"/>
  <c r="BJ725" i="6"/>
  <c r="AF728" i="6"/>
  <c r="BJ728" i="6"/>
  <c r="AF731" i="6"/>
  <c r="BJ731" i="6"/>
  <c r="AF734" i="6"/>
  <c r="BJ734" i="6"/>
  <c r="AF737" i="6"/>
  <c r="BJ737" i="6"/>
  <c r="EL319" i="6"/>
  <c r="EL339" i="6"/>
  <c r="BT696" i="6" s="1"/>
  <c r="BT349" i="6"/>
  <c r="AP713" i="6"/>
  <c r="V12" i="6" l="1"/>
  <c r="V405" i="6" s="1"/>
  <c r="V605" i="6"/>
  <c r="Q675" i="6"/>
  <c r="Q15" i="6"/>
  <c r="Q408" i="6" s="1"/>
  <c r="CX12" i="6"/>
  <c r="EL18" i="6"/>
  <c r="BT472" i="6"/>
  <c r="BT477" i="6"/>
  <c r="V411" i="6"/>
  <c r="Q411" i="6"/>
  <c r="AZ605" i="6"/>
  <c r="CS12" i="6"/>
  <c r="V406" i="6"/>
  <c r="AU675" i="6"/>
  <c r="AU15" i="6"/>
  <c r="AU408" i="6" s="1"/>
  <c r="BT182" i="6"/>
  <c r="BT181" i="6" s="1"/>
  <c r="BT599" i="6"/>
  <c r="AU412" i="6"/>
  <c r="AZ676" i="6"/>
  <c r="AZ318" i="6"/>
  <c r="V407" i="6"/>
  <c r="V675" i="6"/>
  <c r="V15" i="6"/>
  <c r="V408" i="6" s="1"/>
  <c r="EL17" i="6"/>
  <c r="BT706" i="6"/>
  <c r="BT348" i="6"/>
  <c r="BT705" i="6" s="1"/>
  <c r="BT319" i="6"/>
  <c r="CA684" i="6"/>
  <c r="BZ684" i="6"/>
  <c r="BZ637" i="6"/>
  <c r="CA637" i="6"/>
  <c r="CA676" i="6"/>
  <c r="BZ676" i="6"/>
  <c r="EL318" i="6"/>
  <c r="BJ676" i="6"/>
  <c r="BJ318" i="6"/>
  <c r="EL303" i="6"/>
  <c r="L675" i="6"/>
  <c r="L15" i="6"/>
  <c r="L408" i="6" s="1"/>
  <c r="BT483" i="6"/>
  <c r="AF605" i="6"/>
  <c r="AF14" i="6"/>
  <c r="AF407" i="6" s="1"/>
  <c r="BE411" i="6"/>
  <c r="BE13" i="6"/>
  <c r="BT484" i="6"/>
  <c r="BT461" i="6"/>
  <c r="BT69" i="6"/>
  <c r="BT460" i="6" s="1"/>
  <c r="AP606" i="6"/>
  <c r="G586" i="6"/>
  <c r="BY168" i="6"/>
  <c r="CA585" i="6" s="1"/>
  <c r="BZ586" i="6"/>
  <c r="CA586" i="6"/>
  <c r="CA547" i="6"/>
  <c r="EL144" i="6"/>
  <c r="BZ547" i="6"/>
  <c r="BZ494" i="6"/>
  <c r="EL104" i="6"/>
  <c r="CA494" i="6"/>
  <c r="BT489" i="6"/>
  <c r="BT99" i="6"/>
  <c r="BT488" i="6" s="1"/>
  <c r="DH12" i="6"/>
  <c r="CA460" i="6"/>
  <c r="BZ460" i="6"/>
  <c r="AF676" i="6"/>
  <c r="AF318" i="6"/>
  <c r="AA675" i="6"/>
  <c r="AA15" i="6"/>
  <c r="AA408" i="6" s="1"/>
  <c r="BT547" i="6"/>
  <c r="BT144" i="6"/>
  <c r="BT546" i="6" s="1"/>
  <c r="L406" i="6"/>
  <c r="CA556" i="6"/>
  <c r="BZ556" i="6"/>
  <c r="CA606" i="6"/>
  <c r="BZ606" i="6"/>
  <c r="EL181" i="6"/>
  <c r="BT503" i="6"/>
  <c r="L605" i="6"/>
  <c r="L14" i="6"/>
  <c r="L407" i="6" s="1"/>
  <c r="BJ412" i="6"/>
  <c r="BJ17" i="6"/>
  <c r="AU406" i="6"/>
  <c r="BZ488" i="6"/>
  <c r="CA488" i="6"/>
  <c r="BE675" i="6"/>
  <c r="BE15" i="6"/>
  <c r="BE408" i="6" s="1"/>
  <c r="BZ585" i="6"/>
  <c r="BO676" i="6"/>
  <c r="BO318" i="6"/>
  <c r="AP675" i="6"/>
  <c r="AP15" i="6"/>
  <c r="AP408" i="6" s="1"/>
  <c r="BE605" i="6"/>
  <c r="BE14" i="6"/>
  <c r="BE407" i="6" s="1"/>
  <c r="EL283" i="6"/>
  <c r="CA609" i="6"/>
  <c r="BZ609" i="6"/>
  <c r="EL268" i="6"/>
  <c r="BZ433" i="6"/>
  <c r="BZ432" i="6"/>
  <c r="Q412" i="6"/>
  <c r="BT467" i="6"/>
  <c r="BT75" i="6"/>
  <c r="BT466" i="6" s="1"/>
  <c r="CA450" i="6"/>
  <c r="BZ450" i="6"/>
  <c r="AP406" i="6"/>
  <c r="BT456" i="6"/>
  <c r="BT18" i="6"/>
  <c r="BT63" i="6"/>
  <c r="BT455" i="6" s="1"/>
  <c r="BT450" i="6"/>
  <c r="L411" i="6"/>
  <c r="L606" i="6"/>
  <c r="BT514" i="6"/>
  <c r="BT124" i="6"/>
  <c r="BT513" i="6" s="1"/>
  <c r="BO411" i="6"/>
  <c r="BO13" i="6"/>
  <c r="BT445" i="6"/>
  <c r="BT51" i="6"/>
  <c r="BT444" i="6" s="1"/>
  <c r="EL33" i="6"/>
  <c r="CA427" i="6"/>
  <c r="BZ427" i="6"/>
  <c r="CA444" i="6"/>
  <c r="BZ444" i="6"/>
  <c r="CA709" i="6"/>
  <c r="BZ709" i="6"/>
  <c r="CA642" i="6"/>
  <c r="BZ642" i="6"/>
  <c r="AK676" i="6"/>
  <c r="AK318" i="6"/>
  <c r="BZ632" i="6"/>
  <c r="CA632" i="6"/>
  <c r="CA616" i="6"/>
  <c r="BZ616" i="6"/>
  <c r="AA605" i="6"/>
  <c r="AA14" i="6"/>
  <c r="AA407" i="6" s="1"/>
  <c r="CA666" i="6"/>
  <c r="EL253" i="6"/>
  <c r="BZ666" i="6"/>
  <c r="BZ660" i="6"/>
  <c r="CA660" i="6"/>
  <c r="BT666" i="6"/>
  <c r="BT637" i="6"/>
  <c r="BT642" i="6"/>
  <c r="BT654" i="6"/>
  <c r="BZ607" i="6"/>
  <c r="CA607" i="6"/>
  <c r="AU605" i="6"/>
  <c r="AU14" i="6"/>
  <c r="AU407" i="6" s="1"/>
  <c r="BT499" i="6"/>
  <c r="BT109" i="6"/>
  <c r="BT494" i="6"/>
  <c r="BT104" i="6"/>
  <c r="CA599" i="6"/>
  <c r="BZ599" i="6"/>
  <c r="CA432" i="6"/>
  <c r="BT616" i="6"/>
  <c r="CA439" i="6"/>
  <c r="BZ439" i="6"/>
  <c r="EL45" i="6"/>
  <c r="CA542" i="6"/>
  <c r="BZ542" i="6"/>
  <c r="EL139" i="6"/>
  <c r="AK411" i="6"/>
  <c r="AK13" i="6"/>
  <c r="AZ411" i="6"/>
  <c r="AF411" i="6"/>
  <c r="AF13" i="6"/>
  <c r="CA530" i="6"/>
  <c r="BZ530" i="6"/>
  <c r="CA466" i="6"/>
  <c r="BZ466" i="6"/>
  <c r="BZ513" i="6"/>
  <c r="CA513" i="6"/>
  <c r="AA412" i="6"/>
  <c r="AA17" i="6"/>
  <c r="BJ605" i="6"/>
  <c r="BJ14" i="6"/>
  <c r="BJ407" i="6" s="1"/>
  <c r="CA503" i="6"/>
  <c r="BZ503" i="6"/>
  <c r="BZ477" i="6"/>
  <c r="CA477" i="6"/>
  <c r="EL109" i="6"/>
  <c r="BZ499" i="6"/>
  <c r="CA499" i="6"/>
  <c r="BT606" i="6"/>
  <c r="BT556" i="6"/>
  <c r="BT531" i="6"/>
  <c r="BT129" i="6"/>
  <c r="BT530" i="6" s="1"/>
  <c r="BT542" i="6"/>
  <c r="BT139" i="6"/>
  <c r="BT541" i="6" s="1"/>
  <c r="CA484" i="6"/>
  <c r="BZ484" i="6"/>
  <c r="EL94" i="6"/>
  <c r="CA696" i="6"/>
  <c r="BZ696" i="6"/>
  <c r="BZ654" i="6"/>
  <c r="CA654" i="6"/>
  <c r="BT552" i="6"/>
  <c r="BT149" i="6"/>
  <c r="BT551" i="6" s="1"/>
  <c r="G675" i="6"/>
  <c r="G15" i="6"/>
  <c r="G408" i="6" s="1"/>
  <c r="BZ671" i="6"/>
  <c r="CA671" i="6"/>
  <c r="EL258" i="6"/>
  <c r="BT632" i="6"/>
  <c r="CA508" i="6"/>
  <c r="BZ508" i="6"/>
  <c r="Q406" i="6"/>
  <c r="CD12" i="6"/>
  <c r="CA611" i="6"/>
  <c r="BZ611" i="6"/>
  <c r="BT585" i="6"/>
  <c r="BT439" i="6"/>
  <c r="BT45" i="6"/>
  <c r="BT432" i="6"/>
  <c r="AP605" i="6"/>
  <c r="AP14" i="6"/>
  <c r="AP407" i="6" s="1"/>
  <c r="CA415" i="6"/>
  <c r="BZ415" i="6"/>
  <c r="AZ406" i="6"/>
  <c r="CA455" i="6"/>
  <c r="BZ455" i="6"/>
  <c r="AZ15" i="6" l="1"/>
  <c r="AZ675" i="6"/>
  <c r="BT493" i="6"/>
  <c r="G12" i="6"/>
  <c r="Q12" i="6"/>
  <c r="Q405" i="6" s="1"/>
  <c r="AF406" i="6"/>
  <c r="BZ670" i="6"/>
  <c r="CA670" i="6"/>
  <c r="CA498" i="6"/>
  <c r="BZ498" i="6"/>
  <c r="AK406" i="6"/>
  <c r="CA438" i="6"/>
  <c r="BZ438" i="6"/>
  <c r="BT498" i="6"/>
  <c r="BZ605" i="6"/>
  <c r="CA605" i="6"/>
  <c r="EL14" i="6"/>
  <c r="BO406" i="6"/>
  <c r="BT670" i="6"/>
  <c r="BJ411" i="6"/>
  <c r="BJ13" i="6"/>
  <c r="BZ493" i="6"/>
  <c r="CA493" i="6"/>
  <c r="BJ675" i="6"/>
  <c r="BJ15" i="6"/>
  <c r="BJ408" i="6" s="1"/>
  <c r="BT676" i="6"/>
  <c r="BT318" i="6"/>
  <c r="EL13" i="6"/>
  <c r="BT605" i="6"/>
  <c r="BT14" i="6"/>
  <c r="BZ541" i="6"/>
  <c r="CA541" i="6"/>
  <c r="AK675" i="6"/>
  <c r="AK15" i="6"/>
  <c r="AK408" i="6" s="1"/>
  <c r="BZ665" i="6"/>
  <c r="CA665" i="6"/>
  <c r="BT665" i="6"/>
  <c r="BT412" i="6"/>
  <c r="BT17" i="6"/>
  <c r="CA675" i="6"/>
  <c r="BZ675" i="6"/>
  <c r="EL15" i="6"/>
  <c r="AA411" i="6"/>
  <c r="AA13" i="6"/>
  <c r="CA426" i="6"/>
  <c r="BZ426" i="6"/>
  <c r="BT426" i="6"/>
  <c r="L12" i="6"/>
  <c r="L405" i="6" s="1"/>
  <c r="AF675" i="6"/>
  <c r="AF15" i="6"/>
  <c r="AF408" i="6" s="1"/>
  <c r="BT438" i="6"/>
  <c r="CA483" i="6"/>
  <c r="BZ483" i="6"/>
  <c r="AP12" i="6"/>
  <c r="AP405" i="6" s="1"/>
  <c r="BO675" i="6"/>
  <c r="BO15" i="6"/>
  <c r="BO408" i="6" s="1"/>
  <c r="AU12" i="6"/>
  <c r="AU405" i="6" s="1"/>
  <c r="BZ546" i="6"/>
  <c r="CA546" i="6"/>
  <c r="G585" i="6"/>
  <c r="BY18" i="6"/>
  <c r="BE406" i="6"/>
  <c r="BE12" i="6"/>
  <c r="BE405" i="6" s="1"/>
  <c r="AZ408" i="6" l="1"/>
  <c r="AZ12" i="6"/>
  <c r="AZ405" i="6" s="1"/>
  <c r="BZ408" i="6"/>
  <c r="CA408" i="6"/>
  <c r="AA406" i="6"/>
  <c r="AA12" i="6"/>
  <c r="AA405" i="6" s="1"/>
  <c r="BT411" i="6"/>
  <c r="BT13" i="6"/>
  <c r="BY17" i="6"/>
  <c r="G412" i="6"/>
  <c r="CA412" i="6"/>
  <c r="EL12" i="6"/>
  <c r="BO12" i="6"/>
  <c r="BO405" i="6" s="1"/>
  <c r="BT675" i="6"/>
  <c r="BT15" i="6"/>
  <c r="BT408" i="6" s="1"/>
  <c r="CA407" i="6"/>
  <c r="BZ407" i="6"/>
  <c r="AK12" i="6"/>
  <c r="AK405" i="6" s="1"/>
  <c r="BJ406" i="6"/>
  <c r="BJ12" i="6"/>
  <c r="BJ405" i="6" s="1"/>
  <c r="BT407" i="6"/>
  <c r="AF12" i="6"/>
  <c r="AF405" i="6" s="1"/>
  <c r="BY13" i="6" l="1"/>
  <c r="G411" i="6"/>
  <c r="CA411" i="6"/>
  <c r="BT406" i="6"/>
  <c r="BT12" i="6"/>
  <c r="BT405" i="6" s="1"/>
  <c r="BZ412" i="6"/>
  <c r="BZ411" i="6" l="1"/>
  <c r="BY12" i="6"/>
  <c r="G406" i="6"/>
  <c r="CA406" i="6"/>
  <c r="G405" i="6" l="1"/>
  <c r="CA405" i="6"/>
  <c r="BZ406" i="6"/>
  <c r="BZ405" i="6"/>
  <c r="H34" i="1" l="1"/>
  <c r="N95" i="10" l="1"/>
  <c r="O91" i="10" s="1"/>
  <c r="M95" i="10"/>
  <c r="L95" i="10"/>
  <c r="M91" i="10" s="1"/>
  <c r="K95" i="10"/>
  <c r="L91" i="10" s="1"/>
  <c r="J95" i="10"/>
  <c r="I95" i="10"/>
  <c r="J91" i="10" s="1"/>
  <c r="H95" i="10"/>
  <c r="I91" i="10" s="1"/>
  <c r="G95" i="10"/>
  <c r="N94" i="10"/>
  <c r="T94" i="10" s="1"/>
  <c r="M94" i="10"/>
  <c r="N90" i="10" s="1"/>
  <c r="L94" i="10"/>
  <c r="K94" i="10"/>
  <c r="L90" i="10" s="1"/>
  <c r="J94" i="10"/>
  <c r="K90" i="10" s="1"/>
  <c r="I94" i="10"/>
  <c r="H94" i="10"/>
  <c r="G94" i="10"/>
  <c r="S93" i="10"/>
  <c r="R93" i="10"/>
  <c r="Q93" i="10"/>
  <c r="P93" i="10"/>
  <c r="O93" i="10"/>
  <c r="K93" i="10"/>
  <c r="S91" i="10"/>
  <c r="R91" i="10"/>
  <c r="Q91" i="10"/>
  <c r="P91" i="10"/>
  <c r="H91" i="10"/>
  <c r="G91" i="10"/>
  <c r="S90" i="10"/>
  <c r="S89" i="10" s="1"/>
  <c r="R90" i="10"/>
  <c r="Q90" i="10"/>
  <c r="P90" i="10"/>
  <c r="P89" i="10" s="1"/>
  <c r="H90" i="10"/>
  <c r="G90" i="10"/>
  <c r="G89" i="10" s="1"/>
  <c r="N82" i="10"/>
  <c r="M82" i="10"/>
  <c r="L82" i="10"/>
  <c r="K82" i="10"/>
  <c r="J82" i="10"/>
  <c r="I82" i="10"/>
  <c r="H82" i="10"/>
  <c r="G82" i="10"/>
  <c r="N81" i="10"/>
  <c r="M81" i="10"/>
  <c r="L81" i="10"/>
  <c r="K81" i="10"/>
  <c r="J81" i="10"/>
  <c r="I81" i="10"/>
  <c r="H81" i="10"/>
  <c r="G81" i="10"/>
  <c r="N80" i="10"/>
  <c r="M80" i="10"/>
  <c r="L80" i="10"/>
  <c r="K80" i="10"/>
  <c r="J80" i="10"/>
  <c r="I80" i="10"/>
  <c r="H80" i="10"/>
  <c r="G80" i="10"/>
  <c r="T76" i="10"/>
  <c r="T75" i="10"/>
  <c r="T73" i="10"/>
  <c r="T71" i="10" s="1"/>
  <c r="T72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S69" i="10"/>
  <c r="I69" i="10"/>
  <c r="H69" i="10"/>
  <c r="T69" i="10" s="1"/>
  <c r="G69" i="10"/>
  <c r="S68" i="10"/>
  <c r="I68" i="10"/>
  <c r="H68" i="10"/>
  <c r="G68" i="10"/>
  <c r="S66" i="10"/>
  <c r="I66" i="10"/>
  <c r="H66" i="10"/>
  <c r="G66" i="10"/>
  <c r="S65" i="10"/>
  <c r="I65" i="10"/>
  <c r="H65" i="10"/>
  <c r="G65" i="10"/>
  <c r="R64" i="10"/>
  <c r="Q64" i="10"/>
  <c r="P64" i="10"/>
  <c r="O64" i="10"/>
  <c r="N64" i="10"/>
  <c r="M64" i="10"/>
  <c r="L64" i="10"/>
  <c r="K64" i="10"/>
  <c r="J64" i="10"/>
  <c r="N62" i="10"/>
  <c r="M62" i="10"/>
  <c r="L62" i="10"/>
  <c r="K62" i="10"/>
  <c r="J62" i="10"/>
  <c r="I62" i="10"/>
  <c r="H62" i="10"/>
  <c r="G62" i="10"/>
  <c r="N61" i="10"/>
  <c r="M61" i="10"/>
  <c r="L61" i="10"/>
  <c r="K61" i="10"/>
  <c r="J61" i="10"/>
  <c r="I61" i="10"/>
  <c r="H61" i="10"/>
  <c r="G61" i="10"/>
  <c r="T59" i="10"/>
  <c r="G59" i="10"/>
  <c r="N58" i="10"/>
  <c r="M58" i="10"/>
  <c r="L58" i="10"/>
  <c r="K58" i="10"/>
  <c r="J58" i="10"/>
  <c r="I58" i="10"/>
  <c r="H58" i="10"/>
  <c r="G58" i="10"/>
  <c r="S57" i="10"/>
  <c r="R57" i="10"/>
  <c r="Q57" i="10"/>
  <c r="P57" i="10"/>
  <c r="P55" i="10" s="1"/>
  <c r="O57" i="10"/>
  <c r="R55" i="10"/>
  <c r="N53" i="10"/>
  <c r="M53" i="10"/>
  <c r="L53" i="10"/>
  <c r="K53" i="10"/>
  <c r="J53" i="10"/>
  <c r="I53" i="10"/>
  <c r="H53" i="10"/>
  <c r="G53" i="10"/>
  <c r="N52" i="10"/>
  <c r="M52" i="10"/>
  <c r="L52" i="10"/>
  <c r="K52" i="10"/>
  <c r="J52" i="10"/>
  <c r="I52" i="10"/>
  <c r="H52" i="10"/>
  <c r="G52" i="10"/>
  <c r="S51" i="10"/>
  <c r="R51" i="10"/>
  <c r="Q51" i="10"/>
  <c r="P51" i="10"/>
  <c r="O51" i="10"/>
  <c r="N49" i="10"/>
  <c r="M49" i="10"/>
  <c r="L49" i="10"/>
  <c r="K49" i="10"/>
  <c r="J49" i="10"/>
  <c r="I49" i="10"/>
  <c r="H49" i="10"/>
  <c r="G49" i="10"/>
  <c r="N48" i="10"/>
  <c r="M48" i="10"/>
  <c r="L48" i="10"/>
  <c r="K48" i="10"/>
  <c r="J48" i="10"/>
  <c r="I48" i="10"/>
  <c r="H48" i="10"/>
  <c r="G48" i="10"/>
  <c r="N47" i="10"/>
  <c r="M47" i="10"/>
  <c r="L47" i="10"/>
  <c r="K47" i="10"/>
  <c r="J47" i="10"/>
  <c r="I47" i="10"/>
  <c r="H47" i="10"/>
  <c r="G47" i="10"/>
  <c r="S46" i="10"/>
  <c r="R46" i="10"/>
  <c r="Q46" i="10"/>
  <c r="P46" i="10"/>
  <c r="O46" i="10"/>
  <c r="N44" i="10"/>
  <c r="M44" i="10"/>
  <c r="L44" i="10"/>
  <c r="K44" i="10"/>
  <c r="J44" i="10"/>
  <c r="I44" i="10"/>
  <c r="H44" i="10"/>
  <c r="G44" i="10"/>
  <c r="N43" i="10"/>
  <c r="M43" i="10"/>
  <c r="L43" i="10"/>
  <c r="K43" i="10"/>
  <c r="J43" i="10"/>
  <c r="I43" i="10"/>
  <c r="H43" i="10"/>
  <c r="G43" i="10"/>
  <c r="N42" i="10"/>
  <c r="M42" i="10"/>
  <c r="L42" i="10"/>
  <c r="K42" i="10"/>
  <c r="J42" i="10"/>
  <c r="I42" i="10"/>
  <c r="H42" i="10"/>
  <c r="G42" i="10"/>
  <c r="S41" i="10"/>
  <c r="R41" i="10"/>
  <c r="Q41" i="10"/>
  <c r="P41" i="10"/>
  <c r="P39" i="10" s="1"/>
  <c r="O41" i="10"/>
  <c r="O39" i="10" s="1"/>
  <c r="N37" i="10"/>
  <c r="M37" i="10"/>
  <c r="L37" i="10"/>
  <c r="K37" i="10"/>
  <c r="J37" i="10"/>
  <c r="I37" i="10"/>
  <c r="H37" i="10"/>
  <c r="G37" i="10"/>
  <c r="S32" i="10"/>
  <c r="R32" i="10"/>
  <c r="Q32" i="10"/>
  <c r="P32" i="10"/>
  <c r="O32" i="10"/>
  <c r="T29" i="10"/>
  <c r="G29" i="10"/>
  <c r="D29" i="10"/>
  <c r="T28" i="10"/>
  <c r="G28" i="10"/>
  <c r="D28" i="10"/>
  <c r="T27" i="10"/>
  <c r="G27" i="10"/>
  <c r="D27" i="10"/>
  <c r="T26" i="10"/>
  <c r="G26" i="10"/>
  <c r="D26" i="10"/>
  <c r="T25" i="10"/>
  <c r="G25" i="10"/>
  <c r="D25" i="10"/>
  <c r="T24" i="10"/>
  <c r="G24" i="10"/>
  <c r="T23" i="10"/>
  <c r="E23" i="10"/>
  <c r="T22" i="10"/>
  <c r="G22" i="10"/>
  <c r="N21" i="10"/>
  <c r="M21" i="10"/>
  <c r="L21" i="10"/>
  <c r="K21" i="10"/>
  <c r="J21" i="10"/>
  <c r="I21" i="10"/>
  <c r="G21" i="10"/>
  <c r="T20" i="10"/>
  <c r="G20" i="10"/>
  <c r="T19" i="10"/>
  <c r="G19" i="10"/>
  <c r="T18" i="10"/>
  <c r="G18" i="10"/>
  <c r="N17" i="10"/>
  <c r="N16" i="10" s="1"/>
  <c r="G17" i="10"/>
  <c r="S16" i="10"/>
  <c r="R16" i="10"/>
  <c r="R14" i="10" s="1"/>
  <c r="Q16" i="10"/>
  <c r="Q14" i="10" s="1"/>
  <c r="P16" i="10"/>
  <c r="P14" i="10" s="1"/>
  <c r="O16" i="10"/>
  <c r="M16" i="10"/>
  <c r="K16" i="10"/>
  <c r="H16" i="10"/>
  <c r="O14" i="10"/>
  <c r="G14" i="10"/>
  <c r="N12" i="10"/>
  <c r="M12" i="10"/>
  <c r="L12" i="10"/>
  <c r="K12" i="10"/>
  <c r="J12" i="10"/>
  <c r="I12" i="10"/>
  <c r="H12" i="10"/>
  <c r="N10" i="10"/>
  <c r="M10" i="10"/>
  <c r="L10" i="10"/>
  <c r="K10" i="10"/>
  <c r="J10" i="10"/>
  <c r="I10" i="10"/>
  <c r="H10" i="10"/>
  <c r="G10" i="10"/>
  <c r="J32" i="10" l="1"/>
  <c r="M46" i="10"/>
  <c r="L32" i="10"/>
  <c r="N32" i="10"/>
  <c r="G41" i="10"/>
  <c r="G46" i="10"/>
  <c r="K57" i="10"/>
  <c r="K55" i="10" s="1"/>
  <c r="G51" i="10"/>
  <c r="N46" i="10"/>
  <c r="N57" i="10"/>
  <c r="N55" i="10" s="1"/>
  <c r="G64" i="10"/>
  <c r="H64" i="10"/>
  <c r="L41" i="10"/>
  <c r="G16" i="10"/>
  <c r="G12" i="10"/>
  <c r="G32" i="10" s="1"/>
  <c r="O90" i="10"/>
  <c r="O89" i="10" s="1"/>
  <c r="G93" i="10"/>
  <c r="G87" i="10" s="1"/>
  <c r="G83" i="10" s="1"/>
  <c r="G79" i="10" s="1"/>
  <c r="T66" i="10"/>
  <c r="M32" i="10"/>
  <c r="S64" i="10"/>
  <c r="T65" i="10"/>
  <c r="I90" i="10"/>
  <c r="J93" i="10"/>
  <c r="I32" i="10"/>
  <c r="L51" i="10"/>
  <c r="I64" i="10"/>
  <c r="T42" i="10"/>
  <c r="J41" i="10"/>
  <c r="H57" i="10"/>
  <c r="H55" i="10" s="1"/>
  <c r="K91" i="10"/>
  <c r="K89" i="10" s="1"/>
  <c r="L57" i="10"/>
  <c r="H46" i="10"/>
  <c r="I51" i="10"/>
  <c r="K32" i="10"/>
  <c r="K14" i="10"/>
  <c r="H32" i="10"/>
  <c r="G39" i="10"/>
  <c r="N41" i="10"/>
  <c r="J46" i="10"/>
  <c r="T48" i="10"/>
  <c r="K51" i="10"/>
  <c r="M93" i="10"/>
  <c r="N91" i="10"/>
  <c r="T43" i="10"/>
  <c r="Q39" i="10"/>
  <c r="M90" i="10"/>
  <c r="L93" i="10"/>
  <c r="K41" i="10"/>
  <c r="I41" i="10"/>
  <c r="T49" i="10"/>
  <c r="O55" i="10"/>
  <c r="T58" i="10"/>
  <c r="T12" i="10"/>
  <c r="I16" i="10"/>
  <c r="T37" i="10"/>
  <c r="R39" i="10"/>
  <c r="M51" i="10"/>
  <c r="T53" i="10"/>
  <c r="H51" i="10"/>
  <c r="N51" i="10"/>
  <c r="Q55" i="10"/>
  <c r="L89" i="10"/>
  <c r="T21" i="10"/>
  <c r="T61" i="10"/>
  <c r="P87" i="10"/>
  <c r="J16" i="10"/>
  <c r="S39" i="10"/>
  <c r="M41" i="10"/>
  <c r="T44" i="10"/>
  <c r="M14" i="10"/>
  <c r="S14" i="10"/>
  <c r="T17" i="10"/>
  <c r="K46" i="10"/>
  <c r="H41" i="10"/>
  <c r="I57" i="10"/>
  <c r="T10" i="10"/>
  <c r="H14" i="10"/>
  <c r="N14" i="10"/>
  <c r="L16" i="10"/>
  <c r="L46" i="10"/>
  <c r="I46" i="10"/>
  <c r="T47" i="10"/>
  <c r="J51" i="10"/>
  <c r="G57" i="10"/>
  <c r="M57" i="10"/>
  <c r="J57" i="10"/>
  <c r="S87" i="10"/>
  <c r="T82" i="10"/>
  <c r="H89" i="10"/>
  <c r="T91" i="10"/>
  <c r="T81" i="10"/>
  <c r="I93" i="10"/>
  <c r="J90" i="10"/>
  <c r="T52" i="10"/>
  <c r="T80" i="10"/>
  <c r="I89" i="10"/>
  <c r="T62" i="10"/>
  <c r="T68" i="10"/>
  <c r="R89" i="10"/>
  <c r="Q89" i="10"/>
  <c r="T95" i="10"/>
  <c r="H93" i="10"/>
  <c r="N93" i="10"/>
  <c r="T90" i="10"/>
  <c r="G55" i="10" l="1"/>
  <c r="T32" i="10"/>
  <c r="S55" i="10"/>
  <c r="L55" i="10"/>
  <c r="M55" i="10"/>
  <c r="M39" i="10"/>
  <c r="N89" i="10"/>
  <c r="N39" i="10"/>
  <c r="R87" i="10"/>
  <c r="L39" i="10"/>
  <c r="T89" i="10"/>
  <c r="O87" i="10"/>
  <c r="T57" i="10"/>
  <c r="Q87" i="10"/>
  <c r="T93" i="10"/>
  <c r="J55" i="10"/>
  <c r="I55" i="10"/>
  <c r="J39" i="10"/>
  <c r="L87" i="10"/>
  <c r="H87" i="10"/>
  <c r="H39" i="10"/>
  <c r="J14" i="10"/>
  <c r="M89" i="10"/>
  <c r="I87" i="10"/>
  <c r="S83" i="10"/>
  <c r="T16" i="10"/>
  <c r="P83" i="10"/>
  <c r="I14" i="10"/>
  <c r="K39" i="10"/>
  <c r="T64" i="10"/>
  <c r="T41" i="10"/>
  <c r="T46" i="10"/>
  <c r="L14" i="10"/>
  <c r="I39" i="10"/>
  <c r="G34" i="10"/>
  <c r="K87" i="10"/>
  <c r="T51" i="10"/>
  <c r="J89" i="10"/>
  <c r="I83" i="10" l="1"/>
  <c r="M87" i="10"/>
  <c r="O83" i="10"/>
  <c r="R83" i="10"/>
  <c r="P79" i="10"/>
  <c r="T87" i="10"/>
  <c r="K83" i="10"/>
  <c r="T39" i="10"/>
  <c r="T14" i="10"/>
  <c r="S79" i="10"/>
  <c r="N87" i="10"/>
  <c r="H83" i="10"/>
  <c r="J87" i="10"/>
  <c r="L83" i="10"/>
  <c r="Q83" i="10"/>
  <c r="T55" i="10"/>
  <c r="L79" i="10" l="1"/>
  <c r="P34" i="10"/>
  <c r="M83" i="10"/>
  <c r="N83" i="10"/>
  <c r="O79" i="10"/>
  <c r="H79" i="10"/>
  <c r="K79" i="10"/>
  <c r="J83" i="10"/>
  <c r="S34" i="10"/>
  <c r="R79" i="10"/>
  <c r="T83" i="10"/>
  <c r="Q79" i="10"/>
  <c r="I79" i="10"/>
  <c r="I34" i="10" l="1"/>
  <c r="T79" i="10"/>
  <c r="J79" i="10"/>
  <c r="M79" i="10"/>
  <c r="H34" i="10"/>
  <c r="Q34" i="10"/>
  <c r="R34" i="10"/>
  <c r="L34" i="10"/>
  <c r="K34" i="10"/>
  <c r="O34" i="10"/>
  <c r="N79" i="10"/>
  <c r="N34" i="10" l="1"/>
  <c r="T34" i="10"/>
  <c r="J34" i="10"/>
  <c r="M34" i="10"/>
  <c r="S51" i="11" l="1"/>
  <c r="I49" i="11"/>
  <c r="S49" i="11" s="1"/>
  <c r="S48" i="11"/>
  <c r="S47" i="11"/>
  <c r="S46" i="11"/>
  <c r="S45" i="11"/>
  <c r="I44" i="11"/>
  <c r="S44" i="11" s="1"/>
  <c r="S43" i="11"/>
  <c r="S42" i="11"/>
  <c r="S41" i="11"/>
  <c r="R40" i="11"/>
  <c r="Q40" i="11"/>
  <c r="P40" i="11"/>
  <c r="O40" i="11"/>
  <c r="N40" i="11"/>
  <c r="M40" i="11"/>
  <c r="L40" i="11"/>
  <c r="K40" i="11"/>
  <c r="J40" i="11"/>
  <c r="H40" i="11"/>
  <c r="G40" i="11"/>
  <c r="F40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3" i="11"/>
  <c r="S22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S6" i="11" l="1"/>
  <c r="S40" i="11"/>
  <c r="I40" i="11"/>
</calcChain>
</file>

<file path=xl/sharedStrings.xml><?xml version="1.0" encoding="utf-8"?>
<sst xmlns="http://schemas.openxmlformats.org/spreadsheetml/2006/main" count="1304" uniqueCount="546">
  <si>
    <t>Summary table of national revenue, expenditure and borrowing for the month ended 31 October 2022</t>
  </si>
  <si>
    <t>2022/23</t>
  </si>
  <si>
    <t>2021/22</t>
  </si>
  <si>
    <t>Revised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</si>
  <si>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</si>
  <si>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</si>
  <si>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</si>
  <si>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</si>
  <si>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</si>
  <si>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</si>
  <si>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</si>
  <si>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</si>
  <si>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</si>
  <si>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</si>
  <si>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</si>
  <si>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</si>
  <si>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</si>
  <si>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R thousand</t>
  </si>
  <si>
    <t>Table</t>
  </si>
  <si>
    <t>estimate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</si>
  <si>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</si>
  <si>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</si>
  <si>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</si>
  <si>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</si>
  <si>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</si>
  <si>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</si>
  <si>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</si>
  <si>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</si>
  <si>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</si>
  <si>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</si>
  <si>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</si>
  <si>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</si>
  <si>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</si>
  <si>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MTBPS Adjustment 3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</si>
  <si>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</si>
  <si>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</si>
  <si>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</si>
  <si>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</si>
  <si>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</si>
  <si>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t>Change in cash and other balances1</t>
  </si>
  <si>
    <t>Total financing (net)</t>
  </si>
  <si>
    <t>1) A negative value indicates an increase in cash and other balances. A positive value indicates that cash is used to finance part of the borrowing requirement.</t>
  </si>
  <si>
    <t>2) Audited outcome except Debt-Service costs and National Treasury.</t>
  </si>
  <si>
    <t>3) Awaiting signature of the State President</t>
  </si>
  <si>
    <t>outcome</t>
  </si>
  <si>
    <t>1)</t>
  </si>
  <si>
    <t>2)</t>
  </si>
  <si>
    <t>3)</t>
  </si>
  <si>
    <t>Interest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</si>
  <si>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</si>
  <si>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</si>
  <si>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Revised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</si>
  <si>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</si>
  <si>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</si>
  <si>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</si>
  <si>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</si>
  <si>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</si>
  <si>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</si>
  <si>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</si>
  <si>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</si>
  <si>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</si>
  <si>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</si>
  <si>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</si>
  <si>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</si>
  <si>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</si>
  <si>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</si>
  <si>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</si>
  <si>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</si>
  <si>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</si>
  <si>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</si>
  <si>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</si>
  <si>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</si>
  <si>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</si>
  <si>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</si>
  <si>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</si>
  <si>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</si>
  <si>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</si>
  <si>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</si>
  <si>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</si>
  <si>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</si>
  <si>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</si>
  <si>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</si>
  <si>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</si>
  <si>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</si>
  <si>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</si>
  <si>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</si>
  <si>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</si>
  <si>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</si>
  <si>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</si>
  <si>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</si>
  <si>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</si>
  <si>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</si>
  <si>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</si>
  <si>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</si>
  <si>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</si>
  <si>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</si>
  <si>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</si>
  <si>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</si>
  <si>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</si>
  <si>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</si>
  <si>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</si>
  <si>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</si>
  <si>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</si>
  <si>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</si>
  <si>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</si>
  <si>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</si>
  <si>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</si>
  <si>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</si>
  <si>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</si>
  <si>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</si>
  <si>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</si>
  <si>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</si>
  <si>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</si>
  <si>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</si>
  <si>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</si>
  <si>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</si>
  <si>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</si>
  <si>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</si>
  <si>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</si>
  <si>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</si>
  <si>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MTBPS Adjustment</t>
  </si>
  <si>
    <t>Provisional allocations not assigned to votes</t>
  </si>
  <si>
    <t>Infrastructure Fund not assigned to votes</t>
  </si>
  <si>
    <t>Contingency reserve</t>
  </si>
  <si>
    <t>National government projected underspending</t>
  </si>
  <si>
    <t>Local government repayment to the National Revenue Fund</t>
  </si>
  <si>
    <t>Main budget expenditure</t>
  </si>
  <si>
    <t>1) Reflects monthly requested funds.</t>
  </si>
  <si>
    <t>2) NRF payments (previously classified as extra ordinary payments), for more details see Table 5.</t>
  </si>
  <si>
    <t>3) Awaiting signature of the State President.</t>
  </si>
  <si>
    <t>*) Any negative amounts reflected against the votes indicate the reallocation of spending to the correct economic classification.</t>
  </si>
  <si>
    <t>Other payments</t>
  </si>
  <si>
    <t>Denel (Public Enterprises)</t>
  </si>
  <si>
    <t>Table 3  Summary table of borrowing</t>
  </si>
  <si>
    <t>Preliminary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</si>
  <si>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</si>
  <si>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</si>
  <si>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</si>
  <si>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</si>
  <si>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</si>
  <si>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</si>
  <si>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</si>
  <si>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</si>
  <si>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</si>
  <si>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</si>
  <si>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</si>
  <si>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</si>
  <si>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</si>
  <si>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</si>
  <si>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</si>
  <si>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</si>
  <si>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</si>
  <si>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</si>
  <si>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</si>
  <si>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</si>
  <si>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</si>
  <si>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</si>
  <si>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</si>
  <si>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</si>
  <si>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</si>
  <si>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</si>
  <si>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</si>
  <si>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</si>
  <si>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</si>
  <si>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</si>
  <si>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</si>
  <si>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</si>
  <si>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</si>
  <si>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</si>
  <si>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</si>
  <si>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</si>
  <si>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</si>
  <si>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</si>
  <si>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</si>
  <si>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</si>
  <si>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</si>
  <si>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</si>
  <si>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</si>
  <si>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</si>
  <si>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</si>
  <si>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</si>
  <si>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</si>
  <si>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</si>
  <si>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</si>
  <si>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</si>
  <si>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</si>
  <si>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</si>
  <si>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</si>
  <si>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</si>
  <si>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</si>
  <si>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</si>
  <si>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</si>
  <si>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</si>
  <si>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</si>
  <si>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</si>
  <si>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</si>
  <si>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</si>
  <si>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</si>
  <si>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</si>
  <si>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</si>
  <si>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</si>
  <si>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</si>
  <si>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</si>
  <si>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</si>
  <si>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</si>
  <si>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</si>
  <si>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</si>
  <si>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</si>
  <si>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</si>
  <si>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</si>
  <si>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</si>
  <si>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RN2027 (6.367% (floating) due 2027/07/11)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</si>
  <si>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</si>
  <si>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</si>
  <si>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</si>
  <si>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</si>
  <si>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</si>
  <si>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</si>
  <si>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</si>
  <si>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</si>
  <si>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</si>
  <si>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</si>
  <si>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</si>
  <si>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</si>
  <si>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</si>
  <si>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</si>
  <si>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</si>
  <si>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</si>
  <si>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</si>
  <si>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</si>
  <si>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</si>
  <si>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</si>
  <si>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</si>
  <si>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</si>
  <si>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</si>
  <si>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</si>
  <si>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</si>
  <si>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</si>
  <si>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</si>
  <si>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</si>
  <si>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</si>
  <si>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</si>
  <si>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</si>
  <si>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</si>
  <si>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</si>
  <si>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</si>
  <si>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</si>
  <si>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</si>
  <si>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</si>
  <si>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</si>
  <si>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</si>
  <si>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</si>
  <si>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</si>
  <si>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</si>
  <si>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</si>
  <si>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</si>
  <si>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</si>
  <si>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</si>
  <si>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</si>
  <si>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</si>
  <si>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</si>
  <si>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</si>
  <si>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</si>
  <si>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</si>
  <si>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</si>
  <si>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</si>
  <si>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</si>
  <si>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</si>
  <si>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</si>
  <si>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</si>
  <si>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</si>
  <si>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</si>
  <si>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</si>
  <si>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</si>
  <si>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TY2/114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</si>
  <si>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</si>
  <si>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</si>
  <si>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</si>
  <si>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</si>
  <si>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</si>
  <si>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</si>
  <si>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</si>
  <si>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</si>
  <si>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Scheduled redemptions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</si>
  <si>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</si>
  <si>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</si>
  <si>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</si>
  <si>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</si>
  <si>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</si>
  <si>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</si>
  <si>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</si>
  <si>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</si>
  <si>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</si>
  <si>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</si>
  <si>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</si>
  <si>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</si>
  <si>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</si>
  <si>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</si>
  <si>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</si>
  <si>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</si>
  <si>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</si>
  <si>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</si>
  <si>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</si>
  <si>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</si>
  <si>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</si>
  <si>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</si>
  <si>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</si>
  <si>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</si>
  <si>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</si>
  <si>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</si>
  <si>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</si>
  <si>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</si>
  <si>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</si>
  <si>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MTBPS Adjustment 6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</si>
  <si>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</si>
  <si>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</si>
  <si>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</si>
  <si>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</si>
  <si>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</si>
  <si>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</si>
  <si>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</si>
  <si>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</si>
  <si>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</si>
  <si>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</si>
  <si>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</si>
  <si>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</si>
  <si>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</si>
  <si>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</si>
  <si>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</si>
  <si>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</si>
  <si>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</si>
  <si>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</si>
  <si>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</si>
  <si>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</si>
  <si>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 xml:space="preserve">  4)</t>
  </si>
  <si>
    <t>Opening balance</t>
  </si>
  <si>
    <t xml:space="preserve">   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</si>
  <si>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</si>
  <si>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</si>
  <si>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</si>
  <si>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</si>
  <si>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</si>
  <si>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</si>
  <si>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</si>
  <si>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</si>
  <si>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5) Audited outcome except Debt-service costs and National Treasury.</t>
  </si>
  <si>
    <t>6) Awaiting State President signature.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</si>
  <si>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</si>
  <si>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</si>
  <si>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</si>
  <si>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</si>
  <si>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</si>
  <si>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</si>
  <si>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</si>
  <si>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</si>
  <si>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</si>
  <si>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</si>
  <si>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</si>
  <si>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</si>
  <si>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</si>
  <si>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</si>
  <si>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</si>
  <si>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</si>
  <si>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</si>
  <si>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</si>
  <si>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</si>
  <si>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</si>
  <si>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</si>
  <si>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</si>
  <si>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</si>
  <si>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</si>
  <si>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</si>
  <si>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</si>
  <si>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</si>
  <si>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</si>
  <si>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</si>
  <si>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</si>
  <si>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</si>
  <si>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</si>
  <si>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</si>
  <si>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</si>
  <si>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</si>
  <si>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</si>
  <si>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</si>
  <si>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</si>
  <si>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</si>
  <si>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</si>
  <si>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</si>
  <si>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</si>
  <si>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</si>
  <si>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</si>
  <si>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</si>
  <si>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</si>
  <si>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</si>
  <si>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</si>
  <si>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</si>
  <si>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</si>
  <si>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</si>
  <si>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</si>
  <si>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t>Table 1 Revenue*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</si>
  <si>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</si>
  <si>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</si>
  <si>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</si>
  <si>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</si>
  <si>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</si>
  <si>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</si>
  <si>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</si>
  <si>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</si>
  <si>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</si>
  <si>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</si>
  <si>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</si>
  <si>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</si>
  <si>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</si>
  <si>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</si>
  <si>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</si>
  <si>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</si>
  <si>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</si>
  <si>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</si>
  <si>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</si>
  <si>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</si>
  <si>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</si>
  <si>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</si>
  <si>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</si>
  <si>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</si>
  <si>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</si>
  <si>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</si>
  <si>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</si>
  <si>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</si>
  <si>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</si>
  <si>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</si>
  <si>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</si>
  <si>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</si>
  <si>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</si>
  <si>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</si>
  <si>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</si>
  <si>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</si>
  <si>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</si>
  <si>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</si>
  <si>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Pipe tobacco and cigars</t>
  </si>
  <si>
    <t>Petroleum products</t>
  </si>
  <si>
    <t>Revenue from neighbouring countries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</si>
  <si>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</si>
  <si>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</si>
  <si>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</si>
  <si>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</si>
  <si>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</si>
  <si>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</si>
  <si>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</si>
  <si>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</si>
  <si>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</si>
  <si>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</si>
  <si>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</si>
  <si>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</si>
  <si>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</si>
  <si>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</si>
  <si>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</si>
  <si>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</si>
  <si>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</si>
  <si>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</si>
  <si>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</si>
  <si>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</si>
  <si>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</si>
  <si>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</si>
  <si>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</si>
  <si>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</si>
  <si>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</si>
  <si>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</si>
  <si>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</si>
  <si>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</si>
  <si>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</si>
  <si>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</si>
  <si>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</si>
  <si>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</si>
  <si>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</si>
  <si>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</si>
  <si>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</si>
  <si>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</si>
  <si>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</si>
  <si>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</si>
  <si>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</si>
  <si>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</si>
  <si>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</si>
  <si>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</si>
  <si>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</si>
  <si>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</si>
  <si>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</si>
  <si>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</si>
  <si>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</si>
  <si>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</si>
  <si>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</si>
  <si>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</si>
  <si>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</si>
  <si>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</si>
  <si>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</si>
  <si>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</si>
  <si>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</si>
  <si>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</si>
  <si>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</si>
  <si>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</si>
  <si>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</si>
  <si>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</si>
  <si>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</si>
  <si>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</si>
  <si>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</si>
  <si>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</si>
  <si>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</si>
  <si>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</si>
  <si>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</si>
  <si>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</si>
  <si>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</si>
  <si>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</si>
  <si>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</si>
  <si>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</si>
  <si>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</si>
  <si>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</si>
  <si>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</si>
  <si>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</si>
  <si>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Bidvest</t>
  </si>
  <si>
    <t xml:space="preserve">  FSCA</t>
  </si>
  <si>
    <t xml:space="preserve">  SARB Fedgro Sanctions</t>
  </si>
  <si>
    <t xml:space="preserve">  Secret Service Account</t>
  </si>
  <si>
    <t xml:space="preserve">  SARB Sanlam Life</t>
  </si>
  <si>
    <t xml:space="preserve">  Proceeds of organised Crime Act</t>
  </si>
  <si>
    <t xml:space="preserve">  DTI Various Entities</t>
  </si>
  <si>
    <t xml:space="preserve">  Competition Commission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</si>
  <si>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</si>
  <si>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</si>
  <si>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</si>
  <si>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</si>
  <si>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</si>
  <si>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</si>
  <si>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</si>
  <si>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</si>
  <si>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</si>
  <si>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</si>
  <si>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</si>
  <si>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</si>
  <si>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</si>
  <si>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</si>
  <si>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</si>
  <si>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</si>
  <si>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</si>
  <si>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</si>
  <si>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</si>
  <si>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Payments in terms of section 16(1) of the PFMA</t>
  </si>
  <si>
    <r>
      <t>Table 5 Additional information on National Revenue Fund receipts and payments</t>
    </r>
    <r>
      <rPr>
        <vertAlign val="superscript"/>
        <sz val="12"/>
        <rFont val="Arial Narrow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</si>
</sst>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&quot;R&quot;\ * #,##0.00_ ;_ &quot;R&quot;\ * \-#,##0.00_ ;_ &quot;R&quot;\ * &quot;-&quot;??_ ;_ @_ "/>
    <numFmt numFmtId="168" formatCode="_ * #,##0.00_ ;_ * \-#,##0.00_ ;_ * &quot;-&quot;??_ ;_ @_ "/>
    <numFmt numFmtId="169" formatCode="&quot;$&quot;#,##0_);\(&quot;$&quot;#,##0\)"/>
    <numFmt numFmtId="170" formatCode="_(&quot;$&quot;* #,##0.00_);_(&quot;$&quot;* \(#,##0.00\);_(&quot;$&quot;* &quot;-&quot;??_);_(@_)"/>
    <numFmt numFmtId="171" formatCode="_ * #,##0_ ;_ * \-#,##0_ ;_ * &quot;-&quot;??_ ;_ @_ "/>
    <numFmt numFmtId="172" formatCode="0.00000000"/>
    <numFmt numFmtId="173" formatCode="0.00000"/>
    <numFmt numFmtId="174" formatCode="0.000000"/>
    <numFmt numFmtId="175" formatCode="0.0000000"/>
    <numFmt numFmtId="176" formatCode="dd\-mmm\-yy_)"/>
    <numFmt numFmtId="177" formatCode="General_)"/>
    <numFmt numFmtId="178" formatCode="0.0%;\(0.0%\)"/>
    <numFmt numFmtId="179" formatCode="&quot;$&quot;#,##0.0"/>
    <numFmt numFmtId="180" formatCode="&quot;$&quot;#,##0,;\(&quot;$&quot;#,##0,\)"/>
    <numFmt numFmtId="181" formatCode="d/m/yy"/>
    <numFmt numFmtId="182" formatCode="d/m/yy\ h:mm"/>
    <numFmt numFmtId="183" formatCode="_-&quot;£&quot;* #,##0_-;\-&quot;£&quot;* #,##0_-;_-&quot;£&quot;* &quot;-&quot;_-;_-@_-"/>
    <numFmt numFmtId="184" formatCode="_-&quot;£&quot;* #,##0.00_-;\-&quot;£&quot;* #,##0.00_-;_-&quot;£&quot;* &quot;-&quot;??_-;_-@_-"/>
    <numFmt numFmtId="185" formatCode="_ * #,##0.00_)\ _R_ ;_ * \(#,##0.00\)\ _R_ ;_ * &quot;-&quot;??_)\ _R_ ;_ @_ "/>
    <numFmt numFmtId="186" formatCode="#,##0;\-#,##0;&quot;-&quot;"/>
    <numFmt numFmtId="187" formatCode="#,##0.00;\-#,##0.00;&quot;-&quot;"/>
    <numFmt numFmtId="188" formatCode="#,##0%;\-#,##0%;&quot;- &quot;"/>
    <numFmt numFmtId="189" formatCode="#,##0.0%;\-#,##0.0%;&quot;- &quot;"/>
    <numFmt numFmtId="190" formatCode="#,##0.00%;\-#,##0.00%;&quot;- &quot;"/>
    <numFmt numFmtId="191" formatCode="#,##0.0;\-#,##0.0;&quot;-&quot;"/>
    <numFmt numFmtId="192" formatCode="[Red]0%;[Red]\(0%\)"/>
    <numFmt numFmtId="193" formatCode="0%;\(0%\)"/>
    <numFmt numFmtId="194" formatCode="\ \ @"/>
    <numFmt numFmtId="195" formatCode="\ \ \ \ @"/>
    <numFmt numFmtId="196" formatCode="_(* #,##0.0_);_(* \(#,##0.0\);_(* &quot;-&quot;??_);_(@_)"/>
    <numFmt numFmtId="197" formatCode="_-* #,##0.0_-;\-* #,##0.0_-;_-* &quot;-&quot;??_-;_-@_-"/>
    <numFmt numFmtId="198" formatCode=";;;"/>
    <numFmt numFmtId="199" formatCode="_(* #,##0.000000000000000000000000000_);_(* \(#,##0.000000000000000000000000000\);_(* &quot;-&quot;??_);_(@_)"/>
    <numFmt numFmtId="200" formatCode="_(* #,##0.000000000000000000_);_(* \(#,##0.000000000000000000\);_(* &quot;-&quot;??_);_(@_)"/>
    <numFmt numFmtId="201" formatCode="_(* #,##0.0000000_);_(* \(#,##0.0000000\);_(* &quot;-&quot;??_);_(@_)"/>
    <numFmt numFmtId="202" formatCode="_(* #,##0.00000_);_(* \(#,##0.00000\);_(* &quot;-&quot;??_);_(@_)"/>
    <numFmt numFmtId="203" formatCode="_(* #,##0.0000000000000000000000000000_);_(* \(#,##0.0000000000000000000000000000\);_(* &quot;-&quot;??_);_(@_)"/>
    <numFmt numFmtId="204" formatCode="_(* #,##0.000000000000000000000000000000000_);_(* \(#,##0.000000000000000000000000000000000\);_(* &quot;-&quot;??_);_(@_)"/>
    <numFmt numFmtId="205" formatCode="_(* #,##0.0000000000000000000000000000000000_);_(* \(#,##0.0000000000000000000000000000000000\);_(* &quot;-&quot;??_);_(@_)"/>
    <numFmt numFmtId="206" formatCode="_-* #,##0_-;\-* #,##0_-;_-* &quot;-&quot;??_-;_-@_-"/>
    <numFmt numFmtId="207" formatCode="_(* #,##0.000_);_(* \(#,##0.000\);_(* &quot;-&quot;??_);_(@_)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i/>
      <sz val="9"/>
      <name val="Arial Narrow"/>
      <family val="2"/>
    </font>
    <font>
      <sz val="8"/>
      <color rgb="FFFF0000"/>
      <name val="Arial Narrow"/>
      <family val="2"/>
    </font>
    <font>
      <i/>
      <sz val="9"/>
      <color rgb="FFFF0000"/>
      <name val="Arial Narrow"/>
      <family val="2"/>
    </font>
    <font>
      <b/>
      <sz val="8"/>
      <color rgb="FFFF0000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 Narrow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sz val="10"/>
      <name val="Courier"/>
      <family val="3"/>
    </font>
    <font>
      <sz val="10"/>
      <color indexed="10"/>
      <name val="Arial Narrow"/>
      <family val="2"/>
    </font>
    <font>
      <u/>
      <sz val="10"/>
      <color indexed="12"/>
      <name val="Arial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0"/>
      <color indexed="17"/>
      <name val="Arial Narrow"/>
      <family val="2"/>
    </font>
    <font>
      <b/>
      <sz val="11"/>
      <color indexed="62"/>
      <name val="Arial Narrow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b/>
      <sz val="10"/>
      <color indexed="63"/>
      <name val="Arial Narrow"/>
      <family val="2"/>
    </font>
    <font>
      <b/>
      <sz val="18"/>
      <color indexed="62"/>
      <name val="Cambria"/>
      <family val="2"/>
    </font>
    <font>
      <sz val="11"/>
      <name val="Arial"/>
      <family val="2"/>
    </font>
    <font>
      <b/>
      <sz val="14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b/>
      <u/>
      <sz val="10"/>
      <color indexed="8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10"/>
      <color rgb="FFFF0000"/>
      <name val="Arial Narrow"/>
      <family val="2"/>
    </font>
    <font>
      <b/>
      <i/>
      <sz val="10"/>
      <color indexed="8"/>
      <name val="Arial Narrow"/>
      <family val="2"/>
    </font>
    <font>
      <u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vertAlign val="superscript"/>
      <sz val="12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theme="0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34235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17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41" fillId="2" borderId="0" applyNumberFormat="0" applyBorder="0" applyAlignment="0" applyProtection="0"/>
    <xf numFmtId="0" fontId="41" fillId="7" borderId="0" applyNumberFormat="0" applyBorder="0" applyAlignment="0" applyProtection="0"/>
    <xf numFmtId="0" fontId="41" fillId="9" borderId="0" applyNumberFormat="0" applyBorder="0" applyAlignment="0" applyProtection="0"/>
    <xf numFmtId="0" fontId="41" fillId="11" borderId="0" applyNumberFormat="0" applyBorder="0" applyAlignment="0" applyProtection="0"/>
    <xf numFmtId="0" fontId="41" fillId="2" borderId="0" applyNumberFormat="0" applyBorder="0" applyAlignment="0" applyProtection="0"/>
    <xf numFmtId="0" fontId="41" fillId="4" borderId="0" applyNumberFormat="0" applyBorder="0" applyAlignment="0" applyProtection="0"/>
    <xf numFmtId="0" fontId="41" fillId="12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2" borderId="0" applyNumberFormat="0" applyBorder="0" applyAlignment="0" applyProtection="0"/>
    <xf numFmtId="0" fontId="41" fillId="17" borderId="0" applyNumberFormat="0" applyBorder="0" applyAlignment="0" applyProtection="0"/>
    <xf numFmtId="0" fontId="42" fillId="3" borderId="0" applyNumberFormat="0" applyBorder="0" applyAlignment="0" applyProtection="0"/>
    <xf numFmtId="176" fontId="5" fillId="0" borderId="0" applyFill="0" applyBorder="0" applyAlignment="0"/>
    <xf numFmtId="186" fontId="25" fillId="0" borderId="0" applyFill="0" applyBorder="0" applyAlignment="0"/>
    <xf numFmtId="177" fontId="5" fillId="0" borderId="0" applyFill="0" applyBorder="0" applyAlignment="0"/>
    <xf numFmtId="187" fontId="25" fillId="0" borderId="0" applyFill="0" applyBorder="0" applyAlignment="0"/>
    <xf numFmtId="178" fontId="5" fillId="0" borderId="0" applyFill="0" applyBorder="0" applyAlignment="0"/>
    <xf numFmtId="188" fontId="25" fillId="0" borderId="0" applyFill="0" applyBorder="0" applyAlignment="0"/>
    <xf numFmtId="179" fontId="5" fillId="0" borderId="0" applyFill="0" applyBorder="0" applyAlignment="0"/>
    <xf numFmtId="189" fontId="25" fillId="0" borderId="0" applyFill="0" applyBorder="0" applyAlignment="0"/>
    <xf numFmtId="174" fontId="5" fillId="0" borderId="0" applyFill="0" applyBorder="0" applyAlignment="0"/>
    <xf numFmtId="190" fontId="25" fillId="0" borderId="0" applyFill="0" applyBorder="0" applyAlignment="0"/>
    <xf numFmtId="176" fontId="5" fillId="0" borderId="0" applyFill="0" applyBorder="0" applyAlignment="0"/>
    <xf numFmtId="186" fontId="25" fillId="0" borderId="0" applyFill="0" applyBorder="0" applyAlignment="0"/>
    <xf numFmtId="173" fontId="5" fillId="0" borderId="0" applyFill="0" applyBorder="0" applyAlignment="0"/>
    <xf numFmtId="191" fontId="25" fillId="0" borderId="0" applyFill="0" applyBorder="0" applyAlignment="0"/>
    <xf numFmtId="177" fontId="5" fillId="0" borderId="0" applyFill="0" applyBorder="0" applyAlignment="0"/>
    <xf numFmtId="187" fontId="25" fillId="0" borderId="0" applyFill="0" applyBorder="0" applyAlignment="0"/>
    <xf numFmtId="0" fontId="43" fillId="18" borderId="31" applyNumberFormat="0" applyAlignment="0" applyProtection="0"/>
    <xf numFmtId="0" fontId="44" fillId="19" borderId="32" applyNumberFormat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9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4" fontId="25" fillId="0" borderId="0" applyFill="0" applyBorder="0" applyAlignment="0"/>
    <xf numFmtId="0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ill="0" applyBorder="0" applyAlignment="0"/>
    <xf numFmtId="186" fontId="45" fillId="0" borderId="0" applyFill="0" applyBorder="0" applyAlignment="0"/>
    <xf numFmtId="177" fontId="5" fillId="0" borderId="0" applyFill="0" applyBorder="0" applyAlignment="0"/>
    <xf numFmtId="187" fontId="45" fillId="0" borderId="0" applyFill="0" applyBorder="0" applyAlignment="0"/>
    <xf numFmtId="176" fontId="5" fillId="0" borderId="0" applyFill="0" applyBorder="0" applyAlignment="0"/>
    <xf numFmtId="186" fontId="45" fillId="0" borderId="0" applyFill="0" applyBorder="0" applyAlignment="0"/>
    <xf numFmtId="173" fontId="5" fillId="0" borderId="0" applyFill="0" applyBorder="0" applyAlignment="0"/>
    <xf numFmtId="191" fontId="45" fillId="0" borderId="0" applyFill="0" applyBorder="0" applyAlignment="0"/>
    <xf numFmtId="177" fontId="5" fillId="0" borderId="0" applyFill="0" applyBorder="0" applyAlignment="0"/>
    <xf numFmtId="187" fontId="45" fillId="0" borderId="0" applyFill="0" applyBorder="0" applyAlignment="0"/>
    <xf numFmtId="0" fontId="46" fillId="0" borderId="0" applyNumberFormat="0" applyFill="0" applyBorder="0" applyAlignment="0" applyProtection="0"/>
    <xf numFmtId="0" fontId="31" fillId="0" borderId="0" applyProtection="0"/>
    <xf numFmtId="0" fontId="20" fillId="0" borderId="0" applyProtection="0"/>
    <xf numFmtId="0" fontId="32" fillId="0" borderId="0" applyProtection="0"/>
    <xf numFmtId="0" fontId="33" fillId="0" borderId="0" applyProtection="0"/>
    <xf numFmtId="0" fontId="34" fillId="0" borderId="0" applyProtection="0"/>
    <xf numFmtId="0" fontId="35" fillId="0" borderId="0" applyProtection="0"/>
    <xf numFmtId="0" fontId="36" fillId="0" borderId="0" applyProtection="0"/>
    <xf numFmtId="2" fontId="5" fillId="0" borderId="0" applyFont="0" applyFill="0" applyBorder="0" applyAlignment="0" applyProtection="0"/>
    <xf numFmtId="0" fontId="47" fillId="5" borderId="0" applyNumberFormat="0" applyBorder="0" applyAlignment="0" applyProtection="0"/>
    <xf numFmtId="38" fontId="20" fillId="20" borderId="0" applyNumberFormat="0" applyBorder="0" applyAlignment="0" applyProtection="0"/>
    <xf numFmtId="38" fontId="20" fillId="20" borderId="0" applyNumberFormat="0" applyBorder="0" applyAlignment="0" applyProtection="0"/>
    <xf numFmtId="38" fontId="20" fillId="20" borderId="0" applyNumberFormat="0" applyBorder="0" applyAlignment="0" applyProtection="0"/>
    <xf numFmtId="0" fontId="21" fillId="0" borderId="33" applyNumberFormat="0" applyAlignment="0" applyProtection="0">
      <alignment horizontal="left" vertical="center"/>
    </xf>
    <xf numFmtId="0" fontId="21" fillId="0" borderId="34">
      <alignment horizontal="left" vertical="center"/>
    </xf>
    <xf numFmtId="0" fontId="37" fillId="0" borderId="0" applyNumberFormat="0" applyFill="0" applyBorder="0" applyAlignment="0" applyProtection="0"/>
    <xf numFmtId="0" fontId="37" fillId="0" borderId="0" applyNumberFormat="0" applyFon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ont="0" applyFill="0" applyAlignment="0" applyProtection="0"/>
    <xf numFmtId="0" fontId="48" fillId="0" borderId="35" applyNumberFormat="0" applyFill="0" applyAlignment="0" applyProtection="0"/>
    <xf numFmtId="0" fontId="48" fillId="0" borderId="0" applyNumberFormat="0" applyFill="0" applyBorder="0" applyAlignment="0" applyProtection="0"/>
    <xf numFmtId="0" fontId="37" fillId="21" borderId="0" applyNumberFormat="0" applyFill="0" applyBorder="0" applyAlignment="0" applyProtection="0"/>
    <xf numFmtId="0" fontId="21" fillId="21" borderId="0" applyNumberFormat="0" applyFill="0" applyBorder="0" applyAlignment="0" applyProtection="0"/>
    <xf numFmtId="0" fontId="21" fillId="21" borderId="0" applyNumberFormat="0" applyFill="0" applyBorder="0" applyAlignment="0" applyProtection="0"/>
    <xf numFmtId="0" fontId="21" fillId="21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10" fontId="20" fillId="22" borderId="36" applyNumberFormat="0" applyBorder="0" applyAlignment="0" applyProtection="0"/>
    <xf numFmtId="10" fontId="20" fillId="22" borderId="36" applyNumberFormat="0" applyBorder="0" applyAlignment="0" applyProtection="0"/>
    <xf numFmtId="10" fontId="20" fillId="22" borderId="36" applyNumberFormat="0" applyBorder="0" applyAlignment="0" applyProtection="0"/>
    <xf numFmtId="0" fontId="49" fillId="4" borderId="31" applyNumberFormat="0" applyAlignment="0" applyProtection="0"/>
    <xf numFmtId="0" fontId="49" fillId="4" borderId="31" applyNumberFormat="0" applyAlignment="0" applyProtection="0"/>
    <xf numFmtId="0" fontId="49" fillId="4" borderId="31" applyNumberFormat="0" applyAlignment="0" applyProtection="0"/>
    <xf numFmtId="176" fontId="5" fillId="0" borderId="0" applyFill="0" applyBorder="0" applyAlignment="0"/>
    <xf numFmtId="186" fontId="50" fillId="0" borderId="0" applyFill="0" applyBorder="0" applyAlignment="0"/>
    <xf numFmtId="177" fontId="5" fillId="0" borderId="0" applyFill="0" applyBorder="0" applyAlignment="0"/>
    <xf numFmtId="187" fontId="50" fillId="0" borderId="0" applyFill="0" applyBorder="0" applyAlignment="0"/>
    <xf numFmtId="176" fontId="5" fillId="0" borderId="0" applyFill="0" applyBorder="0" applyAlignment="0"/>
    <xf numFmtId="186" fontId="50" fillId="0" borderId="0" applyFill="0" applyBorder="0" applyAlignment="0"/>
    <xf numFmtId="173" fontId="5" fillId="0" borderId="0" applyFill="0" applyBorder="0" applyAlignment="0"/>
    <xf numFmtId="191" fontId="50" fillId="0" borderId="0" applyFill="0" applyBorder="0" applyAlignment="0"/>
    <xf numFmtId="177" fontId="5" fillId="0" borderId="0" applyFill="0" applyBorder="0" applyAlignment="0"/>
    <xf numFmtId="187" fontId="50" fillId="0" borderId="0" applyFill="0" applyBorder="0" applyAlignment="0"/>
    <xf numFmtId="0" fontId="51" fillId="0" borderId="37" applyNumberFormat="0" applyFill="0" applyAlignment="0" applyProtection="0"/>
    <xf numFmtId="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2" fillId="9" borderId="0" applyNumberFormat="0" applyBorder="0" applyAlignment="0" applyProtection="0"/>
    <xf numFmtId="181" fontId="5" fillId="0" borderId="0"/>
    <xf numFmtId="192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8" fillId="0" borderId="0" applyFont="0"/>
    <xf numFmtId="0" fontId="8" fillId="0" borderId="0" applyFont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5" fillId="6" borderId="38" applyNumberFormat="0" applyFont="0" applyAlignment="0" applyProtection="0"/>
    <xf numFmtId="0" fontId="53" fillId="18" borderId="39" applyNumberFormat="0" applyAlignment="0" applyProtection="0"/>
    <xf numFmtId="17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5" fillId="0" borderId="0" applyFill="0" applyBorder="0" applyAlignment="0"/>
    <xf numFmtId="186" fontId="23" fillId="0" borderId="0" applyFill="0" applyBorder="0" applyAlignment="0"/>
    <xf numFmtId="177" fontId="5" fillId="0" borderId="0" applyFill="0" applyBorder="0" applyAlignment="0"/>
    <xf numFmtId="187" fontId="23" fillId="0" borderId="0" applyFill="0" applyBorder="0" applyAlignment="0"/>
    <xf numFmtId="176" fontId="5" fillId="0" borderId="0" applyFill="0" applyBorder="0" applyAlignment="0"/>
    <xf numFmtId="186" fontId="23" fillId="0" borderId="0" applyFill="0" applyBorder="0" applyAlignment="0"/>
    <xf numFmtId="173" fontId="5" fillId="0" borderId="0" applyFill="0" applyBorder="0" applyAlignment="0"/>
    <xf numFmtId="191" fontId="23" fillId="0" borderId="0" applyFill="0" applyBorder="0" applyAlignment="0"/>
    <xf numFmtId="177" fontId="5" fillId="0" borderId="0" applyFill="0" applyBorder="0" applyAlignment="0"/>
    <xf numFmtId="187" fontId="23" fillId="0" borderId="0" applyFill="0" applyBorder="0" applyAlignment="0"/>
    <xf numFmtId="4" fontId="27" fillId="9" borderId="40" applyNumberFormat="0" applyProtection="0">
      <alignment vertical="center"/>
    </xf>
    <xf numFmtId="4" fontId="28" fillId="23" borderId="40" applyNumberFormat="0" applyProtection="0">
      <alignment vertical="center"/>
    </xf>
    <xf numFmtId="4" fontId="27" fillId="23" borderId="40" applyNumberFormat="0" applyProtection="0">
      <alignment horizontal="left" vertical="center" indent="1"/>
    </xf>
    <xf numFmtId="0" fontId="27" fillId="23" borderId="40" applyNumberFormat="0" applyProtection="0">
      <alignment horizontal="left" vertical="top" indent="1"/>
    </xf>
    <xf numFmtId="4" fontId="27" fillId="24" borderId="0" applyNumberFormat="0" applyProtection="0">
      <alignment horizontal="left" vertical="center" indent="1"/>
    </xf>
    <xf numFmtId="4" fontId="25" fillId="3" borderId="40" applyNumberFormat="0" applyProtection="0">
      <alignment horizontal="right" vertical="center"/>
    </xf>
    <xf numFmtId="4" fontId="25" fillId="7" borderId="40" applyNumberFormat="0" applyProtection="0">
      <alignment horizontal="right" vertical="center"/>
    </xf>
    <xf numFmtId="4" fontId="25" fillId="14" borderId="40" applyNumberFormat="0" applyProtection="0">
      <alignment horizontal="right" vertical="center"/>
    </xf>
    <xf numFmtId="4" fontId="25" fillId="10" borderId="40" applyNumberFormat="0" applyProtection="0">
      <alignment horizontal="right" vertical="center"/>
    </xf>
    <xf numFmtId="4" fontId="25" fillId="13" borderId="40" applyNumberFormat="0" applyProtection="0">
      <alignment horizontal="right" vertical="center"/>
    </xf>
    <xf numFmtId="4" fontId="25" fillId="17" borderId="40" applyNumberFormat="0" applyProtection="0">
      <alignment horizontal="right" vertical="center"/>
    </xf>
    <xf numFmtId="4" fontId="25" fillId="15" borderId="40" applyNumberFormat="0" applyProtection="0">
      <alignment horizontal="right" vertical="center"/>
    </xf>
    <xf numFmtId="4" fontId="25" fillId="25" borderId="40" applyNumberFormat="0" applyProtection="0">
      <alignment horizontal="right" vertical="center"/>
    </xf>
    <xf numFmtId="4" fontId="25" fillId="8" borderId="40" applyNumberFormat="0" applyProtection="0">
      <alignment horizontal="right" vertical="center"/>
    </xf>
    <xf numFmtId="4" fontId="27" fillId="26" borderId="41" applyNumberFormat="0" applyProtection="0">
      <alignment horizontal="left" vertical="center" indent="1"/>
    </xf>
    <xf numFmtId="4" fontId="25" fillId="27" borderId="0" applyNumberFormat="0" applyProtection="0">
      <alignment horizontal="left" vertical="center" indent="1"/>
    </xf>
    <xf numFmtId="4" fontId="29" fillId="28" borderId="0" applyNumberFormat="0" applyProtection="0">
      <alignment horizontal="left" vertical="center" indent="1"/>
    </xf>
    <xf numFmtId="4" fontId="25" fillId="29" borderId="40" applyNumberFormat="0" applyProtection="0">
      <alignment horizontal="right" vertical="center"/>
    </xf>
    <xf numFmtId="4" fontId="25" fillId="27" borderId="0" applyNumberFormat="0" applyProtection="0">
      <alignment horizontal="left" vertical="center" indent="1"/>
    </xf>
    <xf numFmtId="4" fontId="25" fillId="24" borderId="0" applyNumberFormat="0" applyProtection="0">
      <alignment horizontal="left" vertical="center" indent="1"/>
    </xf>
    <xf numFmtId="0" fontId="5" fillId="28" borderId="40" applyNumberFormat="0" applyProtection="0">
      <alignment horizontal="left" vertical="center" indent="1"/>
    </xf>
    <xf numFmtId="0" fontId="5" fillId="28" borderId="40" applyNumberFormat="0" applyProtection="0">
      <alignment horizontal="left" vertical="center" indent="1"/>
    </xf>
    <xf numFmtId="0" fontId="5" fillId="28" borderId="40" applyNumberFormat="0" applyProtection="0">
      <alignment horizontal="left" vertical="top" indent="1"/>
    </xf>
    <xf numFmtId="0" fontId="5" fillId="28" borderId="40" applyNumberFormat="0" applyProtection="0">
      <alignment horizontal="left" vertical="top" indent="1"/>
    </xf>
    <xf numFmtId="0" fontId="5" fillId="24" borderId="40" applyNumberFormat="0" applyProtection="0">
      <alignment horizontal="left" vertical="center" indent="1"/>
    </xf>
    <xf numFmtId="0" fontId="5" fillId="24" borderId="40" applyNumberFormat="0" applyProtection="0">
      <alignment horizontal="left" vertical="center" indent="1"/>
    </xf>
    <xf numFmtId="0" fontId="5" fillId="24" borderId="40" applyNumberFormat="0" applyProtection="0">
      <alignment horizontal="left" vertical="top" indent="1"/>
    </xf>
    <xf numFmtId="0" fontId="5" fillId="24" borderId="40" applyNumberFormat="0" applyProtection="0">
      <alignment horizontal="left" vertical="top" indent="1"/>
    </xf>
    <xf numFmtId="0" fontId="5" fillId="30" borderId="40" applyNumberFormat="0" applyProtection="0">
      <alignment horizontal="left" vertical="center" indent="1"/>
    </xf>
    <xf numFmtId="0" fontId="5" fillId="30" borderId="40" applyNumberFormat="0" applyProtection="0">
      <alignment horizontal="left" vertical="center" indent="1"/>
    </xf>
    <xf numFmtId="0" fontId="5" fillId="30" borderId="40" applyNumberFormat="0" applyProtection="0">
      <alignment horizontal="left" vertical="top" indent="1"/>
    </xf>
    <xf numFmtId="0" fontId="5" fillId="30" borderId="40" applyNumberFormat="0" applyProtection="0">
      <alignment horizontal="left" vertical="top" indent="1"/>
    </xf>
    <xf numFmtId="0" fontId="5" fillId="31" borderId="40" applyNumberFormat="0" applyProtection="0">
      <alignment horizontal="left" vertical="center" indent="1"/>
    </xf>
    <xf numFmtId="0" fontId="5" fillId="31" borderId="40" applyNumberFormat="0" applyProtection="0">
      <alignment horizontal="left" vertical="center" indent="1"/>
    </xf>
    <xf numFmtId="0" fontId="5" fillId="31" borderId="40" applyNumberFormat="0" applyProtection="0">
      <alignment horizontal="left" vertical="top" indent="1"/>
    </xf>
    <xf numFmtId="0" fontId="5" fillId="31" borderId="40" applyNumberFormat="0" applyProtection="0">
      <alignment horizontal="left" vertical="top" indent="1"/>
    </xf>
    <xf numFmtId="4" fontId="25" fillId="22" borderId="40" applyNumberFormat="0" applyProtection="0">
      <alignment vertical="center"/>
    </xf>
    <xf numFmtId="4" fontId="26" fillId="22" borderId="40" applyNumberFormat="0" applyProtection="0">
      <alignment vertical="center"/>
    </xf>
    <xf numFmtId="4" fontId="25" fillId="22" borderId="40" applyNumberFormat="0" applyProtection="0">
      <alignment horizontal="left" vertical="center" indent="1"/>
    </xf>
    <xf numFmtId="0" fontId="25" fillId="22" borderId="40" applyNumberFormat="0" applyProtection="0">
      <alignment horizontal="left" vertical="top" indent="1"/>
    </xf>
    <xf numFmtId="4" fontId="25" fillId="27" borderId="40" applyNumberFormat="0" applyProtection="0">
      <alignment horizontal="right" vertical="center"/>
    </xf>
    <xf numFmtId="4" fontId="26" fillId="27" borderId="40" applyNumberFormat="0" applyProtection="0">
      <alignment horizontal="right" vertical="center"/>
    </xf>
    <xf numFmtId="4" fontId="25" fillId="29" borderId="40" applyNumberFormat="0" applyProtection="0">
      <alignment horizontal="left" vertical="center" indent="1"/>
    </xf>
    <xf numFmtId="0" fontId="25" fillId="24" borderId="40" applyNumberFormat="0" applyProtection="0">
      <alignment horizontal="left" vertical="top" indent="1"/>
    </xf>
    <xf numFmtId="4" fontId="30" fillId="32" borderId="0" applyNumberFormat="0" applyProtection="0">
      <alignment horizontal="left" vertical="center" indent="1"/>
    </xf>
    <xf numFmtId="4" fontId="23" fillId="27" borderId="40" applyNumberFormat="0" applyProtection="0">
      <alignment horizontal="right" vertical="center"/>
    </xf>
    <xf numFmtId="0" fontId="5" fillId="33" borderId="0"/>
    <xf numFmtId="0" fontId="20" fillId="0" borderId="0" applyNumberFormat="0" applyFont="0" applyAlignment="0"/>
    <xf numFmtId="0" fontId="20" fillId="0" borderId="0" applyNumberFormat="0" applyFont="0" applyAlignment="0"/>
    <xf numFmtId="49" fontId="25" fillId="0" borderId="0" applyFill="0" applyBorder="0" applyAlignment="0"/>
    <xf numFmtId="175" fontId="5" fillId="0" borderId="0" applyFill="0" applyBorder="0" applyAlignment="0"/>
    <xf numFmtId="194" fontId="25" fillId="0" borderId="0" applyFill="0" applyBorder="0" applyAlignment="0"/>
    <xf numFmtId="172" fontId="5" fillId="0" borderId="0" applyFill="0" applyBorder="0" applyAlignment="0"/>
    <xf numFmtId="195" fontId="25" fillId="0" borderId="0" applyFill="0" applyBorder="0" applyAlignment="0"/>
    <xf numFmtId="0" fontId="54" fillId="0" borderId="0" applyNumberFormat="0" applyFill="0" applyBorder="0" applyAlignment="0" applyProtection="0"/>
    <xf numFmtId="0" fontId="5" fillId="0" borderId="42" applyNumberFormat="0" applyFont="0" applyFill="0" applyAlignment="0" applyProtection="0"/>
    <xf numFmtId="0" fontId="5" fillId="0" borderId="43" applyNumberFormat="0" applyFont="0" applyBorder="0" applyAlignment="0" applyProtection="0"/>
    <xf numFmtId="183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56" fillId="0" borderId="0">
      <alignment vertical="top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</cellStyleXfs>
  <cellXfs count="726">
    <xf numFmtId="0" fontId="0" fillId="0" borderId="0" xfId="0"/>
    <xf numFmtId="0" fontId="3" fillId="0" borderId="0" xfId="0" applyFont="1" applyFill="1" applyBorder="1" applyAlignment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43" fontId="3" fillId="0" borderId="0" xfId="1" applyFont="1" applyFill="1" applyBorder="1"/>
    <xf numFmtId="165" fontId="3" fillId="0" borderId="0" xfId="1" applyNumberFormat="1" applyFont="1" applyFill="1" applyBorder="1"/>
    <xf numFmtId="0" fontId="6" fillId="0" borderId="1" xfId="0" applyFont="1" applyFill="1" applyBorder="1"/>
    <xf numFmtId="0" fontId="7" fillId="0" borderId="1" xfId="0" applyFont="1" applyFill="1" applyBorder="1"/>
    <xf numFmtId="0" fontId="3" fillId="0" borderId="1" xfId="0" applyFont="1" applyFill="1" applyBorder="1"/>
    <xf numFmtId="0" fontId="4" fillId="0" borderId="1" xfId="0" applyFont="1" applyFill="1" applyBorder="1"/>
    <xf numFmtId="43" fontId="3" fillId="0" borderId="1" xfId="1" applyFont="1" applyFill="1" applyBorder="1"/>
    <xf numFmtId="0" fontId="7" fillId="0" borderId="2" xfId="0" applyFont="1" applyFill="1" applyBorder="1"/>
    <xf numFmtId="0" fontId="7" fillId="0" borderId="3" xfId="0" applyFont="1" applyFill="1" applyBorder="1"/>
    <xf numFmtId="0" fontId="8" fillId="0" borderId="2" xfId="0" applyFont="1" applyFill="1" applyBorder="1"/>
    <xf numFmtId="0" fontId="7" fillId="0" borderId="0" xfId="0" applyFont="1" applyFill="1"/>
    <xf numFmtId="0" fontId="8" fillId="0" borderId="0" xfId="0" applyFont="1" applyFill="1"/>
    <xf numFmtId="165" fontId="8" fillId="0" borderId="0" xfId="1" applyNumberFormat="1" applyFont="1" applyFill="1"/>
    <xf numFmtId="0" fontId="7" fillId="0" borderId="8" xfId="0" applyFont="1" applyFill="1" applyBorder="1" applyAlignment="1">
      <alignment horizontal="center"/>
    </xf>
    <xf numFmtId="165" fontId="7" fillId="0" borderId="9" xfId="1" applyNumberFormat="1" applyFont="1" applyFill="1" applyBorder="1" applyAlignment="1">
      <alignment horizontal="right"/>
    </xf>
    <xf numFmtId="165" fontId="7" fillId="0" borderId="10" xfId="1" applyNumberFormat="1" applyFont="1" applyFill="1" applyBorder="1" applyAlignment="1">
      <alignment horizontal="right"/>
    </xf>
    <xf numFmtId="165" fontId="7" fillId="0" borderId="11" xfId="1" applyNumberFormat="1" applyFont="1" applyFill="1" applyBorder="1" applyAlignment="1">
      <alignment horizontal="right"/>
    </xf>
    <xf numFmtId="165" fontId="7" fillId="0" borderId="0" xfId="1" applyNumberFormat="1" applyFont="1" applyFill="1"/>
    <xf numFmtId="0" fontId="7" fillId="0" borderId="13" xfId="0" applyFont="1" applyFill="1" applyBorder="1"/>
    <xf numFmtId="0" fontId="7" fillId="0" borderId="14" xfId="0" applyFont="1" applyFill="1" applyBorder="1"/>
    <xf numFmtId="0" fontId="7" fillId="0" borderId="15" xfId="0" applyFont="1" applyFill="1" applyBorder="1" applyAlignment="1">
      <alignment horizontal="center"/>
    </xf>
    <xf numFmtId="165" fontId="7" fillId="0" borderId="16" xfId="1" applyNumberFormat="1" applyFont="1" applyFill="1" applyBorder="1" applyAlignment="1">
      <alignment horizontal="right"/>
    </xf>
    <xf numFmtId="165" fontId="7" fillId="0" borderId="17" xfId="1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7" fillId="0" borderId="19" xfId="0" applyFont="1" applyFill="1" applyBorder="1"/>
    <xf numFmtId="0" fontId="7" fillId="0" borderId="11" xfId="0" applyFont="1" applyFill="1" applyBorder="1"/>
    <xf numFmtId="0" fontId="7" fillId="0" borderId="20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0" fontId="7" fillId="0" borderId="10" xfId="0" applyFont="1" applyFill="1" applyBorder="1" applyAlignment="1">
      <alignment horizontal="center"/>
    </xf>
    <xf numFmtId="165" fontId="7" fillId="0" borderId="10" xfId="0" applyNumberFormat="1" applyFont="1" applyFill="1" applyBorder="1" applyAlignment="1">
      <alignment horizontal="center"/>
    </xf>
    <xf numFmtId="165" fontId="7" fillId="0" borderId="0" xfId="0" applyNumberFormat="1" applyFont="1" applyFill="1"/>
    <xf numFmtId="0" fontId="8" fillId="0" borderId="0" xfId="0" applyFont="1" applyFill="1" applyBorder="1"/>
    <xf numFmtId="165" fontId="7" fillId="0" borderId="0" xfId="1" applyNumberFormat="1" applyFont="1" applyFill="1" applyBorder="1" applyAlignment="1">
      <alignment horizontal="right"/>
    </xf>
    <xf numFmtId="165" fontId="7" fillId="0" borderId="22" xfId="1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right"/>
    </xf>
    <xf numFmtId="165" fontId="7" fillId="0" borderId="0" xfId="0" applyNumberFormat="1" applyFont="1" applyFill="1" applyBorder="1" applyAlignment="1">
      <alignment horizontal="right"/>
    </xf>
    <xf numFmtId="165" fontId="7" fillId="0" borderId="23" xfId="0" applyNumberFormat="1" applyFont="1" applyFill="1" applyBorder="1" applyAlignment="1"/>
    <xf numFmtId="0" fontId="8" fillId="0" borderId="8" xfId="0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right"/>
    </xf>
    <xf numFmtId="164" fontId="8" fillId="0" borderId="21" xfId="1" applyNumberFormat="1" applyFont="1" applyFill="1" applyBorder="1" applyAlignment="1">
      <alignment horizontal="right"/>
    </xf>
    <xf numFmtId="164" fontId="8" fillId="0" borderId="22" xfId="1" applyNumberFormat="1" applyFont="1" applyFill="1" applyBorder="1" applyAlignment="1">
      <alignment horizontal="right"/>
    </xf>
    <xf numFmtId="165" fontId="8" fillId="0" borderId="22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165" fontId="7" fillId="0" borderId="22" xfId="1" applyNumberFormat="1" applyFont="1" applyFill="1" applyBorder="1" applyAlignment="1">
      <alignment horizontal="right"/>
    </xf>
    <xf numFmtId="0" fontId="9" fillId="0" borderId="2" xfId="0" applyFont="1" applyFill="1" applyBorder="1"/>
    <xf numFmtId="165" fontId="7" fillId="0" borderId="21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0" fontId="9" fillId="0" borderId="0" xfId="0" applyFont="1" applyFill="1" applyBorder="1"/>
    <xf numFmtId="0" fontId="10" fillId="0" borderId="0" xfId="0" applyFont="1" applyFill="1" applyBorder="1"/>
    <xf numFmtId="0" fontId="9" fillId="0" borderId="8" xfId="0" applyFont="1" applyFill="1" applyBorder="1" applyAlignment="1">
      <alignment horizontal="center"/>
    </xf>
    <xf numFmtId="165" fontId="10" fillId="0" borderId="21" xfId="1" applyNumberFormat="1" applyFont="1" applyFill="1" applyBorder="1" applyAlignment="1">
      <alignment horizontal="center"/>
    </xf>
    <xf numFmtId="165" fontId="10" fillId="0" borderId="22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right"/>
    </xf>
    <xf numFmtId="0" fontId="10" fillId="0" borderId="0" xfId="0" applyFont="1" applyFill="1" applyAlignment="1">
      <alignment horizontal="right"/>
    </xf>
    <xf numFmtId="0" fontId="10" fillId="0" borderId="0" xfId="0" applyFont="1" applyFill="1"/>
    <xf numFmtId="0" fontId="10" fillId="0" borderId="2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1"/>
    </xf>
    <xf numFmtId="0" fontId="11" fillId="0" borderId="0" xfId="0" applyNumberFormat="1" applyFont="1" applyFill="1" applyBorder="1" applyAlignment="1">
      <alignment horizontal="left" wrapText="1"/>
    </xf>
    <xf numFmtId="0" fontId="8" fillId="0" borderId="8" xfId="0" applyFont="1" applyFill="1" applyBorder="1" applyAlignment="1">
      <alignment horizontal="left" indent="1"/>
    </xf>
    <xf numFmtId="165" fontId="8" fillId="0" borderId="21" xfId="1" applyNumberFormat="1" applyFont="1" applyFill="1" applyBorder="1" applyAlignment="1">
      <alignment horizontal="left" indent="1"/>
    </xf>
    <xf numFmtId="0" fontId="8" fillId="0" borderId="2" xfId="0" applyFont="1" applyFill="1" applyBorder="1" applyAlignment="1">
      <alignment horizontal="left" indent="1"/>
    </xf>
    <xf numFmtId="0" fontId="10" fillId="0" borderId="2" xfId="0" applyFont="1" applyFill="1" applyBorder="1"/>
    <xf numFmtId="0" fontId="10" fillId="0" borderId="0" xfId="0" applyFont="1" applyFill="1" applyBorder="1" applyAlignment="1">
      <alignment horizontal="left" indent="1"/>
    </xf>
    <xf numFmtId="0" fontId="10" fillId="0" borderId="8" xfId="0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left" wrapText="1" indent="1"/>
    </xf>
    <xf numFmtId="165" fontId="8" fillId="0" borderId="21" xfId="1" applyNumberFormat="1" applyFont="1" applyFill="1" applyBorder="1" applyAlignment="1">
      <alignment horizontal="center"/>
    </xf>
    <xf numFmtId="0" fontId="8" fillId="0" borderId="2" xfId="2" applyFont="1" applyFill="1" applyBorder="1"/>
    <xf numFmtId="0" fontId="8" fillId="0" borderId="0" xfId="2" applyFont="1" applyFill="1" applyBorder="1"/>
    <xf numFmtId="165" fontId="8" fillId="0" borderId="22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right"/>
    </xf>
    <xf numFmtId="166" fontId="7" fillId="0" borderId="9" xfId="1" applyNumberFormat="1" applyFont="1" applyFill="1" applyBorder="1" applyAlignment="1">
      <alignment horizontal="right"/>
    </xf>
    <xf numFmtId="166" fontId="7" fillId="0" borderId="10" xfId="1" applyNumberFormat="1" applyFont="1" applyFill="1" applyBorder="1" applyAlignment="1">
      <alignment horizontal="right"/>
    </xf>
    <xf numFmtId="37" fontId="8" fillId="0" borderId="16" xfId="1" applyNumberFormat="1" applyFont="1" applyFill="1" applyBorder="1" applyAlignment="1">
      <alignment horizontal="right"/>
    </xf>
    <xf numFmtId="37" fontId="8" fillId="0" borderId="17" xfId="1" applyNumberFormat="1" applyFont="1" applyFill="1" applyBorder="1" applyAlignment="1">
      <alignment horizontal="right"/>
    </xf>
    <xf numFmtId="165" fontId="9" fillId="0" borderId="9" xfId="1" applyNumberFormat="1" applyFont="1" applyFill="1" applyBorder="1" applyAlignment="1">
      <alignment horizontal="right"/>
    </xf>
    <xf numFmtId="165" fontId="9" fillId="0" borderId="10" xfId="1" applyNumberFormat="1" applyFont="1" applyFill="1" applyBorder="1" applyAlignment="1">
      <alignment horizontal="right"/>
    </xf>
    <xf numFmtId="165" fontId="9" fillId="0" borderId="21" xfId="1" applyNumberFormat="1" applyFont="1" applyFill="1" applyBorder="1" applyAlignment="1">
      <alignment horizontal="right"/>
    </xf>
    <xf numFmtId="165" fontId="9" fillId="0" borderId="22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4" fontId="8" fillId="0" borderId="0" xfId="0" applyNumberFormat="1" applyFont="1" applyFill="1" applyBorder="1"/>
    <xf numFmtId="0" fontId="9" fillId="0" borderId="2" xfId="0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4" xfId="1" applyNumberFormat="1" applyFont="1" applyFill="1" applyBorder="1" applyAlignment="1">
      <alignment horizontal="right"/>
    </xf>
    <xf numFmtId="37" fontId="7" fillId="0" borderId="9" xfId="1" applyNumberFormat="1" applyFont="1" applyFill="1" applyBorder="1" applyAlignment="1">
      <alignment horizontal="right"/>
    </xf>
    <xf numFmtId="0" fontId="8" fillId="0" borderId="26" xfId="0" applyFont="1" applyFill="1" applyBorder="1"/>
    <xf numFmtId="0" fontId="8" fillId="0" borderId="1" xfId="0" applyFont="1" applyFill="1" applyBorder="1"/>
    <xf numFmtId="0" fontId="8" fillId="0" borderId="27" xfId="0" applyFont="1" applyFill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1" xfId="1" applyNumberFormat="1" applyFont="1" applyFill="1" applyBorder="1" applyAlignment="1">
      <alignment horizontal="right"/>
    </xf>
    <xf numFmtId="165" fontId="8" fillId="0" borderId="30" xfId="1" applyNumberFormat="1" applyFont="1" applyFill="1" applyBorder="1" applyAlignment="1">
      <alignment horizontal="right"/>
    </xf>
    <xf numFmtId="0" fontId="13" fillId="0" borderId="0" xfId="0" applyFont="1" applyFill="1" applyBorder="1"/>
    <xf numFmtId="0" fontId="10" fillId="0" borderId="0" xfId="0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65" fontId="15" fillId="0" borderId="0" xfId="1" applyNumberFormat="1" applyFont="1" applyFill="1" applyBorder="1"/>
    <xf numFmtId="43" fontId="15" fillId="0" borderId="0" xfId="1" applyFont="1" applyFill="1" applyBorder="1"/>
    <xf numFmtId="165" fontId="14" fillId="0" borderId="0" xfId="1" applyNumberFormat="1" applyFont="1" applyFill="1" applyBorder="1" applyAlignment="1">
      <alignment horizontal="right"/>
    </xf>
    <xf numFmtId="0" fontId="6" fillId="0" borderId="0" xfId="0" applyFont="1" applyFill="1" applyBorder="1" applyAlignment="1"/>
    <xf numFmtId="0" fontId="7" fillId="0" borderId="1" xfId="0" applyFont="1" applyFill="1" applyBorder="1" applyAlignment="1"/>
    <xf numFmtId="0" fontId="8" fillId="0" borderId="1" xfId="0" applyFont="1" applyFill="1" applyBorder="1" applyAlignment="1"/>
    <xf numFmtId="0" fontId="7" fillId="0" borderId="0" xfId="0" applyFont="1" applyFill="1" applyBorder="1" applyAlignment="1"/>
    <xf numFmtId="3" fontId="8" fillId="0" borderId="1" xfId="0" applyNumberFormat="1" applyFont="1" applyFill="1" applyBorder="1" applyAlignment="1"/>
    <xf numFmtId="0" fontId="8" fillId="0" borderId="0" xfId="0" applyFont="1" applyFill="1" applyBorder="1" applyAlignment="1"/>
    <xf numFmtId="0" fontId="57" fillId="0" borderId="0" xfId="0" applyFont="1" applyFill="1" applyBorder="1" applyAlignment="1"/>
    <xf numFmtId="0" fontId="8" fillId="0" borderId="0" xfId="0" applyFont="1" applyFill="1" applyAlignment="1"/>
    <xf numFmtId="0" fontId="7" fillId="0" borderId="44" xfId="0" applyFont="1" applyFill="1" applyBorder="1" applyAlignment="1"/>
    <xf numFmtId="0" fontId="7" fillId="0" borderId="46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2" xfId="0" applyFont="1" applyFill="1" applyBorder="1" applyAlignment="1"/>
    <xf numFmtId="0" fontId="7" fillId="0" borderId="22" xfId="0" applyFont="1" applyFill="1" applyBorder="1" applyAlignment="1">
      <alignment horizontal="right"/>
    </xf>
    <xf numFmtId="0" fontId="7" fillId="0" borderId="8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9" xfId="0" applyFont="1" applyFill="1" applyBorder="1" applyAlignment="1">
      <alignment horizontal="right"/>
    </xf>
    <xf numFmtId="3" fontId="7" fillId="0" borderId="58" xfId="0" applyNumberFormat="1" applyFont="1" applyFill="1" applyBorder="1" applyAlignment="1">
      <alignment horizontal="right"/>
    </xf>
    <xf numFmtId="3" fontId="7" fillId="0" borderId="9" xfId="0" applyNumberFormat="1" applyFont="1" applyFill="1" applyBorder="1" applyAlignment="1">
      <alignment horizontal="right"/>
    </xf>
    <xf numFmtId="0" fontId="19" fillId="0" borderId="13" xfId="0" applyNumberFormat="1" applyFont="1" applyFill="1" applyBorder="1" applyAlignment="1"/>
    <xf numFmtId="0" fontId="7" fillId="0" borderId="14" xfId="0" applyFont="1" applyFill="1" applyBorder="1" applyAlignment="1"/>
    <xf numFmtId="0" fontId="7" fillId="0" borderId="17" xfId="0" applyFont="1" applyFill="1" applyBorder="1" applyAlignment="1">
      <alignment horizontal="right"/>
    </xf>
    <xf numFmtId="0" fontId="7" fillId="0" borderId="15" xfId="0" applyFont="1" applyFill="1" applyBorder="1" applyAlignment="1">
      <alignment horizontal="right"/>
    </xf>
    <xf numFmtId="0" fontId="7" fillId="0" borderId="59" xfId="0" applyFont="1" applyFill="1" applyBorder="1" applyAlignment="1">
      <alignment horizontal="right"/>
    </xf>
    <xf numFmtId="2" fontId="57" fillId="0" borderId="0" xfId="0" applyNumberFormat="1" applyFont="1" applyFill="1" applyBorder="1" applyAlignment="1"/>
    <xf numFmtId="0" fontId="19" fillId="0" borderId="2" xfId="0" applyNumberFormat="1" applyFont="1" applyFill="1" applyBorder="1" applyAlignment="1"/>
    <xf numFmtId="0" fontId="7" fillId="0" borderId="20" xfId="0" applyFont="1" applyFill="1" applyBorder="1" applyAlignment="1">
      <alignment horizontal="right"/>
    </xf>
    <xf numFmtId="0" fontId="7" fillId="0" borderId="11" xfId="0" applyFont="1" applyFill="1" applyBorder="1" applyAlignment="1">
      <alignment horizontal="right"/>
    </xf>
    <xf numFmtId="0" fontId="7" fillId="0" borderId="10" xfId="0" applyFont="1" applyFill="1" applyBorder="1" applyAlignment="1">
      <alignment horizontal="right"/>
    </xf>
    <xf numFmtId="0" fontId="7" fillId="0" borderId="21" xfId="0" applyFont="1" applyFill="1" applyBorder="1" applyAlignment="1">
      <alignment horizontal="right"/>
    </xf>
    <xf numFmtId="0" fontId="7" fillId="0" borderId="25" xfId="0" applyFont="1" applyFill="1" applyBorder="1" applyAlignment="1">
      <alignment horizontal="right"/>
    </xf>
    <xf numFmtId="0" fontId="11" fillId="0" borderId="2" xfId="0" applyNumberFormat="1" applyFont="1" applyFill="1" applyBorder="1" applyAlignment="1">
      <alignment horizontal="left"/>
    </xf>
    <xf numFmtId="37" fontId="11" fillId="0" borderId="0" xfId="0" applyNumberFormat="1" applyFont="1" applyFill="1" applyBorder="1" applyAlignment="1"/>
    <xf numFmtId="37" fontId="11" fillId="0" borderId="0" xfId="0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21" xfId="0" applyNumberFormat="1" applyFont="1" applyFill="1" applyBorder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165" fontId="8" fillId="0" borderId="0" xfId="0" applyNumberFormat="1" applyFont="1" applyFill="1" applyBorder="1" applyAlignment="1">
      <alignment horizontal="right"/>
    </xf>
    <xf numFmtId="165" fontId="8" fillId="0" borderId="25" xfId="0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/>
    <xf numFmtId="168" fontId="58" fillId="0" borderId="0" xfId="0" applyNumberFormat="1" applyFont="1" applyFill="1" applyBorder="1" applyAlignment="1"/>
    <xf numFmtId="171" fontId="59" fillId="0" borderId="0" xfId="1" applyNumberFormat="1" applyFont="1" applyFill="1" applyBorder="1"/>
    <xf numFmtId="43" fontId="8" fillId="0" borderId="0" xfId="0" applyNumberFormat="1" applyFont="1" applyFill="1" applyBorder="1" applyAlignment="1"/>
    <xf numFmtId="165" fontId="8" fillId="0" borderId="0" xfId="0" applyNumberFormat="1" applyFont="1" applyFill="1" applyBorder="1" applyAlignment="1"/>
    <xf numFmtId="37" fontId="12" fillId="0" borderId="0" xfId="0" quotePrefix="1" applyNumberFormat="1" applyFont="1" applyFill="1" applyBorder="1" applyAlignment="1">
      <alignment horizontal="right"/>
    </xf>
    <xf numFmtId="168" fontId="57" fillId="0" borderId="0" xfId="0" applyNumberFormat="1" applyFont="1" applyFill="1" applyBorder="1" applyAlignment="1"/>
    <xf numFmtId="164" fontId="8" fillId="0" borderId="0" xfId="0" applyNumberFormat="1" applyFont="1" applyFill="1" applyBorder="1" applyAlignment="1">
      <alignment horizontal="right"/>
    </xf>
    <xf numFmtId="0" fontId="8" fillId="0" borderId="2" xfId="0" applyNumberFormat="1" applyFont="1" applyFill="1" applyBorder="1" applyAlignment="1">
      <alignment horizontal="left"/>
    </xf>
    <xf numFmtId="37" fontId="8" fillId="0" borderId="0" xfId="0" applyNumberFormat="1" applyFont="1" applyFill="1" applyBorder="1" applyAlignment="1"/>
    <xf numFmtId="37" fontId="8" fillId="0" borderId="0" xfId="0" applyNumberFormat="1" applyFont="1" applyFill="1" applyBorder="1" applyAlignment="1">
      <alignment horizontal="right"/>
    </xf>
    <xf numFmtId="171" fontId="3" fillId="0" borderId="0" xfId="1" applyNumberFormat="1" applyFont="1" applyFill="1" applyBorder="1"/>
    <xf numFmtId="0" fontId="10" fillId="0" borderId="0" xfId="0" quotePrefix="1" applyFont="1" applyFill="1" applyBorder="1" applyAlignment="1">
      <alignment horizontal="right"/>
    </xf>
    <xf numFmtId="0" fontId="11" fillId="0" borderId="0" xfId="0" applyNumberFormat="1" applyFont="1" applyFill="1" applyBorder="1" applyAlignment="1"/>
    <xf numFmtId="37" fontId="10" fillId="0" borderId="0" xfId="0" quotePrefix="1" applyNumberFormat="1" applyFont="1" applyFill="1" applyBorder="1" applyAlignment="1">
      <alignment horizontal="right"/>
    </xf>
    <xf numFmtId="37" fontId="8" fillId="0" borderId="0" xfId="0" applyNumberFormat="1" applyFont="1" applyFill="1" applyBorder="1" applyAlignment="1">
      <alignment horizontal="left"/>
    </xf>
    <xf numFmtId="37" fontId="10" fillId="0" borderId="0" xfId="0" applyNumberFormat="1" applyFont="1" applyFill="1" applyBorder="1" applyAlignment="1">
      <alignment horizontal="right"/>
    </xf>
    <xf numFmtId="0" fontId="8" fillId="0" borderId="0" xfId="0" applyNumberFormat="1" applyFont="1" applyFill="1" applyBorder="1" applyAlignment="1">
      <alignment horizontal="right"/>
    </xf>
    <xf numFmtId="0" fontId="8" fillId="34" borderId="2" xfId="0" applyNumberFormat="1" applyFont="1" applyFill="1" applyBorder="1" applyAlignment="1">
      <alignment horizontal="left"/>
    </xf>
    <xf numFmtId="37" fontId="8" fillId="34" borderId="0" xfId="0" applyNumberFormat="1" applyFont="1" applyFill="1" applyBorder="1" applyAlignment="1"/>
    <xf numFmtId="0" fontId="8" fillId="34" borderId="0" xfId="0" applyFont="1" applyFill="1" applyBorder="1" applyAlignment="1"/>
    <xf numFmtId="37" fontId="8" fillId="34" borderId="0" xfId="0" applyNumberFormat="1" applyFont="1" applyFill="1" applyBorder="1" applyAlignment="1">
      <alignment horizontal="right"/>
    </xf>
    <xf numFmtId="165" fontId="8" fillId="34" borderId="8" xfId="1" applyNumberFormat="1" applyFont="1" applyFill="1" applyBorder="1" applyAlignment="1">
      <alignment horizontal="right"/>
    </xf>
    <xf numFmtId="165" fontId="8" fillId="34" borderId="0" xfId="1" applyNumberFormat="1" applyFont="1" applyFill="1" applyBorder="1" applyAlignment="1">
      <alignment horizontal="right"/>
    </xf>
    <xf numFmtId="165" fontId="8" fillId="34" borderId="22" xfId="1" applyNumberFormat="1" applyFont="1" applyFill="1" applyBorder="1" applyAlignment="1">
      <alignment horizontal="right"/>
    </xf>
    <xf numFmtId="165" fontId="8" fillId="34" borderId="21" xfId="0" applyNumberFormat="1" applyFont="1" applyFill="1" applyBorder="1" applyAlignment="1">
      <alignment horizontal="right"/>
    </xf>
    <xf numFmtId="165" fontId="8" fillId="34" borderId="8" xfId="0" applyNumberFormat="1" applyFont="1" applyFill="1" applyBorder="1" applyAlignment="1">
      <alignment horizontal="right"/>
    </xf>
    <xf numFmtId="165" fontId="8" fillId="34" borderId="0" xfId="0" applyNumberFormat="1" applyFont="1" applyFill="1" applyBorder="1" applyAlignment="1">
      <alignment horizontal="right"/>
    </xf>
    <xf numFmtId="165" fontId="8" fillId="34" borderId="25" xfId="0" applyNumberFormat="1" applyFont="1" applyFill="1" applyBorder="1" applyAlignment="1">
      <alignment horizontal="right"/>
    </xf>
    <xf numFmtId="165" fontId="8" fillId="34" borderId="0" xfId="1" applyNumberFormat="1" applyFont="1" applyFill="1" applyBorder="1" applyAlignment="1">
      <alignment horizontal="center"/>
    </xf>
    <xf numFmtId="165" fontId="8" fillId="34" borderId="0" xfId="0" applyNumberFormat="1" applyFont="1" applyFill="1" applyBorder="1" applyAlignment="1"/>
    <xf numFmtId="0" fontId="8" fillId="34" borderId="0" xfId="0" applyFont="1" applyFill="1" applyAlignment="1"/>
    <xf numFmtId="0" fontId="8" fillId="0" borderId="0" xfId="0" applyNumberFormat="1" applyFont="1" applyFill="1" applyBorder="1" applyAlignment="1"/>
    <xf numFmtId="0" fontId="11" fillId="0" borderId="0" xfId="0" applyNumberFormat="1" applyFont="1" applyFill="1" applyBorder="1" applyAlignment="1">
      <alignment horizontal="right"/>
    </xf>
    <xf numFmtId="0" fontId="11" fillId="0" borderId="13" xfId="0" applyNumberFormat="1" applyFont="1" applyFill="1" applyBorder="1" applyAlignment="1">
      <alignment horizontal="left"/>
    </xf>
    <xf numFmtId="37" fontId="11" fillId="0" borderId="14" xfId="0" applyNumberFormat="1" applyFont="1" applyFill="1" applyBorder="1" applyAlignment="1"/>
    <xf numFmtId="0" fontId="8" fillId="0" borderId="14" xfId="0" applyFont="1" applyFill="1" applyBorder="1" applyAlignment="1"/>
    <xf numFmtId="37" fontId="11" fillId="0" borderId="17" xfId="0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0" fontId="19" fillId="0" borderId="26" xfId="0" applyNumberFormat="1" applyFont="1" applyFill="1" applyBorder="1" applyAlignment="1"/>
    <xf numFmtId="37" fontId="11" fillId="0" borderId="1" xfId="0" applyNumberFormat="1" applyFont="1" applyFill="1" applyBorder="1" applyAlignment="1"/>
    <xf numFmtId="37" fontId="12" fillId="0" borderId="29" xfId="0" quotePrefix="1" applyNumberFormat="1" applyFont="1" applyFill="1" applyBorder="1" applyAlignment="1">
      <alignment horizontal="right"/>
    </xf>
    <xf numFmtId="165" fontId="7" fillId="0" borderId="27" xfId="1" applyNumberFormat="1" applyFont="1" applyFill="1" applyBorder="1" applyAlignment="1">
      <alignment horizontal="right"/>
    </xf>
    <xf numFmtId="165" fontId="7" fillId="0" borderId="1" xfId="1" applyNumberFormat="1" applyFont="1" applyFill="1" applyBorder="1" applyAlignment="1">
      <alignment horizontal="right"/>
    </xf>
    <xf numFmtId="165" fontId="7" fillId="0" borderId="49" xfId="0" applyNumberFormat="1" applyFont="1" applyFill="1" applyBorder="1" applyAlignment="1">
      <alignment horizontal="right"/>
    </xf>
    <xf numFmtId="165" fontId="7" fillId="0" borderId="52" xfId="0" applyNumberFormat="1" applyFont="1" applyFill="1" applyBorder="1" applyAlignment="1">
      <alignment horizontal="right"/>
    </xf>
    <xf numFmtId="165" fontId="7" fillId="0" borderId="23" xfId="0" applyNumberFormat="1" applyFont="1" applyFill="1" applyBorder="1" applyAlignment="1">
      <alignment horizontal="right"/>
    </xf>
    <xf numFmtId="165" fontId="7" fillId="0" borderId="60" xfId="0" applyNumberFormat="1" applyFont="1" applyFill="1" applyBorder="1" applyAlignment="1">
      <alignment horizontal="right"/>
    </xf>
    <xf numFmtId="171" fontId="60" fillId="0" borderId="0" xfId="0" applyNumberFormat="1" applyFont="1" applyFill="1" applyBorder="1"/>
    <xf numFmtId="43" fontId="7" fillId="0" borderId="0" xfId="0" applyNumberFormat="1" applyFont="1" applyFill="1" applyBorder="1" applyAlignment="1"/>
    <xf numFmtId="0" fontId="11" fillId="0" borderId="2" xfId="0" applyNumberFormat="1" applyFont="1" applyFill="1" applyBorder="1" applyAlignment="1"/>
    <xf numFmtId="37" fontId="12" fillId="0" borderId="22" xfId="0" quotePrefix="1" applyNumberFormat="1" applyFont="1" applyFill="1" applyBorder="1" applyAlignment="1">
      <alignment horizontal="right"/>
    </xf>
    <xf numFmtId="165" fontId="7" fillId="0" borderId="21" xfId="0" applyNumberFormat="1" applyFont="1" applyFill="1" applyBorder="1" applyAlignment="1">
      <alignment horizontal="right"/>
    </xf>
    <xf numFmtId="165" fontId="7" fillId="0" borderId="8" xfId="0" applyNumberFormat="1" applyFont="1" applyFill="1" applyBorder="1" applyAlignment="1">
      <alignment horizontal="right"/>
    </xf>
    <xf numFmtId="165" fontId="7" fillId="0" borderId="25" xfId="0" applyNumberFormat="1" applyFont="1" applyFill="1" applyBorder="1" applyAlignment="1">
      <alignment horizontal="right"/>
    </xf>
    <xf numFmtId="37" fontId="11" fillId="0" borderId="22" xfId="0" applyNumberFormat="1" applyFont="1" applyFill="1" applyBorder="1" applyAlignment="1">
      <alignment horizontal="right"/>
    </xf>
    <xf numFmtId="165" fontId="7" fillId="0" borderId="8" xfId="1" applyNumberFormat="1" applyFont="1" applyFill="1" applyBorder="1" applyAlignment="1">
      <alignment horizontal="center"/>
    </xf>
    <xf numFmtId="166" fontId="7" fillId="0" borderId="0" xfId="1" applyNumberFormat="1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left"/>
    </xf>
    <xf numFmtId="165" fontId="8" fillId="0" borderId="8" xfId="1" applyNumberFormat="1" applyFont="1" applyFill="1" applyBorder="1" applyAlignment="1">
      <alignment horizontal="center"/>
    </xf>
    <xf numFmtId="37" fontId="12" fillId="0" borderId="22" xfId="0" applyNumberFormat="1" applyFont="1" applyFill="1" applyBorder="1" applyAlignment="1">
      <alignment horizontal="right"/>
    </xf>
    <xf numFmtId="0" fontId="12" fillId="0" borderId="2" xfId="0" applyNumberFormat="1" applyFont="1" applyFill="1" applyBorder="1" applyAlignment="1">
      <alignment horizontal="left" indent="1"/>
    </xf>
    <xf numFmtId="0" fontId="10" fillId="0" borderId="0" xfId="0" applyFont="1" applyFill="1" applyAlignment="1"/>
    <xf numFmtId="0" fontId="10" fillId="0" borderId="0" xfId="0" applyFont="1" applyFill="1" applyBorder="1" applyAlignment="1"/>
    <xf numFmtId="165" fontId="10" fillId="0" borderId="8" xfId="1" applyNumberFormat="1" applyFont="1" applyFill="1" applyBorder="1" applyAlignment="1">
      <alignment horizontal="right"/>
    </xf>
    <xf numFmtId="165" fontId="10" fillId="0" borderId="21" xfId="0" applyNumberFormat="1" applyFont="1" applyFill="1" applyBorder="1" applyAlignment="1">
      <alignment horizontal="right"/>
    </xf>
    <xf numFmtId="165" fontId="10" fillId="0" borderId="8" xfId="1" applyNumberFormat="1" applyFont="1" applyFill="1" applyBorder="1" applyAlignment="1">
      <alignment horizontal="center"/>
    </xf>
    <xf numFmtId="165" fontId="10" fillId="0" borderId="25" xfId="0" applyNumberFormat="1" applyFont="1" applyFill="1" applyBorder="1" applyAlignment="1">
      <alignment horizontal="right"/>
    </xf>
    <xf numFmtId="165" fontId="10" fillId="0" borderId="0" xfId="59" applyNumberFormat="1" applyFont="1" applyFill="1" applyBorder="1" applyAlignment="1">
      <alignment horizontal="center"/>
    </xf>
    <xf numFmtId="165" fontId="10" fillId="0" borderId="0" xfId="0" applyNumberFormat="1" applyFont="1" applyFill="1" applyBorder="1" applyAlignment="1"/>
    <xf numFmtId="168" fontId="61" fillId="0" borderId="0" xfId="0" applyNumberFormat="1" applyFont="1" applyFill="1" applyBorder="1" applyAlignment="1"/>
    <xf numFmtId="171" fontId="62" fillId="0" borderId="0" xfId="1" applyNumberFormat="1" applyFont="1" applyFill="1" applyBorder="1"/>
    <xf numFmtId="43" fontId="10" fillId="0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left"/>
    </xf>
    <xf numFmtId="37" fontId="8" fillId="0" borderId="22" xfId="0" applyNumberFormat="1" applyFont="1" applyFill="1" applyBorder="1" applyAlignment="1">
      <alignment horizontal="right"/>
    </xf>
    <xf numFmtId="165" fontId="8" fillId="0" borderId="0" xfId="1" quotePrefix="1" applyNumberFormat="1" applyFont="1" applyFill="1" applyBorder="1" applyAlignment="1">
      <alignment horizontal="center"/>
    </xf>
    <xf numFmtId="37" fontId="10" fillId="0" borderId="22" xfId="0" quotePrefix="1" applyNumberFormat="1" applyFont="1" applyFill="1" applyBorder="1" applyAlignment="1">
      <alignment horizontal="right"/>
    </xf>
    <xf numFmtId="0" fontId="8" fillId="0" borderId="2" xfId="0" applyNumberFormat="1" applyFont="1" applyFill="1" applyBorder="1" applyAlignment="1">
      <alignment horizontal="left" indent="1"/>
    </xf>
    <xf numFmtId="0" fontId="10" fillId="0" borderId="2" xfId="0" applyNumberFormat="1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left"/>
    </xf>
    <xf numFmtId="171" fontId="63" fillId="0" borderId="0" xfId="1" applyNumberFormat="1" applyFont="1" applyFill="1" applyBorder="1"/>
    <xf numFmtId="0" fontId="8" fillId="0" borderId="2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9" fillId="0" borderId="47" xfId="0" applyNumberFormat="1" applyFont="1" applyFill="1" applyBorder="1" applyAlignment="1"/>
    <xf numFmtId="0" fontId="19" fillId="0" borderId="23" xfId="0" applyNumberFormat="1" applyFont="1" applyFill="1" applyBorder="1" applyAlignment="1"/>
    <xf numFmtId="0" fontId="19" fillId="0" borderId="48" xfId="0" applyNumberFormat="1" applyFont="1" applyFill="1" applyBorder="1" applyAlignment="1"/>
    <xf numFmtId="165" fontId="7" fillId="0" borderId="48" xfId="0" applyNumberFormat="1" applyFont="1" applyFill="1" applyBorder="1" applyAlignment="1">
      <alignment horizontal="right"/>
    </xf>
    <xf numFmtId="165" fontId="57" fillId="0" borderId="0" xfId="0" applyNumberFormat="1" applyFont="1" applyFill="1" applyBorder="1" applyAlignment="1">
      <alignment horizontal="right"/>
    </xf>
    <xf numFmtId="171" fontId="7" fillId="0" borderId="0" xfId="0" applyNumberFormat="1" applyFont="1" applyFill="1" applyBorder="1" applyAlignment="1"/>
    <xf numFmtId="43" fontId="7" fillId="0" borderId="0" xfId="1" applyFont="1" applyFill="1" applyBorder="1" applyAlignment="1"/>
    <xf numFmtId="0" fontId="8" fillId="0" borderId="23" xfId="0" applyFont="1" applyFill="1" applyBorder="1" applyAlignment="1"/>
    <xf numFmtId="37" fontId="11" fillId="0" borderId="23" xfId="0" applyNumberFormat="1" applyFont="1" applyFill="1" applyBorder="1" applyAlignment="1"/>
    <xf numFmtId="37" fontId="11" fillId="0" borderId="48" xfId="0" applyNumberFormat="1" applyFont="1" applyFill="1" applyBorder="1" applyAlignment="1">
      <alignment horizontal="right"/>
    </xf>
    <xf numFmtId="0" fontId="8" fillId="0" borderId="11" xfId="0" applyFont="1" applyFill="1" applyBorder="1" applyAlignment="1"/>
    <xf numFmtId="0" fontId="64" fillId="0" borderId="2" xfId="0" applyNumberFormat="1" applyFont="1" applyFill="1" applyBorder="1" applyAlignment="1"/>
    <xf numFmtId="171" fontId="8" fillId="0" borderId="0" xfId="0" applyNumberFormat="1" applyFont="1" applyFill="1" applyBorder="1" applyAlignment="1"/>
    <xf numFmtId="43" fontId="8" fillId="0" borderId="0" xfId="1" applyFont="1" applyFill="1" applyBorder="1" applyAlignment="1"/>
    <xf numFmtId="165" fontId="8" fillId="0" borderId="16" xfId="0" applyNumberFormat="1" applyFont="1" applyFill="1" applyBorder="1" applyAlignment="1">
      <alignment horizontal="right"/>
    </xf>
    <xf numFmtId="0" fontId="19" fillId="0" borderId="51" xfId="0" applyNumberFormat="1" applyFont="1" applyFill="1" applyBorder="1" applyAlignment="1"/>
    <xf numFmtId="37" fontId="11" fillId="0" borderId="34" xfId="0" applyNumberFormat="1" applyFont="1" applyFill="1" applyBorder="1" applyAlignment="1"/>
    <xf numFmtId="0" fontId="8" fillId="0" borderId="34" xfId="0" applyFont="1" applyFill="1" applyBorder="1" applyAlignment="1"/>
    <xf numFmtId="37" fontId="12" fillId="0" borderId="61" xfId="0" quotePrefix="1" applyNumberFormat="1" applyFont="1" applyFill="1" applyBorder="1" applyAlignment="1">
      <alignment horizontal="right"/>
    </xf>
    <xf numFmtId="165" fontId="7" fillId="0" borderId="34" xfId="0" applyNumberFormat="1" applyFont="1" applyFill="1" applyBorder="1" applyAlignment="1">
      <alignment horizontal="right"/>
    </xf>
    <xf numFmtId="165" fontId="7" fillId="0" borderId="53" xfId="0" applyNumberFormat="1" applyFont="1" applyFill="1" applyBorder="1" applyAlignment="1">
      <alignment horizontal="right"/>
    </xf>
    <xf numFmtId="165" fontId="7" fillId="0" borderId="62" xfId="0" applyNumberFormat="1" applyFont="1" applyFill="1" applyBorder="1" applyAlignment="1">
      <alignment horizontal="right"/>
    </xf>
    <xf numFmtId="165" fontId="7" fillId="0" borderId="61" xfId="0" applyNumberFormat="1" applyFont="1" applyFill="1" applyBorder="1" applyAlignment="1">
      <alignment horizontal="right"/>
    </xf>
    <xf numFmtId="165" fontId="7" fillId="0" borderId="63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/>
    <xf numFmtId="165" fontId="12" fillId="0" borderId="0" xfId="0" applyNumberFormat="1" applyFont="1" applyFill="1" applyBorder="1" applyAlignment="1"/>
    <xf numFmtId="165" fontId="8" fillId="0" borderId="0" xfId="0" applyNumberFormat="1" applyFont="1" applyFill="1" applyAlignment="1"/>
    <xf numFmtId="165" fontId="11" fillId="0" borderId="0" xfId="1" applyNumberFormat="1" applyFont="1" applyFill="1" applyBorder="1" applyAlignment="1"/>
    <xf numFmtId="164" fontId="8" fillId="0" borderId="0" xfId="1" applyNumberFormat="1" applyFont="1" applyFill="1" applyBorder="1" applyAlignment="1"/>
    <xf numFmtId="0" fontId="8" fillId="0" borderId="0" xfId="0" applyFont="1" applyFill="1" applyBorder="1" applyAlignment="1">
      <alignment horizontal="center"/>
    </xf>
    <xf numFmtId="165" fontId="8" fillId="0" borderId="45" xfId="0" applyNumberFormat="1" applyFont="1" applyFill="1" applyBorder="1" applyAlignment="1"/>
    <xf numFmtId="165" fontId="8" fillId="0" borderId="2" xfId="0" applyNumberFormat="1" applyFont="1" applyFill="1" applyBorder="1" applyAlignment="1"/>
    <xf numFmtId="165" fontId="10" fillId="0" borderId="2" xfId="0" applyNumberFormat="1" applyFont="1" applyFill="1" applyBorder="1" applyAlignment="1"/>
    <xf numFmtId="165" fontId="10" fillId="0" borderId="0" xfId="0" applyNumberFormat="1" applyFont="1" applyFill="1" applyAlignment="1"/>
    <xf numFmtId="165" fontId="10" fillId="0" borderId="22" xfId="0" applyNumberFormat="1" applyFont="1" applyFill="1" applyBorder="1" applyAlignment="1">
      <alignment horizontal="right"/>
    </xf>
    <xf numFmtId="165" fontId="8" fillId="0" borderId="22" xfId="0" applyNumberFormat="1" applyFont="1" applyFill="1" applyBorder="1" applyAlignment="1">
      <alignment horizontal="right"/>
    </xf>
    <xf numFmtId="165" fontId="7" fillId="0" borderId="20" xfId="0" applyNumberFormat="1" applyFont="1" applyFill="1" applyBorder="1" applyAlignment="1">
      <alignment horizontal="right"/>
    </xf>
    <xf numFmtId="165" fontId="7" fillId="0" borderId="11" xfId="0" applyNumberFormat="1" applyFont="1" applyFill="1" applyBorder="1" applyAlignment="1">
      <alignment horizontal="right"/>
    </xf>
    <xf numFmtId="0" fontId="5" fillId="0" borderId="0" xfId="0" applyFont="1" applyBorder="1"/>
    <xf numFmtId="0" fontId="6" fillId="0" borderId="1" xfId="0" applyFont="1" applyBorder="1"/>
    <xf numFmtId="0" fontId="5" fillId="0" borderId="1" xfId="0" applyFont="1" applyBorder="1"/>
    <xf numFmtId="0" fontId="5" fillId="0" borderId="0" xfId="0" applyFont="1" applyFill="1" applyBorder="1"/>
    <xf numFmtId="0" fontId="5" fillId="0" borderId="1" xfId="0" applyFont="1" applyFill="1" applyBorder="1"/>
    <xf numFmtId="0" fontId="5" fillId="0" borderId="0" xfId="0" applyFont="1"/>
    <xf numFmtId="0" fontId="7" fillId="0" borderId="44" xfId="0" applyFont="1" applyBorder="1"/>
    <xf numFmtId="0" fontId="7" fillId="0" borderId="45" xfId="0" applyFont="1" applyBorder="1"/>
    <xf numFmtId="0" fontId="7" fillId="0" borderId="45" xfId="0" applyFont="1" applyFill="1" applyBorder="1" applyAlignment="1">
      <alignment horizontal="right"/>
    </xf>
    <xf numFmtId="0" fontId="5" fillId="0" borderId="2" xfId="0" applyFont="1" applyBorder="1"/>
    <xf numFmtId="0" fontId="7" fillId="0" borderId="2" xfId="0" applyFont="1" applyBorder="1"/>
    <xf numFmtId="0" fontId="7" fillId="0" borderId="0" xfId="0" applyFont="1" applyBorder="1"/>
    <xf numFmtId="0" fontId="7" fillId="0" borderId="9" xfId="2" applyFont="1" applyFill="1" applyBorder="1" applyAlignment="1">
      <alignment horizontal="right"/>
    </xf>
    <xf numFmtId="0" fontId="7" fillId="0" borderId="13" xfId="0" applyFont="1" applyBorder="1"/>
    <xf numFmtId="0" fontId="7" fillId="0" borderId="14" xfId="0" applyFont="1" applyBorder="1" applyAlignment="1">
      <alignment horizontal="center"/>
    </xf>
    <xf numFmtId="0" fontId="7" fillId="0" borderId="16" xfId="2" applyFont="1" applyFill="1" applyBorder="1" applyAlignment="1">
      <alignment horizontal="right"/>
    </xf>
    <xf numFmtId="165" fontId="7" fillId="0" borderId="16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19" fillId="0" borderId="2" xfId="0" applyNumberFormat="1" applyFont="1" applyBorder="1"/>
    <xf numFmtId="164" fontId="2" fillId="0" borderId="2" xfId="0" applyNumberFormat="1" applyFont="1" applyBorder="1"/>
    <xf numFmtId="165" fontId="2" fillId="0" borderId="0" xfId="0" applyNumberFormat="1" applyFont="1"/>
    <xf numFmtId="165" fontId="5" fillId="0" borderId="0" xfId="0" applyNumberFormat="1" applyFont="1"/>
    <xf numFmtId="0" fontId="8" fillId="0" borderId="0" xfId="0" quotePrefix="1" applyFont="1" applyFill="1" applyBorder="1" applyAlignment="1">
      <alignment horizontal="right"/>
    </xf>
    <xf numFmtId="164" fontId="5" fillId="0" borderId="2" xfId="0" applyNumberFormat="1" applyFont="1" applyBorder="1"/>
    <xf numFmtId="0" fontId="8" fillId="0" borderId="0" xfId="0" applyFont="1" applyBorder="1"/>
    <xf numFmtId="165" fontId="8" fillId="0" borderId="21" xfId="2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9" fillId="0" borderId="2" xfId="0" applyNumberFormat="1" applyFont="1" applyFill="1" applyBorder="1"/>
    <xf numFmtId="164" fontId="5" fillId="0" borderId="2" xfId="0" applyNumberFormat="1" applyFont="1" applyFill="1" applyBorder="1"/>
    <xf numFmtId="0" fontId="5" fillId="0" borderId="0" xfId="0" applyFont="1" applyFill="1"/>
    <xf numFmtId="0" fontId="10" fillId="0" borderId="0" xfId="0" applyNumberFormat="1" applyFont="1" applyFill="1" applyBorder="1" applyAlignment="1">
      <alignment horizontal="right"/>
    </xf>
    <xf numFmtId="0" fontId="65" fillId="0" borderId="2" xfId="0" applyNumberFormat="1" applyFont="1" applyBorder="1"/>
    <xf numFmtId="0" fontId="65" fillId="0" borderId="26" xfId="0" applyNumberFormat="1" applyFont="1" applyBorder="1"/>
    <xf numFmtId="0" fontId="8" fillId="0" borderId="1" xfId="0" quotePrefix="1" applyFont="1" applyFill="1" applyBorder="1"/>
    <xf numFmtId="0" fontId="8" fillId="0" borderId="1" xfId="0" quotePrefix="1" applyFont="1" applyFill="1" applyBorder="1" applyAlignment="1">
      <alignment horizontal="right"/>
    </xf>
    <xf numFmtId="165" fontId="8" fillId="0" borderId="28" xfId="0" applyNumberFormat="1" applyFont="1" applyFill="1" applyBorder="1" applyAlignment="1">
      <alignment horizontal="right"/>
    </xf>
    <xf numFmtId="0" fontId="11" fillId="0" borderId="26" xfId="0" applyNumberFormat="1" applyFont="1" applyBorder="1"/>
    <xf numFmtId="0" fontId="8" fillId="0" borderId="1" xfId="0" quotePrefix="1" applyFont="1" applyBorder="1"/>
    <xf numFmtId="0" fontId="8" fillId="0" borderId="1" xfId="0" applyNumberFormat="1" applyFont="1" applyFill="1" applyBorder="1" applyAlignment="1">
      <alignment horizontal="right"/>
    </xf>
    <xf numFmtId="196" fontId="8" fillId="0" borderId="28" xfId="0" applyNumberFormat="1" applyFont="1" applyFill="1" applyBorder="1" applyAlignment="1">
      <alignment horizontal="right"/>
    </xf>
    <xf numFmtId="0" fontId="10" fillId="0" borderId="0" xfId="0" applyNumberFormat="1" applyFont="1"/>
    <xf numFmtId="0" fontId="10" fillId="0" borderId="0" xfId="0" applyFont="1"/>
    <xf numFmtId="164" fontId="2" fillId="0" borderId="0" xfId="0" applyNumberFormat="1" applyFont="1" applyBorder="1"/>
    <xf numFmtId="0" fontId="2" fillId="0" borderId="0" xfId="0" applyFont="1" applyBorder="1"/>
    <xf numFmtId="0" fontId="2" fillId="0" borderId="0" xfId="0" applyFont="1"/>
    <xf numFmtId="165" fontId="8" fillId="0" borderId="0" xfId="0" applyNumberFormat="1" applyFont="1" applyFill="1"/>
    <xf numFmtId="165" fontId="5" fillId="0" borderId="0" xfId="0" applyNumberFormat="1" applyFont="1" applyFill="1"/>
    <xf numFmtId="165" fontId="8" fillId="0" borderId="0" xfId="0" applyNumberFormat="1" applyFont="1" applyFill="1" applyBorder="1"/>
    <xf numFmtId="43" fontId="8" fillId="0" borderId="0" xfId="1" applyFont="1" applyFill="1" applyBorder="1"/>
    <xf numFmtId="0" fontId="66" fillId="0" borderId="0" xfId="0" applyFont="1" applyBorder="1"/>
    <xf numFmtId="0" fontId="67" fillId="0" borderId="0" xfId="0" applyFont="1"/>
    <xf numFmtId="0" fontId="20" fillId="0" borderId="0" xfId="0" applyFont="1" applyFill="1"/>
    <xf numFmtId="43" fontId="5" fillId="0" borderId="0" xfId="1" applyFont="1" applyFill="1"/>
    <xf numFmtId="43" fontId="5" fillId="0" borderId="0" xfId="1" applyFont="1"/>
    <xf numFmtId="165" fontId="5" fillId="0" borderId="0" xfId="1" applyNumberFormat="1" applyFont="1" applyFill="1"/>
    <xf numFmtId="165" fontId="5" fillId="0" borderId="0" xfId="1" applyNumberFormat="1" applyFont="1"/>
    <xf numFmtId="197" fontId="5" fillId="0" borderId="0" xfId="1" applyNumberFormat="1" applyFont="1" applyFill="1"/>
    <xf numFmtId="165" fontId="2" fillId="0" borderId="0" xfId="1" applyNumberFormat="1" applyFont="1" applyFill="1"/>
    <xf numFmtId="196" fontId="2" fillId="0" borderId="0" xfId="1" applyNumberFormat="1" applyFont="1" applyFill="1"/>
    <xf numFmtId="165" fontId="7" fillId="0" borderId="0" xfId="0" applyNumberFormat="1" applyFont="1" applyFill="1" applyBorder="1"/>
    <xf numFmtId="165" fontId="6" fillId="0" borderId="0" xfId="0" applyNumberFormat="1" applyFont="1" applyFill="1" applyBorder="1"/>
    <xf numFmtId="165" fontId="8" fillId="0" borderId="1" xfId="0" applyNumberFormat="1" applyFont="1" applyFill="1" applyBorder="1"/>
    <xf numFmtId="165" fontId="8" fillId="0" borderId="44" xfId="0" applyNumberFormat="1" applyFont="1" applyFill="1" applyBorder="1"/>
    <xf numFmtId="165" fontId="8" fillId="0" borderId="50" xfId="0" applyNumberFormat="1" applyFont="1" applyFill="1" applyBorder="1"/>
    <xf numFmtId="165" fontId="8" fillId="0" borderId="4" xfId="0" applyNumberFormat="1" applyFont="1" applyFill="1" applyBorder="1"/>
    <xf numFmtId="165" fontId="8" fillId="0" borderId="5" xfId="0" applyNumberFormat="1" applyFont="1" applyFill="1" applyBorder="1"/>
    <xf numFmtId="165" fontId="7" fillId="0" borderId="5" xfId="0" applyNumberFormat="1" applyFont="1" applyFill="1" applyBorder="1" applyAlignment="1">
      <alignment horizontal="center"/>
    </xf>
    <xf numFmtId="165" fontId="7" fillId="0" borderId="4" xfId="0" applyNumberFormat="1" applyFont="1" applyFill="1" applyBorder="1" applyAlignment="1">
      <alignment horizontal="center"/>
    </xf>
    <xf numFmtId="165" fontId="7" fillId="0" borderId="5" xfId="0" quotePrefix="1" applyNumberFormat="1" applyFont="1" applyFill="1" applyBorder="1" applyAlignment="1">
      <alignment horizontal="center"/>
    </xf>
    <xf numFmtId="165" fontId="7" fillId="0" borderId="7" xfId="0" quotePrefix="1" applyNumberFormat="1" applyFont="1" applyFill="1" applyBorder="1" applyAlignment="1">
      <alignment horizontal="center"/>
    </xf>
    <xf numFmtId="165" fontId="8" fillId="0" borderId="2" xfId="0" applyNumberFormat="1" applyFont="1" applyFill="1" applyBorder="1"/>
    <xf numFmtId="165" fontId="7" fillId="0" borderId="13" xfId="0" applyNumberFormat="1" applyFont="1" applyFill="1" applyBorder="1" applyAlignment="1">
      <alignment horizontal="left"/>
    </xf>
    <xf numFmtId="165" fontId="7" fillId="0" borderId="14" xfId="0" applyNumberFormat="1" applyFont="1" applyFill="1" applyBorder="1" applyAlignment="1">
      <alignment horizontal="center"/>
    </xf>
    <xf numFmtId="165" fontId="7" fillId="0" borderId="15" xfId="0" applyNumberFormat="1" applyFont="1" applyFill="1" applyBorder="1" applyAlignment="1">
      <alignment horizontal="right"/>
    </xf>
    <xf numFmtId="165" fontId="7" fillId="0" borderId="14" xfId="0" applyNumberFormat="1" applyFont="1" applyFill="1" applyBorder="1" applyAlignment="1">
      <alignment horizontal="right"/>
    </xf>
    <xf numFmtId="165" fontId="7" fillId="0" borderId="18" xfId="0" applyNumberFormat="1" applyFont="1" applyFill="1" applyBorder="1" applyAlignment="1">
      <alignment horizontal="right"/>
    </xf>
    <xf numFmtId="165" fontId="8" fillId="0" borderId="21" xfId="0" applyNumberFormat="1" applyFont="1" applyFill="1" applyBorder="1" applyAlignment="1">
      <alignment horizontal="center"/>
    </xf>
    <xf numFmtId="165" fontId="8" fillId="0" borderId="8" xfId="0" applyNumberFormat="1" applyFont="1" applyFill="1" applyBorder="1"/>
    <xf numFmtId="165" fontId="7" fillId="0" borderId="2" xfId="0" applyNumberFormat="1" applyFont="1" applyFill="1" applyBorder="1"/>
    <xf numFmtId="165" fontId="7" fillId="0" borderId="21" xfId="0" applyNumberFormat="1" applyFont="1" applyFill="1" applyBorder="1" applyAlignment="1">
      <alignment horizontal="center"/>
    </xf>
    <xf numFmtId="165" fontId="7" fillId="0" borderId="8" xfId="0" applyNumberFormat="1" applyFont="1" applyFill="1" applyBorder="1"/>
    <xf numFmtId="165" fontId="7" fillId="0" borderId="0" xfId="1" applyNumberFormat="1" applyFont="1" applyFill="1" applyBorder="1"/>
    <xf numFmtId="165" fontId="7" fillId="0" borderId="8" xfId="1" applyNumberFormat="1" applyFont="1" applyFill="1" applyBorder="1"/>
    <xf numFmtId="165" fontId="7" fillId="0" borderId="0" xfId="348" applyNumberFormat="1" applyFont="1" applyFill="1" applyBorder="1"/>
    <xf numFmtId="165" fontId="8" fillId="0" borderId="20" xfId="0" applyNumberFormat="1" applyFont="1" applyFill="1" applyBorder="1"/>
    <xf numFmtId="165" fontId="8" fillId="0" borderId="11" xfId="0" applyNumberFormat="1" applyFont="1" applyFill="1" applyBorder="1"/>
    <xf numFmtId="165" fontId="8" fillId="0" borderId="10" xfId="0" applyNumberFormat="1" applyFont="1" applyFill="1" applyBorder="1"/>
    <xf numFmtId="165" fontId="8" fillId="0" borderId="11" xfId="1" applyNumberFormat="1" applyFont="1" applyFill="1" applyBorder="1"/>
    <xf numFmtId="165" fontId="8" fillId="0" borderId="55" xfId="1" applyNumberFormat="1" applyFont="1" applyFill="1" applyBorder="1"/>
    <xf numFmtId="165" fontId="8" fillId="0" borderId="11" xfId="348" applyNumberFormat="1" applyFont="1" applyFill="1" applyBorder="1"/>
    <xf numFmtId="165" fontId="8" fillId="0" borderId="2" xfId="0" applyNumberFormat="1" applyFont="1" applyFill="1" applyBorder="1" applyAlignment="1">
      <alignment horizontal="left" indent="1"/>
    </xf>
    <xf numFmtId="165" fontId="8" fillId="0" borderId="0" xfId="0" applyNumberFormat="1" applyFont="1" applyFill="1" applyBorder="1" applyAlignment="1">
      <alignment horizontal="left" indent="1"/>
    </xf>
    <xf numFmtId="165" fontId="8" fillId="0" borderId="9" xfId="348" applyNumberFormat="1" applyFont="1" applyFill="1" applyBorder="1"/>
    <xf numFmtId="165" fontId="8" fillId="0" borderId="22" xfId="0" applyNumberFormat="1" applyFont="1" applyFill="1" applyBorder="1"/>
    <xf numFmtId="165" fontId="8" fillId="0" borderId="9" xfId="0" applyNumberFormat="1" applyFont="1" applyFill="1" applyBorder="1"/>
    <xf numFmtId="165" fontId="8" fillId="0" borderId="21" xfId="0" applyNumberFormat="1" applyFont="1" applyFill="1" applyBorder="1"/>
    <xf numFmtId="165" fontId="8" fillId="0" borderId="21" xfId="348" applyNumberFormat="1" applyFont="1" applyFill="1" applyBorder="1"/>
    <xf numFmtId="165" fontId="8" fillId="0" borderId="16" xfId="348" applyNumberFormat="1" applyFont="1" applyFill="1" applyBorder="1"/>
    <xf numFmtId="165" fontId="8" fillId="0" borderId="16" xfId="0" applyNumberFormat="1" applyFont="1" applyFill="1" applyBorder="1"/>
    <xf numFmtId="165" fontId="8" fillId="0" borderId="0" xfId="348" applyNumberFormat="1" applyFont="1" applyFill="1" applyBorder="1"/>
    <xf numFmtId="165" fontId="8" fillId="0" borderId="2" xfId="0" applyNumberFormat="1" applyFont="1" applyFill="1" applyBorder="1" applyAlignment="1">
      <alignment horizontal="left"/>
    </xf>
    <xf numFmtId="165" fontId="8" fillId="0" borderId="15" xfId="0" applyNumberFormat="1" applyFont="1" applyFill="1" applyBorder="1"/>
    <xf numFmtId="165" fontId="8" fillId="0" borderId="14" xfId="348" applyNumberFormat="1" applyFont="1" applyFill="1" applyBorder="1"/>
    <xf numFmtId="165" fontId="8" fillId="0" borderId="17" xfId="0" applyNumberFormat="1" applyFont="1" applyFill="1" applyBorder="1"/>
    <xf numFmtId="165" fontId="8" fillId="0" borderId="14" xfId="0" applyNumberFormat="1" applyFont="1" applyFill="1" applyBorder="1"/>
    <xf numFmtId="165" fontId="8" fillId="0" borderId="8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5" fontId="7" fillId="0" borderId="8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5" fontId="8" fillId="0" borderId="20" xfId="0" applyNumberFormat="1" applyFont="1" applyFill="1" applyBorder="1" applyAlignment="1">
      <alignment horizontal="center"/>
    </xf>
    <xf numFmtId="196" fontId="8" fillId="0" borderId="21" xfId="0" applyNumberFormat="1" applyFont="1" applyFill="1" applyBorder="1" applyAlignment="1">
      <alignment horizontal="right"/>
    </xf>
    <xf numFmtId="196" fontId="8" fillId="0" borderId="8" xfId="0" applyNumberFormat="1" applyFont="1" applyFill="1" applyBorder="1" applyAlignment="1">
      <alignment horizontal="right"/>
    </xf>
    <xf numFmtId="196" fontId="8" fillId="0" borderId="21" xfId="0" applyNumberFormat="1" applyFont="1" applyFill="1" applyBorder="1" applyAlignment="1">
      <alignment horizontal="center"/>
    </xf>
    <xf numFmtId="196" fontId="8" fillId="0" borderId="8" xfId="0" applyNumberFormat="1" applyFont="1" applyFill="1" applyBorder="1" applyAlignment="1">
      <alignment horizontal="center"/>
    </xf>
    <xf numFmtId="196" fontId="8" fillId="0" borderId="15" xfId="0" applyNumberFormat="1" applyFont="1" applyFill="1" applyBorder="1" applyAlignment="1">
      <alignment horizontal="center"/>
    </xf>
    <xf numFmtId="196" fontId="8" fillId="0" borderId="0" xfId="0" applyNumberFormat="1" applyFont="1" applyFill="1" applyBorder="1" applyAlignment="1">
      <alignment horizontal="center"/>
    </xf>
    <xf numFmtId="196" fontId="8" fillId="0" borderId="0" xfId="0" applyNumberFormat="1" applyFont="1" applyFill="1" applyBorder="1" applyAlignment="1">
      <alignment horizontal="right"/>
    </xf>
    <xf numFmtId="196" fontId="8" fillId="0" borderId="20" xfId="0" applyNumberFormat="1" applyFont="1" applyFill="1" applyBorder="1" applyAlignment="1">
      <alignment horizontal="center"/>
    </xf>
    <xf numFmtId="165" fontId="8" fillId="0" borderId="15" xfId="0" applyNumberFormat="1" applyFont="1" applyFill="1" applyBorder="1" applyAlignment="1">
      <alignment horizontal="center"/>
    </xf>
    <xf numFmtId="165" fontId="8" fillId="0" borderId="10" xfId="1" applyNumberFormat="1" applyFont="1" applyFill="1" applyBorder="1"/>
    <xf numFmtId="165" fontId="8" fillId="0" borderId="0" xfId="1" applyNumberFormat="1" applyFont="1" applyFill="1" applyBorder="1"/>
    <xf numFmtId="165" fontId="8" fillId="0" borderId="8" xfId="1" applyNumberFormat="1" applyFont="1" applyFill="1" applyBorder="1"/>
    <xf numFmtId="165" fontId="8" fillId="0" borderId="20" xfId="1" applyNumberFormat="1" applyFont="1" applyFill="1" applyBorder="1"/>
    <xf numFmtId="165" fontId="8" fillId="0" borderId="22" xfId="1" applyNumberFormat="1" applyFont="1" applyFill="1" applyBorder="1"/>
    <xf numFmtId="165" fontId="7" fillId="0" borderId="19" xfId="0" applyNumberFormat="1" applyFont="1" applyFill="1" applyBorder="1"/>
    <xf numFmtId="165" fontId="7" fillId="0" borderId="10" xfId="0" applyNumberFormat="1" applyFont="1" applyFill="1" applyBorder="1"/>
    <xf numFmtId="165" fontId="7" fillId="0" borderId="20" xfId="0" applyNumberFormat="1" applyFont="1" applyFill="1" applyBorder="1" applyAlignment="1">
      <alignment horizontal="center"/>
    </xf>
    <xf numFmtId="165" fontId="7" fillId="0" borderId="11" xfId="0" applyNumberFormat="1" applyFont="1" applyFill="1" applyBorder="1" applyAlignment="1">
      <alignment horizontal="center"/>
    </xf>
    <xf numFmtId="165" fontId="7" fillId="0" borderId="11" xfId="0" applyNumberFormat="1" applyFont="1" applyFill="1" applyBorder="1"/>
    <xf numFmtId="165" fontId="7" fillId="0" borderId="20" xfId="0" applyNumberFormat="1" applyFont="1" applyFill="1" applyBorder="1"/>
    <xf numFmtId="165" fontId="7" fillId="0" borderId="11" xfId="348" applyNumberFormat="1" applyFont="1" applyFill="1" applyBorder="1"/>
    <xf numFmtId="165" fontId="7" fillId="0" borderId="12" xfId="0" applyNumberFormat="1" applyFont="1" applyFill="1" applyBorder="1"/>
    <xf numFmtId="0" fontId="10" fillId="0" borderId="45" xfId="0" applyNumberFormat="1" applyFont="1" applyFill="1" applyBorder="1"/>
    <xf numFmtId="165" fontId="8" fillId="0" borderId="45" xfId="0" applyNumberFormat="1" applyFont="1" applyFill="1" applyBorder="1"/>
    <xf numFmtId="198" fontId="8" fillId="0" borderId="0" xfId="0" applyNumberFormat="1" applyFont="1" applyFill="1"/>
    <xf numFmtId="198" fontId="8" fillId="0" borderId="0" xfId="0" applyNumberFormat="1" applyFont="1" applyFill="1" applyBorder="1"/>
    <xf numFmtId="198" fontId="10" fillId="0" borderId="0" xfId="0" applyNumberFormat="1" applyFont="1" applyFill="1" applyBorder="1"/>
    <xf numFmtId="0" fontId="10" fillId="0" borderId="0" xfId="0" applyNumberFormat="1" applyFont="1" applyFill="1" applyBorder="1"/>
    <xf numFmtId="199" fontId="8" fillId="0" borderId="0" xfId="0" applyNumberFormat="1" applyFont="1" applyFill="1" applyBorder="1"/>
    <xf numFmtId="200" fontId="8" fillId="0" borderId="0" xfId="0" applyNumberFormat="1" applyFont="1" applyFill="1" applyBorder="1"/>
    <xf numFmtId="165" fontId="6" fillId="0" borderId="1" xfId="0" applyNumberFormat="1" applyFont="1" applyFill="1" applyBorder="1"/>
    <xf numFmtId="165" fontId="7" fillId="0" borderId="4" xfId="0" applyNumberFormat="1" applyFont="1" applyFill="1" applyBorder="1"/>
    <xf numFmtId="165" fontId="7" fillId="0" borderId="5" xfId="0" applyNumberFormat="1" applyFont="1" applyFill="1" applyBorder="1"/>
    <xf numFmtId="0" fontId="55" fillId="0" borderId="15" xfId="0" applyFont="1" applyFill="1" applyBorder="1"/>
    <xf numFmtId="0" fontId="55" fillId="0" borderId="14" xfId="0" applyFont="1" applyFill="1" applyBorder="1"/>
    <xf numFmtId="0" fontId="0" fillId="0" borderId="7" xfId="0" applyFill="1" applyBorder="1" applyAlignment="1">
      <alignment horizontal="center"/>
    </xf>
    <xf numFmtId="165" fontId="7" fillId="0" borderId="10" xfId="0" applyNumberFormat="1" applyFont="1" applyFill="1" applyBorder="1" applyAlignment="1">
      <alignment horizontal="right"/>
    </xf>
    <xf numFmtId="165" fontId="7" fillId="0" borderId="15" xfId="0" applyNumberFormat="1" applyFont="1" applyFill="1" applyBorder="1" applyAlignment="1">
      <alignment horizontal="left"/>
    </xf>
    <xf numFmtId="165" fontId="7" fillId="0" borderId="14" xfId="0" applyNumberFormat="1" applyFont="1" applyFill="1" applyBorder="1" applyAlignment="1">
      <alignment horizontal="left"/>
    </xf>
    <xf numFmtId="165" fontId="7" fillId="0" borderId="15" xfId="0" applyNumberFormat="1" applyFont="1" applyFill="1" applyBorder="1" applyAlignment="1">
      <alignment horizontal="center"/>
    </xf>
    <xf numFmtId="165" fontId="7" fillId="0" borderId="17" xfId="0" applyNumberFormat="1" applyFont="1" applyFill="1" applyBorder="1" applyAlignment="1">
      <alignment horizontal="right"/>
    </xf>
    <xf numFmtId="165" fontId="8" fillId="0" borderId="2" xfId="0" applyNumberFormat="1" applyFont="1" applyFill="1" applyBorder="1" applyAlignment="1">
      <alignment horizontal="center"/>
    </xf>
    <xf numFmtId="165" fontId="8" fillId="0" borderId="11" xfId="0" applyNumberFormat="1" applyFont="1" applyFill="1" applyBorder="1" applyAlignment="1">
      <alignment horizontal="center"/>
    </xf>
    <xf numFmtId="165" fontId="8" fillId="0" borderId="12" xfId="0" applyNumberFormat="1" applyFont="1" applyFill="1" applyBorder="1"/>
    <xf numFmtId="165" fontId="8" fillId="0" borderId="10" xfId="0" applyNumberFormat="1" applyFont="1" applyFill="1" applyBorder="1" applyAlignment="1">
      <alignment horizontal="center"/>
    </xf>
    <xf numFmtId="165" fontId="8" fillId="0" borderId="22" xfId="0" applyNumberFormat="1" applyFont="1" applyFill="1" applyBorder="1" applyAlignment="1">
      <alignment horizontal="center"/>
    </xf>
    <xf numFmtId="165" fontId="8" fillId="0" borderId="14" xfId="0" applyNumberFormat="1" applyFont="1" applyFill="1" applyBorder="1" applyAlignment="1">
      <alignment horizontal="center"/>
    </xf>
    <xf numFmtId="165" fontId="8" fillId="0" borderId="17" xfId="0" applyNumberFormat="1" applyFont="1" applyFill="1" applyBorder="1" applyAlignment="1">
      <alignment horizontal="center"/>
    </xf>
    <xf numFmtId="165" fontId="7" fillId="0" borderId="8" xfId="1" applyNumberFormat="1" applyFont="1" applyFill="1" applyBorder="1" applyAlignment="1">
      <alignment horizontal="right"/>
    </xf>
    <xf numFmtId="43" fontId="7" fillId="0" borderId="0" xfId="1" applyFont="1" applyFill="1"/>
    <xf numFmtId="165" fontId="8" fillId="0" borderId="11" xfId="1" applyNumberFormat="1" applyFont="1" applyFill="1" applyBorder="1" applyAlignment="1">
      <alignment horizontal="right"/>
    </xf>
    <xf numFmtId="165" fontId="8" fillId="0" borderId="10" xfId="1" applyNumberFormat="1" applyFont="1" applyFill="1" applyBorder="1" applyAlignment="1">
      <alignment horizontal="right"/>
    </xf>
    <xf numFmtId="165" fontId="8" fillId="0" borderId="20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4" xfId="0" applyNumberFormat="1" applyFont="1" applyFill="1" applyBorder="1"/>
    <xf numFmtId="165" fontId="8" fillId="0" borderId="55" xfId="1" applyNumberFormat="1" applyFont="1" applyFill="1" applyBorder="1" applyAlignment="1">
      <alignment horizontal="left"/>
    </xf>
    <xf numFmtId="165" fontId="8" fillId="0" borderId="56" xfId="1" applyNumberFormat="1" applyFont="1" applyFill="1" applyBorder="1" applyAlignment="1">
      <alignment horizontal="right"/>
    </xf>
    <xf numFmtId="165" fontId="8" fillId="0" borderId="54" xfId="1" applyNumberFormat="1" applyFont="1" applyFill="1" applyBorder="1" applyAlignment="1">
      <alignment horizontal="right"/>
    </xf>
    <xf numFmtId="165" fontId="8" fillId="0" borderId="55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8" fontId="8" fillId="0" borderId="15" xfId="1" applyNumberFormat="1" applyFont="1" applyFill="1" applyBorder="1" applyAlignment="1">
      <alignment horizontal="right"/>
    </xf>
    <xf numFmtId="168" fontId="8" fillId="0" borderId="17" xfId="1" applyNumberFormat="1" applyFont="1" applyFill="1" applyBorder="1" applyAlignment="1">
      <alignment horizontal="right"/>
    </xf>
    <xf numFmtId="165" fontId="7" fillId="0" borderId="2" xfId="0" applyNumberFormat="1" applyFont="1" applyFill="1" applyBorder="1" applyAlignment="1">
      <alignment horizontal="center"/>
    </xf>
    <xf numFmtId="165" fontId="8" fillId="0" borderId="64" xfId="0" applyNumberFormat="1" applyFont="1" applyFill="1" applyBorder="1"/>
    <xf numFmtId="165" fontId="8" fillId="0" borderId="24" xfId="0" applyNumberFormat="1" applyFont="1" applyFill="1" applyBorder="1"/>
    <xf numFmtId="165" fontId="8" fillId="0" borderId="65" xfId="0" applyNumberFormat="1" applyFont="1" applyFill="1" applyBorder="1"/>
    <xf numFmtId="165" fontId="8" fillId="0" borderId="27" xfId="0" applyNumberFormat="1" applyFont="1" applyFill="1" applyBorder="1"/>
    <xf numFmtId="165" fontId="8" fillId="0" borderId="27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7" fillId="0" borderId="0" xfId="0" quotePrefix="1" applyNumberFormat="1" applyFont="1" applyFill="1" applyBorder="1"/>
    <xf numFmtId="165" fontId="8" fillId="0" borderId="44" xfId="0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right"/>
    </xf>
    <xf numFmtId="165" fontId="8" fillId="0" borderId="8" xfId="0" applyNumberFormat="1" applyFont="1" applyFill="1" applyBorder="1" applyAlignment="1">
      <alignment horizontal="left" indent="1"/>
    </xf>
    <xf numFmtId="165" fontId="8" fillId="0" borderId="20" xfId="0" applyNumberFormat="1" applyFont="1" applyFill="1" applyBorder="1" applyAlignment="1">
      <alignment horizontal="left" indent="1"/>
    </xf>
    <xf numFmtId="165" fontId="8" fillId="0" borderId="11" xfId="0" applyNumberFormat="1" applyFont="1" applyFill="1" applyBorder="1" applyAlignment="1">
      <alignment horizontal="left" indent="1"/>
    </xf>
    <xf numFmtId="165" fontId="8" fillId="0" borderId="8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left"/>
    </xf>
    <xf numFmtId="165" fontId="7" fillId="0" borderId="2" xfId="0" applyNumberFormat="1" applyFont="1" applyFill="1" applyBorder="1" applyAlignment="1">
      <alignment horizontal="left"/>
    </xf>
    <xf numFmtId="165" fontId="8" fillId="0" borderId="15" xfId="0" applyNumberFormat="1" applyFont="1" applyFill="1" applyBorder="1" applyAlignment="1">
      <alignment horizontal="left" indent="1"/>
    </xf>
    <xf numFmtId="165" fontId="8" fillId="0" borderId="15" xfId="0" applyNumberFormat="1" applyFont="1" applyFill="1" applyBorder="1" applyAlignment="1">
      <alignment horizontal="left"/>
    </xf>
    <xf numFmtId="165" fontId="7" fillId="0" borderId="8" xfId="0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left"/>
    </xf>
    <xf numFmtId="165" fontId="8" fillId="0" borderId="54" xfId="0" applyNumberFormat="1" applyFont="1" applyFill="1" applyBorder="1" applyAlignment="1">
      <alignment horizontal="left" indent="1"/>
    </xf>
    <xf numFmtId="171" fontId="8" fillId="0" borderId="55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8" fillId="0" borderId="55" xfId="0" applyNumberFormat="1" applyFont="1" applyFill="1" applyBorder="1"/>
    <xf numFmtId="165" fontId="8" fillId="0" borderId="25" xfId="1" applyNumberFormat="1" applyFont="1" applyFill="1" applyBorder="1" applyAlignment="1">
      <alignment horizontal="right"/>
    </xf>
    <xf numFmtId="165" fontId="8" fillId="0" borderId="56" xfId="0" applyNumberFormat="1" applyFont="1" applyFill="1" applyBorder="1"/>
    <xf numFmtId="165" fontId="6" fillId="0" borderId="0" xfId="0" applyNumberFormat="1" applyFont="1" applyFill="1"/>
    <xf numFmtId="165" fontId="8" fillId="0" borderId="0" xfId="348" applyNumberFormat="1" applyFont="1" applyFill="1" applyBorder="1" applyAlignment="1">
      <alignment horizontal="center"/>
    </xf>
    <xf numFmtId="165" fontId="7" fillId="0" borderId="14" xfId="0" applyNumberFormat="1" applyFont="1" applyFill="1" applyBorder="1"/>
    <xf numFmtId="165" fontId="7" fillId="0" borderId="14" xfId="1" applyNumberFormat="1" applyFont="1" applyFill="1" applyBorder="1" applyAlignment="1">
      <alignment horizontal="right"/>
    </xf>
    <xf numFmtId="165" fontId="8" fillId="0" borderId="26" xfId="0" applyNumberFormat="1" applyFont="1" applyFill="1" applyBorder="1"/>
    <xf numFmtId="165" fontId="11" fillId="0" borderId="1" xfId="1" applyNumberFormat="1" applyFont="1" applyFill="1" applyBorder="1" applyAlignment="1">
      <alignment horizontal="right"/>
    </xf>
    <xf numFmtId="165" fontId="11" fillId="0" borderId="27" xfId="1" applyNumberFormat="1" applyFont="1" applyFill="1" applyBorder="1" applyAlignment="1">
      <alignment horizontal="right"/>
    </xf>
    <xf numFmtId="165" fontId="11" fillId="0" borderId="45" xfId="1" applyNumberFormat="1" applyFont="1" applyFill="1" applyBorder="1" applyAlignment="1">
      <alignment horizontal="right"/>
    </xf>
    <xf numFmtId="165" fontId="8" fillId="0" borderId="45" xfId="1" applyNumberFormat="1" applyFont="1" applyFill="1" applyBorder="1" applyAlignment="1">
      <alignment horizontal="right"/>
    </xf>
    <xf numFmtId="165" fontId="10" fillId="0" borderId="2" xfId="0" applyNumberFormat="1" applyFont="1" applyFill="1" applyBorder="1"/>
    <xf numFmtId="165" fontId="10" fillId="0" borderId="8" xfId="0" applyNumberFormat="1" applyFont="1" applyFill="1" applyBorder="1"/>
    <xf numFmtId="165" fontId="10" fillId="0" borderId="0" xfId="0" applyNumberFormat="1" applyFont="1" applyFill="1" applyBorder="1"/>
    <xf numFmtId="165" fontId="10" fillId="0" borderId="0" xfId="0" applyNumberFormat="1" applyFont="1" applyFill="1" applyBorder="1" applyAlignment="1">
      <alignment horizontal="right"/>
    </xf>
    <xf numFmtId="165" fontId="10" fillId="0" borderId="0" xfId="0" applyNumberFormat="1" applyFont="1" applyFill="1" applyAlignment="1">
      <alignment horizontal="right"/>
    </xf>
    <xf numFmtId="165" fontId="9" fillId="0" borderId="0" xfId="0" applyNumberFormat="1" applyFont="1" applyFill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165" fontId="7" fillId="0" borderId="44" xfId="0" applyNumberFormat="1" applyFont="1" applyFill="1" applyBorder="1"/>
    <xf numFmtId="165" fontId="9" fillId="0" borderId="45" xfId="0" applyNumberFormat="1" applyFont="1" applyFill="1" applyBorder="1" applyAlignment="1">
      <alignment horizontal="right"/>
    </xf>
    <xf numFmtId="165" fontId="7" fillId="0" borderId="3" xfId="0" applyNumberFormat="1" applyFont="1" applyFill="1" applyBorder="1"/>
    <xf numFmtId="165" fontId="7" fillId="0" borderId="45" xfId="0" applyNumberFormat="1" applyFont="1" applyFill="1" applyBorder="1"/>
    <xf numFmtId="165" fontId="7" fillId="0" borderId="45" xfId="0" applyNumberFormat="1" applyFont="1" applyFill="1" applyBorder="1" applyAlignment="1">
      <alignment horizontal="center"/>
    </xf>
    <xf numFmtId="165" fontId="7" fillId="0" borderId="12" xfId="0" applyNumberFormat="1" applyFont="1" applyFill="1" applyBorder="1" applyAlignment="1">
      <alignment horizontal="right"/>
    </xf>
    <xf numFmtId="165" fontId="7" fillId="0" borderId="2" xfId="0" applyNumberFormat="1" applyFont="1" applyFill="1" applyBorder="1" applyAlignment="1">
      <alignment horizontal="right"/>
    </xf>
    <xf numFmtId="165" fontId="9" fillId="0" borderId="14" xfId="0" applyNumberFormat="1" applyFont="1" applyFill="1" applyBorder="1" applyAlignment="1">
      <alignment horizontal="right"/>
    </xf>
    <xf numFmtId="165" fontId="7" fillId="0" borderId="2" xfId="1" applyNumberFormat="1" applyFont="1" applyFill="1" applyBorder="1" applyAlignment="1">
      <alignment horizontal="center"/>
    </xf>
    <xf numFmtId="165" fontId="8" fillId="0" borderId="11" xfId="1" applyNumberFormat="1" applyFont="1" applyFill="1" applyBorder="1" applyAlignment="1">
      <alignment horizontal="center"/>
    </xf>
    <xf numFmtId="165" fontId="8" fillId="0" borderId="10" xfId="1" applyNumberFormat="1" applyFont="1" applyFill="1" applyBorder="1" applyAlignment="1">
      <alignment horizontal="center"/>
    </xf>
    <xf numFmtId="165" fontId="8" fillId="0" borderId="20" xfId="1" applyNumberFormat="1" applyFont="1" applyFill="1" applyBorder="1" applyAlignment="1">
      <alignment horizontal="center"/>
    </xf>
    <xf numFmtId="165" fontId="8" fillId="0" borderId="2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center"/>
    </xf>
    <xf numFmtId="165" fontId="8" fillId="0" borderId="14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201" fontId="8" fillId="0" borderId="0" xfId="81" applyNumberFormat="1" applyFont="1" applyFill="1" applyBorder="1" applyAlignment="1">
      <alignment horizontal="right"/>
    </xf>
    <xf numFmtId="165" fontId="68" fillId="0" borderId="0" xfId="0" applyNumberFormat="1" applyFont="1" applyFill="1" applyBorder="1" applyAlignment="1">
      <alignment horizontal="center"/>
    </xf>
    <xf numFmtId="165" fontId="8" fillId="0" borderId="2" xfId="0" quotePrefix="1" applyNumberFormat="1" applyFont="1" applyFill="1" applyBorder="1"/>
    <xf numFmtId="165" fontId="7" fillId="0" borderId="21" xfId="0" applyNumberFormat="1" applyFont="1" applyFill="1" applyBorder="1"/>
    <xf numFmtId="165" fontId="7" fillId="0" borderId="55" xfId="0" applyNumberFormat="1" applyFont="1" applyFill="1" applyBorder="1"/>
    <xf numFmtId="165" fontId="8" fillId="0" borderId="55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center"/>
    </xf>
    <xf numFmtId="165" fontId="7" fillId="0" borderId="55" xfId="1" applyNumberFormat="1" applyFont="1" applyFill="1" applyBorder="1" applyAlignment="1">
      <alignment horizontal="right"/>
    </xf>
    <xf numFmtId="165" fontId="10" fillId="0" borderId="17" xfId="0" applyNumberFormat="1" applyFont="1" applyFill="1" applyBorder="1" applyAlignment="1">
      <alignment horizontal="right"/>
    </xf>
    <xf numFmtId="196" fontId="7" fillId="0" borderId="0" xfId="0" applyNumberFormat="1" applyFont="1" applyFill="1"/>
    <xf numFmtId="165" fontId="7" fillId="0" borderId="47" xfId="0" applyNumberFormat="1" applyFont="1" applyFill="1" applyBorder="1"/>
    <xf numFmtId="165" fontId="10" fillId="0" borderId="1" xfId="0" applyNumberFormat="1" applyFont="1" applyFill="1" applyBorder="1" applyAlignment="1">
      <alignment horizontal="right"/>
    </xf>
    <xf numFmtId="165" fontId="7" fillId="0" borderId="52" xfId="0" applyNumberFormat="1" applyFont="1" applyFill="1" applyBorder="1"/>
    <xf numFmtId="165" fontId="7" fillId="0" borderId="23" xfId="0" applyNumberFormat="1" applyFont="1" applyFill="1" applyBorder="1"/>
    <xf numFmtId="165" fontId="7" fillId="0" borderId="23" xfId="1" applyNumberFormat="1" applyFont="1" applyFill="1" applyBorder="1" applyAlignment="1">
      <alignment horizontal="center"/>
    </xf>
    <xf numFmtId="165" fontId="7" fillId="0" borderId="52" xfId="1" applyNumberFormat="1" applyFont="1" applyFill="1" applyBorder="1" applyAlignment="1">
      <alignment horizontal="center"/>
    </xf>
    <xf numFmtId="165" fontId="10" fillId="0" borderId="0" xfId="0" quotePrefix="1" applyNumberFormat="1" applyFont="1" applyFill="1"/>
    <xf numFmtId="165" fontId="10" fillId="0" borderId="0" xfId="0" quotePrefix="1" applyNumberFormat="1" applyFont="1" applyFill="1" applyAlignment="1">
      <alignment horizontal="right"/>
    </xf>
    <xf numFmtId="202" fontId="8" fillId="0" borderId="0" xfId="1" applyNumberFormat="1" applyFont="1" applyFill="1"/>
    <xf numFmtId="203" fontId="8" fillId="0" borderId="0" xfId="0" applyNumberFormat="1" applyFont="1" applyFill="1"/>
    <xf numFmtId="204" fontId="8" fillId="0" borderId="0" xfId="0" applyNumberFormat="1" applyFont="1" applyFill="1"/>
    <xf numFmtId="199" fontId="8" fillId="0" borderId="0" xfId="0" applyNumberFormat="1" applyFont="1" applyFill="1"/>
    <xf numFmtId="205" fontId="8" fillId="0" borderId="0" xfId="1" applyNumberFormat="1" applyFont="1" applyFill="1"/>
    <xf numFmtId="206" fontId="8" fillId="0" borderId="0" xfId="0" applyNumberFormat="1" applyFont="1" applyFill="1" applyBorder="1"/>
    <xf numFmtId="164" fontId="8" fillId="0" borderId="0" xfId="1" applyNumberFormat="1" applyFont="1" applyFill="1" applyBorder="1"/>
    <xf numFmtId="206" fontId="8" fillId="0" borderId="0" xfId="1" applyNumberFormat="1" applyFont="1" applyFill="1" applyBorder="1"/>
    <xf numFmtId="164" fontId="8" fillId="0" borderId="0" xfId="0" applyNumberFormat="1" applyFont="1" applyFill="1" applyBorder="1"/>
    <xf numFmtId="0" fontId="8" fillId="0" borderId="24" xfId="0" applyFont="1" applyFill="1" applyBorder="1"/>
    <xf numFmtId="0" fontId="7" fillId="0" borderId="44" xfId="0" applyFont="1" applyFill="1" applyBorder="1"/>
    <xf numFmtId="0" fontId="7" fillId="0" borderId="45" xfId="0" applyFont="1" applyFill="1" applyBorder="1"/>
    <xf numFmtId="0" fontId="7" fillId="0" borderId="16" xfId="0" applyFont="1" applyFill="1" applyBorder="1" applyAlignment="1">
      <alignment horizontal="center"/>
    </xf>
    <xf numFmtId="165" fontId="8" fillId="0" borderId="0" xfId="0" applyNumberFormat="1" applyFont="1" applyFill="1" applyAlignment="1">
      <alignment horizontal="right"/>
    </xf>
    <xf numFmtId="0" fontId="8" fillId="0" borderId="21" xfId="0" applyFont="1" applyFill="1" applyBorder="1" applyAlignment="1">
      <alignment horizontal="center"/>
    </xf>
    <xf numFmtId="207" fontId="8" fillId="0" borderId="0" xfId="0" applyNumberFormat="1" applyFont="1" applyFill="1" applyAlignment="1">
      <alignment horizontal="right"/>
    </xf>
    <xf numFmtId="165" fontId="11" fillId="0" borderId="21" xfId="1" applyNumberFormat="1" applyFont="1" applyFill="1" applyBorder="1" applyAlignment="1">
      <alignment horizontal="right"/>
    </xf>
    <xf numFmtId="0" fontId="7" fillId="0" borderId="24" xfId="0" applyFont="1" applyFill="1" applyBorder="1"/>
    <xf numFmtId="165" fontId="19" fillId="0" borderId="8" xfId="1" applyNumberFormat="1" applyFont="1" applyFill="1" applyBorder="1" applyAlignment="1">
      <alignment horizontal="right"/>
    </xf>
    <xf numFmtId="165" fontId="19" fillId="0" borderId="21" xfId="1" applyNumberFormat="1" applyFont="1" applyFill="1" applyBorder="1" applyAlignment="1">
      <alignment horizontal="right"/>
    </xf>
    <xf numFmtId="165" fontId="12" fillId="0" borderId="21" xfId="1" applyNumberFormat="1" applyFont="1" applyFill="1" applyBorder="1" applyAlignment="1">
      <alignment horizontal="right"/>
    </xf>
    <xf numFmtId="0" fontId="10" fillId="0" borderId="24" xfId="0" applyFont="1" applyFill="1" applyBorder="1"/>
    <xf numFmtId="165" fontId="12" fillId="0" borderId="8" xfId="1" applyNumberFormat="1" applyFont="1" applyFill="1" applyBorder="1" applyAlignment="1">
      <alignment horizontal="right"/>
    </xf>
    <xf numFmtId="165" fontId="69" fillId="0" borderId="21" xfId="1" applyNumberFormat="1" applyFont="1" applyFill="1" applyBorder="1" applyAlignment="1">
      <alignment horizontal="right"/>
    </xf>
    <xf numFmtId="165" fontId="10" fillId="0" borderId="21" xfId="1" applyNumberFormat="1" applyFont="1" applyFill="1" applyBorder="1" applyAlignment="1">
      <alignment horizontal="right"/>
    </xf>
    <xf numFmtId="165" fontId="10" fillId="0" borderId="0" xfId="0" applyNumberFormat="1" applyFont="1" applyFill="1"/>
    <xf numFmtId="43" fontId="10" fillId="0" borderId="0" xfId="1" applyFont="1" applyFill="1"/>
    <xf numFmtId="165" fontId="7" fillId="0" borderId="28" xfId="1" applyNumberFormat="1" applyFont="1" applyFill="1" applyBorder="1" applyAlignment="1">
      <alignment horizontal="right"/>
    </xf>
    <xf numFmtId="164" fontId="8" fillId="0" borderId="0" xfId="0" applyNumberFormat="1" applyFont="1" applyFill="1" applyAlignment="1">
      <alignment horizontal="right"/>
    </xf>
    <xf numFmtId="0" fontId="10" fillId="0" borderId="22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165" fontId="8" fillId="0" borderId="34" xfId="1" applyNumberFormat="1" applyFont="1" applyFill="1" applyBorder="1" applyAlignment="1">
      <alignment horizontal="right"/>
    </xf>
    <xf numFmtId="0" fontId="11" fillId="0" borderId="44" xfId="0" applyNumberFormat="1" applyFont="1" applyFill="1" applyBorder="1"/>
    <xf numFmtId="0" fontId="70" fillId="0" borderId="45" xfId="0" applyNumberFormat="1" applyFont="1" applyFill="1" applyBorder="1"/>
    <xf numFmtId="0" fontId="8" fillId="0" borderId="45" xfId="0" applyFont="1" applyFill="1" applyBorder="1"/>
    <xf numFmtId="0" fontId="8" fillId="0" borderId="45" xfId="0" applyFont="1" applyFill="1" applyBorder="1" applyAlignment="1">
      <alignment horizontal="right"/>
    </xf>
    <xf numFmtId="165" fontId="8" fillId="0" borderId="3" xfId="1" applyNumberFormat="1" applyFont="1" applyFill="1" applyBorder="1" applyAlignment="1">
      <alignment horizontal="right"/>
    </xf>
    <xf numFmtId="165" fontId="8" fillId="0" borderId="50" xfId="1" applyNumberFormat="1" applyFont="1" applyFill="1" applyBorder="1" applyAlignment="1">
      <alignment horizontal="right"/>
    </xf>
    <xf numFmtId="0" fontId="65" fillId="0" borderId="0" xfId="0" applyNumberFormat="1" applyFont="1" applyFill="1" applyBorder="1"/>
    <xf numFmtId="0" fontId="70" fillId="0" borderId="2" xfId="0" applyNumberFormat="1" applyFont="1" applyFill="1" applyBorder="1"/>
    <xf numFmtId="0" fontId="70" fillId="0" borderId="0" xfId="0" applyNumberFormat="1" applyFont="1" applyFill="1" applyBorder="1"/>
    <xf numFmtId="165" fontId="8" fillId="0" borderId="8" xfId="2" applyNumberFormat="1" applyFont="1" applyFill="1" applyBorder="1"/>
    <xf numFmtId="0" fontId="11" fillId="0" borderId="2" xfId="0" applyNumberFormat="1" applyFont="1" applyFill="1" applyBorder="1"/>
    <xf numFmtId="0" fontId="11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quotePrefix="1" applyFont="1" applyFill="1" applyAlignment="1">
      <alignment horizontal="left"/>
    </xf>
    <xf numFmtId="0" fontId="10" fillId="0" borderId="0" xfId="0" quotePrefix="1" applyFont="1" applyFill="1" applyBorder="1" applyAlignment="1">
      <alignment vertical="top"/>
    </xf>
    <xf numFmtId="164" fontId="8" fillId="0" borderId="0" xfId="1" applyNumberFormat="1" applyFont="1" applyFill="1" applyBorder="1" applyAlignment="1">
      <alignment horizontal="right"/>
    </xf>
    <xf numFmtId="168" fontId="8" fillId="0" borderId="0" xfId="1" applyNumberFormat="1" applyFont="1" applyFill="1" applyBorder="1" applyAlignment="1">
      <alignment horizontal="right"/>
    </xf>
    <xf numFmtId="165" fontId="7" fillId="0" borderId="1" xfId="0" applyNumberFormat="1" applyFont="1" applyFill="1" applyBorder="1" applyAlignment="1"/>
    <xf numFmtId="165" fontId="8" fillId="0" borderId="1" xfId="0" applyNumberFormat="1" applyFont="1" applyFill="1" applyBorder="1" applyAlignment="1"/>
    <xf numFmtId="165" fontId="8" fillId="0" borderId="44" xfId="0" applyNumberFormat="1" applyFont="1" applyFill="1" applyBorder="1" applyAlignment="1"/>
    <xf numFmtId="165" fontId="8" fillId="0" borderId="46" xfId="0" applyNumberFormat="1" applyFont="1" applyFill="1" applyBorder="1" applyAlignment="1">
      <alignment horizontal="right"/>
    </xf>
    <xf numFmtId="165" fontId="7" fillId="0" borderId="0" xfId="0" applyNumberFormat="1" applyFont="1" applyFill="1" applyBorder="1" applyAlignment="1"/>
    <xf numFmtId="165" fontId="7" fillId="0" borderId="9" xfId="81" applyNumberFormat="1" applyFont="1" applyFill="1" applyBorder="1" applyAlignment="1">
      <alignment horizontal="right"/>
    </xf>
    <xf numFmtId="165" fontId="7" fillId="0" borderId="10" xfId="81" applyNumberFormat="1" applyFont="1" applyFill="1" applyBorder="1" applyAlignment="1">
      <alignment horizontal="right"/>
    </xf>
    <xf numFmtId="165" fontId="7" fillId="0" borderId="13" xfId="0" applyNumberFormat="1" applyFont="1" applyFill="1" applyBorder="1" applyAlignment="1"/>
    <xf numFmtId="165" fontId="7" fillId="0" borderId="14" xfId="0" applyNumberFormat="1" applyFont="1" applyFill="1" applyBorder="1" applyAlignment="1"/>
    <xf numFmtId="165" fontId="7" fillId="0" borderId="21" xfId="81" applyNumberFormat="1" applyFont="1" applyFill="1" applyBorder="1" applyAlignment="1">
      <alignment horizontal="right"/>
    </xf>
    <xf numFmtId="165" fontId="7" fillId="0" borderId="22" xfId="81" applyNumberFormat="1" applyFont="1" applyFill="1" applyBorder="1" applyAlignment="1">
      <alignment horizontal="right"/>
    </xf>
    <xf numFmtId="165" fontId="7" fillId="0" borderId="0" xfId="80" applyNumberFormat="1" applyFont="1" applyFill="1" applyBorder="1" applyAlignment="1">
      <alignment horizontal="right"/>
    </xf>
    <xf numFmtId="165" fontId="10" fillId="0" borderId="19" xfId="0" applyNumberFormat="1" applyFont="1" applyFill="1" applyBorder="1" applyAlignment="1"/>
    <xf numFmtId="165" fontId="9" fillId="0" borderId="0" xfId="0" applyNumberFormat="1" applyFont="1" applyFill="1" applyBorder="1" applyAlignment="1"/>
    <xf numFmtId="165" fontId="9" fillId="0" borderId="11" xfId="0" applyNumberFormat="1" applyFont="1" applyFill="1" applyBorder="1" applyAlignment="1"/>
    <xf numFmtId="165" fontId="10" fillId="0" borderId="10" xfId="0" applyNumberFormat="1" applyFont="1" applyFill="1" applyBorder="1" applyAlignment="1">
      <alignment horizontal="right"/>
    </xf>
    <xf numFmtId="165" fontId="8" fillId="34" borderId="2" xfId="0" applyNumberFormat="1" applyFont="1" applyFill="1" applyBorder="1" applyAlignment="1"/>
    <xf numFmtId="165" fontId="7" fillId="34" borderId="0" xfId="0" applyNumberFormat="1" applyFont="1" applyFill="1" applyBorder="1" applyAlignment="1"/>
    <xf numFmtId="165" fontId="8" fillId="34" borderId="22" xfId="0" applyNumberFormat="1" applyFont="1" applyFill="1" applyBorder="1" applyAlignment="1">
      <alignment horizontal="right"/>
    </xf>
    <xf numFmtId="165" fontId="8" fillId="34" borderId="0" xfId="0" applyNumberFormat="1" applyFont="1" applyFill="1" applyAlignment="1"/>
    <xf numFmtId="165" fontId="11" fillId="0" borderId="0" xfId="0" applyNumberFormat="1" applyFont="1" applyFill="1" applyBorder="1" applyAlignment="1"/>
    <xf numFmtId="165" fontId="11" fillId="0" borderId="0" xfId="0" applyNumberFormat="1" applyFont="1" applyFill="1" applyBorder="1" applyAlignment="1">
      <alignment horizontal="left"/>
    </xf>
    <xf numFmtId="165" fontId="11" fillId="0" borderId="22" xfId="0" applyNumberFormat="1" applyFont="1" applyFill="1" applyBorder="1" applyAlignment="1">
      <alignment horizontal="left"/>
    </xf>
    <xf numFmtId="165" fontId="69" fillId="0" borderId="0" xfId="0" applyNumberFormat="1" applyFont="1" applyFill="1" applyBorder="1" applyAlignment="1"/>
    <xf numFmtId="165" fontId="12" fillId="0" borderId="22" xfId="0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right"/>
    </xf>
    <xf numFmtId="165" fontId="19" fillId="0" borderId="0" xfId="0" applyNumberFormat="1" applyFont="1" applyFill="1" applyBorder="1" applyAlignment="1"/>
    <xf numFmtId="165" fontId="11" fillId="0" borderId="22" xfId="0" applyNumberFormat="1" applyFont="1" applyFill="1" applyBorder="1" applyAlignment="1">
      <alignment horizontal="right"/>
    </xf>
    <xf numFmtId="165" fontId="71" fillId="0" borderId="0" xfId="0" applyNumberFormat="1" applyFont="1" applyFill="1" applyBorder="1" applyAlignment="1">
      <alignment horizontal="left"/>
    </xf>
    <xf numFmtId="165" fontId="8" fillId="0" borderId="21" xfId="81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>
      <alignment horizontal="left"/>
    </xf>
    <xf numFmtId="165" fontId="72" fillId="0" borderId="0" xfId="0" applyNumberFormat="1" applyFont="1" applyFill="1" applyBorder="1" applyAlignment="1">
      <alignment horizontal="left"/>
    </xf>
    <xf numFmtId="165" fontId="10" fillId="0" borderId="21" xfId="81" applyNumberFormat="1" applyFont="1" applyFill="1" applyBorder="1" applyAlignment="1">
      <alignment horizontal="center"/>
    </xf>
    <xf numFmtId="165" fontId="9" fillId="0" borderId="2" xfId="0" applyNumberFormat="1" applyFont="1" applyFill="1" applyBorder="1" applyAlignment="1"/>
    <xf numFmtId="165" fontId="7" fillId="34" borderId="2" xfId="0" applyNumberFormat="1" applyFont="1" applyFill="1" applyBorder="1" applyAlignment="1"/>
    <xf numFmtId="165" fontId="12" fillId="34" borderId="22" xfId="0" applyNumberFormat="1" applyFont="1" applyFill="1" applyBorder="1" applyAlignment="1">
      <alignment horizontal="right"/>
    </xf>
    <xf numFmtId="165" fontId="7" fillId="34" borderId="16" xfId="1" applyNumberFormat="1" applyFont="1" applyFill="1" applyBorder="1" applyAlignment="1">
      <alignment horizontal="center"/>
    </xf>
    <xf numFmtId="165" fontId="7" fillId="34" borderId="14" xfId="1" applyNumberFormat="1" applyFont="1" applyFill="1" applyBorder="1" applyAlignment="1">
      <alignment horizontal="center"/>
    </xf>
    <xf numFmtId="165" fontId="7" fillId="34" borderId="0" xfId="0" applyNumberFormat="1" applyFont="1" applyFill="1" applyAlignment="1"/>
    <xf numFmtId="165" fontId="8" fillId="0" borderId="19" xfId="0" applyNumberFormat="1" applyFont="1" applyFill="1" applyBorder="1" applyAlignment="1"/>
    <xf numFmtId="165" fontId="7" fillId="0" borderId="11" xfId="0" applyNumberFormat="1" applyFont="1" applyFill="1" applyBorder="1" applyAlignment="1"/>
    <xf numFmtId="165" fontId="8" fillId="0" borderId="11" xfId="0" applyNumberFormat="1" applyFont="1" applyFill="1" applyBorder="1" applyAlignment="1"/>
    <xf numFmtId="165" fontId="12" fillId="0" borderId="10" xfId="0" applyNumberFormat="1" applyFont="1" applyFill="1" applyBorder="1" applyAlignment="1">
      <alignment horizontal="right"/>
    </xf>
    <xf numFmtId="165" fontId="8" fillId="0" borderId="47" xfId="0" applyNumberFormat="1" applyFont="1" applyFill="1" applyBorder="1" applyAlignment="1"/>
    <xf numFmtId="165" fontId="8" fillId="0" borderId="23" xfId="0" applyNumberFormat="1" applyFont="1" applyFill="1" applyBorder="1" applyAlignment="1"/>
    <xf numFmtId="165" fontId="11" fillId="0" borderId="23" xfId="0" applyNumberFormat="1" applyFont="1" applyFill="1" applyBorder="1" applyAlignment="1"/>
    <xf numFmtId="165" fontId="12" fillId="0" borderId="48" xfId="0" applyNumberFormat="1" applyFont="1" applyFill="1" applyBorder="1" applyAlignment="1">
      <alignment horizontal="right"/>
    </xf>
    <xf numFmtId="165" fontId="7" fillId="0" borderId="49" xfId="1" applyNumberFormat="1" applyFont="1" applyFill="1" applyBorder="1" applyAlignment="1">
      <alignment horizontal="center"/>
    </xf>
    <xf numFmtId="165" fontId="8" fillId="0" borderId="26" xfId="0" applyNumberFormat="1" applyFont="1" applyFill="1" applyBorder="1" applyAlignment="1"/>
    <xf numFmtId="165" fontId="12" fillId="0" borderId="1" xfId="0" applyNumberFormat="1" applyFont="1" applyFill="1" applyBorder="1" applyAlignment="1">
      <alignment horizontal="right"/>
    </xf>
    <xf numFmtId="165" fontId="7" fillId="0" borderId="9" xfId="0" applyNumberFormat="1" applyFont="1" applyFill="1" applyBorder="1" applyAlignment="1">
      <alignment horizontal="right"/>
    </xf>
    <xf numFmtId="165" fontId="7" fillId="0" borderId="2" xfId="0" applyNumberFormat="1" applyFont="1" applyFill="1" applyBorder="1" applyAlignment="1"/>
    <xf numFmtId="165" fontId="19" fillId="0" borderId="22" xfId="0" applyNumberFormat="1" applyFont="1" applyFill="1" applyBorder="1" applyAlignment="1">
      <alignment horizontal="right"/>
    </xf>
    <xf numFmtId="165" fontId="7" fillId="0" borderId="21" xfId="81" applyNumberFormat="1" applyFont="1" applyFill="1" applyBorder="1" applyAlignment="1">
      <alignment horizontal="center"/>
    </xf>
    <xf numFmtId="165" fontId="7" fillId="0" borderId="0" xfId="0" applyNumberFormat="1" applyFont="1" applyFill="1" applyAlignment="1"/>
    <xf numFmtId="165" fontId="7" fillId="0" borderId="22" xfId="0" applyNumberFormat="1" applyFont="1" applyFill="1" applyBorder="1" applyAlignment="1">
      <alignment horizontal="right"/>
    </xf>
    <xf numFmtId="165" fontId="69" fillId="0" borderId="22" xfId="0" applyNumberFormat="1" applyFont="1" applyFill="1" applyBorder="1" applyAlignment="1">
      <alignment horizontal="right"/>
    </xf>
    <xf numFmtId="165" fontId="12" fillId="0" borderId="0" xfId="0" applyNumberFormat="1" applyFont="1" applyFill="1" applyBorder="1" applyAlignment="1">
      <alignment horizontal="left" indent="1"/>
    </xf>
    <xf numFmtId="165" fontId="12" fillId="0" borderId="0" xfId="0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left" indent="1"/>
    </xf>
    <xf numFmtId="165" fontId="8" fillId="0" borderId="21" xfId="128" applyNumberFormat="1" applyFont="1" applyFill="1" applyBorder="1" applyProtection="1"/>
    <xf numFmtId="165" fontId="10" fillId="0" borderId="21" xfId="128" applyNumberFormat="1" applyFont="1" applyFill="1" applyBorder="1" applyProtection="1"/>
    <xf numFmtId="165" fontId="12" fillId="0" borderId="0" xfId="0" applyNumberFormat="1" applyFont="1" applyFill="1" applyBorder="1" applyAlignment="1">
      <alignment horizontal="left" indent="2"/>
    </xf>
    <xf numFmtId="165" fontId="10" fillId="0" borderId="16" xfId="0" applyNumberFormat="1" applyFont="1" applyFill="1" applyBorder="1" applyAlignment="1">
      <alignment horizontal="right"/>
    </xf>
    <xf numFmtId="165" fontId="7" fillId="0" borderId="47" xfId="0" applyNumberFormat="1" applyFont="1" applyFill="1" applyBorder="1" applyAlignment="1"/>
    <xf numFmtId="165" fontId="7" fillId="0" borderId="48" xfId="0" applyNumberFormat="1" applyFont="1" applyFill="1" applyBorder="1" applyAlignment="1"/>
    <xf numFmtId="165" fontId="7" fillId="0" borderId="53" xfId="0" applyNumberFormat="1" applyFont="1" applyFill="1" applyBorder="1" applyAlignment="1"/>
    <xf numFmtId="165" fontId="7" fillId="0" borderId="44" xfId="0" applyNumberFormat="1" applyFont="1" applyFill="1" applyBorder="1" applyAlignment="1"/>
    <xf numFmtId="165" fontId="7" fillId="0" borderId="45" xfId="0" applyNumberFormat="1" applyFont="1" applyFill="1" applyBorder="1" applyAlignment="1"/>
    <xf numFmtId="165" fontId="8" fillId="0" borderId="45" xfId="0" applyNumberFormat="1" applyFont="1" applyFill="1" applyBorder="1" applyAlignment="1">
      <alignment horizontal="left"/>
    </xf>
    <xf numFmtId="165" fontId="7" fillId="0" borderId="50" xfId="0" applyNumberFormat="1" applyFont="1" applyFill="1" applyBorder="1" applyAlignment="1"/>
    <xf numFmtId="165" fontId="7" fillId="0" borderId="46" xfId="0" applyNumberFormat="1" applyFont="1" applyFill="1" applyBorder="1" applyAlignment="1"/>
    <xf numFmtId="165" fontId="7" fillId="0" borderId="22" xfId="0" applyNumberFormat="1" applyFont="1" applyFill="1" applyBorder="1" applyAlignment="1">
      <alignment horizontal="left"/>
    </xf>
    <xf numFmtId="165" fontId="7" fillId="0" borderId="21" xfId="0" applyNumberFormat="1" applyFont="1" applyFill="1" applyBorder="1" applyAlignment="1"/>
    <xf numFmtId="165" fontId="8" fillId="0" borderId="0" xfId="0" applyNumberFormat="1" applyFont="1" applyFill="1" applyAlignment="1">
      <alignment horizontal="left"/>
    </xf>
    <xf numFmtId="165" fontId="8" fillId="0" borderId="13" xfId="0" applyNumberFormat="1" applyFont="1" applyFill="1" applyBorder="1" applyAlignment="1"/>
    <xf numFmtId="165" fontId="8" fillId="0" borderId="14" xfId="0" applyNumberFormat="1" applyFont="1" applyFill="1" applyBorder="1" applyAlignment="1"/>
    <xf numFmtId="165" fontId="8" fillId="0" borderId="17" xfId="0" applyNumberFormat="1" applyFont="1" applyFill="1" applyBorder="1" applyAlignment="1">
      <alignment horizontal="right"/>
    </xf>
    <xf numFmtId="165" fontId="8" fillId="0" borderId="14" xfId="0" applyNumberFormat="1" applyFont="1" applyFill="1" applyBorder="1" applyAlignment="1">
      <alignment horizontal="right"/>
    </xf>
    <xf numFmtId="165" fontId="7" fillId="0" borderId="49" xfId="0" applyNumberFormat="1" applyFont="1" applyFill="1" applyBorder="1" applyAlignment="1"/>
    <xf numFmtId="165" fontId="10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left"/>
    </xf>
    <xf numFmtId="165" fontId="10" fillId="0" borderId="0" xfId="0" applyNumberFormat="1" applyFont="1" applyFill="1" applyAlignment="1">
      <alignment horizontal="left" vertical="center"/>
    </xf>
    <xf numFmtId="165" fontId="7" fillId="0" borderId="0" xfId="8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right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left" indent="1"/>
    </xf>
    <xf numFmtId="165" fontId="8" fillId="0" borderId="2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left"/>
    </xf>
    <xf numFmtId="17" fontId="7" fillId="0" borderId="4" xfId="0" quotePrefix="1" applyNumberFormat="1" applyFont="1" applyFill="1" applyBorder="1" applyAlignment="1">
      <alignment horizontal="center"/>
    </xf>
    <xf numFmtId="17" fontId="7" fillId="0" borderId="5" xfId="0" quotePrefix="1" applyNumberFormat="1" applyFont="1" applyFill="1" applyBorder="1" applyAlignment="1">
      <alignment horizontal="center"/>
    </xf>
    <xf numFmtId="17" fontId="7" fillId="0" borderId="6" xfId="0" quotePrefix="1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left"/>
    </xf>
    <xf numFmtId="165" fontId="11" fillId="0" borderId="22" xfId="0" applyNumberFormat="1" applyFont="1" applyFill="1" applyBorder="1" applyAlignment="1">
      <alignment horizontal="left"/>
    </xf>
    <xf numFmtId="165" fontId="7" fillId="0" borderId="4" xfId="0" quotePrefix="1" applyNumberFormat="1" applyFont="1" applyFill="1" applyBorder="1" applyAlignment="1">
      <alignment horizontal="center"/>
    </xf>
    <xf numFmtId="165" fontId="7" fillId="0" borderId="5" xfId="0" quotePrefix="1" applyNumberFormat="1" applyFont="1" applyFill="1" applyBorder="1" applyAlignment="1">
      <alignment horizontal="center"/>
    </xf>
    <xf numFmtId="165" fontId="7" fillId="0" borderId="14" xfId="0" quotePrefix="1" applyNumberFormat="1" applyFont="1" applyFill="1" applyBorder="1" applyAlignment="1">
      <alignment horizontal="center"/>
    </xf>
    <xf numFmtId="165" fontId="8" fillId="34" borderId="0" xfId="0" applyNumberFormat="1" applyFont="1" applyFill="1" applyBorder="1" applyAlignment="1">
      <alignment horizontal="left"/>
    </xf>
    <xf numFmtId="165" fontId="8" fillId="34" borderId="22" xfId="0" applyNumberFormat="1" applyFont="1" applyFill="1" applyBorder="1" applyAlignment="1">
      <alignment horizontal="left"/>
    </xf>
    <xf numFmtId="165" fontId="8" fillId="34" borderId="0" xfId="0" applyNumberFormat="1" applyFont="1" applyFill="1" applyBorder="1" applyAlignment="1"/>
    <xf numFmtId="0" fontId="0" fillId="34" borderId="0" xfId="0" applyFill="1" applyAlignment="1"/>
    <xf numFmtId="0" fontId="0" fillId="34" borderId="22" xfId="0" applyFill="1" applyBorder="1" applyAlignment="1"/>
    <xf numFmtId="165" fontId="8" fillId="0" borderId="0" xfId="0" applyNumberFormat="1" applyFont="1" applyFill="1" applyBorder="1" applyAlignment="1">
      <alignment horizontal="left"/>
    </xf>
    <xf numFmtId="165" fontId="8" fillId="0" borderId="22" xfId="0" applyNumberFormat="1" applyFont="1" applyFill="1" applyBorder="1" applyAlignment="1">
      <alignment horizontal="left"/>
    </xf>
    <xf numFmtId="165" fontId="10" fillId="0" borderId="0" xfId="0" applyNumberFormat="1" applyFont="1" applyFill="1" applyBorder="1" applyAlignment="1">
      <alignment horizontal="left"/>
    </xf>
    <xf numFmtId="165" fontId="7" fillId="0" borderId="0" xfId="0" applyNumberFormat="1" applyFont="1" applyFill="1" applyBorder="1" applyAlignment="1">
      <alignment horizontal="left"/>
    </xf>
    <xf numFmtId="165" fontId="7" fillId="0" borderId="51" xfId="0" applyNumberFormat="1" applyFont="1" applyFill="1" applyBorder="1" applyAlignment="1">
      <alignment horizontal="left" vertical="top"/>
    </xf>
    <xf numFmtId="165" fontId="7" fillId="0" borderId="34" xfId="0" applyNumberFormat="1" applyFont="1" applyFill="1" applyBorder="1" applyAlignment="1">
      <alignment horizontal="left" vertical="top"/>
    </xf>
    <xf numFmtId="165" fontId="8" fillId="0" borderId="2" xfId="0" applyNumberFormat="1" applyFont="1" applyFill="1" applyBorder="1" applyAlignment="1">
      <alignment horizontal="left" indent="1"/>
    </xf>
    <xf numFmtId="165" fontId="8" fillId="0" borderId="0" xfId="0" applyNumberFormat="1" applyFont="1" applyFill="1" applyBorder="1" applyAlignment="1">
      <alignment horizontal="left" indent="1"/>
    </xf>
    <xf numFmtId="165" fontId="8" fillId="0" borderId="22" xfId="0" applyNumberFormat="1" applyFont="1" applyFill="1" applyBorder="1" applyAlignment="1">
      <alignment horizontal="left" indent="1"/>
    </xf>
    <xf numFmtId="165" fontId="8" fillId="0" borderId="2" xfId="0" applyNumberFormat="1" applyFont="1" applyFill="1" applyBorder="1" applyAlignment="1">
      <alignment horizontal="left"/>
    </xf>
    <xf numFmtId="165" fontId="10" fillId="0" borderId="2" xfId="0" applyNumberFormat="1" applyFont="1" applyFill="1" applyBorder="1" applyAlignment="1">
      <alignment horizontal="left"/>
    </xf>
    <xf numFmtId="165" fontId="10" fillId="0" borderId="22" xfId="0" applyNumberFormat="1" applyFont="1" applyFill="1" applyBorder="1" applyAlignment="1">
      <alignment horizontal="left"/>
    </xf>
    <xf numFmtId="165" fontId="10" fillId="0" borderId="13" xfId="0" applyNumberFormat="1" applyFont="1" applyFill="1" applyBorder="1" applyAlignment="1">
      <alignment horizontal="left"/>
    </xf>
    <xf numFmtId="165" fontId="10" fillId="0" borderId="14" xfId="0" applyNumberFormat="1" applyFont="1" applyFill="1" applyBorder="1" applyAlignment="1">
      <alignment horizontal="left"/>
    </xf>
    <xf numFmtId="165" fontId="10" fillId="0" borderId="17" xfId="0" applyNumberFormat="1" applyFont="1" applyFill="1" applyBorder="1" applyAlignment="1">
      <alignment horizontal="left"/>
    </xf>
    <xf numFmtId="165" fontId="10" fillId="0" borderId="45" xfId="0" applyNumberFormat="1" applyFont="1" applyFill="1" applyBorder="1" applyAlignment="1">
      <alignment horizontal="left"/>
    </xf>
    <xf numFmtId="165" fontId="10" fillId="0" borderId="0" xfId="0" applyNumberFormat="1" applyFont="1" applyFill="1" applyAlignment="1">
      <alignment horizontal="left"/>
    </xf>
    <xf numFmtId="37" fontId="8" fillId="0" borderId="0" xfId="0" applyNumberFormat="1" applyFont="1" applyFill="1" applyBorder="1" applyAlignment="1">
      <alignment horizontal="left"/>
    </xf>
    <xf numFmtId="0" fontId="7" fillId="0" borderId="4" xfId="0" quotePrefix="1" applyFont="1" applyFill="1" applyBorder="1" applyAlignment="1">
      <alignment horizontal="center"/>
    </xf>
    <xf numFmtId="0" fontId="0" fillId="0" borderId="5" xfId="0" applyFill="1" applyBorder="1" applyAlignment="1"/>
    <xf numFmtId="0" fontId="0" fillId="0" borderId="7" xfId="0" applyFill="1" applyBorder="1" applyAlignment="1"/>
    <xf numFmtId="0" fontId="7" fillId="0" borderId="54" xfId="0" applyFont="1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0" fontId="0" fillId="0" borderId="56" xfId="0" applyFill="1" applyBorder="1" applyAlignment="1">
      <alignment horizontal="center"/>
    </xf>
    <xf numFmtId="165" fontId="7" fillId="0" borderId="5" xfId="0" applyNumberFormat="1" applyFont="1" applyFill="1" applyBorder="1" applyAlignment="1">
      <alignment horizontal="center"/>
    </xf>
    <xf numFmtId="165" fontId="7" fillId="0" borderId="6" xfId="0" quotePrefix="1" applyNumberFormat="1" applyFont="1" applyFill="1" applyBorder="1" applyAlignment="1">
      <alignment horizontal="center"/>
    </xf>
    <xf numFmtId="0" fontId="7" fillId="0" borderId="5" xfId="0" quotePrefix="1" applyFont="1" applyFill="1" applyBorder="1" applyAlignment="1">
      <alignment horizontal="center"/>
    </xf>
    <xf numFmtId="0" fontId="7" fillId="0" borderId="7" xfId="0" quotePrefix="1" applyFont="1" applyFill="1" applyBorder="1" applyAlignment="1">
      <alignment horizontal="center"/>
    </xf>
    <xf numFmtId="165" fontId="7" fillId="0" borderId="45" xfId="0" quotePrefix="1" applyNumberFormat="1" applyFont="1" applyFill="1" applyBorder="1" applyAlignment="1">
      <alignment horizontal="center"/>
    </xf>
    <xf numFmtId="165" fontId="7" fillId="0" borderId="45" xfId="0" applyNumberFormat="1" applyFont="1" applyFill="1" applyBorder="1" applyAlignment="1">
      <alignment horizontal="center"/>
    </xf>
    <xf numFmtId="165" fontId="10" fillId="0" borderId="45" xfId="0" quotePrefix="1" applyNumberFormat="1" applyFont="1" applyFill="1" applyBorder="1" applyAlignment="1">
      <alignment horizontal="left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54" xfId="0" applyFont="1" applyFill="1" applyBorder="1" applyAlignment="1">
      <alignment horizontal="right"/>
    </xf>
    <xf numFmtId="0" fontId="0" fillId="0" borderId="55" xfId="0" applyFill="1" applyBorder="1" applyAlignment="1">
      <alignment horizontal="right"/>
    </xf>
    <xf numFmtId="0" fontId="0" fillId="0" borderId="56" xfId="0" applyFill="1" applyBorder="1" applyAlignment="1">
      <alignment horizontal="right"/>
    </xf>
    <xf numFmtId="0" fontId="0" fillId="0" borderId="57" xfId="0" applyFill="1" applyBorder="1" applyAlignment="1">
      <alignment horizontal="right"/>
    </xf>
    <xf numFmtId="0" fontId="7" fillId="0" borderId="55" xfId="0" applyFont="1" applyFill="1" applyBorder="1" applyAlignment="1">
      <alignment horizontal="right"/>
    </xf>
    <xf numFmtId="165" fontId="7" fillId="0" borderId="7" xfId="0" quotePrefix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right"/>
    </xf>
    <xf numFmtId="165" fontId="7" fillId="0" borderId="24" xfId="1" applyNumberFormat="1" applyFont="1" applyFill="1" applyBorder="1" applyAlignment="1">
      <alignment horizontal="right"/>
    </xf>
    <xf numFmtId="196" fontId="8" fillId="0" borderId="11" xfId="0" applyNumberFormat="1" applyFont="1" applyFill="1" applyBorder="1" applyAlignment="1">
      <alignment horizontal="center"/>
    </xf>
    <xf numFmtId="165" fontId="7" fillId="0" borderId="24" xfId="0" applyNumberFormat="1" applyFont="1" applyFill="1" applyBorder="1" applyAlignment="1">
      <alignment horizontal="center"/>
    </xf>
    <xf numFmtId="165" fontId="8" fillId="0" borderId="24" xfId="0" applyNumberFormat="1" applyFont="1" applyFill="1" applyBorder="1" applyAlignment="1">
      <alignment horizontal="center"/>
    </xf>
  </cellXfs>
  <cellStyles count="34235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 Currency (0)" xfId="29" xr:uid="{00000000-0005-0000-0000-000019000000}"/>
    <cellStyle name="Calc Currency (0) 2" xfId="30" xr:uid="{00000000-0005-0000-0000-00001A000000}"/>
    <cellStyle name="Calc Currency (2)" xfId="31" xr:uid="{00000000-0005-0000-0000-00001B000000}"/>
    <cellStyle name="Calc Currency (2) 2" xfId="32" xr:uid="{00000000-0005-0000-0000-00001C000000}"/>
    <cellStyle name="Calc Percent (0)" xfId="33" xr:uid="{00000000-0005-0000-0000-00001D000000}"/>
    <cellStyle name="Calc Percent (0) 2" xfId="34" xr:uid="{00000000-0005-0000-0000-00001E000000}"/>
    <cellStyle name="Calc Percent (1)" xfId="35" xr:uid="{00000000-0005-0000-0000-00001F000000}"/>
    <cellStyle name="Calc Percent (1) 2" xfId="36" xr:uid="{00000000-0005-0000-0000-000020000000}"/>
    <cellStyle name="Calc Percent (2)" xfId="37" xr:uid="{00000000-0005-0000-0000-000021000000}"/>
    <cellStyle name="Calc Percent (2) 2" xfId="38" xr:uid="{00000000-0005-0000-0000-000022000000}"/>
    <cellStyle name="Calc Units (0)" xfId="39" xr:uid="{00000000-0005-0000-0000-000023000000}"/>
    <cellStyle name="Calc Units (0) 2" xfId="40" xr:uid="{00000000-0005-0000-0000-000024000000}"/>
    <cellStyle name="Calc Units (1)" xfId="41" xr:uid="{00000000-0005-0000-0000-000025000000}"/>
    <cellStyle name="Calc Units (1) 2" xfId="42" xr:uid="{00000000-0005-0000-0000-000026000000}"/>
    <cellStyle name="Calc Units (2)" xfId="43" xr:uid="{00000000-0005-0000-0000-000027000000}"/>
    <cellStyle name="Calc Units (2) 2" xfId="44" xr:uid="{00000000-0005-0000-0000-000028000000}"/>
    <cellStyle name="Calculation 2" xfId="45" xr:uid="{00000000-0005-0000-0000-000029000000}"/>
    <cellStyle name="Check Cell 2" xfId="46" xr:uid="{00000000-0005-0000-0000-00002A000000}"/>
    <cellStyle name="Comma" xfId="1" builtinId="3"/>
    <cellStyle name="Comma [00]" xfId="48" xr:uid="{00000000-0005-0000-0000-00002C000000}"/>
    <cellStyle name="Comma [00] 2" xfId="49" xr:uid="{00000000-0005-0000-0000-00002D000000}"/>
    <cellStyle name="Comma 10" xfId="50" xr:uid="{00000000-0005-0000-0000-00002E000000}"/>
    <cellStyle name="Comma 10 2" xfId="51" xr:uid="{00000000-0005-0000-0000-00002F000000}"/>
    <cellStyle name="Comma 10 3" xfId="52" xr:uid="{00000000-0005-0000-0000-000030000000}"/>
    <cellStyle name="Comma 10 3 2" xfId="17288" xr:uid="{00000000-0005-0000-0000-000031000000}"/>
    <cellStyle name="Comma 11" xfId="53" xr:uid="{00000000-0005-0000-0000-000032000000}"/>
    <cellStyle name="Comma 11 2" xfId="54" xr:uid="{00000000-0005-0000-0000-000033000000}"/>
    <cellStyle name="Comma 11 3" xfId="55" xr:uid="{00000000-0005-0000-0000-000034000000}"/>
    <cellStyle name="Comma 11 3 2" xfId="17289" xr:uid="{00000000-0005-0000-0000-000035000000}"/>
    <cellStyle name="Comma 12" xfId="56" xr:uid="{00000000-0005-0000-0000-000036000000}"/>
    <cellStyle name="Comma 12 2" xfId="57" xr:uid="{00000000-0005-0000-0000-000037000000}"/>
    <cellStyle name="Comma 12 3" xfId="58" xr:uid="{00000000-0005-0000-0000-000038000000}"/>
    <cellStyle name="Comma 12 3 2" xfId="17290" xr:uid="{00000000-0005-0000-0000-000039000000}"/>
    <cellStyle name="Comma 13" xfId="59" xr:uid="{00000000-0005-0000-0000-00003A000000}"/>
    <cellStyle name="Comma 13 2" xfId="60" xr:uid="{00000000-0005-0000-0000-00003B000000}"/>
    <cellStyle name="Comma 13 3" xfId="61" xr:uid="{00000000-0005-0000-0000-00003C000000}"/>
    <cellStyle name="Comma 13 3 10" xfId="4614" xr:uid="{00000000-0005-0000-0000-00003D000000}"/>
    <cellStyle name="Comma 13 3 10 2" xfId="13063" xr:uid="{00000000-0005-0000-0000-00003E000000}"/>
    <cellStyle name="Comma 13 3 10 2 2" xfId="30003" xr:uid="{00000000-0005-0000-0000-00003F000000}"/>
    <cellStyle name="Comma 13 3 10 3" xfId="21555" xr:uid="{00000000-0005-0000-0000-000040000000}"/>
    <cellStyle name="Comma 13 3 11" xfId="8839" xr:uid="{00000000-0005-0000-0000-000041000000}"/>
    <cellStyle name="Comma 13 3 11 2" xfId="25779" xr:uid="{00000000-0005-0000-0000-000042000000}"/>
    <cellStyle name="Comma 13 3 12" xfId="17291" xr:uid="{00000000-0005-0000-0000-000043000000}"/>
    <cellStyle name="Comma 13 3 2" xfId="62" xr:uid="{00000000-0005-0000-0000-000044000000}"/>
    <cellStyle name="Comma 13 3 2 10" xfId="17292" xr:uid="{00000000-0005-0000-0000-000045000000}"/>
    <cellStyle name="Comma 13 3 2 2" xfId="558" xr:uid="{00000000-0005-0000-0000-000046000000}"/>
    <cellStyle name="Comma 13 3 2 2 2" xfId="912" xr:uid="{00000000-0005-0000-0000-000047000000}"/>
    <cellStyle name="Comma 13 3 2 2 2 2" xfId="1974" xr:uid="{00000000-0005-0000-0000-000048000000}"/>
    <cellStyle name="Comma 13 3 2 2 2 2 2" xfId="4086" xr:uid="{00000000-0005-0000-0000-000049000000}"/>
    <cellStyle name="Comma 13 3 2 2 2 2 2 2" xfId="8312" xr:uid="{00000000-0005-0000-0000-00004A000000}"/>
    <cellStyle name="Comma 13 3 2 2 2 2 2 2 2" xfId="16760" xr:uid="{00000000-0005-0000-0000-00004B000000}"/>
    <cellStyle name="Comma 13 3 2 2 2 2 2 2 2 2" xfId="33700" xr:uid="{00000000-0005-0000-0000-00004C000000}"/>
    <cellStyle name="Comma 13 3 2 2 2 2 2 2 3" xfId="25252" xr:uid="{00000000-0005-0000-0000-00004D000000}"/>
    <cellStyle name="Comma 13 3 2 2 2 2 2 3" xfId="12536" xr:uid="{00000000-0005-0000-0000-00004E000000}"/>
    <cellStyle name="Comma 13 3 2 2 2 2 2 3 2" xfId="29476" xr:uid="{00000000-0005-0000-0000-00004F000000}"/>
    <cellStyle name="Comma 13 3 2 2 2 2 2 4" xfId="21028" xr:uid="{00000000-0005-0000-0000-000050000000}"/>
    <cellStyle name="Comma 13 3 2 2 2 2 3" xfId="6200" xr:uid="{00000000-0005-0000-0000-000051000000}"/>
    <cellStyle name="Comma 13 3 2 2 2 2 3 2" xfId="14648" xr:uid="{00000000-0005-0000-0000-000052000000}"/>
    <cellStyle name="Comma 13 3 2 2 2 2 3 2 2" xfId="31588" xr:uid="{00000000-0005-0000-0000-000053000000}"/>
    <cellStyle name="Comma 13 3 2 2 2 2 3 3" xfId="23140" xr:uid="{00000000-0005-0000-0000-000054000000}"/>
    <cellStyle name="Comma 13 3 2 2 2 2 4" xfId="10424" xr:uid="{00000000-0005-0000-0000-000055000000}"/>
    <cellStyle name="Comma 13 3 2 2 2 2 4 2" xfId="27364" xr:uid="{00000000-0005-0000-0000-000056000000}"/>
    <cellStyle name="Comma 13 3 2 2 2 2 5" xfId="18916" xr:uid="{00000000-0005-0000-0000-000057000000}"/>
    <cellStyle name="Comma 13 3 2 2 2 3" xfId="3030" xr:uid="{00000000-0005-0000-0000-000058000000}"/>
    <cellStyle name="Comma 13 3 2 2 2 3 2" xfId="7256" xr:uid="{00000000-0005-0000-0000-000059000000}"/>
    <cellStyle name="Comma 13 3 2 2 2 3 2 2" xfId="15704" xr:uid="{00000000-0005-0000-0000-00005A000000}"/>
    <cellStyle name="Comma 13 3 2 2 2 3 2 2 2" xfId="32644" xr:uid="{00000000-0005-0000-0000-00005B000000}"/>
    <cellStyle name="Comma 13 3 2 2 2 3 2 3" xfId="24196" xr:uid="{00000000-0005-0000-0000-00005C000000}"/>
    <cellStyle name="Comma 13 3 2 2 2 3 3" xfId="11480" xr:uid="{00000000-0005-0000-0000-00005D000000}"/>
    <cellStyle name="Comma 13 3 2 2 2 3 3 2" xfId="28420" xr:uid="{00000000-0005-0000-0000-00005E000000}"/>
    <cellStyle name="Comma 13 3 2 2 2 3 4" xfId="19972" xr:uid="{00000000-0005-0000-0000-00005F000000}"/>
    <cellStyle name="Comma 13 3 2 2 2 4" xfId="5144" xr:uid="{00000000-0005-0000-0000-000060000000}"/>
    <cellStyle name="Comma 13 3 2 2 2 4 2" xfId="13592" xr:uid="{00000000-0005-0000-0000-000061000000}"/>
    <cellStyle name="Comma 13 3 2 2 2 4 2 2" xfId="30532" xr:uid="{00000000-0005-0000-0000-000062000000}"/>
    <cellStyle name="Comma 13 3 2 2 2 4 3" xfId="22084" xr:uid="{00000000-0005-0000-0000-000063000000}"/>
    <cellStyle name="Comma 13 3 2 2 2 5" xfId="9368" xr:uid="{00000000-0005-0000-0000-000064000000}"/>
    <cellStyle name="Comma 13 3 2 2 2 5 2" xfId="26308" xr:uid="{00000000-0005-0000-0000-000065000000}"/>
    <cellStyle name="Comma 13 3 2 2 2 6" xfId="17860" xr:uid="{00000000-0005-0000-0000-000066000000}"/>
    <cellStyle name="Comma 13 3 2 2 3" xfId="1622" xr:uid="{00000000-0005-0000-0000-000067000000}"/>
    <cellStyle name="Comma 13 3 2 2 3 2" xfId="3734" xr:uid="{00000000-0005-0000-0000-000068000000}"/>
    <cellStyle name="Comma 13 3 2 2 3 2 2" xfId="7960" xr:uid="{00000000-0005-0000-0000-000069000000}"/>
    <cellStyle name="Comma 13 3 2 2 3 2 2 2" xfId="16408" xr:uid="{00000000-0005-0000-0000-00006A000000}"/>
    <cellStyle name="Comma 13 3 2 2 3 2 2 2 2" xfId="33348" xr:uid="{00000000-0005-0000-0000-00006B000000}"/>
    <cellStyle name="Comma 13 3 2 2 3 2 2 3" xfId="24900" xr:uid="{00000000-0005-0000-0000-00006C000000}"/>
    <cellStyle name="Comma 13 3 2 2 3 2 3" xfId="12184" xr:uid="{00000000-0005-0000-0000-00006D000000}"/>
    <cellStyle name="Comma 13 3 2 2 3 2 3 2" xfId="29124" xr:uid="{00000000-0005-0000-0000-00006E000000}"/>
    <cellStyle name="Comma 13 3 2 2 3 2 4" xfId="20676" xr:uid="{00000000-0005-0000-0000-00006F000000}"/>
    <cellStyle name="Comma 13 3 2 2 3 3" xfId="5848" xr:uid="{00000000-0005-0000-0000-000070000000}"/>
    <cellStyle name="Comma 13 3 2 2 3 3 2" xfId="14296" xr:uid="{00000000-0005-0000-0000-000071000000}"/>
    <cellStyle name="Comma 13 3 2 2 3 3 2 2" xfId="31236" xr:uid="{00000000-0005-0000-0000-000072000000}"/>
    <cellStyle name="Comma 13 3 2 2 3 3 3" xfId="22788" xr:uid="{00000000-0005-0000-0000-000073000000}"/>
    <cellStyle name="Comma 13 3 2 2 3 4" xfId="10072" xr:uid="{00000000-0005-0000-0000-000074000000}"/>
    <cellStyle name="Comma 13 3 2 2 3 4 2" xfId="27012" xr:uid="{00000000-0005-0000-0000-000075000000}"/>
    <cellStyle name="Comma 13 3 2 2 3 5" xfId="18564" xr:uid="{00000000-0005-0000-0000-000076000000}"/>
    <cellStyle name="Comma 13 3 2 2 4" xfId="2678" xr:uid="{00000000-0005-0000-0000-000077000000}"/>
    <cellStyle name="Comma 13 3 2 2 4 2" xfId="6904" xr:uid="{00000000-0005-0000-0000-000078000000}"/>
    <cellStyle name="Comma 13 3 2 2 4 2 2" xfId="15352" xr:uid="{00000000-0005-0000-0000-000079000000}"/>
    <cellStyle name="Comma 13 3 2 2 4 2 2 2" xfId="32292" xr:uid="{00000000-0005-0000-0000-00007A000000}"/>
    <cellStyle name="Comma 13 3 2 2 4 2 3" xfId="23844" xr:uid="{00000000-0005-0000-0000-00007B000000}"/>
    <cellStyle name="Comma 13 3 2 2 4 3" xfId="11128" xr:uid="{00000000-0005-0000-0000-00007C000000}"/>
    <cellStyle name="Comma 13 3 2 2 4 3 2" xfId="28068" xr:uid="{00000000-0005-0000-0000-00007D000000}"/>
    <cellStyle name="Comma 13 3 2 2 4 4" xfId="19620" xr:uid="{00000000-0005-0000-0000-00007E000000}"/>
    <cellStyle name="Comma 13 3 2 2 5" xfId="4792" xr:uid="{00000000-0005-0000-0000-00007F000000}"/>
    <cellStyle name="Comma 13 3 2 2 5 2" xfId="13240" xr:uid="{00000000-0005-0000-0000-000080000000}"/>
    <cellStyle name="Comma 13 3 2 2 5 2 2" xfId="30180" xr:uid="{00000000-0005-0000-0000-000081000000}"/>
    <cellStyle name="Comma 13 3 2 2 5 3" xfId="21732" xr:uid="{00000000-0005-0000-0000-000082000000}"/>
    <cellStyle name="Comma 13 3 2 2 6" xfId="9016" xr:uid="{00000000-0005-0000-0000-000083000000}"/>
    <cellStyle name="Comma 13 3 2 2 6 2" xfId="25956" xr:uid="{00000000-0005-0000-0000-000084000000}"/>
    <cellStyle name="Comma 13 3 2 2 7" xfId="17508" xr:uid="{00000000-0005-0000-0000-000085000000}"/>
    <cellStyle name="Comma 13 3 2 3" xfId="736" xr:uid="{00000000-0005-0000-0000-000086000000}"/>
    <cellStyle name="Comma 13 3 2 3 2" xfId="1798" xr:uid="{00000000-0005-0000-0000-000087000000}"/>
    <cellStyle name="Comma 13 3 2 3 2 2" xfId="3910" xr:uid="{00000000-0005-0000-0000-000088000000}"/>
    <cellStyle name="Comma 13 3 2 3 2 2 2" xfId="8136" xr:uid="{00000000-0005-0000-0000-000089000000}"/>
    <cellStyle name="Comma 13 3 2 3 2 2 2 2" xfId="16584" xr:uid="{00000000-0005-0000-0000-00008A000000}"/>
    <cellStyle name="Comma 13 3 2 3 2 2 2 2 2" xfId="33524" xr:uid="{00000000-0005-0000-0000-00008B000000}"/>
    <cellStyle name="Comma 13 3 2 3 2 2 2 3" xfId="25076" xr:uid="{00000000-0005-0000-0000-00008C000000}"/>
    <cellStyle name="Comma 13 3 2 3 2 2 3" xfId="12360" xr:uid="{00000000-0005-0000-0000-00008D000000}"/>
    <cellStyle name="Comma 13 3 2 3 2 2 3 2" xfId="29300" xr:uid="{00000000-0005-0000-0000-00008E000000}"/>
    <cellStyle name="Comma 13 3 2 3 2 2 4" xfId="20852" xr:uid="{00000000-0005-0000-0000-00008F000000}"/>
    <cellStyle name="Comma 13 3 2 3 2 3" xfId="6024" xr:uid="{00000000-0005-0000-0000-000090000000}"/>
    <cellStyle name="Comma 13 3 2 3 2 3 2" xfId="14472" xr:uid="{00000000-0005-0000-0000-000091000000}"/>
    <cellStyle name="Comma 13 3 2 3 2 3 2 2" xfId="31412" xr:uid="{00000000-0005-0000-0000-000092000000}"/>
    <cellStyle name="Comma 13 3 2 3 2 3 3" xfId="22964" xr:uid="{00000000-0005-0000-0000-000093000000}"/>
    <cellStyle name="Comma 13 3 2 3 2 4" xfId="10248" xr:uid="{00000000-0005-0000-0000-000094000000}"/>
    <cellStyle name="Comma 13 3 2 3 2 4 2" xfId="27188" xr:uid="{00000000-0005-0000-0000-000095000000}"/>
    <cellStyle name="Comma 13 3 2 3 2 5" xfId="18740" xr:uid="{00000000-0005-0000-0000-000096000000}"/>
    <cellStyle name="Comma 13 3 2 3 3" xfId="2854" xr:uid="{00000000-0005-0000-0000-000097000000}"/>
    <cellStyle name="Comma 13 3 2 3 3 2" xfId="7080" xr:uid="{00000000-0005-0000-0000-000098000000}"/>
    <cellStyle name="Comma 13 3 2 3 3 2 2" xfId="15528" xr:uid="{00000000-0005-0000-0000-000099000000}"/>
    <cellStyle name="Comma 13 3 2 3 3 2 2 2" xfId="32468" xr:uid="{00000000-0005-0000-0000-00009A000000}"/>
    <cellStyle name="Comma 13 3 2 3 3 2 3" xfId="24020" xr:uid="{00000000-0005-0000-0000-00009B000000}"/>
    <cellStyle name="Comma 13 3 2 3 3 3" xfId="11304" xr:uid="{00000000-0005-0000-0000-00009C000000}"/>
    <cellStyle name="Comma 13 3 2 3 3 3 2" xfId="28244" xr:uid="{00000000-0005-0000-0000-00009D000000}"/>
    <cellStyle name="Comma 13 3 2 3 3 4" xfId="19796" xr:uid="{00000000-0005-0000-0000-00009E000000}"/>
    <cellStyle name="Comma 13 3 2 3 4" xfId="4968" xr:uid="{00000000-0005-0000-0000-00009F000000}"/>
    <cellStyle name="Comma 13 3 2 3 4 2" xfId="13416" xr:uid="{00000000-0005-0000-0000-0000A0000000}"/>
    <cellStyle name="Comma 13 3 2 3 4 2 2" xfId="30356" xr:uid="{00000000-0005-0000-0000-0000A1000000}"/>
    <cellStyle name="Comma 13 3 2 3 4 3" xfId="21908" xr:uid="{00000000-0005-0000-0000-0000A2000000}"/>
    <cellStyle name="Comma 13 3 2 3 5" xfId="9192" xr:uid="{00000000-0005-0000-0000-0000A3000000}"/>
    <cellStyle name="Comma 13 3 2 3 5 2" xfId="26132" xr:uid="{00000000-0005-0000-0000-0000A4000000}"/>
    <cellStyle name="Comma 13 3 2 3 6" xfId="17684" xr:uid="{00000000-0005-0000-0000-0000A5000000}"/>
    <cellStyle name="Comma 13 3 2 4" xfId="1088" xr:uid="{00000000-0005-0000-0000-0000A6000000}"/>
    <cellStyle name="Comma 13 3 2 4 2" xfId="2150" xr:uid="{00000000-0005-0000-0000-0000A7000000}"/>
    <cellStyle name="Comma 13 3 2 4 2 2" xfId="4262" xr:uid="{00000000-0005-0000-0000-0000A8000000}"/>
    <cellStyle name="Comma 13 3 2 4 2 2 2" xfId="8488" xr:uid="{00000000-0005-0000-0000-0000A9000000}"/>
    <cellStyle name="Comma 13 3 2 4 2 2 2 2" xfId="16936" xr:uid="{00000000-0005-0000-0000-0000AA000000}"/>
    <cellStyle name="Comma 13 3 2 4 2 2 2 2 2" xfId="33876" xr:uid="{00000000-0005-0000-0000-0000AB000000}"/>
    <cellStyle name="Comma 13 3 2 4 2 2 2 3" xfId="25428" xr:uid="{00000000-0005-0000-0000-0000AC000000}"/>
    <cellStyle name="Comma 13 3 2 4 2 2 3" xfId="12712" xr:uid="{00000000-0005-0000-0000-0000AD000000}"/>
    <cellStyle name="Comma 13 3 2 4 2 2 3 2" xfId="29652" xr:uid="{00000000-0005-0000-0000-0000AE000000}"/>
    <cellStyle name="Comma 13 3 2 4 2 2 4" xfId="21204" xr:uid="{00000000-0005-0000-0000-0000AF000000}"/>
    <cellStyle name="Comma 13 3 2 4 2 3" xfId="6376" xr:uid="{00000000-0005-0000-0000-0000B0000000}"/>
    <cellStyle name="Comma 13 3 2 4 2 3 2" xfId="14824" xr:uid="{00000000-0005-0000-0000-0000B1000000}"/>
    <cellStyle name="Comma 13 3 2 4 2 3 2 2" xfId="31764" xr:uid="{00000000-0005-0000-0000-0000B2000000}"/>
    <cellStyle name="Comma 13 3 2 4 2 3 3" xfId="23316" xr:uid="{00000000-0005-0000-0000-0000B3000000}"/>
    <cellStyle name="Comma 13 3 2 4 2 4" xfId="10600" xr:uid="{00000000-0005-0000-0000-0000B4000000}"/>
    <cellStyle name="Comma 13 3 2 4 2 4 2" xfId="27540" xr:uid="{00000000-0005-0000-0000-0000B5000000}"/>
    <cellStyle name="Comma 13 3 2 4 2 5" xfId="19092" xr:uid="{00000000-0005-0000-0000-0000B6000000}"/>
    <cellStyle name="Comma 13 3 2 4 3" xfId="3206" xr:uid="{00000000-0005-0000-0000-0000B7000000}"/>
    <cellStyle name="Comma 13 3 2 4 3 2" xfId="7432" xr:uid="{00000000-0005-0000-0000-0000B8000000}"/>
    <cellStyle name="Comma 13 3 2 4 3 2 2" xfId="15880" xr:uid="{00000000-0005-0000-0000-0000B9000000}"/>
    <cellStyle name="Comma 13 3 2 4 3 2 2 2" xfId="32820" xr:uid="{00000000-0005-0000-0000-0000BA000000}"/>
    <cellStyle name="Comma 13 3 2 4 3 2 3" xfId="24372" xr:uid="{00000000-0005-0000-0000-0000BB000000}"/>
    <cellStyle name="Comma 13 3 2 4 3 3" xfId="11656" xr:uid="{00000000-0005-0000-0000-0000BC000000}"/>
    <cellStyle name="Comma 13 3 2 4 3 3 2" xfId="28596" xr:uid="{00000000-0005-0000-0000-0000BD000000}"/>
    <cellStyle name="Comma 13 3 2 4 3 4" xfId="20148" xr:uid="{00000000-0005-0000-0000-0000BE000000}"/>
    <cellStyle name="Comma 13 3 2 4 4" xfId="5320" xr:uid="{00000000-0005-0000-0000-0000BF000000}"/>
    <cellStyle name="Comma 13 3 2 4 4 2" xfId="13768" xr:uid="{00000000-0005-0000-0000-0000C0000000}"/>
    <cellStyle name="Comma 13 3 2 4 4 2 2" xfId="30708" xr:uid="{00000000-0005-0000-0000-0000C1000000}"/>
    <cellStyle name="Comma 13 3 2 4 4 3" xfId="22260" xr:uid="{00000000-0005-0000-0000-0000C2000000}"/>
    <cellStyle name="Comma 13 3 2 4 5" xfId="9544" xr:uid="{00000000-0005-0000-0000-0000C3000000}"/>
    <cellStyle name="Comma 13 3 2 4 5 2" xfId="26484" xr:uid="{00000000-0005-0000-0000-0000C4000000}"/>
    <cellStyle name="Comma 13 3 2 4 6" xfId="18036" xr:uid="{00000000-0005-0000-0000-0000C5000000}"/>
    <cellStyle name="Comma 13 3 2 5" xfId="1270" xr:uid="{00000000-0005-0000-0000-0000C6000000}"/>
    <cellStyle name="Comma 13 3 2 5 2" xfId="2326" xr:uid="{00000000-0005-0000-0000-0000C7000000}"/>
    <cellStyle name="Comma 13 3 2 5 2 2" xfId="4438" xr:uid="{00000000-0005-0000-0000-0000C8000000}"/>
    <cellStyle name="Comma 13 3 2 5 2 2 2" xfId="8664" xr:uid="{00000000-0005-0000-0000-0000C9000000}"/>
    <cellStyle name="Comma 13 3 2 5 2 2 2 2" xfId="17112" xr:uid="{00000000-0005-0000-0000-0000CA000000}"/>
    <cellStyle name="Comma 13 3 2 5 2 2 2 2 2" xfId="34052" xr:uid="{00000000-0005-0000-0000-0000CB000000}"/>
    <cellStyle name="Comma 13 3 2 5 2 2 2 3" xfId="25604" xr:uid="{00000000-0005-0000-0000-0000CC000000}"/>
    <cellStyle name="Comma 13 3 2 5 2 2 3" xfId="12888" xr:uid="{00000000-0005-0000-0000-0000CD000000}"/>
    <cellStyle name="Comma 13 3 2 5 2 2 3 2" xfId="29828" xr:uid="{00000000-0005-0000-0000-0000CE000000}"/>
    <cellStyle name="Comma 13 3 2 5 2 2 4" xfId="21380" xr:uid="{00000000-0005-0000-0000-0000CF000000}"/>
    <cellStyle name="Comma 13 3 2 5 2 3" xfId="6552" xr:uid="{00000000-0005-0000-0000-0000D0000000}"/>
    <cellStyle name="Comma 13 3 2 5 2 3 2" xfId="15000" xr:uid="{00000000-0005-0000-0000-0000D1000000}"/>
    <cellStyle name="Comma 13 3 2 5 2 3 2 2" xfId="31940" xr:uid="{00000000-0005-0000-0000-0000D2000000}"/>
    <cellStyle name="Comma 13 3 2 5 2 3 3" xfId="23492" xr:uid="{00000000-0005-0000-0000-0000D3000000}"/>
    <cellStyle name="Comma 13 3 2 5 2 4" xfId="10776" xr:uid="{00000000-0005-0000-0000-0000D4000000}"/>
    <cellStyle name="Comma 13 3 2 5 2 4 2" xfId="27716" xr:uid="{00000000-0005-0000-0000-0000D5000000}"/>
    <cellStyle name="Comma 13 3 2 5 2 5" xfId="19268" xr:uid="{00000000-0005-0000-0000-0000D6000000}"/>
    <cellStyle name="Comma 13 3 2 5 3" xfId="3382" xr:uid="{00000000-0005-0000-0000-0000D7000000}"/>
    <cellStyle name="Comma 13 3 2 5 3 2" xfId="7608" xr:uid="{00000000-0005-0000-0000-0000D8000000}"/>
    <cellStyle name="Comma 13 3 2 5 3 2 2" xfId="16056" xr:uid="{00000000-0005-0000-0000-0000D9000000}"/>
    <cellStyle name="Comma 13 3 2 5 3 2 2 2" xfId="32996" xr:uid="{00000000-0005-0000-0000-0000DA000000}"/>
    <cellStyle name="Comma 13 3 2 5 3 2 3" xfId="24548" xr:uid="{00000000-0005-0000-0000-0000DB000000}"/>
    <cellStyle name="Comma 13 3 2 5 3 3" xfId="11832" xr:uid="{00000000-0005-0000-0000-0000DC000000}"/>
    <cellStyle name="Comma 13 3 2 5 3 3 2" xfId="28772" xr:uid="{00000000-0005-0000-0000-0000DD000000}"/>
    <cellStyle name="Comma 13 3 2 5 3 4" xfId="20324" xr:uid="{00000000-0005-0000-0000-0000DE000000}"/>
    <cellStyle name="Comma 13 3 2 5 4" xfId="5496" xr:uid="{00000000-0005-0000-0000-0000DF000000}"/>
    <cellStyle name="Comma 13 3 2 5 4 2" xfId="13944" xr:uid="{00000000-0005-0000-0000-0000E0000000}"/>
    <cellStyle name="Comma 13 3 2 5 4 2 2" xfId="30884" xr:uid="{00000000-0005-0000-0000-0000E1000000}"/>
    <cellStyle name="Comma 13 3 2 5 4 3" xfId="22436" xr:uid="{00000000-0005-0000-0000-0000E2000000}"/>
    <cellStyle name="Comma 13 3 2 5 5" xfId="9720" xr:uid="{00000000-0005-0000-0000-0000E3000000}"/>
    <cellStyle name="Comma 13 3 2 5 5 2" xfId="26660" xr:uid="{00000000-0005-0000-0000-0000E4000000}"/>
    <cellStyle name="Comma 13 3 2 5 6" xfId="18212" xr:uid="{00000000-0005-0000-0000-0000E5000000}"/>
    <cellStyle name="Comma 13 3 2 6" xfId="1446" xr:uid="{00000000-0005-0000-0000-0000E6000000}"/>
    <cellStyle name="Comma 13 3 2 6 2" xfId="3558" xr:uid="{00000000-0005-0000-0000-0000E7000000}"/>
    <cellStyle name="Comma 13 3 2 6 2 2" xfId="7784" xr:uid="{00000000-0005-0000-0000-0000E8000000}"/>
    <cellStyle name="Comma 13 3 2 6 2 2 2" xfId="16232" xr:uid="{00000000-0005-0000-0000-0000E9000000}"/>
    <cellStyle name="Comma 13 3 2 6 2 2 2 2" xfId="33172" xr:uid="{00000000-0005-0000-0000-0000EA000000}"/>
    <cellStyle name="Comma 13 3 2 6 2 2 3" xfId="24724" xr:uid="{00000000-0005-0000-0000-0000EB000000}"/>
    <cellStyle name="Comma 13 3 2 6 2 3" xfId="12008" xr:uid="{00000000-0005-0000-0000-0000EC000000}"/>
    <cellStyle name="Comma 13 3 2 6 2 3 2" xfId="28948" xr:uid="{00000000-0005-0000-0000-0000ED000000}"/>
    <cellStyle name="Comma 13 3 2 6 2 4" xfId="20500" xr:uid="{00000000-0005-0000-0000-0000EE000000}"/>
    <cellStyle name="Comma 13 3 2 6 3" xfId="5672" xr:uid="{00000000-0005-0000-0000-0000EF000000}"/>
    <cellStyle name="Comma 13 3 2 6 3 2" xfId="14120" xr:uid="{00000000-0005-0000-0000-0000F0000000}"/>
    <cellStyle name="Comma 13 3 2 6 3 2 2" xfId="31060" xr:uid="{00000000-0005-0000-0000-0000F1000000}"/>
    <cellStyle name="Comma 13 3 2 6 3 3" xfId="22612" xr:uid="{00000000-0005-0000-0000-0000F2000000}"/>
    <cellStyle name="Comma 13 3 2 6 4" xfId="9896" xr:uid="{00000000-0005-0000-0000-0000F3000000}"/>
    <cellStyle name="Comma 13 3 2 6 4 2" xfId="26836" xr:uid="{00000000-0005-0000-0000-0000F4000000}"/>
    <cellStyle name="Comma 13 3 2 6 5" xfId="18388" xr:uid="{00000000-0005-0000-0000-0000F5000000}"/>
    <cellStyle name="Comma 13 3 2 7" xfId="2502" xr:uid="{00000000-0005-0000-0000-0000F6000000}"/>
    <cellStyle name="Comma 13 3 2 7 2" xfId="6728" xr:uid="{00000000-0005-0000-0000-0000F7000000}"/>
    <cellStyle name="Comma 13 3 2 7 2 2" xfId="15176" xr:uid="{00000000-0005-0000-0000-0000F8000000}"/>
    <cellStyle name="Comma 13 3 2 7 2 2 2" xfId="32116" xr:uid="{00000000-0005-0000-0000-0000F9000000}"/>
    <cellStyle name="Comma 13 3 2 7 2 3" xfId="23668" xr:uid="{00000000-0005-0000-0000-0000FA000000}"/>
    <cellStyle name="Comma 13 3 2 7 3" xfId="10952" xr:uid="{00000000-0005-0000-0000-0000FB000000}"/>
    <cellStyle name="Comma 13 3 2 7 3 2" xfId="27892" xr:uid="{00000000-0005-0000-0000-0000FC000000}"/>
    <cellStyle name="Comma 13 3 2 7 4" xfId="19444" xr:uid="{00000000-0005-0000-0000-0000FD000000}"/>
    <cellStyle name="Comma 13 3 2 8" xfId="4615" xr:uid="{00000000-0005-0000-0000-0000FE000000}"/>
    <cellStyle name="Comma 13 3 2 8 2" xfId="13064" xr:uid="{00000000-0005-0000-0000-0000FF000000}"/>
    <cellStyle name="Comma 13 3 2 8 2 2" xfId="30004" xr:uid="{00000000-0005-0000-0000-000000010000}"/>
    <cellStyle name="Comma 13 3 2 8 3" xfId="21556" xr:uid="{00000000-0005-0000-0000-000001010000}"/>
    <cellStyle name="Comma 13 3 2 9" xfId="8840" xr:uid="{00000000-0005-0000-0000-000002010000}"/>
    <cellStyle name="Comma 13 3 2 9 2" xfId="25780" xr:uid="{00000000-0005-0000-0000-000003010000}"/>
    <cellStyle name="Comma 13 3 3" xfId="63" xr:uid="{00000000-0005-0000-0000-000004010000}"/>
    <cellStyle name="Comma 13 3 3 10" xfId="17293" xr:uid="{00000000-0005-0000-0000-000005010000}"/>
    <cellStyle name="Comma 13 3 3 2" xfId="559" xr:uid="{00000000-0005-0000-0000-000006010000}"/>
    <cellStyle name="Comma 13 3 3 2 2" xfId="913" xr:uid="{00000000-0005-0000-0000-000007010000}"/>
    <cellStyle name="Comma 13 3 3 2 2 2" xfId="1975" xr:uid="{00000000-0005-0000-0000-000008010000}"/>
    <cellStyle name="Comma 13 3 3 2 2 2 2" xfId="4087" xr:uid="{00000000-0005-0000-0000-000009010000}"/>
    <cellStyle name="Comma 13 3 3 2 2 2 2 2" xfId="8313" xr:uid="{00000000-0005-0000-0000-00000A010000}"/>
    <cellStyle name="Comma 13 3 3 2 2 2 2 2 2" xfId="16761" xr:uid="{00000000-0005-0000-0000-00000B010000}"/>
    <cellStyle name="Comma 13 3 3 2 2 2 2 2 2 2" xfId="33701" xr:uid="{00000000-0005-0000-0000-00000C010000}"/>
    <cellStyle name="Comma 13 3 3 2 2 2 2 2 3" xfId="25253" xr:uid="{00000000-0005-0000-0000-00000D010000}"/>
    <cellStyle name="Comma 13 3 3 2 2 2 2 3" xfId="12537" xr:uid="{00000000-0005-0000-0000-00000E010000}"/>
    <cellStyle name="Comma 13 3 3 2 2 2 2 3 2" xfId="29477" xr:uid="{00000000-0005-0000-0000-00000F010000}"/>
    <cellStyle name="Comma 13 3 3 2 2 2 2 4" xfId="21029" xr:uid="{00000000-0005-0000-0000-000010010000}"/>
    <cellStyle name="Comma 13 3 3 2 2 2 3" xfId="6201" xr:uid="{00000000-0005-0000-0000-000011010000}"/>
    <cellStyle name="Comma 13 3 3 2 2 2 3 2" xfId="14649" xr:uid="{00000000-0005-0000-0000-000012010000}"/>
    <cellStyle name="Comma 13 3 3 2 2 2 3 2 2" xfId="31589" xr:uid="{00000000-0005-0000-0000-000013010000}"/>
    <cellStyle name="Comma 13 3 3 2 2 2 3 3" xfId="23141" xr:uid="{00000000-0005-0000-0000-000014010000}"/>
    <cellStyle name="Comma 13 3 3 2 2 2 4" xfId="10425" xr:uid="{00000000-0005-0000-0000-000015010000}"/>
    <cellStyle name="Comma 13 3 3 2 2 2 4 2" xfId="27365" xr:uid="{00000000-0005-0000-0000-000016010000}"/>
    <cellStyle name="Comma 13 3 3 2 2 2 5" xfId="18917" xr:uid="{00000000-0005-0000-0000-000017010000}"/>
    <cellStyle name="Comma 13 3 3 2 2 3" xfId="3031" xr:uid="{00000000-0005-0000-0000-000018010000}"/>
    <cellStyle name="Comma 13 3 3 2 2 3 2" xfId="7257" xr:uid="{00000000-0005-0000-0000-000019010000}"/>
    <cellStyle name="Comma 13 3 3 2 2 3 2 2" xfId="15705" xr:uid="{00000000-0005-0000-0000-00001A010000}"/>
    <cellStyle name="Comma 13 3 3 2 2 3 2 2 2" xfId="32645" xr:uid="{00000000-0005-0000-0000-00001B010000}"/>
    <cellStyle name="Comma 13 3 3 2 2 3 2 3" xfId="24197" xr:uid="{00000000-0005-0000-0000-00001C010000}"/>
    <cellStyle name="Comma 13 3 3 2 2 3 3" xfId="11481" xr:uid="{00000000-0005-0000-0000-00001D010000}"/>
    <cellStyle name="Comma 13 3 3 2 2 3 3 2" xfId="28421" xr:uid="{00000000-0005-0000-0000-00001E010000}"/>
    <cellStyle name="Comma 13 3 3 2 2 3 4" xfId="19973" xr:uid="{00000000-0005-0000-0000-00001F010000}"/>
    <cellStyle name="Comma 13 3 3 2 2 4" xfId="5145" xr:uid="{00000000-0005-0000-0000-000020010000}"/>
    <cellStyle name="Comma 13 3 3 2 2 4 2" xfId="13593" xr:uid="{00000000-0005-0000-0000-000021010000}"/>
    <cellStyle name="Comma 13 3 3 2 2 4 2 2" xfId="30533" xr:uid="{00000000-0005-0000-0000-000022010000}"/>
    <cellStyle name="Comma 13 3 3 2 2 4 3" xfId="22085" xr:uid="{00000000-0005-0000-0000-000023010000}"/>
    <cellStyle name="Comma 13 3 3 2 2 5" xfId="9369" xr:uid="{00000000-0005-0000-0000-000024010000}"/>
    <cellStyle name="Comma 13 3 3 2 2 5 2" xfId="26309" xr:uid="{00000000-0005-0000-0000-000025010000}"/>
    <cellStyle name="Comma 13 3 3 2 2 6" xfId="17861" xr:uid="{00000000-0005-0000-0000-000026010000}"/>
    <cellStyle name="Comma 13 3 3 2 3" xfId="1623" xr:uid="{00000000-0005-0000-0000-000027010000}"/>
    <cellStyle name="Comma 13 3 3 2 3 2" xfId="3735" xr:uid="{00000000-0005-0000-0000-000028010000}"/>
    <cellStyle name="Comma 13 3 3 2 3 2 2" xfId="7961" xr:uid="{00000000-0005-0000-0000-000029010000}"/>
    <cellStyle name="Comma 13 3 3 2 3 2 2 2" xfId="16409" xr:uid="{00000000-0005-0000-0000-00002A010000}"/>
    <cellStyle name="Comma 13 3 3 2 3 2 2 2 2" xfId="33349" xr:uid="{00000000-0005-0000-0000-00002B010000}"/>
    <cellStyle name="Comma 13 3 3 2 3 2 2 3" xfId="24901" xr:uid="{00000000-0005-0000-0000-00002C010000}"/>
    <cellStyle name="Comma 13 3 3 2 3 2 3" xfId="12185" xr:uid="{00000000-0005-0000-0000-00002D010000}"/>
    <cellStyle name="Comma 13 3 3 2 3 2 3 2" xfId="29125" xr:uid="{00000000-0005-0000-0000-00002E010000}"/>
    <cellStyle name="Comma 13 3 3 2 3 2 4" xfId="20677" xr:uid="{00000000-0005-0000-0000-00002F010000}"/>
    <cellStyle name="Comma 13 3 3 2 3 3" xfId="5849" xr:uid="{00000000-0005-0000-0000-000030010000}"/>
    <cellStyle name="Comma 13 3 3 2 3 3 2" xfId="14297" xr:uid="{00000000-0005-0000-0000-000031010000}"/>
    <cellStyle name="Comma 13 3 3 2 3 3 2 2" xfId="31237" xr:uid="{00000000-0005-0000-0000-000032010000}"/>
    <cellStyle name="Comma 13 3 3 2 3 3 3" xfId="22789" xr:uid="{00000000-0005-0000-0000-000033010000}"/>
    <cellStyle name="Comma 13 3 3 2 3 4" xfId="10073" xr:uid="{00000000-0005-0000-0000-000034010000}"/>
    <cellStyle name="Comma 13 3 3 2 3 4 2" xfId="27013" xr:uid="{00000000-0005-0000-0000-000035010000}"/>
    <cellStyle name="Comma 13 3 3 2 3 5" xfId="18565" xr:uid="{00000000-0005-0000-0000-000036010000}"/>
    <cellStyle name="Comma 13 3 3 2 4" xfId="2679" xr:uid="{00000000-0005-0000-0000-000037010000}"/>
    <cellStyle name="Comma 13 3 3 2 4 2" xfId="6905" xr:uid="{00000000-0005-0000-0000-000038010000}"/>
    <cellStyle name="Comma 13 3 3 2 4 2 2" xfId="15353" xr:uid="{00000000-0005-0000-0000-000039010000}"/>
    <cellStyle name="Comma 13 3 3 2 4 2 2 2" xfId="32293" xr:uid="{00000000-0005-0000-0000-00003A010000}"/>
    <cellStyle name="Comma 13 3 3 2 4 2 3" xfId="23845" xr:uid="{00000000-0005-0000-0000-00003B010000}"/>
    <cellStyle name="Comma 13 3 3 2 4 3" xfId="11129" xr:uid="{00000000-0005-0000-0000-00003C010000}"/>
    <cellStyle name="Comma 13 3 3 2 4 3 2" xfId="28069" xr:uid="{00000000-0005-0000-0000-00003D010000}"/>
    <cellStyle name="Comma 13 3 3 2 4 4" xfId="19621" xr:uid="{00000000-0005-0000-0000-00003E010000}"/>
    <cellStyle name="Comma 13 3 3 2 5" xfId="4793" xr:uid="{00000000-0005-0000-0000-00003F010000}"/>
    <cellStyle name="Comma 13 3 3 2 5 2" xfId="13241" xr:uid="{00000000-0005-0000-0000-000040010000}"/>
    <cellStyle name="Comma 13 3 3 2 5 2 2" xfId="30181" xr:uid="{00000000-0005-0000-0000-000041010000}"/>
    <cellStyle name="Comma 13 3 3 2 5 3" xfId="21733" xr:uid="{00000000-0005-0000-0000-000042010000}"/>
    <cellStyle name="Comma 13 3 3 2 6" xfId="9017" xr:uid="{00000000-0005-0000-0000-000043010000}"/>
    <cellStyle name="Comma 13 3 3 2 6 2" xfId="25957" xr:uid="{00000000-0005-0000-0000-000044010000}"/>
    <cellStyle name="Comma 13 3 3 2 7" xfId="17509" xr:uid="{00000000-0005-0000-0000-000045010000}"/>
    <cellStyle name="Comma 13 3 3 3" xfId="737" xr:uid="{00000000-0005-0000-0000-000046010000}"/>
    <cellStyle name="Comma 13 3 3 3 2" xfId="1799" xr:uid="{00000000-0005-0000-0000-000047010000}"/>
    <cellStyle name="Comma 13 3 3 3 2 2" xfId="3911" xr:uid="{00000000-0005-0000-0000-000048010000}"/>
    <cellStyle name="Comma 13 3 3 3 2 2 2" xfId="8137" xr:uid="{00000000-0005-0000-0000-000049010000}"/>
    <cellStyle name="Comma 13 3 3 3 2 2 2 2" xfId="16585" xr:uid="{00000000-0005-0000-0000-00004A010000}"/>
    <cellStyle name="Comma 13 3 3 3 2 2 2 2 2" xfId="33525" xr:uid="{00000000-0005-0000-0000-00004B010000}"/>
    <cellStyle name="Comma 13 3 3 3 2 2 2 3" xfId="25077" xr:uid="{00000000-0005-0000-0000-00004C010000}"/>
    <cellStyle name="Comma 13 3 3 3 2 2 3" xfId="12361" xr:uid="{00000000-0005-0000-0000-00004D010000}"/>
    <cellStyle name="Comma 13 3 3 3 2 2 3 2" xfId="29301" xr:uid="{00000000-0005-0000-0000-00004E010000}"/>
    <cellStyle name="Comma 13 3 3 3 2 2 4" xfId="20853" xr:uid="{00000000-0005-0000-0000-00004F010000}"/>
    <cellStyle name="Comma 13 3 3 3 2 3" xfId="6025" xr:uid="{00000000-0005-0000-0000-000050010000}"/>
    <cellStyle name="Comma 13 3 3 3 2 3 2" xfId="14473" xr:uid="{00000000-0005-0000-0000-000051010000}"/>
    <cellStyle name="Comma 13 3 3 3 2 3 2 2" xfId="31413" xr:uid="{00000000-0005-0000-0000-000052010000}"/>
    <cellStyle name="Comma 13 3 3 3 2 3 3" xfId="22965" xr:uid="{00000000-0005-0000-0000-000053010000}"/>
    <cellStyle name="Comma 13 3 3 3 2 4" xfId="10249" xr:uid="{00000000-0005-0000-0000-000054010000}"/>
    <cellStyle name="Comma 13 3 3 3 2 4 2" xfId="27189" xr:uid="{00000000-0005-0000-0000-000055010000}"/>
    <cellStyle name="Comma 13 3 3 3 2 5" xfId="18741" xr:uid="{00000000-0005-0000-0000-000056010000}"/>
    <cellStyle name="Comma 13 3 3 3 3" xfId="2855" xr:uid="{00000000-0005-0000-0000-000057010000}"/>
    <cellStyle name="Comma 13 3 3 3 3 2" xfId="7081" xr:uid="{00000000-0005-0000-0000-000058010000}"/>
    <cellStyle name="Comma 13 3 3 3 3 2 2" xfId="15529" xr:uid="{00000000-0005-0000-0000-000059010000}"/>
    <cellStyle name="Comma 13 3 3 3 3 2 2 2" xfId="32469" xr:uid="{00000000-0005-0000-0000-00005A010000}"/>
    <cellStyle name="Comma 13 3 3 3 3 2 3" xfId="24021" xr:uid="{00000000-0005-0000-0000-00005B010000}"/>
    <cellStyle name="Comma 13 3 3 3 3 3" xfId="11305" xr:uid="{00000000-0005-0000-0000-00005C010000}"/>
    <cellStyle name="Comma 13 3 3 3 3 3 2" xfId="28245" xr:uid="{00000000-0005-0000-0000-00005D010000}"/>
    <cellStyle name="Comma 13 3 3 3 3 4" xfId="19797" xr:uid="{00000000-0005-0000-0000-00005E010000}"/>
    <cellStyle name="Comma 13 3 3 3 4" xfId="4969" xr:uid="{00000000-0005-0000-0000-00005F010000}"/>
    <cellStyle name="Comma 13 3 3 3 4 2" xfId="13417" xr:uid="{00000000-0005-0000-0000-000060010000}"/>
    <cellStyle name="Comma 13 3 3 3 4 2 2" xfId="30357" xr:uid="{00000000-0005-0000-0000-000061010000}"/>
    <cellStyle name="Comma 13 3 3 3 4 3" xfId="21909" xr:uid="{00000000-0005-0000-0000-000062010000}"/>
    <cellStyle name="Comma 13 3 3 3 5" xfId="9193" xr:uid="{00000000-0005-0000-0000-000063010000}"/>
    <cellStyle name="Comma 13 3 3 3 5 2" xfId="26133" xr:uid="{00000000-0005-0000-0000-000064010000}"/>
    <cellStyle name="Comma 13 3 3 3 6" xfId="17685" xr:uid="{00000000-0005-0000-0000-000065010000}"/>
    <cellStyle name="Comma 13 3 3 4" xfId="1089" xr:uid="{00000000-0005-0000-0000-000066010000}"/>
    <cellStyle name="Comma 13 3 3 4 2" xfId="2151" xr:uid="{00000000-0005-0000-0000-000067010000}"/>
    <cellStyle name="Comma 13 3 3 4 2 2" xfId="4263" xr:uid="{00000000-0005-0000-0000-000068010000}"/>
    <cellStyle name="Comma 13 3 3 4 2 2 2" xfId="8489" xr:uid="{00000000-0005-0000-0000-000069010000}"/>
    <cellStyle name="Comma 13 3 3 4 2 2 2 2" xfId="16937" xr:uid="{00000000-0005-0000-0000-00006A010000}"/>
    <cellStyle name="Comma 13 3 3 4 2 2 2 2 2" xfId="33877" xr:uid="{00000000-0005-0000-0000-00006B010000}"/>
    <cellStyle name="Comma 13 3 3 4 2 2 2 3" xfId="25429" xr:uid="{00000000-0005-0000-0000-00006C010000}"/>
    <cellStyle name="Comma 13 3 3 4 2 2 3" xfId="12713" xr:uid="{00000000-0005-0000-0000-00006D010000}"/>
    <cellStyle name="Comma 13 3 3 4 2 2 3 2" xfId="29653" xr:uid="{00000000-0005-0000-0000-00006E010000}"/>
    <cellStyle name="Comma 13 3 3 4 2 2 4" xfId="21205" xr:uid="{00000000-0005-0000-0000-00006F010000}"/>
    <cellStyle name="Comma 13 3 3 4 2 3" xfId="6377" xr:uid="{00000000-0005-0000-0000-000070010000}"/>
    <cellStyle name="Comma 13 3 3 4 2 3 2" xfId="14825" xr:uid="{00000000-0005-0000-0000-000071010000}"/>
    <cellStyle name="Comma 13 3 3 4 2 3 2 2" xfId="31765" xr:uid="{00000000-0005-0000-0000-000072010000}"/>
    <cellStyle name="Comma 13 3 3 4 2 3 3" xfId="23317" xr:uid="{00000000-0005-0000-0000-000073010000}"/>
    <cellStyle name="Comma 13 3 3 4 2 4" xfId="10601" xr:uid="{00000000-0005-0000-0000-000074010000}"/>
    <cellStyle name="Comma 13 3 3 4 2 4 2" xfId="27541" xr:uid="{00000000-0005-0000-0000-000075010000}"/>
    <cellStyle name="Comma 13 3 3 4 2 5" xfId="19093" xr:uid="{00000000-0005-0000-0000-000076010000}"/>
    <cellStyle name="Comma 13 3 3 4 3" xfId="3207" xr:uid="{00000000-0005-0000-0000-000077010000}"/>
    <cellStyle name="Comma 13 3 3 4 3 2" xfId="7433" xr:uid="{00000000-0005-0000-0000-000078010000}"/>
    <cellStyle name="Comma 13 3 3 4 3 2 2" xfId="15881" xr:uid="{00000000-0005-0000-0000-000079010000}"/>
    <cellStyle name="Comma 13 3 3 4 3 2 2 2" xfId="32821" xr:uid="{00000000-0005-0000-0000-00007A010000}"/>
    <cellStyle name="Comma 13 3 3 4 3 2 3" xfId="24373" xr:uid="{00000000-0005-0000-0000-00007B010000}"/>
    <cellStyle name="Comma 13 3 3 4 3 3" xfId="11657" xr:uid="{00000000-0005-0000-0000-00007C010000}"/>
    <cellStyle name="Comma 13 3 3 4 3 3 2" xfId="28597" xr:uid="{00000000-0005-0000-0000-00007D010000}"/>
    <cellStyle name="Comma 13 3 3 4 3 4" xfId="20149" xr:uid="{00000000-0005-0000-0000-00007E010000}"/>
    <cellStyle name="Comma 13 3 3 4 4" xfId="5321" xr:uid="{00000000-0005-0000-0000-00007F010000}"/>
    <cellStyle name="Comma 13 3 3 4 4 2" xfId="13769" xr:uid="{00000000-0005-0000-0000-000080010000}"/>
    <cellStyle name="Comma 13 3 3 4 4 2 2" xfId="30709" xr:uid="{00000000-0005-0000-0000-000081010000}"/>
    <cellStyle name="Comma 13 3 3 4 4 3" xfId="22261" xr:uid="{00000000-0005-0000-0000-000082010000}"/>
    <cellStyle name="Comma 13 3 3 4 5" xfId="9545" xr:uid="{00000000-0005-0000-0000-000083010000}"/>
    <cellStyle name="Comma 13 3 3 4 5 2" xfId="26485" xr:uid="{00000000-0005-0000-0000-000084010000}"/>
    <cellStyle name="Comma 13 3 3 4 6" xfId="18037" xr:uid="{00000000-0005-0000-0000-000085010000}"/>
    <cellStyle name="Comma 13 3 3 5" xfId="1271" xr:uid="{00000000-0005-0000-0000-000086010000}"/>
    <cellStyle name="Comma 13 3 3 5 2" xfId="2327" xr:uid="{00000000-0005-0000-0000-000087010000}"/>
    <cellStyle name="Comma 13 3 3 5 2 2" xfId="4439" xr:uid="{00000000-0005-0000-0000-000088010000}"/>
    <cellStyle name="Comma 13 3 3 5 2 2 2" xfId="8665" xr:uid="{00000000-0005-0000-0000-000089010000}"/>
    <cellStyle name="Comma 13 3 3 5 2 2 2 2" xfId="17113" xr:uid="{00000000-0005-0000-0000-00008A010000}"/>
    <cellStyle name="Comma 13 3 3 5 2 2 2 2 2" xfId="34053" xr:uid="{00000000-0005-0000-0000-00008B010000}"/>
    <cellStyle name="Comma 13 3 3 5 2 2 2 3" xfId="25605" xr:uid="{00000000-0005-0000-0000-00008C010000}"/>
    <cellStyle name="Comma 13 3 3 5 2 2 3" xfId="12889" xr:uid="{00000000-0005-0000-0000-00008D010000}"/>
    <cellStyle name="Comma 13 3 3 5 2 2 3 2" xfId="29829" xr:uid="{00000000-0005-0000-0000-00008E010000}"/>
    <cellStyle name="Comma 13 3 3 5 2 2 4" xfId="21381" xr:uid="{00000000-0005-0000-0000-00008F010000}"/>
    <cellStyle name="Comma 13 3 3 5 2 3" xfId="6553" xr:uid="{00000000-0005-0000-0000-000090010000}"/>
    <cellStyle name="Comma 13 3 3 5 2 3 2" xfId="15001" xr:uid="{00000000-0005-0000-0000-000091010000}"/>
    <cellStyle name="Comma 13 3 3 5 2 3 2 2" xfId="31941" xr:uid="{00000000-0005-0000-0000-000092010000}"/>
    <cellStyle name="Comma 13 3 3 5 2 3 3" xfId="23493" xr:uid="{00000000-0005-0000-0000-000093010000}"/>
    <cellStyle name="Comma 13 3 3 5 2 4" xfId="10777" xr:uid="{00000000-0005-0000-0000-000094010000}"/>
    <cellStyle name="Comma 13 3 3 5 2 4 2" xfId="27717" xr:uid="{00000000-0005-0000-0000-000095010000}"/>
    <cellStyle name="Comma 13 3 3 5 2 5" xfId="19269" xr:uid="{00000000-0005-0000-0000-000096010000}"/>
    <cellStyle name="Comma 13 3 3 5 3" xfId="3383" xr:uid="{00000000-0005-0000-0000-000097010000}"/>
    <cellStyle name="Comma 13 3 3 5 3 2" xfId="7609" xr:uid="{00000000-0005-0000-0000-000098010000}"/>
    <cellStyle name="Comma 13 3 3 5 3 2 2" xfId="16057" xr:uid="{00000000-0005-0000-0000-000099010000}"/>
    <cellStyle name="Comma 13 3 3 5 3 2 2 2" xfId="32997" xr:uid="{00000000-0005-0000-0000-00009A010000}"/>
    <cellStyle name="Comma 13 3 3 5 3 2 3" xfId="24549" xr:uid="{00000000-0005-0000-0000-00009B010000}"/>
    <cellStyle name="Comma 13 3 3 5 3 3" xfId="11833" xr:uid="{00000000-0005-0000-0000-00009C010000}"/>
    <cellStyle name="Comma 13 3 3 5 3 3 2" xfId="28773" xr:uid="{00000000-0005-0000-0000-00009D010000}"/>
    <cellStyle name="Comma 13 3 3 5 3 4" xfId="20325" xr:uid="{00000000-0005-0000-0000-00009E010000}"/>
    <cellStyle name="Comma 13 3 3 5 4" xfId="5497" xr:uid="{00000000-0005-0000-0000-00009F010000}"/>
    <cellStyle name="Comma 13 3 3 5 4 2" xfId="13945" xr:uid="{00000000-0005-0000-0000-0000A0010000}"/>
    <cellStyle name="Comma 13 3 3 5 4 2 2" xfId="30885" xr:uid="{00000000-0005-0000-0000-0000A1010000}"/>
    <cellStyle name="Comma 13 3 3 5 4 3" xfId="22437" xr:uid="{00000000-0005-0000-0000-0000A2010000}"/>
    <cellStyle name="Comma 13 3 3 5 5" xfId="9721" xr:uid="{00000000-0005-0000-0000-0000A3010000}"/>
    <cellStyle name="Comma 13 3 3 5 5 2" xfId="26661" xr:uid="{00000000-0005-0000-0000-0000A4010000}"/>
    <cellStyle name="Comma 13 3 3 5 6" xfId="18213" xr:uid="{00000000-0005-0000-0000-0000A5010000}"/>
    <cellStyle name="Comma 13 3 3 6" xfId="1447" xr:uid="{00000000-0005-0000-0000-0000A6010000}"/>
    <cellStyle name="Comma 13 3 3 6 2" xfId="3559" xr:uid="{00000000-0005-0000-0000-0000A7010000}"/>
    <cellStyle name="Comma 13 3 3 6 2 2" xfId="7785" xr:uid="{00000000-0005-0000-0000-0000A8010000}"/>
    <cellStyle name="Comma 13 3 3 6 2 2 2" xfId="16233" xr:uid="{00000000-0005-0000-0000-0000A9010000}"/>
    <cellStyle name="Comma 13 3 3 6 2 2 2 2" xfId="33173" xr:uid="{00000000-0005-0000-0000-0000AA010000}"/>
    <cellStyle name="Comma 13 3 3 6 2 2 3" xfId="24725" xr:uid="{00000000-0005-0000-0000-0000AB010000}"/>
    <cellStyle name="Comma 13 3 3 6 2 3" xfId="12009" xr:uid="{00000000-0005-0000-0000-0000AC010000}"/>
    <cellStyle name="Comma 13 3 3 6 2 3 2" xfId="28949" xr:uid="{00000000-0005-0000-0000-0000AD010000}"/>
    <cellStyle name="Comma 13 3 3 6 2 4" xfId="20501" xr:uid="{00000000-0005-0000-0000-0000AE010000}"/>
    <cellStyle name="Comma 13 3 3 6 3" xfId="5673" xr:uid="{00000000-0005-0000-0000-0000AF010000}"/>
    <cellStyle name="Comma 13 3 3 6 3 2" xfId="14121" xr:uid="{00000000-0005-0000-0000-0000B0010000}"/>
    <cellStyle name="Comma 13 3 3 6 3 2 2" xfId="31061" xr:uid="{00000000-0005-0000-0000-0000B1010000}"/>
    <cellStyle name="Comma 13 3 3 6 3 3" xfId="22613" xr:uid="{00000000-0005-0000-0000-0000B2010000}"/>
    <cellStyle name="Comma 13 3 3 6 4" xfId="9897" xr:uid="{00000000-0005-0000-0000-0000B3010000}"/>
    <cellStyle name="Comma 13 3 3 6 4 2" xfId="26837" xr:uid="{00000000-0005-0000-0000-0000B4010000}"/>
    <cellStyle name="Comma 13 3 3 6 5" xfId="18389" xr:uid="{00000000-0005-0000-0000-0000B5010000}"/>
    <cellStyle name="Comma 13 3 3 7" xfId="2503" xr:uid="{00000000-0005-0000-0000-0000B6010000}"/>
    <cellStyle name="Comma 13 3 3 7 2" xfId="6729" xr:uid="{00000000-0005-0000-0000-0000B7010000}"/>
    <cellStyle name="Comma 13 3 3 7 2 2" xfId="15177" xr:uid="{00000000-0005-0000-0000-0000B8010000}"/>
    <cellStyle name="Comma 13 3 3 7 2 2 2" xfId="32117" xr:uid="{00000000-0005-0000-0000-0000B9010000}"/>
    <cellStyle name="Comma 13 3 3 7 2 3" xfId="23669" xr:uid="{00000000-0005-0000-0000-0000BA010000}"/>
    <cellStyle name="Comma 13 3 3 7 3" xfId="10953" xr:uid="{00000000-0005-0000-0000-0000BB010000}"/>
    <cellStyle name="Comma 13 3 3 7 3 2" xfId="27893" xr:uid="{00000000-0005-0000-0000-0000BC010000}"/>
    <cellStyle name="Comma 13 3 3 7 4" xfId="19445" xr:uid="{00000000-0005-0000-0000-0000BD010000}"/>
    <cellStyle name="Comma 13 3 3 8" xfId="4616" xr:uid="{00000000-0005-0000-0000-0000BE010000}"/>
    <cellStyle name="Comma 13 3 3 8 2" xfId="13065" xr:uid="{00000000-0005-0000-0000-0000BF010000}"/>
    <cellStyle name="Comma 13 3 3 8 2 2" xfId="30005" xr:uid="{00000000-0005-0000-0000-0000C0010000}"/>
    <cellStyle name="Comma 13 3 3 8 3" xfId="21557" xr:uid="{00000000-0005-0000-0000-0000C1010000}"/>
    <cellStyle name="Comma 13 3 3 9" xfId="8841" xr:uid="{00000000-0005-0000-0000-0000C2010000}"/>
    <cellStyle name="Comma 13 3 3 9 2" xfId="25781" xr:uid="{00000000-0005-0000-0000-0000C3010000}"/>
    <cellStyle name="Comma 13 3 4" xfId="557" xr:uid="{00000000-0005-0000-0000-0000C4010000}"/>
    <cellStyle name="Comma 13 3 4 2" xfId="911" xr:uid="{00000000-0005-0000-0000-0000C5010000}"/>
    <cellStyle name="Comma 13 3 4 2 2" xfId="1973" xr:uid="{00000000-0005-0000-0000-0000C6010000}"/>
    <cellStyle name="Comma 13 3 4 2 2 2" xfId="4085" xr:uid="{00000000-0005-0000-0000-0000C7010000}"/>
    <cellStyle name="Comma 13 3 4 2 2 2 2" xfId="8311" xr:uid="{00000000-0005-0000-0000-0000C8010000}"/>
    <cellStyle name="Comma 13 3 4 2 2 2 2 2" xfId="16759" xr:uid="{00000000-0005-0000-0000-0000C9010000}"/>
    <cellStyle name="Comma 13 3 4 2 2 2 2 2 2" xfId="33699" xr:uid="{00000000-0005-0000-0000-0000CA010000}"/>
    <cellStyle name="Comma 13 3 4 2 2 2 2 3" xfId="25251" xr:uid="{00000000-0005-0000-0000-0000CB010000}"/>
    <cellStyle name="Comma 13 3 4 2 2 2 3" xfId="12535" xr:uid="{00000000-0005-0000-0000-0000CC010000}"/>
    <cellStyle name="Comma 13 3 4 2 2 2 3 2" xfId="29475" xr:uid="{00000000-0005-0000-0000-0000CD010000}"/>
    <cellStyle name="Comma 13 3 4 2 2 2 4" xfId="21027" xr:uid="{00000000-0005-0000-0000-0000CE010000}"/>
    <cellStyle name="Comma 13 3 4 2 2 3" xfId="6199" xr:uid="{00000000-0005-0000-0000-0000CF010000}"/>
    <cellStyle name="Comma 13 3 4 2 2 3 2" xfId="14647" xr:uid="{00000000-0005-0000-0000-0000D0010000}"/>
    <cellStyle name="Comma 13 3 4 2 2 3 2 2" xfId="31587" xr:uid="{00000000-0005-0000-0000-0000D1010000}"/>
    <cellStyle name="Comma 13 3 4 2 2 3 3" xfId="23139" xr:uid="{00000000-0005-0000-0000-0000D2010000}"/>
    <cellStyle name="Comma 13 3 4 2 2 4" xfId="10423" xr:uid="{00000000-0005-0000-0000-0000D3010000}"/>
    <cellStyle name="Comma 13 3 4 2 2 4 2" xfId="27363" xr:uid="{00000000-0005-0000-0000-0000D4010000}"/>
    <cellStyle name="Comma 13 3 4 2 2 5" xfId="18915" xr:uid="{00000000-0005-0000-0000-0000D5010000}"/>
    <cellStyle name="Comma 13 3 4 2 3" xfId="3029" xr:uid="{00000000-0005-0000-0000-0000D6010000}"/>
    <cellStyle name="Comma 13 3 4 2 3 2" xfId="7255" xr:uid="{00000000-0005-0000-0000-0000D7010000}"/>
    <cellStyle name="Comma 13 3 4 2 3 2 2" xfId="15703" xr:uid="{00000000-0005-0000-0000-0000D8010000}"/>
    <cellStyle name="Comma 13 3 4 2 3 2 2 2" xfId="32643" xr:uid="{00000000-0005-0000-0000-0000D9010000}"/>
    <cellStyle name="Comma 13 3 4 2 3 2 3" xfId="24195" xr:uid="{00000000-0005-0000-0000-0000DA010000}"/>
    <cellStyle name="Comma 13 3 4 2 3 3" xfId="11479" xr:uid="{00000000-0005-0000-0000-0000DB010000}"/>
    <cellStyle name="Comma 13 3 4 2 3 3 2" xfId="28419" xr:uid="{00000000-0005-0000-0000-0000DC010000}"/>
    <cellStyle name="Comma 13 3 4 2 3 4" xfId="19971" xr:uid="{00000000-0005-0000-0000-0000DD010000}"/>
    <cellStyle name="Comma 13 3 4 2 4" xfId="5143" xr:uid="{00000000-0005-0000-0000-0000DE010000}"/>
    <cellStyle name="Comma 13 3 4 2 4 2" xfId="13591" xr:uid="{00000000-0005-0000-0000-0000DF010000}"/>
    <cellStyle name="Comma 13 3 4 2 4 2 2" xfId="30531" xr:uid="{00000000-0005-0000-0000-0000E0010000}"/>
    <cellStyle name="Comma 13 3 4 2 4 3" xfId="22083" xr:uid="{00000000-0005-0000-0000-0000E1010000}"/>
    <cellStyle name="Comma 13 3 4 2 5" xfId="9367" xr:uid="{00000000-0005-0000-0000-0000E2010000}"/>
    <cellStyle name="Comma 13 3 4 2 5 2" xfId="26307" xr:uid="{00000000-0005-0000-0000-0000E3010000}"/>
    <cellStyle name="Comma 13 3 4 2 6" xfId="17859" xr:uid="{00000000-0005-0000-0000-0000E4010000}"/>
    <cellStyle name="Comma 13 3 4 3" xfId="1621" xr:uid="{00000000-0005-0000-0000-0000E5010000}"/>
    <cellStyle name="Comma 13 3 4 3 2" xfId="3733" xr:uid="{00000000-0005-0000-0000-0000E6010000}"/>
    <cellStyle name="Comma 13 3 4 3 2 2" xfId="7959" xr:uid="{00000000-0005-0000-0000-0000E7010000}"/>
    <cellStyle name="Comma 13 3 4 3 2 2 2" xfId="16407" xr:uid="{00000000-0005-0000-0000-0000E8010000}"/>
    <cellStyle name="Comma 13 3 4 3 2 2 2 2" xfId="33347" xr:uid="{00000000-0005-0000-0000-0000E9010000}"/>
    <cellStyle name="Comma 13 3 4 3 2 2 3" xfId="24899" xr:uid="{00000000-0005-0000-0000-0000EA010000}"/>
    <cellStyle name="Comma 13 3 4 3 2 3" xfId="12183" xr:uid="{00000000-0005-0000-0000-0000EB010000}"/>
    <cellStyle name="Comma 13 3 4 3 2 3 2" xfId="29123" xr:uid="{00000000-0005-0000-0000-0000EC010000}"/>
    <cellStyle name="Comma 13 3 4 3 2 4" xfId="20675" xr:uid="{00000000-0005-0000-0000-0000ED010000}"/>
    <cellStyle name="Comma 13 3 4 3 3" xfId="5847" xr:uid="{00000000-0005-0000-0000-0000EE010000}"/>
    <cellStyle name="Comma 13 3 4 3 3 2" xfId="14295" xr:uid="{00000000-0005-0000-0000-0000EF010000}"/>
    <cellStyle name="Comma 13 3 4 3 3 2 2" xfId="31235" xr:uid="{00000000-0005-0000-0000-0000F0010000}"/>
    <cellStyle name="Comma 13 3 4 3 3 3" xfId="22787" xr:uid="{00000000-0005-0000-0000-0000F1010000}"/>
    <cellStyle name="Comma 13 3 4 3 4" xfId="10071" xr:uid="{00000000-0005-0000-0000-0000F2010000}"/>
    <cellStyle name="Comma 13 3 4 3 4 2" xfId="27011" xr:uid="{00000000-0005-0000-0000-0000F3010000}"/>
    <cellStyle name="Comma 13 3 4 3 5" xfId="18563" xr:uid="{00000000-0005-0000-0000-0000F4010000}"/>
    <cellStyle name="Comma 13 3 4 4" xfId="2677" xr:uid="{00000000-0005-0000-0000-0000F5010000}"/>
    <cellStyle name="Comma 13 3 4 4 2" xfId="6903" xr:uid="{00000000-0005-0000-0000-0000F6010000}"/>
    <cellStyle name="Comma 13 3 4 4 2 2" xfId="15351" xr:uid="{00000000-0005-0000-0000-0000F7010000}"/>
    <cellStyle name="Comma 13 3 4 4 2 2 2" xfId="32291" xr:uid="{00000000-0005-0000-0000-0000F8010000}"/>
    <cellStyle name="Comma 13 3 4 4 2 3" xfId="23843" xr:uid="{00000000-0005-0000-0000-0000F9010000}"/>
    <cellStyle name="Comma 13 3 4 4 3" xfId="11127" xr:uid="{00000000-0005-0000-0000-0000FA010000}"/>
    <cellStyle name="Comma 13 3 4 4 3 2" xfId="28067" xr:uid="{00000000-0005-0000-0000-0000FB010000}"/>
    <cellStyle name="Comma 13 3 4 4 4" xfId="19619" xr:uid="{00000000-0005-0000-0000-0000FC010000}"/>
    <cellStyle name="Comma 13 3 4 5" xfId="4791" xr:uid="{00000000-0005-0000-0000-0000FD010000}"/>
    <cellStyle name="Comma 13 3 4 5 2" xfId="13239" xr:uid="{00000000-0005-0000-0000-0000FE010000}"/>
    <cellStyle name="Comma 13 3 4 5 2 2" xfId="30179" xr:uid="{00000000-0005-0000-0000-0000FF010000}"/>
    <cellStyle name="Comma 13 3 4 5 3" xfId="21731" xr:uid="{00000000-0005-0000-0000-000000020000}"/>
    <cellStyle name="Comma 13 3 4 6" xfId="9015" xr:uid="{00000000-0005-0000-0000-000001020000}"/>
    <cellStyle name="Comma 13 3 4 6 2" xfId="25955" xr:uid="{00000000-0005-0000-0000-000002020000}"/>
    <cellStyle name="Comma 13 3 4 7" xfId="17507" xr:uid="{00000000-0005-0000-0000-000003020000}"/>
    <cellStyle name="Comma 13 3 5" xfId="735" xr:uid="{00000000-0005-0000-0000-000004020000}"/>
    <cellStyle name="Comma 13 3 5 2" xfId="1797" xr:uid="{00000000-0005-0000-0000-000005020000}"/>
    <cellStyle name="Comma 13 3 5 2 2" xfId="3909" xr:uid="{00000000-0005-0000-0000-000006020000}"/>
    <cellStyle name="Comma 13 3 5 2 2 2" xfId="8135" xr:uid="{00000000-0005-0000-0000-000007020000}"/>
    <cellStyle name="Comma 13 3 5 2 2 2 2" xfId="16583" xr:uid="{00000000-0005-0000-0000-000008020000}"/>
    <cellStyle name="Comma 13 3 5 2 2 2 2 2" xfId="33523" xr:uid="{00000000-0005-0000-0000-000009020000}"/>
    <cellStyle name="Comma 13 3 5 2 2 2 3" xfId="25075" xr:uid="{00000000-0005-0000-0000-00000A020000}"/>
    <cellStyle name="Comma 13 3 5 2 2 3" xfId="12359" xr:uid="{00000000-0005-0000-0000-00000B020000}"/>
    <cellStyle name="Comma 13 3 5 2 2 3 2" xfId="29299" xr:uid="{00000000-0005-0000-0000-00000C020000}"/>
    <cellStyle name="Comma 13 3 5 2 2 4" xfId="20851" xr:uid="{00000000-0005-0000-0000-00000D020000}"/>
    <cellStyle name="Comma 13 3 5 2 3" xfId="6023" xr:uid="{00000000-0005-0000-0000-00000E020000}"/>
    <cellStyle name="Comma 13 3 5 2 3 2" xfId="14471" xr:uid="{00000000-0005-0000-0000-00000F020000}"/>
    <cellStyle name="Comma 13 3 5 2 3 2 2" xfId="31411" xr:uid="{00000000-0005-0000-0000-000010020000}"/>
    <cellStyle name="Comma 13 3 5 2 3 3" xfId="22963" xr:uid="{00000000-0005-0000-0000-000011020000}"/>
    <cellStyle name="Comma 13 3 5 2 4" xfId="10247" xr:uid="{00000000-0005-0000-0000-000012020000}"/>
    <cellStyle name="Comma 13 3 5 2 4 2" xfId="27187" xr:uid="{00000000-0005-0000-0000-000013020000}"/>
    <cellStyle name="Comma 13 3 5 2 5" xfId="18739" xr:uid="{00000000-0005-0000-0000-000014020000}"/>
    <cellStyle name="Comma 13 3 5 3" xfId="2853" xr:uid="{00000000-0005-0000-0000-000015020000}"/>
    <cellStyle name="Comma 13 3 5 3 2" xfId="7079" xr:uid="{00000000-0005-0000-0000-000016020000}"/>
    <cellStyle name="Comma 13 3 5 3 2 2" xfId="15527" xr:uid="{00000000-0005-0000-0000-000017020000}"/>
    <cellStyle name="Comma 13 3 5 3 2 2 2" xfId="32467" xr:uid="{00000000-0005-0000-0000-000018020000}"/>
    <cellStyle name="Comma 13 3 5 3 2 3" xfId="24019" xr:uid="{00000000-0005-0000-0000-000019020000}"/>
    <cellStyle name="Comma 13 3 5 3 3" xfId="11303" xr:uid="{00000000-0005-0000-0000-00001A020000}"/>
    <cellStyle name="Comma 13 3 5 3 3 2" xfId="28243" xr:uid="{00000000-0005-0000-0000-00001B020000}"/>
    <cellStyle name="Comma 13 3 5 3 4" xfId="19795" xr:uid="{00000000-0005-0000-0000-00001C020000}"/>
    <cellStyle name="Comma 13 3 5 4" xfId="4967" xr:uid="{00000000-0005-0000-0000-00001D020000}"/>
    <cellStyle name="Comma 13 3 5 4 2" xfId="13415" xr:uid="{00000000-0005-0000-0000-00001E020000}"/>
    <cellStyle name="Comma 13 3 5 4 2 2" xfId="30355" xr:uid="{00000000-0005-0000-0000-00001F020000}"/>
    <cellStyle name="Comma 13 3 5 4 3" xfId="21907" xr:uid="{00000000-0005-0000-0000-000020020000}"/>
    <cellStyle name="Comma 13 3 5 5" xfId="9191" xr:uid="{00000000-0005-0000-0000-000021020000}"/>
    <cellStyle name="Comma 13 3 5 5 2" xfId="26131" xr:uid="{00000000-0005-0000-0000-000022020000}"/>
    <cellStyle name="Comma 13 3 5 6" xfId="17683" xr:uid="{00000000-0005-0000-0000-000023020000}"/>
    <cellStyle name="Comma 13 3 6" xfId="1087" xr:uid="{00000000-0005-0000-0000-000024020000}"/>
    <cellStyle name="Comma 13 3 6 2" xfId="2149" xr:uid="{00000000-0005-0000-0000-000025020000}"/>
    <cellStyle name="Comma 13 3 6 2 2" xfId="4261" xr:uid="{00000000-0005-0000-0000-000026020000}"/>
    <cellStyle name="Comma 13 3 6 2 2 2" xfId="8487" xr:uid="{00000000-0005-0000-0000-000027020000}"/>
    <cellStyle name="Comma 13 3 6 2 2 2 2" xfId="16935" xr:uid="{00000000-0005-0000-0000-000028020000}"/>
    <cellStyle name="Comma 13 3 6 2 2 2 2 2" xfId="33875" xr:uid="{00000000-0005-0000-0000-000029020000}"/>
    <cellStyle name="Comma 13 3 6 2 2 2 3" xfId="25427" xr:uid="{00000000-0005-0000-0000-00002A020000}"/>
    <cellStyle name="Comma 13 3 6 2 2 3" xfId="12711" xr:uid="{00000000-0005-0000-0000-00002B020000}"/>
    <cellStyle name="Comma 13 3 6 2 2 3 2" xfId="29651" xr:uid="{00000000-0005-0000-0000-00002C020000}"/>
    <cellStyle name="Comma 13 3 6 2 2 4" xfId="21203" xr:uid="{00000000-0005-0000-0000-00002D020000}"/>
    <cellStyle name="Comma 13 3 6 2 3" xfId="6375" xr:uid="{00000000-0005-0000-0000-00002E020000}"/>
    <cellStyle name="Comma 13 3 6 2 3 2" xfId="14823" xr:uid="{00000000-0005-0000-0000-00002F020000}"/>
    <cellStyle name="Comma 13 3 6 2 3 2 2" xfId="31763" xr:uid="{00000000-0005-0000-0000-000030020000}"/>
    <cellStyle name="Comma 13 3 6 2 3 3" xfId="23315" xr:uid="{00000000-0005-0000-0000-000031020000}"/>
    <cellStyle name="Comma 13 3 6 2 4" xfId="10599" xr:uid="{00000000-0005-0000-0000-000032020000}"/>
    <cellStyle name="Comma 13 3 6 2 4 2" xfId="27539" xr:uid="{00000000-0005-0000-0000-000033020000}"/>
    <cellStyle name="Comma 13 3 6 2 5" xfId="19091" xr:uid="{00000000-0005-0000-0000-000034020000}"/>
    <cellStyle name="Comma 13 3 6 3" xfId="3205" xr:uid="{00000000-0005-0000-0000-000035020000}"/>
    <cellStyle name="Comma 13 3 6 3 2" xfId="7431" xr:uid="{00000000-0005-0000-0000-000036020000}"/>
    <cellStyle name="Comma 13 3 6 3 2 2" xfId="15879" xr:uid="{00000000-0005-0000-0000-000037020000}"/>
    <cellStyle name="Comma 13 3 6 3 2 2 2" xfId="32819" xr:uid="{00000000-0005-0000-0000-000038020000}"/>
    <cellStyle name="Comma 13 3 6 3 2 3" xfId="24371" xr:uid="{00000000-0005-0000-0000-000039020000}"/>
    <cellStyle name="Comma 13 3 6 3 3" xfId="11655" xr:uid="{00000000-0005-0000-0000-00003A020000}"/>
    <cellStyle name="Comma 13 3 6 3 3 2" xfId="28595" xr:uid="{00000000-0005-0000-0000-00003B020000}"/>
    <cellStyle name="Comma 13 3 6 3 4" xfId="20147" xr:uid="{00000000-0005-0000-0000-00003C020000}"/>
    <cellStyle name="Comma 13 3 6 4" xfId="5319" xr:uid="{00000000-0005-0000-0000-00003D020000}"/>
    <cellStyle name="Comma 13 3 6 4 2" xfId="13767" xr:uid="{00000000-0005-0000-0000-00003E020000}"/>
    <cellStyle name="Comma 13 3 6 4 2 2" xfId="30707" xr:uid="{00000000-0005-0000-0000-00003F020000}"/>
    <cellStyle name="Comma 13 3 6 4 3" xfId="22259" xr:uid="{00000000-0005-0000-0000-000040020000}"/>
    <cellStyle name="Comma 13 3 6 5" xfId="9543" xr:uid="{00000000-0005-0000-0000-000041020000}"/>
    <cellStyle name="Comma 13 3 6 5 2" xfId="26483" xr:uid="{00000000-0005-0000-0000-000042020000}"/>
    <cellStyle name="Comma 13 3 6 6" xfId="18035" xr:uid="{00000000-0005-0000-0000-000043020000}"/>
    <cellStyle name="Comma 13 3 7" xfId="1269" xr:uid="{00000000-0005-0000-0000-000044020000}"/>
    <cellStyle name="Comma 13 3 7 2" xfId="2325" xr:uid="{00000000-0005-0000-0000-000045020000}"/>
    <cellStyle name="Comma 13 3 7 2 2" xfId="4437" xr:uid="{00000000-0005-0000-0000-000046020000}"/>
    <cellStyle name="Comma 13 3 7 2 2 2" xfId="8663" xr:uid="{00000000-0005-0000-0000-000047020000}"/>
    <cellStyle name="Comma 13 3 7 2 2 2 2" xfId="17111" xr:uid="{00000000-0005-0000-0000-000048020000}"/>
    <cellStyle name="Comma 13 3 7 2 2 2 2 2" xfId="34051" xr:uid="{00000000-0005-0000-0000-000049020000}"/>
    <cellStyle name="Comma 13 3 7 2 2 2 3" xfId="25603" xr:uid="{00000000-0005-0000-0000-00004A020000}"/>
    <cellStyle name="Comma 13 3 7 2 2 3" xfId="12887" xr:uid="{00000000-0005-0000-0000-00004B020000}"/>
    <cellStyle name="Comma 13 3 7 2 2 3 2" xfId="29827" xr:uid="{00000000-0005-0000-0000-00004C020000}"/>
    <cellStyle name="Comma 13 3 7 2 2 4" xfId="21379" xr:uid="{00000000-0005-0000-0000-00004D020000}"/>
    <cellStyle name="Comma 13 3 7 2 3" xfId="6551" xr:uid="{00000000-0005-0000-0000-00004E020000}"/>
    <cellStyle name="Comma 13 3 7 2 3 2" xfId="14999" xr:uid="{00000000-0005-0000-0000-00004F020000}"/>
    <cellStyle name="Comma 13 3 7 2 3 2 2" xfId="31939" xr:uid="{00000000-0005-0000-0000-000050020000}"/>
    <cellStyle name="Comma 13 3 7 2 3 3" xfId="23491" xr:uid="{00000000-0005-0000-0000-000051020000}"/>
    <cellStyle name="Comma 13 3 7 2 4" xfId="10775" xr:uid="{00000000-0005-0000-0000-000052020000}"/>
    <cellStyle name="Comma 13 3 7 2 4 2" xfId="27715" xr:uid="{00000000-0005-0000-0000-000053020000}"/>
    <cellStyle name="Comma 13 3 7 2 5" xfId="19267" xr:uid="{00000000-0005-0000-0000-000054020000}"/>
    <cellStyle name="Comma 13 3 7 3" xfId="3381" xr:uid="{00000000-0005-0000-0000-000055020000}"/>
    <cellStyle name="Comma 13 3 7 3 2" xfId="7607" xr:uid="{00000000-0005-0000-0000-000056020000}"/>
    <cellStyle name="Comma 13 3 7 3 2 2" xfId="16055" xr:uid="{00000000-0005-0000-0000-000057020000}"/>
    <cellStyle name="Comma 13 3 7 3 2 2 2" xfId="32995" xr:uid="{00000000-0005-0000-0000-000058020000}"/>
    <cellStyle name="Comma 13 3 7 3 2 3" xfId="24547" xr:uid="{00000000-0005-0000-0000-000059020000}"/>
    <cellStyle name="Comma 13 3 7 3 3" xfId="11831" xr:uid="{00000000-0005-0000-0000-00005A020000}"/>
    <cellStyle name="Comma 13 3 7 3 3 2" xfId="28771" xr:uid="{00000000-0005-0000-0000-00005B020000}"/>
    <cellStyle name="Comma 13 3 7 3 4" xfId="20323" xr:uid="{00000000-0005-0000-0000-00005C020000}"/>
    <cellStyle name="Comma 13 3 7 4" xfId="5495" xr:uid="{00000000-0005-0000-0000-00005D020000}"/>
    <cellStyle name="Comma 13 3 7 4 2" xfId="13943" xr:uid="{00000000-0005-0000-0000-00005E020000}"/>
    <cellStyle name="Comma 13 3 7 4 2 2" xfId="30883" xr:uid="{00000000-0005-0000-0000-00005F020000}"/>
    <cellStyle name="Comma 13 3 7 4 3" xfId="22435" xr:uid="{00000000-0005-0000-0000-000060020000}"/>
    <cellStyle name="Comma 13 3 7 5" xfId="9719" xr:uid="{00000000-0005-0000-0000-000061020000}"/>
    <cellStyle name="Comma 13 3 7 5 2" xfId="26659" xr:uid="{00000000-0005-0000-0000-000062020000}"/>
    <cellStyle name="Comma 13 3 7 6" xfId="18211" xr:uid="{00000000-0005-0000-0000-000063020000}"/>
    <cellStyle name="Comma 13 3 8" xfId="1445" xr:uid="{00000000-0005-0000-0000-000064020000}"/>
    <cellStyle name="Comma 13 3 8 2" xfId="3557" xr:uid="{00000000-0005-0000-0000-000065020000}"/>
    <cellStyle name="Comma 13 3 8 2 2" xfId="7783" xr:uid="{00000000-0005-0000-0000-000066020000}"/>
    <cellStyle name="Comma 13 3 8 2 2 2" xfId="16231" xr:uid="{00000000-0005-0000-0000-000067020000}"/>
    <cellStyle name="Comma 13 3 8 2 2 2 2" xfId="33171" xr:uid="{00000000-0005-0000-0000-000068020000}"/>
    <cellStyle name="Comma 13 3 8 2 2 3" xfId="24723" xr:uid="{00000000-0005-0000-0000-000069020000}"/>
    <cellStyle name="Comma 13 3 8 2 3" xfId="12007" xr:uid="{00000000-0005-0000-0000-00006A020000}"/>
    <cellStyle name="Comma 13 3 8 2 3 2" xfId="28947" xr:uid="{00000000-0005-0000-0000-00006B020000}"/>
    <cellStyle name="Comma 13 3 8 2 4" xfId="20499" xr:uid="{00000000-0005-0000-0000-00006C020000}"/>
    <cellStyle name="Comma 13 3 8 3" xfId="5671" xr:uid="{00000000-0005-0000-0000-00006D020000}"/>
    <cellStyle name="Comma 13 3 8 3 2" xfId="14119" xr:uid="{00000000-0005-0000-0000-00006E020000}"/>
    <cellStyle name="Comma 13 3 8 3 2 2" xfId="31059" xr:uid="{00000000-0005-0000-0000-00006F020000}"/>
    <cellStyle name="Comma 13 3 8 3 3" xfId="22611" xr:uid="{00000000-0005-0000-0000-000070020000}"/>
    <cellStyle name="Comma 13 3 8 4" xfId="9895" xr:uid="{00000000-0005-0000-0000-000071020000}"/>
    <cellStyle name="Comma 13 3 8 4 2" xfId="26835" xr:uid="{00000000-0005-0000-0000-000072020000}"/>
    <cellStyle name="Comma 13 3 8 5" xfId="18387" xr:uid="{00000000-0005-0000-0000-000073020000}"/>
    <cellStyle name="Comma 13 3 9" xfId="2501" xr:uid="{00000000-0005-0000-0000-000074020000}"/>
    <cellStyle name="Comma 13 3 9 2" xfId="6727" xr:uid="{00000000-0005-0000-0000-000075020000}"/>
    <cellStyle name="Comma 13 3 9 2 2" xfId="15175" xr:uid="{00000000-0005-0000-0000-000076020000}"/>
    <cellStyle name="Comma 13 3 9 2 2 2" xfId="32115" xr:uid="{00000000-0005-0000-0000-000077020000}"/>
    <cellStyle name="Comma 13 3 9 2 3" xfId="23667" xr:uid="{00000000-0005-0000-0000-000078020000}"/>
    <cellStyle name="Comma 13 3 9 3" xfId="10951" xr:uid="{00000000-0005-0000-0000-000079020000}"/>
    <cellStyle name="Comma 13 3 9 3 2" xfId="27891" xr:uid="{00000000-0005-0000-0000-00007A020000}"/>
    <cellStyle name="Comma 13 3 9 4" xfId="19443" xr:uid="{00000000-0005-0000-0000-00007B020000}"/>
    <cellStyle name="Comma 14" xfId="64" xr:uid="{00000000-0005-0000-0000-00007C020000}"/>
    <cellStyle name="Comma 14 2" xfId="65" xr:uid="{00000000-0005-0000-0000-00007D020000}"/>
    <cellStyle name="Comma 14 3" xfId="66" xr:uid="{00000000-0005-0000-0000-00007E020000}"/>
    <cellStyle name="Comma 14 3 10" xfId="4617" xr:uid="{00000000-0005-0000-0000-00007F020000}"/>
    <cellStyle name="Comma 14 3 10 2" xfId="13066" xr:uid="{00000000-0005-0000-0000-000080020000}"/>
    <cellStyle name="Comma 14 3 10 2 2" xfId="30006" xr:uid="{00000000-0005-0000-0000-000081020000}"/>
    <cellStyle name="Comma 14 3 10 3" xfId="21558" xr:uid="{00000000-0005-0000-0000-000082020000}"/>
    <cellStyle name="Comma 14 3 11" xfId="8842" xr:uid="{00000000-0005-0000-0000-000083020000}"/>
    <cellStyle name="Comma 14 3 11 2" xfId="25782" xr:uid="{00000000-0005-0000-0000-000084020000}"/>
    <cellStyle name="Comma 14 3 12" xfId="17294" xr:uid="{00000000-0005-0000-0000-000085020000}"/>
    <cellStyle name="Comma 14 3 2" xfId="67" xr:uid="{00000000-0005-0000-0000-000086020000}"/>
    <cellStyle name="Comma 14 3 2 10" xfId="17295" xr:uid="{00000000-0005-0000-0000-000087020000}"/>
    <cellStyle name="Comma 14 3 2 2" xfId="561" xr:uid="{00000000-0005-0000-0000-000088020000}"/>
    <cellStyle name="Comma 14 3 2 2 2" xfId="915" xr:uid="{00000000-0005-0000-0000-000089020000}"/>
    <cellStyle name="Comma 14 3 2 2 2 2" xfId="1977" xr:uid="{00000000-0005-0000-0000-00008A020000}"/>
    <cellStyle name="Comma 14 3 2 2 2 2 2" xfId="4089" xr:uid="{00000000-0005-0000-0000-00008B020000}"/>
    <cellStyle name="Comma 14 3 2 2 2 2 2 2" xfId="8315" xr:uid="{00000000-0005-0000-0000-00008C020000}"/>
    <cellStyle name="Comma 14 3 2 2 2 2 2 2 2" xfId="16763" xr:uid="{00000000-0005-0000-0000-00008D020000}"/>
    <cellStyle name="Comma 14 3 2 2 2 2 2 2 2 2" xfId="33703" xr:uid="{00000000-0005-0000-0000-00008E020000}"/>
    <cellStyle name="Comma 14 3 2 2 2 2 2 2 3" xfId="25255" xr:uid="{00000000-0005-0000-0000-00008F020000}"/>
    <cellStyle name="Comma 14 3 2 2 2 2 2 3" xfId="12539" xr:uid="{00000000-0005-0000-0000-000090020000}"/>
    <cellStyle name="Comma 14 3 2 2 2 2 2 3 2" xfId="29479" xr:uid="{00000000-0005-0000-0000-000091020000}"/>
    <cellStyle name="Comma 14 3 2 2 2 2 2 4" xfId="21031" xr:uid="{00000000-0005-0000-0000-000092020000}"/>
    <cellStyle name="Comma 14 3 2 2 2 2 3" xfId="6203" xr:uid="{00000000-0005-0000-0000-000093020000}"/>
    <cellStyle name="Comma 14 3 2 2 2 2 3 2" xfId="14651" xr:uid="{00000000-0005-0000-0000-000094020000}"/>
    <cellStyle name="Comma 14 3 2 2 2 2 3 2 2" xfId="31591" xr:uid="{00000000-0005-0000-0000-000095020000}"/>
    <cellStyle name="Comma 14 3 2 2 2 2 3 3" xfId="23143" xr:uid="{00000000-0005-0000-0000-000096020000}"/>
    <cellStyle name="Comma 14 3 2 2 2 2 4" xfId="10427" xr:uid="{00000000-0005-0000-0000-000097020000}"/>
    <cellStyle name="Comma 14 3 2 2 2 2 4 2" xfId="27367" xr:uid="{00000000-0005-0000-0000-000098020000}"/>
    <cellStyle name="Comma 14 3 2 2 2 2 5" xfId="18919" xr:uid="{00000000-0005-0000-0000-000099020000}"/>
    <cellStyle name="Comma 14 3 2 2 2 3" xfId="3033" xr:uid="{00000000-0005-0000-0000-00009A020000}"/>
    <cellStyle name="Comma 14 3 2 2 2 3 2" xfId="7259" xr:uid="{00000000-0005-0000-0000-00009B020000}"/>
    <cellStyle name="Comma 14 3 2 2 2 3 2 2" xfId="15707" xr:uid="{00000000-0005-0000-0000-00009C020000}"/>
    <cellStyle name="Comma 14 3 2 2 2 3 2 2 2" xfId="32647" xr:uid="{00000000-0005-0000-0000-00009D020000}"/>
    <cellStyle name="Comma 14 3 2 2 2 3 2 3" xfId="24199" xr:uid="{00000000-0005-0000-0000-00009E020000}"/>
    <cellStyle name="Comma 14 3 2 2 2 3 3" xfId="11483" xr:uid="{00000000-0005-0000-0000-00009F020000}"/>
    <cellStyle name="Comma 14 3 2 2 2 3 3 2" xfId="28423" xr:uid="{00000000-0005-0000-0000-0000A0020000}"/>
    <cellStyle name="Comma 14 3 2 2 2 3 4" xfId="19975" xr:uid="{00000000-0005-0000-0000-0000A1020000}"/>
    <cellStyle name="Comma 14 3 2 2 2 4" xfId="5147" xr:uid="{00000000-0005-0000-0000-0000A2020000}"/>
    <cellStyle name="Comma 14 3 2 2 2 4 2" xfId="13595" xr:uid="{00000000-0005-0000-0000-0000A3020000}"/>
    <cellStyle name="Comma 14 3 2 2 2 4 2 2" xfId="30535" xr:uid="{00000000-0005-0000-0000-0000A4020000}"/>
    <cellStyle name="Comma 14 3 2 2 2 4 3" xfId="22087" xr:uid="{00000000-0005-0000-0000-0000A5020000}"/>
    <cellStyle name="Comma 14 3 2 2 2 5" xfId="9371" xr:uid="{00000000-0005-0000-0000-0000A6020000}"/>
    <cellStyle name="Comma 14 3 2 2 2 5 2" xfId="26311" xr:uid="{00000000-0005-0000-0000-0000A7020000}"/>
    <cellStyle name="Comma 14 3 2 2 2 6" xfId="17863" xr:uid="{00000000-0005-0000-0000-0000A8020000}"/>
    <cellStyle name="Comma 14 3 2 2 3" xfId="1625" xr:uid="{00000000-0005-0000-0000-0000A9020000}"/>
    <cellStyle name="Comma 14 3 2 2 3 2" xfId="3737" xr:uid="{00000000-0005-0000-0000-0000AA020000}"/>
    <cellStyle name="Comma 14 3 2 2 3 2 2" xfId="7963" xr:uid="{00000000-0005-0000-0000-0000AB020000}"/>
    <cellStyle name="Comma 14 3 2 2 3 2 2 2" xfId="16411" xr:uid="{00000000-0005-0000-0000-0000AC020000}"/>
    <cellStyle name="Comma 14 3 2 2 3 2 2 2 2" xfId="33351" xr:uid="{00000000-0005-0000-0000-0000AD020000}"/>
    <cellStyle name="Comma 14 3 2 2 3 2 2 3" xfId="24903" xr:uid="{00000000-0005-0000-0000-0000AE020000}"/>
    <cellStyle name="Comma 14 3 2 2 3 2 3" xfId="12187" xr:uid="{00000000-0005-0000-0000-0000AF020000}"/>
    <cellStyle name="Comma 14 3 2 2 3 2 3 2" xfId="29127" xr:uid="{00000000-0005-0000-0000-0000B0020000}"/>
    <cellStyle name="Comma 14 3 2 2 3 2 4" xfId="20679" xr:uid="{00000000-0005-0000-0000-0000B1020000}"/>
    <cellStyle name="Comma 14 3 2 2 3 3" xfId="5851" xr:uid="{00000000-0005-0000-0000-0000B2020000}"/>
    <cellStyle name="Comma 14 3 2 2 3 3 2" xfId="14299" xr:uid="{00000000-0005-0000-0000-0000B3020000}"/>
    <cellStyle name="Comma 14 3 2 2 3 3 2 2" xfId="31239" xr:uid="{00000000-0005-0000-0000-0000B4020000}"/>
    <cellStyle name="Comma 14 3 2 2 3 3 3" xfId="22791" xr:uid="{00000000-0005-0000-0000-0000B5020000}"/>
    <cellStyle name="Comma 14 3 2 2 3 4" xfId="10075" xr:uid="{00000000-0005-0000-0000-0000B6020000}"/>
    <cellStyle name="Comma 14 3 2 2 3 4 2" xfId="27015" xr:uid="{00000000-0005-0000-0000-0000B7020000}"/>
    <cellStyle name="Comma 14 3 2 2 3 5" xfId="18567" xr:uid="{00000000-0005-0000-0000-0000B8020000}"/>
    <cellStyle name="Comma 14 3 2 2 4" xfId="2681" xr:uid="{00000000-0005-0000-0000-0000B9020000}"/>
    <cellStyle name="Comma 14 3 2 2 4 2" xfId="6907" xr:uid="{00000000-0005-0000-0000-0000BA020000}"/>
    <cellStyle name="Comma 14 3 2 2 4 2 2" xfId="15355" xr:uid="{00000000-0005-0000-0000-0000BB020000}"/>
    <cellStyle name="Comma 14 3 2 2 4 2 2 2" xfId="32295" xr:uid="{00000000-0005-0000-0000-0000BC020000}"/>
    <cellStyle name="Comma 14 3 2 2 4 2 3" xfId="23847" xr:uid="{00000000-0005-0000-0000-0000BD020000}"/>
    <cellStyle name="Comma 14 3 2 2 4 3" xfId="11131" xr:uid="{00000000-0005-0000-0000-0000BE020000}"/>
    <cellStyle name="Comma 14 3 2 2 4 3 2" xfId="28071" xr:uid="{00000000-0005-0000-0000-0000BF020000}"/>
    <cellStyle name="Comma 14 3 2 2 4 4" xfId="19623" xr:uid="{00000000-0005-0000-0000-0000C0020000}"/>
    <cellStyle name="Comma 14 3 2 2 5" xfId="4795" xr:uid="{00000000-0005-0000-0000-0000C1020000}"/>
    <cellStyle name="Comma 14 3 2 2 5 2" xfId="13243" xr:uid="{00000000-0005-0000-0000-0000C2020000}"/>
    <cellStyle name="Comma 14 3 2 2 5 2 2" xfId="30183" xr:uid="{00000000-0005-0000-0000-0000C3020000}"/>
    <cellStyle name="Comma 14 3 2 2 5 3" xfId="21735" xr:uid="{00000000-0005-0000-0000-0000C4020000}"/>
    <cellStyle name="Comma 14 3 2 2 6" xfId="9019" xr:uid="{00000000-0005-0000-0000-0000C5020000}"/>
    <cellStyle name="Comma 14 3 2 2 6 2" xfId="25959" xr:uid="{00000000-0005-0000-0000-0000C6020000}"/>
    <cellStyle name="Comma 14 3 2 2 7" xfId="17511" xr:uid="{00000000-0005-0000-0000-0000C7020000}"/>
    <cellStyle name="Comma 14 3 2 3" xfId="739" xr:uid="{00000000-0005-0000-0000-0000C8020000}"/>
    <cellStyle name="Comma 14 3 2 3 2" xfId="1801" xr:uid="{00000000-0005-0000-0000-0000C9020000}"/>
    <cellStyle name="Comma 14 3 2 3 2 2" xfId="3913" xr:uid="{00000000-0005-0000-0000-0000CA020000}"/>
    <cellStyle name="Comma 14 3 2 3 2 2 2" xfId="8139" xr:uid="{00000000-0005-0000-0000-0000CB020000}"/>
    <cellStyle name="Comma 14 3 2 3 2 2 2 2" xfId="16587" xr:uid="{00000000-0005-0000-0000-0000CC020000}"/>
    <cellStyle name="Comma 14 3 2 3 2 2 2 2 2" xfId="33527" xr:uid="{00000000-0005-0000-0000-0000CD020000}"/>
    <cellStyle name="Comma 14 3 2 3 2 2 2 3" xfId="25079" xr:uid="{00000000-0005-0000-0000-0000CE020000}"/>
    <cellStyle name="Comma 14 3 2 3 2 2 3" xfId="12363" xr:uid="{00000000-0005-0000-0000-0000CF020000}"/>
    <cellStyle name="Comma 14 3 2 3 2 2 3 2" xfId="29303" xr:uid="{00000000-0005-0000-0000-0000D0020000}"/>
    <cellStyle name="Comma 14 3 2 3 2 2 4" xfId="20855" xr:uid="{00000000-0005-0000-0000-0000D1020000}"/>
    <cellStyle name="Comma 14 3 2 3 2 3" xfId="6027" xr:uid="{00000000-0005-0000-0000-0000D2020000}"/>
    <cellStyle name="Comma 14 3 2 3 2 3 2" xfId="14475" xr:uid="{00000000-0005-0000-0000-0000D3020000}"/>
    <cellStyle name="Comma 14 3 2 3 2 3 2 2" xfId="31415" xr:uid="{00000000-0005-0000-0000-0000D4020000}"/>
    <cellStyle name="Comma 14 3 2 3 2 3 3" xfId="22967" xr:uid="{00000000-0005-0000-0000-0000D5020000}"/>
    <cellStyle name="Comma 14 3 2 3 2 4" xfId="10251" xr:uid="{00000000-0005-0000-0000-0000D6020000}"/>
    <cellStyle name="Comma 14 3 2 3 2 4 2" xfId="27191" xr:uid="{00000000-0005-0000-0000-0000D7020000}"/>
    <cellStyle name="Comma 14 3 2 3 2 5" xfId="18743" xr:uid="{00000000-0005-0000-0000-0000D8020000}"/>
    <cellStyle name="Comma 14 3 2 3 3" xfId="2857" xr:uid="{00000000-0005-0000-0000-0000D9020000}"/>
    <cellStyle name="Comma 14 3 2 3 3 2" xfId="7083" xr:uid="{00000000-0005-0000-0000-0000DA020000}"/>
    <cellStyle name="Comma 14 3 2 3 3 2 2" xfId="15531" xr:uid="{00000000-0005-0000-0000-0000DB020000}"/>
    <cellStyle name="Comma 14 3 2 3 3 2 2 2" xfId="32471" xr:uid="{00000000-0005-0000-0000-0000DC020000}"/>
    <cellStyle name="Comma 14 3 2 3 3 2 3" xfId="24023" xr:uid="{00000000-0005-0000-0000-0000DD020000}"/>
    <cellStyle name="Comma 14 3 2 3 3 3" xfId="11307" xr:uid="{00000000-0005-0000-0000-0000DE020000}"/>
    <cellStyle name="Comma 14 3 2 3 3 3 2" xfId="28247" xr:uid="{00000000-0005-0000-0000-0000DF020000}"/>
    <cellStyle name="Comma 14 3 2 3 3 4" xfId="19799" xr:uid="{00000000-0005-0000-0000-0000E0020000}"/>
    <cellStyle name="Comma 14 3 2 3 4" xfId="4971" xr:uid="{00000000-0005-0000-0000-0000E1020000}"/>
    <cellStyle name="Comma 14 3 2 3 4 2" xfId="13419" xr:uid="{00000000-0005-0000-0000-0000E2020000}"/>
    <cellStyle name="Comma 14 3 2 3 4 2 2" xfId="30359" xr:uid="{00000000-0005-0000-0000-0000E3020000}"/>
    <cellStyle name="Comma 14 3 2 3 4 3" xfId="21911" xr:uid="{00000000-0005-0000-0000-0000E4020000}"/>
    <cellStyle name="Comma 14 3 2 3 5" xfId="9195" xr:uid="{00000000-0005-0000-0000-0000E5020000}"/>
    <cellStyle name="Comma 14 3 2 3 5 2" xfId="26135" xr:uid="{00000000-0005-0000-0000-0000E6020000}"/>
    <cellStyle name="Comma 14 3 2 3 6" xfId="17687" xr:uid="{00000000-0005-0000-0000-0000E7020000}"/>
    <cellStyle name="Comma 14 3 2 4" xfId="1091" xr:uid="{00000000-0005-0000-0000-0000E8020000}"/>
    <cellStyle name="Comma 14 3 2 4 2" xfId="2153" xr:uid="{00000000-0005-0000-0000-0000E9020000}"/>
    <cellStyle name="Comma 14 3 2 4 2 2" xfId="4265" xr:uid="{00000000-0005-0000-0000-0000EA020000}"/>
    <cellStyle name="Comma 14 3 2 4 2 2 2" xfId="8491" xr:uid="{00000000-0005-0000-0000-0000EB020000}"/>
    <cellStyle name="Comma 14 3 2 4 2 2 2 2" xfId="16939" xr:uid="{00000000-0005-0000-0000-0000EC020000}"/>
    <cellStyle name="Comma 14 3 2 4 2 2 2 2 2" xfId="33879" xr:uid="{00000000-0005-0000-0000-0000ED020000}"/>
    <cellStyle name="Comma 14 3 2 4 2 2 2 3" xfId="25431" xr:uid="{00000000-0005-0000-0000-0000EE020000}"/>
    <cellStyle name="Comma 14 3 2 4 2 2 3" xfId="12715" xr:uid="{00000000-0005-0000-0000-0000EF020000}"/>
    <cellStyle name="Comma 14 3 2 4 2 2 3 2" xfId="29655" xr:uid="{00000000-0005-0000-0000-0000F0020000}"/>
    <cellStyle name="Comma 14 3 2 4 2 2 4" xfId="21207" xr:uid="{00000000-0005-0000-0000-0000F1020000}"/>
    <cellStyle name="Comma 14 3 2 4 2 3" xfId="6379" xr:uid="{00000000-0005-0000-0000-0000F2020000}"/>
    <cellStyle name="Comma 14 3 2 4 2 3 2" xfId="14827" xr:uid="{00000000-0005-0000-0000-0000F3020000}"/>
    <cellStyle name="Comma 14 3 2 4 2 3 2 2" xfId="31767" xr:uid="{00000000-0005-0000-0000-0000F4020000}"/>
    <cellStyle name="Comma 14 3 2 4 2 3 3" xfId="23319" xr:uid="{00000000-0005-0000-0000-0000F5020000}"/>
    <cellStyle name="Comma 14 3 2 4 2 4" xfId="10603" xr:uid="{00000000-0005-0000-0000-0000F6020000}"/>
    <cellStyle name="Comma 14 3 2 4 2 4 2" xfId="27543" xr:uid="{00000000-0005-0000-0000-0000F7020000}"/>
    <cellStyle name="Comma 14 3 2 4 2 5" xfId="19095" xr:uid="{00000000-0005-0000-0000-0000F8020000}"/>
    <cellStyle name="Comma 14 3 2 4 3" xfId="3209" xr:uid="{00000000-0005-0000-0000-0000F9020000}"/>
    <cellStyle name="Comma 14 3 2 4 3 2" xfId="7435" xr:uid="{00000000-0005-0000-0000-0000FA020000}"/>
    <cellStyle name="Comma 14 3 2 4 3 2 2" xfId="15883" xr:uid="{00000000-0005-0000-0000-0000FB020000}"/>
    <cellStyle name="Comma 14 3 2 4 3 2 2 2" xfId="32823" xr:uid="{00000000-0005-0000-0000-0000FC020000}"/>
    <cellStyle name="Comma 14 3 2 4 3 2 3" xfId="24375" xr:uid="{00000000-0005-0000-0000-0000FD020000}"/>
    <cellStyle name="Comma 14 3 2 4 3 3" xfId="11659" xr:uid="{00000000-0005-0000-0000-0000FE020000}"/>
    <cellStyle name="Comma 14 3 2 4 3 3 2" xfId="28599" xr:uid="{00000000-0005-0000-0000-0000FF020000}"/>
    <cellStyle name="Comma 14 3 2 4 3 4" xfId="20151" xr:uid="{00000000-0005-0000-0000-000000030000}"/>
    <cellStyle name="Comma 14 3 2 4 4" xfId="5323" xr:uid="{00000000-0005-0000-0000-000001030000}"/>
    <cellStyle name="Comma 14 3 2 4 4 2" xfId="13771" xr:uid="{00000000-0005-0000-0000-000002030000}"/>
    <cellStyle name="Comma 14 3 2 4 4 2 2" xfId="30711" xr:uid="{00000000-0005-0000-0000-000003030000}"/>
    <cellStyle name="Comma 14 3 2 4 4 3" xfId="22263" xr:uid="{00000000-0005-0000-0000-000004030000}"/>
    <cellStyle name="Comma 14 3 2 4 5" xfId="9547" xr:uid="{00000000-0005-0000-0000-000005030000}"/>
    <cellStyle name="Comma 14 3 2 4 5 2" xfId="26487" xr:uid="{00000000-0005-0000-0000-000006030000}"/>
    <cellStyle name="Comma 14 3 2 4 6" xfId="18039" xr:uid="{00000000-0005-0000-0000-000007030000}"/>
    <cellStyle name="Comma 14 3 2 5" xfId="1273" xr:uid="{00000000-0005-0000-0000-000008030000}"/>
    <cellStyle name="Comma 14 3 2 5 2" xfId="2329" xr:uid="{00000000-0005-0000-0000-000009030000}"/>
    <cellStyle name="Comma 14 3 2 5 2 2" xfId="4441" xr:uid="{00000000-0005-0000-0000-00000A030000}"/>
    <cellStyle name="Comma 14 3 2 5 2 2 2" xfId="8667" xr:uid="{00000000-0005-0000-0000-00000B030000}"/>
    <cellStyle name="Comma 14 3 2 5 2 2 2 2" xfId="17115" xr:uid="{00000000-0005-0000-0000-00000C030000}"/>
    <cellStyle name="Comma 14 3 2 5 2 2 2 2 2" xfId="34055" xr:uid="{00000000-0005-0000-0000-00000D030000}"/>
    <cellStyle name="Comma 14 3 2 5 2 2 2 3" xfId="25607" xr:uid="{00000000-0005-0000-0000-00000E030000}"/>
    <cellStyle name="Comma 14 3 2 5 2 2 3" xfId="12891" xr:uid="{00000000-0005-0000-0000-00000F030000}"/>
    <cellStyle name="Comma 14 3 2 5 2 2 3 2" xfId="29831" xr:uid="{00000000-0005-0000-0000-000010030000}"/>
    <cellStyle name="Comma 14 3 2 5 2 2 4" xfId="21383" xr:uid="{00000000-0005-0000-0000-000011030000}"/>
    <cellStyle name="Comma 14 3 2 5 2 3" xfId="6555" xr:uid="{00000000-0005-0000-0000-000012030000}"/>
    <cellStyle name="Comma 14 3 2 5 2 3 2" xfId="15003" xr:uid="{00000000-0005-0000-0000-000013030000}"/>
    <cellStyle name="Comma 14 3 2 5 2 3 2 2" xfId="31943" xr:uid="{00000000-0005-0000-0000-000014030000}"/>
    <cellStyle name="Comma 14 3 2 5 2 3 3" xfId="23495" xr:uid="{00000000-0005-0000-0000-000015030000}"/>
    <cellStyle name="Comma 14 3 2 5 2 4" xfId="10779" xr:uid="{00000000-0005-0000-0000-000016030000}"/>
    <cellStyle name="Comma 14 3 2 5 2 4 2" xfId="27719" xr:uid="{00000000-0005-0000-0000-000017030000}"/>
    <cellStyle name="Comma 14 3 2 5 2 5" xfId="19271" xr:uid="{00000000-0005-0000-0000-000018030000}"/>
    <cellStyle name="Comma 14 3 2 5 3" xfId="3385" xr:uid="{00000000-0005-0000-0000-000019030000}"/>
    <cellStyle name="Comma 14 3 2 5 3 2" xfId="7611" xr:uid="{00000000-0005-0000-0000-00001A030000}"/>
    <cellStyle name="Comma 14 3 2 5 3 2 2" xfId="16059" xr:uid="{00000000-0005-0000-0000-00001B030000}"/>
    <cellStyle name="Comma 14 3 2 5 3 2 2 2" xfId="32999" xr:uid="{00000000-0005-0000-0000-00001C030000}"/>
    <cellStyle name="Comma 14 3 2 5 3 2 3" xfId="24551" xr:uid="{00000000-0005-0000-0000-00001D030000}"/>
    <cellStyle name="Comma 14 3 2 5 3 3" xfId="11835" xr:uid="{00000000-0005-0000-0000-00001E030000}"/>
    <cellStyle name="Comma 14 3 2 5 3 3 2" xfId="28775" xr:uid="{00000000-0005-0000-0000-00001F030000}"/>
    <cellStyle name="Comma 14 3 2 5 3 4" xfId="20327" xr:uid="{00000000-0005-0000-0000-000020030000}"/>
    <cellStyle name="Comma 14 3 2 5 4" xfId="5499" xr:uid="{00000000-0005-0000-0000-000021030000}"/>
    <cellStyle name="Comma 14 3 2 5 4 2" xfId="13947" xr:uid="{00000000-0005-0000-0000-000022030000}"/>
    <cellStyle name="Comma 14 3 2 5 4 2 2" xfId="30887" xr:uid="{00000000-0005-0000-0000-000023030000}"/>
    <cellStyle name="Comma 14 3 2 5 4 3" xfId="22439" xr:uid="{00000000-0005-0000-0000-000024030000}"/>
    <cellStyle name="Comma 14 3 2 5 5" xfId="9723" xr:uid="{00000000-0005-0000-0000-000025030000}"/>
    <cellStyle name="Comma 14 3 2 5 5 2" xfId="26663" xr:uid="{00000000-0005-0000-0000-000026030000}"/>
    <cellStyle name="Comma 14 3 2 5 6" xfId="18215" xr:uid="{00000000-0005-0000-0000-000027030000}"/>
    <cellStyle name="Comma 14 3 2 6" xfId="1449" xr:uid="{00000000-0005-0000-0000-000028030000}"/>
    <cellStyle name="Comma 14 3 2 6 2" xfId="3561" xr:uid="{00000000-0005-0000-0000-000029030000}"/>
    <cellStyle name="Comma 14 3 2 6 2 2" xfId="7787" xr:uid="{00000000-0005-0000-0000-00002A030000}"/>
    <cellStyle name="Comma 14 3 2 6 2 2 2" xfId="16235" xr:uid="{00000000-0005-0000-0000-00002B030000}"/>
    <cellStyle name="Comma 14 3 2 6 2 2 2 2" xfId="33175" xr:uid="{00000000-0005-0000-0000-00002C030000}"/>
    <cellStyle name="Comma 14 3 2 6 2 2 3" xfId="24727" xr:uid="{00000000-0005-0000-0000-00002D030000}"/>
    <cellStyle name="Comma 14 3 2 6 2 3" xfId="12011" xr:uid="{00000000-0005-0000-0000-00002E030000}"/>
    <cellStyle name="Comma 14 3 2 6 2 3 2" xfId="28951" xr:uid="{00000000-0005-0000-0000-00002F030000}"/>
    <cellStyle name="Comma 14 3 2 6 2 4" xfId="20503" xr:uid="{00000000-0005-0000-0000-000030030000}"/>
    <cellStyle name="Comma 14 3 2 6 3" xfId="5675" xr:uid="{00000000-0005-0000-0000-000031030000}"/>
    <cellStyle name="Comma 14 3 2 6 3 2" xfId="14123" xr:uid="{00000000-0005-0000-0000-000032030000}"/>
    <cellStyle name="Comma 14 3 2 6 3 2 2" xfId="31063" xr:uid="{00000000-0005-0000-0000-000033030000}"/>
    <cellStyle name="Comma 14 3 2 6 3 3" xfId="22615" xr:uid="{00000000-0005-0000-0000-000034030000}"/>
    <cellStyle name="Comma 14 3 2 6 4" xfId="9899" xr:uid="{00000000-0005-0000-0000-000035030000}"/>
    <cellStyle name="Comma 14 3 2 6 4 2" xfId="26839" xr:uid="{00000000-0005-0000-0000-000036030000}"/>
    <cellStyle name="Comma 14 3 2 6 5" xfId="18391" xr:uid="{00000000-0005-0000-0000-000037030000}"/>
    <cellStyle name="Comma 14 3 2 7" xfId="2505" xr:uid="{00000000-0005-0000-0000-000038030000}"/>
    <cellStyle name="Comma 14 3 2 7 2" xfId="6731" xr:uid="{00000000-0005-0000-0000-000039030000}"/>
    <cellStyle name="Comma 14 3 2 7 2 2" xfId="15179" xr:uid="{00000000-0005-0000-0000-00003A030000}"/>
    <cellStyle name="Comma 14 3 2 7 2 2 2" xfId="32119" xr:uid="{00000000-0005-0000-0000-00003B030000}"/>
    <cellStyle name="Comma 14 3 2 7 2 3" xfId="23671" xr:uid="{00000000-0005-0000-0000-00003C030000}"/>
    <cellStyle name="Comma 14 3 2 7 3" xfId="10955" xr:uid="{00000000-0005-0000-0000-00003D030000}"/>
    <cellStyle name="Comma 14 3 2 7 3 2" xfId="27895" xr:uid="{00000000-0005-0000-0000-00003E030000}"/>
    <cellStyle name="Comma 14 3 2 7 4" xfId="19447" xr:uid="{00000000-0005-0000-0000-00003F030000}"/>
    <cellStyle name="Comma 14 3 2 8" xfId="4618" xr:uid="{00000000-0005-0000-0000-000040030000}"/>
    <cellStyle name="Comma 14 3 2 8 2" xfId="13067" xr:uid="{00000000-0005-0000-0000-000041030000}"/>
    <cellStyle name="Comma 14 3 2 8 2 2" xfId="30007" xr:uid="{00000000-0005-0000-0000-000042030000}"/>
    <cellStyle name="Comma 14 3 2 8 3" xfId="21559" xr:uid="{00000000-0005-0000-0000-000043030000}"/>
    <cellStyle name="Comma 14 3 2 9" xfId="8843" xr:uid="{00000000-0005-0000-0000-000044030000}"/>
    <cellStyle name="Comma 14 3 2 9 2" xfId="25783" xr:uid="{00000000-0005-0000-0000-000045030000}"/>
    <cellStyle name="Comma 14 3 3" xfId="68" xr:uid="{00000000-0005-0000-0000-000046030000}"/>
    <cellStyle name="Comma 14 3 3 10" xfId="17296" xr:uid="{00000000-0005-0000-0000-000047030000}"/>
    <cellStyle name="Comma 14 3 3 2" xfId="562" xr:uid="{00000000-0005-0000-0000-000048030000}"/>
    <cellStyle name="Comma 14 3 3 2 2" xfId="916" xr:uid="{00000000-0005-0000-0000-000049030000}"/>
    <cellStyle name="Comma 14 3 3 2 2 2" xfId="1978" xr:uid="{00000000-0005-0000-0000-00004A030000}"/>
    <cellStyle name="Comma 14 3 3 2 2 2 2" xfId="4090" xr:uid="{00000000-0005-0000-0000-00004B030000}"/>
    <cellStyle name="Comma 14 3 3 2 2 2 2 2" xfId="8316" xr:uid="{00000000-0005-0000-0000-00004C030000}"/>
    <cellStyle name="Comma 14 3 3 2 2 2 2 2 2" xfId="16764" xr:uid="{00000000-0005-0000-0000-00004D030000}"/>
    <cellStyle name="Comma 14 3 3 2 2 2 2 2 2 2" xfId="33704" xr:uid="{00000000-0005-0000-0000-00004E030000}"/>
    <cellStyle name="Comma 14 3 3 2 2 2 2 2 3" xfId="25256" xr:uid="{00000000-0005-0000-0000-00004F030000}"/>
    <cellStyle name="Comma 14 3 3 2 2 2 2 3" xfId="12540" xr:uid="{00000000-0005-0000-0000-000050030000}"/>
    <cellStyle name="Comma 14 3 3 2 2 2 2 3 2" xfId="29480" xr:uid="{00000000-0005-0000-0000-000051030000}"/>
    <cellStyle name="Comma 14 3 3 2 2 2 2 4" xfId="21032" xr:uid="{00000000-0005-0000-0000-000052030000}"/>
    <cellStyle name="Comma 14 3 3 2 2 2 3" xfId="6204" xr:uid="{00000000-0005-0000-0000-000053030000}"/>
    <cellStyle name="Comma 14 3 3 2 2 2 3 2" xfId="14652" xr:uid="{00000000-0005-0000-0000-000054030000}"/>
    <cellStyle name="Comma 14 3 3 2 2 2 3 2 2" xfId="31592" xr:uid="{00000000-0005-0000-0000-000055030000}"/>
    <cellStyle name="Comma 14 3 3 2 2 2 3 3" xfId="23144" xr:uid="{00000000-0005-0000-0000-000056030000}"/>
    <cellStyle name="Comma 14 3 3 2 2 2 4" xfId="10428" xr:uid="{00000000-0005-0000-0000-000057030000}"/>
    <cellStyle name="Comma 14 3 3 2 2 2 4 2" xfId="27368" xr:uid="{00000000-0005-0000-0000-000058030000}"/>
    <cellStyle name="Comma 14 3 3 2 2 2 5" xfId="18920" xr:uid="{00000000-0005-0000-0000-000059030000}"/>
    <cellStyle name="Comma 14 3 3 2 2 3" xfId="3034" xr:uid="{00000000-0005-0000-0000-00005A030000}"/>
    <cellStyle name="Comma 14 3 3 2 2 3 2" xfId="7260" xr:uid="{00000000-0005-0000-0000-00005B030000}"/>
    <cellStyle name="Comma 14 3 3 2 2 3 2 2" xfId="15708" xr:uid="{00000000-0005-0000-0000-00005C030000}"/>
    <cellStyle name="Comma 14 3 3 2 2 3 2 2 2" xfId="32648" xr:uid="{00000000-0005-0000-0000-00005D030000}"/>
    <cellStyle name="Comma 14 3 3 2 2 3 2 3" xfId="24200" xr:uid="{00000000-0005-0000-0000-00005E030000}"/>
    <cellStyle name="Comma 14 3 3 2 2 3 3" xfId="11484" xr:uid="{00000000-0005-0000-0000-00005F030000}"/>
    <cellStyle name="Comma 14 3 3 2 2 3 3 2" xfId="28424" xr:uid="{00000000-0005-0000-0000-000060030000}"/>
    <cellStyle name="Comma 14 3 3 2 2 3 4" xfId="19976" xr:uid="{00000000-0005-0000-0000-000061030000}"/>
    <cellStyle name="Comma 14 3 3 2 2 4" xfId="5148" xr:uid="{00000000-0005-0000-0000-000062030000}"/>
    <cellStyle name="Comma 14 3 3 2 2 4 2" xfId="13596" xr:uid="{00000000-0005-0000-0000-000063030000}"/>
    <cellStyle name="Comma 14 3 3 2 2 4 2 2" xfId="30536" xr:uid="{00000000-0005-0000-0000-000064030000}"/>
    <cellStyle name="Comma 14 3 3 2 2 4 3" xfId="22088" xr:uid="{00000000-0005-0000-0000-000065030000}"/>
    <cellStyle name="Comma 14 3 3 2 2 5" xfId="9372" xr:uid="{00000000-0005-0000-0000-000066030000}"/>
    <cellStyle name="Comma 14 3 3 2 2 5 2" xfId="26312" xr:uid="{00000000-0005-0000-0000-000067030000}"/>
    <cellStyle name="Comma 14 3 3 2 2 6" xfId="17864" xr:uid="{00000000-0005-0000-0000-000068030000}"/>
    <cellStyle name="Comma 14 3 3 2 3" xfId="1626" xr:uid="{00000000-0005-0000-0000-000069030000}"/>
    <cellStyle name="Comma 14 3 3 2 3 2" xfId="3738" xr:uid="{00000000-0005-0000-0000-00006A030000}"/>
    <cellStyle name="Comma 14 3 3 2 3 2 2" xfId="7964" xr:uid="{00000000-0005-0000-0000-00006B030000}"/>
    <cellStyle name="Comma 14 3 3 2 3 2 2 2" xfId="16412" xr:uid="{00000000-0005-0000-0000-00006C030000}"/>
    <cellStyle name="Comma 14 3 3 2 3 2 2 2 2" xfId="33352" xr:uid="{00000000-0005-0000-0000-00006D030000}"/>
    <cellStyle name="Comma 14 3 3 2 3 2 2 3" xfId="24904" xr:uid="{00000000-0005-0000-0000-00006E030000}"/>
    <cellStyle name="Comma 14 3 3 2 3 2 3" xfId="12188" xr:uid="{00000000-0005-0000-0000-00006F030000}"/>
    <cellStyle name="Comma 14 3 3 2 3 2 3 2" xfId="29128" xr:uid="{00000000-0005-0000-0000-000070030000}"/>
    <cellStyle name="Comma 14 3 3 2 3 2 4" xfId="20680" xr:uid="{00000000-0005-0000-0000-000071030000}"/>
    <cellStyle name="Comma 14 3 3 2 3 3" xfId="5852" xr:uid="{00000000-0005-0000-0000-000072030000}"/>
    <cellStyle name="Comma 14 3 3 2 3 3 2" xfId="14300" xr:uid="{00000000-0005-0000-0000-000073030000}"/>
    <cellStyle name="Comma 14 3 3 2 3 3 2 2" xfId="31240" xr:uid="{00000000-0005-0000-0000-000074030000}"/>
    <cellStyle name="Comma 14 3 3 2 3 3 3" xfId="22792" xr:uid="{00000000-0005-0000-0000-000075030000}"/>
    <cellStyle name="Comma 14 3 3 2 3 4" xfId="10076" xr:uid="{00000000-0005-0000-0000-000076030000}"/>
    <cellStyle name="Comma 14 3 3 2 3 4 2" xfId="27016" xr:uid="{00000000-0005-0000-0000-000077030000}"/>
    <cellStyle name="Comma 14 3 3 2 3 5" xfId="18568" xr:uid="{00000000-0005-0000-0000-000078030000}"/>
    <cellStyle name="Comma 14 3 3 2 4" xfId="2682" xr:uid="{00000000-0005-0000-0000-000079030000}"/>
    <cellStyle name="Comma 14 3 3 2 4 2" xfId="6908" xr:uid="{00000000-0005-0000-0000-00007A030000}"/>
    <cellStyle name="Comma 14 3 3 2 4 2 2" xfId="15356" xr:uid="{00000000-0005-0000-0000-00007B030000}"/>
    <cellStyle name="Comma 14 3 3 2 4 2 2 2" xfId="32296" xr:uid="{00000000-0005-0000-0000-00007C030000}"/>
    <cellStyle name="Comma 14 3 3 2 4 2 3" xfId="23848" xr:uid="{00000000-0005-0000-0000-00007D030000}"/>
    <cellStyle name="Comma 14 3 3 2 4 3" xfId="11132" xr:uid="{00000000-0005-0000-0000-00007E030000}"/>
    <cellStyle name="Comma 14 3 3 2 4 3 2" xfId="28072" xr:uid="{00000000-0005-0000-0000-00007F030000}"/>
    <cellStyle name="Comma 14 3 3 2 4 4" xfId="19624" xr:uid="{00000000-0005-0000-0000-000080030000}"/>
    <cellStyle name="Comma 14 3 3 2 5" xfId="4796" xr:uid="{00000000-0005-0000-0000-000081030000}"/>
    <cellStyle name="Comma 14 3 3 2 5 2" xfId="13244" xr:uid="{00000000-0005-0000-0000-000082030000}"/>
    <cellStyle name="Comma 14 3 3 2 5 2 2" xfId="30184" xr:uid="{00000000-0005-0000-0000-000083030000}"/>
    <cellStyle name="Comma 14 3 3 2 5 3" xfId="21736" xr:uid="{00000000-0005-0000-0000-000084030000}"/>
    <cellStyle name="Comma 14 3 3 2 6" xfId="9020" xr:uid="{00000000-0005-0000-0000-000085030000}"/>
    <cellStyle name="Comma 14 3 3 2 6 2" xfId="25960" xr:uid="{00000000-0005-0000-0000-000086030000}"/>
    <cellStyle name="Comma 14 3 3 2 7" xfId="17512" xr:uid="{00000000-0005-0000-0000-000087030000}"/>
    <cellStyle name="Comma 14 3 3 3" xfId="740" xr:uid="{00000000-0005-0000-0000-000088030000}"/>
    <cellStyle name="Comma 14 3 3 3 2" xfId="1802" xr:uid="{00000000-0005-0000-0000-000089030000}"/>
    <cellStyle name="Comma 14 3 3 3 2 2" xfId="3914" xr:uid="{00000000-0005-0000-0000-00008A030000}"/>
    <cellStyle name="Comma 14 3 3 3 2 2 2" xfId="8140" xr:uid="{00000000-0005-0000-0000-00008B030000}"/>
    <cellStyle name="Comma 14 3 3 3 2 2 2 2" xfId="16588" xr:uid="{00000000-0005-0000-0000-00008C030000}"/>
    <cellStyle name="Comma 14 3 3 3 2 2 2 2 2" xfId="33528" xr:uid="{00000000-0005-0000-0000-00008D030000}"/>
    <cellStyle name="Comma 14 3 3 3 2 2 2 3" xfId="25080" xr:uid="{00000000-0005-0000-0000-00008E030000}"/>
    <cellStyle name="Comma 14 3 3 3 2 2 3" xfId="12364" xr:uid="{00000000-0005-0000-0000-00008F030000}"/>
    <cellStyle name="Comma 14 3 3 3 2 2 3 2" xfId="29304" xr:uid="{00000000-0005-0000-0000-000090030000}"/>
    <cellStyle name="Comma 14 3 3 3 2 2 4" xfId="20856" xr:uid="{00000000-0005-0000-0000-000091030000}"/>
    <cellStyle name="Comma 14 3 3 3 2 3" xfId="6028" xr:uid="{00000000-0005-0000-0000-000092030000}"/>
    <cellStyle name="Comma 14 3 3 3 2 3 2" xfId="14476" xr:uid="{00000000-0005-0000-0000-000093030000}"/>
    <cellStyle name="Comma 14 3 3 3 2 3 2 2" xfId="31416" xr:uid="{00000000-0005-0000-0000-000094030000}"/>
    <cellStyle name="Comma 14 3 3 3 2 3 3" xfId="22968" xr:uid="{00000000-0005-0000-0000-000095030000}"/>
    <cellStyle name="Comma 14 3 3 3 2 4" xfId="10252" xr:uid="{00000000-0005-0000-0000-000096030000}"/>
    <cellStyle name="Comma 14 3 3 3 2 4 2" xfId="27192" xr:uid="{00000000-0005-0000-0000-000097030000}"/>
    <cellStyle name="Comma 14 3 3 3 2 5" xfId="18744" xr:uid="{00000000-0005-0000-0000-000098030000}"/>
    <cellStyle name="Comma 14 3 3 3 3" xfId="2858" xr:uid="{00000000-0005-0000-0000-000099030000}"/>
    <cellStyle name="Comma 14 3 3 3 3 2" xfId="7084" xr:uid="{00000000-0005-0000-0000-00009A030000}"/>
    <cellStyle name="Comma 14 3 3 3 3 2 2" xfId="15532" xr:uid="{00000000-0005-0000-0000-00009B030000}"/>
    <cellStyle name="Comma 14 3 3 3 3 2 2 2" xfId="32472" xr:uid="{00000000-0005-0000-0000-00009C030000}"/>
    <cellStyle name="Comma 14 3 3 3 3 2 3" xfId="24024" xr:uid="{00000000-0005-0000-0000-00009D030000}"/>
    <cellStyle name="Comma 14 3 3 3 3 3" xfId="11308" xr:uid="{00000000-0005-0000-0000-00009E030000}"/>
    <cellStyle name="Comma 14 3 3 3 3 3 2" xfId="28248" xr:uid="{00000000-0005-0000-0000-00009F030000}"/>
    <cellStyle name="Comma 14 3 3 3 3 4" xfId="19800" xr:uid="{00000000-0005-0000-0000-0000A0030000}"/>
    <cellStyle name="Comma 14 3 3 3 4" xfId="4972" xr:uid="{00000000-0005-0000-0000-0000A1030000}"/>
    <cellStyle name="Comma 14 3 3 3 4 2" xfId="13420" xr:uid="{00000000-0005-0000-0000-0000A2030000}"/>
    <cellStyle name="Comma 14 3 3 3 4 2 2" xfId="30360" xr:uid="{00000000-0005-0000-0000-0000A3030000}"/>
    <cellStyle name="Comma 14 3 3 3 4 3" xfId="21912" xr:uid="{00000000-0005-0000-0000-0000A4030000}"/>
    <cellStyle name="Comma 14 3 3 3 5" xfId="9196" xr:uid="{00000000-0005-0000-0000-0000A5030000}"/>
    <cellStyle name="Comma 14 3 3 3 5 2" xfId="26136" xr:uid="{00000000-0005-0000-0000-0000A6030000}"/>
    <cellStyle name="Comma 14 3 3 3 6" xfId="17688" xr:uid="{00000000-0005-0000-0000-0000A7030000}"/>
    <cellStyle name="Comma 14 3 3 4" xfId="1092" xr:uid="{00000000-0005-0000-0000-0000A8030000}"/>
    <cellStyle name="Comma 14 3 3 4 2" xfId="2154" xr:uid="{00000000-0005-0000-0000-0000A9030000}"/>
    <cellStyle name="Comma 14 3 3 4 2 2" xfId="4266" xr:uid="{00000000-0005-0000-0000-0000AA030000}"/>
    <cellStyle name="Comma 14 3 3 4 2 2 2" xfId="8492" xr:uid="{00000000-0005-0000-0000-0000AB030000}"/>
    <cellStyle name="Comma 14 3 3 4 2 2 2 2" xfId="16940" xr:uid="{00000000-0005-0000-0000-0000AC030000}"/>
    <cellStyle name="Comma 14 3 3 4 2 2 2 2 2" xfId="33880" xr:uid="{00000000-0005-0000-0000-0000AD030000}"/>
    <cellStyle name="Comma 14 3 3 4 2 2 2 3" xfId="25432" xr:uid="{00000000-0005-0000-0000-0000AE030000}"/>
    <cellStyle name="Comma 14 3 3 4 2 2 3" xfId="12716" xr:uid="{00000000-0005-0000-0000-0000AF030000}"/>
    <cellStyle name="Comma 14 3 3 4 2 2 3 2" xfId="29656" xr:uid="{00000000-0005-0000-0000-0000B0030000}"/>
    <cellStyle name="Comma 14 3 3 4 2 2 4" xfId="21208" xr:uid="{00000000-0005-0000-0000-0000B1030000}"/>
    <cellStyle name="Comma 14 3 3 4 2 3" xfId="6380" xr:uid="{00000000-0005-0000-0000-0000B2030000}"/>
    <cellStyle name="Comma 14 3 3 4 2 3 2" xfId="14828" xr:uid="{00000000-0005-0000-0000-0000B3030000}"/>
    <cellStyle name="Comma 14 3 3 4 2 3 2 2" xfId="31768" xr:uid="{00000000-0005-0000-0000-0000B4030000}"/>
    <cellStyle name="Comma 14 3 3 4 2 3 3" xfId="23320" xr:uid="{00000000-0005-0000-0000-0000B5030000}"/>
    <cellStyle name="Comma 14 3 3 4 2 4" xfId="10604" xr:uid="{00000000-0005-0000-0000-0000B6030000}"/>
    <cellStyle name="Comma 14 3 3 4 2 4 2" xfId="27544" xr:uid="{00000000-0005-0000-0000-0000B7030000}"/>
    <cellStyle name="Comma 14 3 3 4 2 5" xfId="19096" xr:uid="{00000000-0005-0000-0000-0000B8030000}"/>
    <cellStyle name="Comma 14 3 3 4 3" xfId="3210" xr:uid="{00000000-0005-0000-0000-0000B9030000}"/>
    <cellStyle name="Comma 14 3 3 4 3 2" xfId="7436" xr:uid="{00000000-0005-0000-0000-0000BA030000}"/>
    <cellStyle name="Comma 14 3 3 4 3 2 2" xfId="15884" xr:uid="{00000000-0005-0000-0000-0000BB030000}"/>
    <cellStyle name="Comma 14 3 3 4 3 2 2 2" xfId="32824" xr:uid="{00000000-0005-0000-0000-0000BC030000}"/>
    <cellStyle name="Comma 14 3 3 4 3 2 3" xfId="24376" xr:uid="{00000000-0005-0000-0000-0000BD030000}"/>
    <cellStyle name="Comma 14 3 3 4 3 3" xfId="11660" xr:uid="{00000000-0005-0000-0000-0000BE030000}"/>
    <cellStyle name="Comma 14 3 3 4 3 3 2" xfId="28600" xr:uid="{00000000-0005-0000-0000-0000BF030000}"/>
    <cellStyle name="Comma 14 3 3 4 3 4" xfId="20152" xr:uid="{00000000-0005-0000-0000-0000C0030000}"/>
    <cellStyle name="Comma 14 3 3 4 4" xfId="5324" xr:uid="{00000000-0005-0000-0000-0000C1030000}"/>
    <cellStyle name="Comma 14 3 3 4 4 2" xfId="13772" xr:uid="{00000000-0005-0000-0000-0000C2030000}"/>
    <cellStyle name="Comma 14 3 3 4 4 2 2" xfId="30712" xr:uid="{00000000-0005-0000-0000-0000C3030000}"/>
    <cellStyle name="Comma 14 3 3 4 4 3" xfId="22264" xr:uid="{00000000-0005-0000-0000-0000C4030000}"/>
    <cellStyle name="Comma 14 3 3 4 5" xfId="9548" xr:uid="{00000000-0005-0000-0000-0000C5030000}"/>
    <cellStyle name="Comma 14 3 3 4 5 2" xfId="26488" xr:uid="{00000000-0005-0000-0000-0000C6030000}"/>
    <cellStyle name="Comma 14 3 3 4 6" xfId="18040" xr:uid="{00000000-0005-0000-0000-0000C7030000}"/>
    <cellStyle name="Comma 14 3 3 5" xfId="1274" xr:uid="{00000000-0005-0000-0000-0000C8030000}"/>
    <cellStyle name="Comma 14 3 3 5 2" xfId="2330" xr:uid="{00000000-0005-0000-0000-0000C9030000}"/>
    <cellStyle name="Comma 14 3 3 5 2 2" xfId="4442" xr:uid="{00000000-0005-0000-0000-0000CA030000}"/>
    <cellStyle name="Comma 14 3 3 5 2 2 2" xfId="8668" xr:uid="{00000000-0005-0000-0000-0000CB030000}"/>
    <cellStyle name="Comma 14 3 3 5 2 2 2 2" xfId="17116" xr:uid="{00000000-0005-0000-0000-0000CC030000}"/>
    <cellStyle name="Comma 14 3 3 5 2 2 2 2 2" xfId="34056" xr:uid="{00000000-0005-0000-0000-0000CD030000}"/>
    <cellStyle name="Comma 14 3 3 5 2 2 2 3" xfId="25608" xr:uid="{00000000-0005-0000-0000-0000CE030000}"/>
    <cellStyle name="Comma 14 3 3 5 2 2 3" xfId="12892" xr:uid="{00000000-0005-0000-0000-0000CF030000}"/>
    <cellStyle name="Comma 14 3 3 5 2 2 3 2" xfId="29832" xr:uid="{00000000-0005-0000-0000-0000D0030000}"/>
    <cellStyle name="Comma 14 3 3 5 2 2 4" xfId="21384" xr:uid="{00000000-0005-0000-0000-0000D1030000}"/>
    <cellStyle name="Comma 14 3 3 5 2 3" xfId="6556" xr:uid="{00000000-0005-0000-0000-0000D2030000}"/>
    <cellStyle name="Comma 14 3 3 5 2 3 2" xfId="15004" xr:uid="{00000000-0005-0000-0000-0000D3030000}"/>
    <cellStyle name="Comma 14 3 3 5 2 3 2 2" xfId="31944" xr:uid="{00000000-0005-0000-0000-0000D4030000}"/>
    <cellStyle name="Comma 14 3 3 5 2 3 3" xfId="23496" xr:uid="{00000000-0005-0000-0000-0000D5030000}"/>
    <cellStyle name="Comma 14 3 3 5 2 4" xfId="10780" xr:uid="{00000000-0005-0000-0000-0000D6030000}"/>
    <cellStyle name="Comma 14 3 3 5 2 4 2" xfId="27720" xr:uid="{00000000-0005-0000-0000-0000D7030000}"/>
    <cellStyle name="Comma 14 3 3 5 2 5" xfId="19272" xr:uid="{00000000-0005-0000-0000-0000D8030000}"/>
    <cellStyle name="Comma 14 3 3 5 3" xfId="3386" xr:uid="{00000000-0005-0000-0000-0000D9030000}"/>
    <cellStyle name="Comma 14 3 3 5 3 2" xfId="7612" xr:uid="{00000000-0005-0000-0000-0000DA030000}"/>
    <cellStyle name="Comma 14 3 3 5 3 2 2" xfId="16060" xr:uid="{00000000-0005-0000-0000-0000DB030000}"/>
    <cellStyle name="Comma 14 3 3 5 3 2 2 2" xfId="33000" xr:uid="{00000000-0005-0000-0000-0000DC030000}"/>
    <cellStyle name="Comma 14 3 3 5 3 2 3" xfId="24552" xr:uid="{00000000-0005-0000-0000-0000DD030000}"/>
    <cellStyle name="Comma 14 3 3 5 3 3" xfId="11836" xr:uid="{00000000-0005-0000-0000-0000DE030000}"/>
    <cellStyle name="Comma 14 3 3 5 3 3 2" xfId="28776" xr:uid="{00000000-0005-0000-0000-0000DF030000}"/>
    <cellStyle name="Comma 14 3 3 5 3 4" xfId="20328" xr:uid="{00000000-0005-0000-0000-0000E0030000}"/>
    <cellStyle name="Comma 14 3 3 5 4" xfId="5500" xr:uid="{00000000-0005-0000-0000-0000E1030000}"/>
    <cellStyle name="Comma 14 3 3 5 4 2" xfId="13948" xr:uid="{00000000-0005-0000-0000-0000E2030000}"/>
    <cellStyle name="Comma 14 3 3 5 4 2 2" xfId="30888" xr:uid="{00000000-0005-0000-0000-0000E3030000}"/>
    <cellStyle name="Comma 14 3 3 5 4 3" xfId="22440" xr:uid="{00000000-0005-0000-0000-0000E4030000}"/>
    <cellStyle name="Comma 14 3 3 5 5" xfId="9724" xr:uid="{00000000-0005-0000-0000-0000E5030000}"/>
    <cellStyle name="Comma 14 3 3 5 5 2" xfId="26664" xr:uid="{00000000-0005-0000-0000-0000E6030000}"/>
    <cellStyle name="Comma 14 3 3 5 6" xfId="18216" xr:uid="{00000000-0005-0000-0000-0000E7030000}"/>
    <cellStyle name="Comma 14 3 3 6" xfId="1450" xr:uid="{00000000-0005-0000-0000-0000E8030000}"/>
    <cellStyle name="Comma 14 3 3 6 2" xfId="3562" xr:uid="{00000000-0005-0000-0000-0000E9030000}"/>
    <cellStyle name="Comma 14 3 3 6 2 2" xfId="7788" xr:uid="{00000000-0005-0000-0000-0000EA030000}"/>
    <cellStyle name="Comma 14 3 3 6 2 2 2" xfId="16236" xr:uid="{00000000-0005-0000-0000-0000EB030000}"/>
    <cellStyle name="Comma 14 3 3 6 2 2 2 2" xfId="33176" xr:uid="{00000000-0005-0000-0000-0000EC030000}"/>
    <cellStyle name="Comma 14 3 3 6 2 2 3" xfId="24728" xr:uid="{00000000-0005-0000-0000-0000ED030000}"/>
    <cellStyle name="Comma 14 3 3 6 2 3" xfId="12012" xr:uid="{00000000-0005-0000-0000-0000EE030000}"/>
    <cellStyle name="Comma 14 3 3 6 2 3 2" xfId="28952" xr:uid="{00000000-0005-0000-0000-0000EF030000}"/>
    <cellStyle name="Comma 14 3 3 6 2 4" xfId="20504" xr:uid="{00000000-0005-0000-0000-0000F0030000}"/>
    <cellStyle name="Comma 14 3 3 6 3" xfId="5676" xr:uid="{00000000-0005-0000-0000-0000F1030000}"/>
    <cellStyle name="Comma 14 3 3 6 3 2" xfId="14124" xr:uid="{00000000-0005-0000-0000-0000F2030000}"/>
    <cellStyle name="Comma 14 3 3 6 3 2 2" xfId="31064" xr:uid="{00000000-0005-0000-0000-0000F3030000}"/>
    <cellStyle name="Comma 14 3 3 6 3 3" xfId="22616" xr:uid="{00000000-0005-0000-0000-0000F4030000}"/>
    <cellStyle name="Comma 14 3 3 6 4" xfId="9900" xr:uid="{00000000-0005-0000-0000-0000F5030000}"/>
    <cellStyle name="Comma 14 3 3 6 4 2" xfId="26840" xr:uid="{00000000-0005-0000-0000-0000F6030000}"/>
    <cellStyle name="Comma 14 3 3 6 5" xfId="18392" xr:uid="{00000000-0005-0000-0000-0000F7030000}"/>
    <cellStyle name="Comma 14 3 3 7" xfId="2506" xr:uid="{00000000-0005-0000-0000-0000F8030000}"/>
    <cellStyle name="Comma 14 3 3 7 2" xfId="6732" xr:uid="{00000000-0005-0000-0000-0000F9030000}"/>
    <cellStyle name="Comma 14 3 3 7 2 2" xfId="15180" xr:uid="{00000000-0005-0000-0000-0000FA030000}"/>
    <cellStyle name="Comma 14 3 3 7 2 2 2" xfId="32120" xr:uid="{00000000-0005-0000-0000-0000FB030000}"/>
    <cellStyle name="Comma 14 3 3 7 2 3" xfId="23672" xr:uid="{00000000-0005-0000-0000-0000FC030000}"/>
    <cellStyle name="Comma 14 3 3 7 3" xfId="10956" xr:uid="{00000000-0005-0000-0000-0000FD030000}"/>
    <cellStyle name="Comma 14 3 3 7 3 2" xfId="27896" xr:uid="{00000000-0005-0000-0000-0000FE030000}"/>
    <cellStyle name="Comma 14 3 3 7 4" xfId="19448" xr:uid="{00000000-0005-0000-0000-0000FF030000}"/>
    <cellStyle name="Comma 14 3 3 8" xfId="4619" xr:uid="{00000000-0005-0000-0000-000000040000}"/>
    <cellStyle name="Comma 14 3 3 8 2" xfId="13068" xr:uid="{00000000-0005-0000-0000-000001040000}"/>
    <cellStyle name="Comma 14 3 3 8 2 2" xfId="30008" xr:uid="{00000000-0005-0000-0000-000002040000}"/>
    <cellStyle name="Comma 14 3 3 8 3" xfId="21560" xr:uid="{00000000-0005-0000-0000-000003040000}"/>
    <cellStyle name="Comma 14 3 3 9" xfId="8844" xr:uid="{00000000-0005-0000-0000-000004040000}"/>
    <cellStyle name="Comma 14 3 3 9 2" xfId="25784" xr:uid="{00000000-0005-0000-0000-000005040000}"/>
    <cellStyle name="Comma 14 3 4" xfId="560" xr:uid="{00000000-0005-0000-0000-000006040000}"/>
    <cellStyle name="Comma 14 3 4 2" xfId="914" xr:uid="{00000000-0005-0000-0000-000007040000}"/>
    <cellStyle name="Comma 14 3 4 2 2" xfId="1976" xr:uid="{00000000-0005-0000-0000-000008040000}"/>
    <cellStyle name="Comma 14 3 4 2 2 2" xfId="4088" xr:uid="{00000000-0005-0000-0000-000009040000}"/>
    <cellStyle name="Comma 14 3 4 2 2 2 2" xfId="8314" xr:uid="{00000000-0005-0000-0000-00000A040000}"/>
    <cellStyle name="Comma 14 3 4 2 2 2 2 2" xfId="16762" xr:uid="{00000000-0005-0000-0000-00000B040000}"/>
    <cellStyle name="Comma 14 3 4 2 2 2 2 2 2" xfId="33702" xr:uid="{00000000-0005-0000-0000-00000C040000}"/>
    <cellStyle name="Comma 14 3 4 2 2 2 2 3" xfId="25254" xr:uid="{00000000-0005-0000-0000-00000D040000}"/>
    <cellStyle name="Comma 14 3 4 2 2 2 3" xfId="12538" xr:uid="{00000000-0005-0000-0000-00000E040000}"/>
    <cellStyle name="Comma 14 3 4 2 2 2 3 2" xfId="29478" xr:uid="{00000000-0005-0000-0000-00000F040000}"/>
    <cellStyle name="Comma 14 3 4 2 2 2 4" xfId="21030" xr:uid="{00000000-0005-0000-0000-000010040000}"/>
    <cellStyle name="Comma 14 3 4 2 2 3" xfId="6202" xr:uid="{00000000-0005-0000-0000-000011040000}"/>
    <cellStyle name="Comma 14 3 4 2 2 3 2" xfId="14650" xr:uid="{00000000-0005-0000-0000-000012040000}"/>
    <cellStyle name="Comma 14 3 4 2 2 3 2 2" xfId="31590" xr:uid="{00000000-0005-0000-0000-000013040000}"/>
    <cellStyle name="Comma 14 3 4 2 2 3 3" xfId="23142" xr:uid="{00000000-0005-0000-0000-000014040000}"/>
    <cellStyle name="Comma 14 3 4 2 2 4" xfId="10426" xr:uid="{00000000-0005-0000-0000-000015040000}"/>
    <cellStyle name="Comma 14 3 4 2 2 4 2" xfId="27366" xr:uid="{00000000-0005-0000-0000-000016040000}"/>
    <cellStyle name="Comma 14 3 4 2 2 5" xfId="18918" xr:uid="{00000000-0005-0000-0000-000017040000}"/>
    <cellStyle name="Comma 14 3 4 2 3" xfId="3032" xr:uid="{00000000-0005-0000-0000-000018040000}"/>
    <cellStyle name="Comma 14 3 4 2 3 2" xfId="7258" xr:uid="{00000000-0005-0000-0000-000019040000}"/>
    <cellStyle name="Comma 14 3 4 2 3 2 2" xfId="15706" xr:uid="{00000000-0005-0000-0000-00001A040000}"/>
    <cellStyle name="Comma 14 3 4 2 3 2 2 2" xfId="32646" xr:uid="{00000000-0005-0000-0000-00001B040000}"/>
    <cellStyle name="Comma 14 3 4 2 3 2 3" xfId="24198" xr:uid="{00000000-0005-0000-0000-00001C040000}"/>
    <cellStyle name="Comma 14 3 4 2 3 3" xfId="11482" xr:uid="{00000000-0005-0000-0000-00001D040000}"/>
    <cellStyle name="Comma 14 3 4 2 3 3 2" xfId="28422" xr:uid="{00000000-0005-0000-0000-00001E040000}"/>
    <cellStyle name="Comma 14 3 4 2 3 4" xfId="19974" xr:uid="{00000000-0005-0000-0000-00001F040000}"/>
    <cellStyle name="Comma 14 3 4 2 4" xfId="5146" xr:uid="{00000000-0005-0000-0000-000020040000}"/>
    <cellStyle name="Comma 14 3 4 2 4 2" xfId="13594" xr:uid="{00000000-0005-0000-0000-000021040000}"/>
    <cellStyle name="Comma 14 3 4 2 4 2 2" xfId="30534" xr:uid="{00000000-0005-0000-0000-000022040000}"/>
    <cellStyle name="Comma 14 3 4 2 4 3" xfId="22086" xr:uid="{00000000-0005-0000-0000-000023040000}"/>
    <cellStyle name="Comma 14 3 4 2 5" xfId="9370" xr:uid="{00000000-0005-0000-0000-000024040000}"/>
    <cellStyle name="Comma 14 3 4 2 5 2" xfId="26310" xr:uid="{00000000-0005-0000-0000-000025040000}"/>
    <cellStyle name="Comma 14 3 4 2 6" xfId="17862" xr:uid="{00000000-0005-0000-0000-000026040000}"/>
    <cellStyle name="Comma 14 3 4 3" xfId="1624" xr:uid="{00000000-0005-0000-0000-000027040000}"/>
    <cellStyle name="Comma 14 3 4 3 2" xfId="3736" xr:uid="{00000000-0005-0000-0000-000028040000}"/>
    <cellStyle name="Comma 14 3 4 3 2 2" xfId="7962" xr:uid="{00000000-0005-0000-0000-000029040000}"/>
    <cellStyle name="Comma 14 3 4 3 2 2 2" xfId="16410" xr:uid="{00000000-0005-0000-0000-00002A040000}"/>
    <cellStyle name="Comma 14 3 4 3 2 2 2 2" xfId="33350" xr:uid="{00000000-0005-0000-0000-00002B040000}"/>
    <cellStyle name="Comma 14 3 4 3 2 2 3" xfId="24902" xr:uid="{00000000-0005-0000-0000-00002C040000}"/>
    <cellStyle name="Comma 14 3 4 3 2 3" xfId="12186" xr:uid="{00000000-0005-0000-0000-00002D040000}"/>
    <cellStyle name="Comma 14 3 4 3 2 3 2" xfId="29126" xr:uid="{00000000-0005-0000-0000-00002E040000}"/>
    <cellStyle name="Comma 14 3 4 3 2 4" xfId="20678" xr:uid="{00000000-0005-0000-0000-00002F040000}"/>
    <cellStyle name="Comma 14 3 4 3 3" xfId="5850" xr:uid="{00000000-0005-0000-0000-000030040000}"/>
    <cellStyle name="Comma 14 3 4 3 3 2" xfId="14298" xr:uid="{00000000-0005-0000-0000-000031040000}"/>
    <cellStyle name="Comma 14 3 4 3 3 2 2" xfId="31238" xr:uid="{00000000-0005-0000-0000-000032040000}"/>
    <cellStyle name="Comma 14 3 4 3 3 3" xfId="22790" xr:uid="{00000000-0005-0000-0000-000033040000}"/>
    <cellStyle name="Comma 14 3 4 3 4" xfId="10074" xr:uid="{00000000-0005-0000-0000-000034040000}"/>
    <cellStyle name="Comma 14 3 4 3 4 2" xfId="27014" xr:uid="{00000000-0005-0000-0000-000035040000}"/>
    <cellStyle name="Comma 14 3 4 3 5" xfId="18566" xr:uid="{00000000-0005-0000-0000-000036040000}"/>
    <cellStyle name="Comma 14 3 4 4" xfId="2680" xr:uid="{00000000-0005-0000-0000-000037040000}"/>
    <cellStyle name="Comma 14 3 4 4 2" xfId="6906" xr:uid="{00000000-0005-0000-0000-000038040000}"/>
    <cellStyle name="Comma 14 3 4 4 2 2" xfId="15354" xr:uid="{00000000-0005-0000-0000-000039040000}"/>
    <cellStyle name="Comma 14 3 4 4 2 2 2" xfId="32294" xr:uid="{00000000-0005-0000-0000-00003A040000}"/>
    <cellStyle name="Comma 14 3 4 4 2 3" xfId="23846" xr:uid="{00000000-0005-0000-0000-00003B040000}"/>
    <cellStyle name="Comma 14 3 4 4 3" xfId="11130" xr:uid="{00000000-0005-0000-0000-00003C040000}"/>
    <cellStyle name="Comma 14 3 4 4 3 2" xfId="28070" xr:uid="{00000000-0005-0000-0000-00003D040000}"/>
    <cellStyle name="Comma 14 3 4 4 4" xfId="19622" xr:uid="{00000000-0005-0000-0000-00003E040000}"/>
    <cellStyle name="Comma 14 3 4 5" xfId="4794" xr:uid="{00000000-0005-0000-0000-00003F040000}"/>
    <cellStyle name="Comma 14 3 4 5 2" xfId="13242" xr:uid="{00000000-0005-0000-0000-000040040000}"/>
    <cellStyle name="Comma 14 3 4 5 2 2" xfId="30182" xr:uid="{00000000-0005-0000-0000-000041040000}"/>
    <cellStyle name="Comma 14 3 4 5 3" xfId="21734" xr:uid="{00000000-0005-0000-0000-000042040000}"/>
    <cellStyle name="Comma 14 3 4 6" xfId="9018" xr:uid="{00000000-0005-0000-0000-000043040000}"/>
    <cellStyle name="Comma 14 3 4 6 2" xfId="25958" xr:uid="{00000000-0005-0000-0000-000044040000}"/>
    <cellStyle name="Comma 14 3 4 7" xfId="17510" xr:uid="{00000000-0005-0000-0000-000045040000}"/>
    <cellStyle name="Comma 14 3 5" xfId="738" xr:uid="{00000000-0005-0000-0000-000046040000}"/>
    <cellStyle name="Comma 14 3 5 2" xfId="1800" xr:uid="{00000000-0005-0000-0000-000047040000}"/>
    <cellStyle name="Comma 14 3 5 2 2" xfId="3912" xr:uid="{00000000-0005-0000-0000-000048040000}"/>
    <cellStyle name="Comma 14 3 5 2 2 2" xfId="8138" xr:uid="{00000000-0005-0000-0000-000049040000}"/>
    <cellStyle name="Comma 14 3 5 2 2 2 2" xfId="16586" xr:uid="{00000000-0005-0000-0000-00004A040000}"/>
    <cellStyle name="Comma 14 3 5 2 2 2 2 2" xfId="33526" xr:uid="{00000000-0005-0000-0000-00004B040000}"/>
    <cellStyle name="Comma 14 3 5 2 2 2 3" xfId="25078" xr:uid="{00000000-0005-0000-0000-00004C040000}"/>
    <cellStyle name="Comma 14 3 5 2 2 3" xfId="12362" xr:uid="{00000000-0005-0000-0000-00004D040000}"/>
    <cellStyle name="Comma 14 3 5 2 2 3 2" xfId="29302" xr:uid="{00000000-0005-0000-0000-00004E040000}"/>
    <cellStyle name="Comma 14 3 5 2 2 4" xfId="20854" xr:uid="{00000000-0005-0000-0000-00004F040000}"/>
    <cellStyle name="Comma 14 3 5 2 3" xfId="6026" xr:uid="{00000000-0005-0000-0000-000050040000}"/>
    <cellStyle name="Comma 14 3 5 2 3 2" xfId="14474" xr:uid="{00000000-0005-0000-0000-000051040000}"/>
    <cellStyle name="Comma 14 3 5 2 3 2 2" xfId="31414" xr:uid="{00000000-0005-0000-0000-000052040000}"/>
    <cellStyle name="Comma 14 3 5 2 3 3" xfId="22966" xr:uid="{00000000-0005-0000-0000-000053040000}"/>
    <cellStyle name="Comma 14 3 5 2 4" xfId="10250" xr:uid="{00000000-0005-0000-0000-000054040000}"/>
    <cellStyle name="Comma 14 3 5 2 4 2" xfId="27190" xr:uid="{00000000-0005-0000-0000-000055040000}"/>
    <cellStyle name="Comma 14 3 5 2 5" xfId="18742" xr:uid="{00000000-0005-0000-0000-000056040000}"/>
    <cellStyle name="Comma 14 3 5 3" xfId="2856" xr:uid="{00000000-0005-0000-0000-000057040000}"/>
    <cellStyle name="Comma 14 3 5 3 2" xfId="7082" xr:uid="{00000000-0005-0000-0000-000058040000}"/>
    <cellStyle name="Comma 14 3 5 3 2 2" xfId="15530" xr:uid="{00000000-0005-0000-0000-000059040000}"/>
    <cellStyle name="Comma 14 3 5 3 2 2 2" xfId="32470" xr:uid="{00000000-0005-0000-0000-00005A040000}"/>
    <cellStyle name="Comma 14 3 5 3 2 3" xfId="24022" xr:uid="{00000000-0005-0000-0000-00005B040000}"/>
    <cellStyle name="Comma 14 3 5 3 3" xfId="11306" xr:uid="{00000000-0005-0000-0000-00005C040000}"/>
    <cellStyle name="Comma 14 3 5 3 3 2" xfId="28246" xr:uid="{00000000-0005-0000-0000-00005D040000}"/>
    <cellStyle name="Comma 14 3 5 3 4" xfId="19798" xr:uid="{00000000-0005-0000-0000-00005E040000}"/>
    <cellStyle name="Comma 14 3 5 4" xfId="4970" xr:uid="{00000000-0005-0000-0000-00005F040000}"/>
    <cellStyle name="Comma 14 3 5 4 2" xfId="13418" xr:uid="{00000000-0005-0000-0000-000060040000}"/>
    <cellStyle name="Comma 14 3 5 4 2 2" xfId="30358" xr:uid="{00000000-0005-0000-0000-000061040000}"/>
    <cellStyle name="Comma 14 3 5 4 3" xfId="21910" xr:uid="{00000000-0005-0000-0000-000062040000}"/>
    <cellStyle name="Comma 14 3 5 5" xfId="9194" xr:uid="{00000000-0005-0000-0000-000063040000}"/>
    <cellStyle name="Comma 14 3 5 5 2" xfId="26134" xr:uid="{00000000-0005-0000-0000-000064040000}"/>
    <cellStyle name="Comma 14 3 5 6" xfId="17686" xr:uid="{00000000-0005-0000-0000-000065040000}"/>
    <cellStyle name="Comma 14 3 6" xfId="1090" xr:uid="{00000000-0005-0000-0000-000066040000}"/>
    <cellStyle name="Comma 14 3 6 2" xfId="2152" xr:uid="{00000000-0005-0000-0000-000067040000}"/>
    <cellStyle name="Comma 14 3 6 2 2" xfId="4264" xr:uid="{00000000-0005-0000-0000-000068040000}"/>
    <cellStyle name="Comma 14 3 6 2 2 2" xfId="8490" xr:uid="{00000000-0005-0000-0000-000069040000}"/>
    <cellStyle name="Comma 14 3 6 2 2 2 2" xfId="16938" xr:uid="{00000000-0005-0000-0000-00006A040000}"/>
    <cellStyle name="Comma 14 3 6 2 2 2 2 2" xfId="33878" xr:uid="{00000000-0005-0000-0000-00006B040000}"/>
    <cellStyle name="Comma 14 3 6 2 2 2 3" xfId="25430" xr:uid="{00000000-0005-0000-0000-00006C040000}"/>
    <cellStyle name="Comma 14 3 6 2 2 3" xfId="12714" xr:uid="{00000000-0005-0000-0000-00006D040000}"/>
    <cellStyle name="Comma 14 3 6 2 2 3 2" xfId="29654" xr:uid="{00000000-0005-0000-0000-00006E040000}"/>
    <cellStyle name="Comma 14 3 6 2 2 4" xfId="21206" xr:uid="{00000000-0005-0000-0000-00006F040000}"/>
    <cellStyle name="Comma 14 3 6 2 3" xfId="6378" xr:uid="{00000000-0005-0000-0000-000070040000}"/>
    <cellStyle name="Comma 14 3 6 2 3 2" xfId="14826" xr:uid="{00000000-0005-0000-0000-000071040000}"/>
    <cellStyle name="Comma 14 3 6 2 3 2 2" xfId="31766" xr:uid="{00000000-0005-0000-0000-000072040000}"/>
    <cellStyle name="Comma 14 3 6 2 3 3" xfId="23318" xr:uid="{00000000-0005-0000-0000-000073040000}"/>
    <cellStyle name="Comma 14 3 6 2 4" xfId="10602" xr:uid="{00000000-0005-0000-0000-000074040000}"/>
    <cellStyle name="Comma 14 3 6 2 4 2" xfId="27542" xr:uid="{00000000-0005-0000-0000-000075040000}"/>
    <cellStyle name="Comma 14 3 6 2 5" xfId="19094" xr:uid="{00000000-0005-0000-0000-000076040000}"/>
    <cellStyle name="Comma 14 3 6 3" xfId="3208" xr:uid="{00000000-0005-0000-0000-000077040000}"/>
    <cellStyle name="Comma 14 3 6 3 2" xfId="7434" xr:uid="{00000000-0005-0000-0000-000078040000}"/>
    <cellStyle name="Comma 14 3 6 3 2 2" xfId="15882" xr:uid="{00000000-0005-0000-0000-000079040000}"/>
    <cellStyle name="Comma 14 3 6 3 2 2 2" xfId="32822" xr:uid="{00000000-0005-0000-0000-00007A040000}"/>
    <cellStyle name="Comma 14 3 6 3 2 3" xfId="24374" xr:uid="{00000000-0005-0000-0000-00007B040000}"/>
    <cellStyle name="Comma 14 3 6 3 3" xfId="11658" xr:uid="{00000000-0005-0000-0000-00007C040000}"/>
    <cellStyle name="Comma 14 3 6 3 3 2" xfId="28598" xr:uid="{00000000-0005-0000-0000-00007D040000}"/>
    <cellStyle name="Comma 14 3 6 3 4" xfId="20150" xr:uid="{00000000-0005-0000-0000-00007E040000}"/>
    <cellStyle name="Comma 14 3 6 4" xfId="5322" xr:uid="{00000000-0005-0000-0000-00007F040000}"/>
    <cellStyle name="Comma 14 3 6 4 2" xfId="13770" xr:uid="{00000000-0005-0000-0000-000080040000}"/>
    <cellStyle name="Comma 14 3 6 4 2 2" xfId="30710" xr:uid="{00000000-0005-0000-0000-000081040000}"/>
    <cellStyle name="Comma 14 3 6 4 3" xfId="22262" xr:uid="{00000000-0005-0000-0000-000082040000}"/>
    <cellStyle name="Comma 14 3 6 5" xfId="9546" xr:uid="{00000000-0005-0000-0000-000083040000}"/>
    <cellStyle name="Comma 14 3 6 5 2" xfId="26486" xr:uid="{00000000-0005-0000-0000-000084040000}"/>
    <cellStyle name="Comma 14 3 6 6" xfId="18038" xr:uid="{00000000-0005-0000-0000-000085040000}"/>
    <cellStyle name="Comma 14 3 7" xfId="1272" xr:uid="{00000000-0005-0000-0000-000086040000}"/>
    <cellStyle name="Comma 14 3 7 2" xfId="2328" xr:uid="{00000000-0005-0000-0000-000087040000}"/>
    <cellStyle name="Comma 14 3 7 2 2" xfId="4440" xr:uid="{00000000-0005-0000-0000-000088040000}"/>
    <cellStyle name="Comma 14 3 7 2 2 2" xfId="8666" xr:uid="{00000000-0005-0000-0000-000089040000}"/>
    <cellStyle name="Comma 14 3 7 2 2 2 2" xfId="17114" xr:uid="{00000000-0005-0000-0000-00008A040000}"/>
    <cellStyle name="Comma 14 3 7 2 2 2 2 2" xfId="34054" xr:uid="{00000000-0005-0000-0000-00008B040000}"/>
    <cellStyle name="Comma 14 3 7 2 2 2 3" xfId="25606" xr:uid="{00000000-0005-0000-0000-00008C040000}"/>
    <cellStyle name="Comma 14 3 7 2 2 3" xfId="12890" xr:uid="{00000000-0005-0000-0000-00008D040000}"/>
    <cellStyle name="Comma 14 3 7 2 2 3 2" xfId="29830" xr:uid="{00000000-0005-0000-0000-00008E040000}"/>
    <cellStyle name="Comma 14 3 7 2 2 4" xfId="21382" xr:uid="{00000000-0005-0000-0000-00008F040000}"/>
    <cellStyle name="Comma 14 3 7 2 3" xfId="6554" xr:uid="{00000000-0005-0000-0000-000090040000}"/>
    <cellStyle name="Comma 14 3 7 2 3 2" xfId="15002" xr:uid="{00000000-0005-0000-0000-000091040000}"/>
    <cellStyle name="Comma 14 3 7 2 3 2 2" xfId="31942" xr:uid="{00000000-0005-0000-0000-000092040000}"/>
    <cellStyle name="Comma 14 3 7 2 3 3" xfId="23494" xr:uid="{00000000-0005-0000-0000-000093040000}"/>
    <cellStyle name="Comma 14 3 7 2 4" xfId="10778" xr:uid="{00000000-0005-0000-0000-000094040000}"/>
    <cellStyle name="Comma 14 3 7 2 4 2" xfId="27718" xr:uid="{00000000-0005-0000-0000-000095040000}"/>
    <cellStyle name="Comma 14 3 7 2 5" xfId="19270" xr:uid="{00000000-0005-0000-0000-000096040000}"/>
    <cellStyle name="Comma 14 3 7 3" xfId="3384" xr:uid="{00000000-0005-0000-0000-000097040000}"/>
    <cellStyle name="Comma 14 3 7 3 2" xfId="7610" xr:uid="{00000000-0005-0000-0000-000098040000}"/>
    <cellStyle name="Comma 14 3 7 3 2 2" xfId="16058" xr:uid="{00000000-0005-0000-0000-000099040000}"/>
    <cellStyle name="Comma 14 3 7 3 2 2 2" xfId="32998" xr:uid="{00000000-0005-0000-0000-00009A040000}"/>
    <cellStyle name="Comma 14 3 7 3 2 3" xfId="24550" xr:uid="{00000000-0005-0000-0000-00009B040000}"/>
    <cellStyle name="Comma 14 3 7 3 3" xfId="11834" xr:uid="{00000000-0005-0000-0000-00009C040000}"/>
    <cellStyle name="Comma 14 3 7 3 3 2" xfId="28774" xr:uid="{00000000-0005-0000-0000-00009D040000}"/>
    <cellStyle name="Comma 14 3 7 3 4" xfId="20326" xr:uid="{00000000-0005-0000-0000-00009E040000}"/>
    <cellStyle name="Comma 14 3 7 4" xfId="5498" xr:uid="{00000000-0005-0000-0000-00009F040000}"/>
    <cellStyle name="Comma 14 3 7 4 2" xfId="13946" xr:uid="{00000000-0005-0000-0000-0000A0040000}"/>
    <cellStyle name="Comma 14 3 7 4 2 2" xfId="30886" xr:uid="{00000000-0005-0000-0000-0000A1040000}"/>
    <cellStyle name="Comma 14 3 7 4 3" xfId="22438" xr:uid="{00000000-0005-0000-0000-0000A2040000}"/>
    <cellStyle name="Comma 14 3 7 5" xfId="9722" xr:uid="{00000000-0005-0000-0000-0000A3040000}"/>
    <cellStyle name="Comma 14 3 7 5 2" xfId="26662" xr:uid="{00000000-0005-0000-0000-0000A4040000}"/>
    <cellStyle name="Comma 14 3 7 6" xfId="18214" xr:uid="{00000000-0005-0000-0000-0000A5040000}"/>
    <cellStyle name="Comma 14 3 8" xfId="1448" xr:uid="{00000000-0005-0000-0000-0000A6040000}"/>
    <cellStyle name="Comma 14 3 8 2" xfId="3560" xr:uid="{00000000-0005-0000-0000-0000A7040000}"/>
    <cellStyle name="Comma 14 3 8 2 2" xfId="7786" xr:uid="{00000000-0005-0000-0000-0000A8040000}"/>
    <cellStyle name="Comma 14 3 8 2 2 2" xfId="16234" xr:uid="{00000000-0005-0000-0000-0000A9040000}"/>
    <cellStyle name="Comma 14 3 8 2 2 2 2" xfId="33174" xr:uid="{00000000-0005-0000-0000-0000AA040000}"/>
    <cellStyle name="Comma 14 3 8 2 2 3" xfId="24726" xr:uid="{00000000-0005-0000-0000-0000AB040000}"/>
    <cellStyle name="Comma 14 3 8 2 3" xfId="12010" xr:uid="{00000000-0005-0000-0000-0000AC040000}"/>
    <cellStyle name="Comma 14 3 8 2 3 2" xfId="28950" xr:uid="{00000000-0005-0000-0000-0000AD040000}"/>
    <cellStyle name="Comma 14 3 8 2 4" xfId="20502" xr:uid="{00000000-0005-0000-0000-0000AE040000}"/>
    <cellStyle name="Comma 14 3 8 3" xfId="5674" xr:uid="{00000000-0005-0000-0000-0000AF040000}"/>
    <cellStyle name="Comma 14 3 8 3 2" xfId="14122" xr:uid="{00000000-0005-0000-0000-0000B0040000}"/>
    <cellStyle name="Comma 14 3 8 3 2 2" xfId="31062" xr:uid="{00000000-0005-0000-0000-0000B1040000}"/>
    <cellStyle name="Comma 14 3 8 3 3" xfId="22614" xr:uid="{00000000-0005-0000-0000-0000B2040000}"/>
    <cellStyle name="Comma 14 3 8 4" xfId="9898" xr:uid="{00000000-0005-0000-0000-0000B3040000}"/>
    <cellStyle name="Comma 14 3 8 4 2" xfId="26838" xr:uid="{00000000-0005-0000-0000-0000B4040000}"/>
    <cellStyle name="Comma 14 3 8 5" xfId="18390" xr:uid="{00000000-0005-0000-0000-0000B5040000}"/>
    <cellStyle name="Comma 14 3 9" xfId="2504" xr:uid="{00000000-0005-0000-0000-0000B6040000}"/>
    <cellStyle name="Comma 14 3 9 2" xfId="6730" xr:uid="{00000000-0005-0000-0000-0000B7040000}"/>
    <cellStyle name="Comma 14 3 9 2 2" xfId="15178" xr:uid="{00000000-0005-0000-0000-0000B8040000}"/>
    <cellStyle name="Comma 14 3 9 2 2 2" xfId="32118" xr:uid="{00000000-0005-0000-0000-0000B9040000}"/>
    <cellStyle name="Comma 14 3 9 2 3" xfId="23670" xr:uid="{00000000-0005-0000-0000-0000BA040000}"/>
    <cellStyle name="Comma 14 3 9 3" xfId="10954" xr:uid="{00000000-0005-0000-0000-0000BB040000}"/>
    <cellStyle name="Comma 14 3 9 3 2" xfId="27894" xr:uid="{00000000-0005-0000-0000-0000BC040000}"/>
    <cellStyle name="Comma 14 3 9 4" xfId="19446" xr:uid="{00000000-0005-0000-0000-0000BD040000}"/>
    <cellStyle name="Comma 15" xfId="69" xr:uid="{00000000-0005-0000-0000-0000BE040000}"/>
    <cellStyle name="Comma 15 10" xfId="4620" xr:uid="{00000000-0005-0000-0000-0000BF040000}"/>
    <cellStyle name="Comma 15 10 2" xfId="13069" xr:uid="{00000000-0005-0000-0000-0000C0040000}"/>
    <cellStyle name="Comma 15 10 2 2" xfId="30009" xr:uid="{00000000-0005-0000-0000-0000C1040000}"/>
    <cellStyle name="Comma 15 10 3" xfId="21561" xr:uid="{00000000-0005-0000-0000-0000C2040000}"/>
    <cellStyle name="Comma 15 11" xfId="8845" xr:uid="{00000000-0005-0000-0000-0000C3040000}"/>
    <cellStyle name="Comma 15 11 2" xfId="25785" xr:uid="{00000000-0005-0000-0000-0000C4040000}"/>
    <cellStyle name="Comma 15 12" xfId="17297" xr:uid="{00000000-0005-0000-0000-0000C5040000}"/>
    <cellStyle name="Comma 15 2" xfId="70" xr:uid="{00000000-0005-0000-0000-0000C6040000}"/>
    <cellStyle name="Comma 15 2 10" xfId="17298" xr:uid="{00000000-0005-0000-0000-0000C7040000}"/>
    <cellStyle name="Comma 15 2 2" xfId="564" xr:uid="{00000000-0005-0000-0000-0000C8040000}"/>
    <cellStyle name="Comma 15 2 2 2" xfId="918" xr:uid="{00000000-0005-0000-0000-0000C9040000}"/>
    <cellStyle name="Comma 15 2 2 2 2" xfId="1980" xr:uid="{00000000-0005-0000-0000-0000CA040000}"/>
    <cellStyle name="Comma 15 2 2 2 2 2" xfId="4092" xr:uid="{00000000-0005-0000-0000-0000CB040000}"/>
    <cellStyle name="Comma 15 2 2 2 2 2 2" xfId="8318" xr:uid="{00000000-0005-0000-0000-0000CC040000}"/>
    <cellStyle name="Comma 15 2 2 2 2 2 2 2" xfId="16766" xr:uid="{00000000-0005-0000-0000-0000CD040000}"/>
    <cellStyle name="Comma 15 2 2 2 2 2 2 2 2" xfId="33706" xr:uid="{00000000-0005-0000-0000-0000CE040000}"/>
    <cellStyle name="Comma 15 2 2 2 2 2 2 3" xfId="25258" xr:uid="{00000000-0005-0000-0000-0000CF040000}"/>
    <cellStyle name="Comma 15 2 2 2 2 2 3" xfId="12542" xr:uid="{00000000-0005-0000-0000-0000D0040000}"/>
    <cellStyle name="Comma 15 2 2 2 2 2 3 2" xfId="29482" xr:uid="{00000000-0005-0000-0000-0000D1040000}"/>
    <cellStyle name="Comma 15 2 2 2 2 2 4" xfId="21034" xr:uid="{00000000-0005-0000-0000-0000D2040000}"/>
    <cellStyle name="Comma 15 2 2 2 2 3" xfId="6206" xr:uid="{00000000-0005-0000-0000-0000D3040000}"/>
    <cellStyle name="Comma 15 2 2 2 2 3 2" xfId="14654" xr:uid="{00000000-0005-0000-0000-0000D4040000}"/>
    <cellStyle name="Comma 15 2 2 2 2 3 2 2" xfId="31594" xr:uid="{00000000-0005-0000-0000-0000D5040000}"/>
    <cellStyle name="Comma 15 2 2 2 2 3 3" xfId="23146" xr:uid="{00000000-0005-0000-0000-0000D6040000}"/>
    <cellStyle name="Comma 15 2 2 2 2 4" xfId="10430" xr:uid="{00000000-0005-0000-0000-0000D7040000}"/>
    <cellStyle name="Comma 15 2 2 2 2 4 2" xfId="27370" xr:uid="{00000000-0005-0000-0000-0000D8040000}"/>
    <cellStyle name="Comma 15 2 2 2 2 5" xfId="18922" xr:uid="{00000000-0005-0000-0000-0000D9040000}"/>
    <cellStyle name="Comma 15 2 2 2 3" xfId="3036" xr:uid="{00000000-0005-0000-0000-0000DA040000}"/>
    <cellStyle name="Comma 15 2 2 2 3 2" xfId="7262" xr:uid="{00000000-0005-0000-0000-0000DB040000}"/>
    <cellStyle name="Comma 15 2 2 2 3 2 2" xfId="15710" xr:uid="{00000000-0005-0000-0000-0000DC040000}"/>
    <cellStyle name="Comma 15 2 2 2 3 2 2 2" xfId="32650" xr:uid="{00000000-0005-0000-0000-0000DD040000}"/>
    <cellStyle name="Comma 15 2 2 2 3 2 3" xfId="24202" xr:uid="{00000000-0005-0000-0000-0000DE040000}"/>
    <cellStyle name="Comma 15 2 2 2 3 3" xfId="11486" xr:uid="{00000000-0005-0000-0000-0000DF040000}"/>
    <cellStyle name="Comma 15 2 2 2 3 3 2" xfId="28426" xr:uid="{00000000-0005-0000-0000-0000E0040000}"/>
    <cellStyle name="Comma 15 2 2 2 3 4" xfId="19978" xr:uid="{00000000-0005-0000-0000-0000E1040000}"/>
    <cellStyle name="Comma 15 2 2 2 4" xfId="5150" xr:uid="{00000000-0005-0000-0000-0000E2040000}"/>
    <cellStyle name="Comma 15 2 2 2 4 2" xfId="13598" xr:uid="{00000000-0005-0000-0000-0000E3040000}"/>
    <cellStyle name="Comma 15 2 2 2 4 2 2" xfId="30538" xr:uid="{00000000-0005-0000-0000-0000E4040000}"/>
    <cellStyle name="Comma 15 2 2 2 4 3" xfId="22090" xr:uid="{00000000-0005-0000-0000-0000E5040000}"/>
    <cellStyle name="Comma 15 2 2 2 5" xfId="9374" xr:uid="{00000000-0005-0000-0000-0000E6040000}"/>
    <cellStyle name="Comma 15 2 2 2 5 2" xfId="26314" xr:uid="{00000000-0005-0000-0000-0000E7040000}"/>
    <cellStyle name="Comma 15 2 2 2 6" xfId="17866" xr:uid="{00000000-0005-0000-0000-0000E8040000}"/>
    <cellStyle name="Comma 15 2 2 3" xfId="1628" xr:uid="{00000000-0005-0000-0000-0000E9040000}"/>
    <cellStyle name="Comma 15 2 2 3 2" xfId="3740" xr:uid="{00000000-0005-0000-0000-0000EA040000}"/>
    <cellStyle name="Comma 15 2 2 3 2 2" xfId="7966" xr:uid="{00000000-0005-0000-0000-0000EB040000}"/>
    <cellStyle name="Comma 15 2 2 3 2 2 2" xfId="16414" xr:uid="{00000000-0005-0000-0000-0000EC040000}"/>
    <cellStyle name="Comma 15 2 2 3 2 2 2 2" xfId="33354" xr:uid="{00000000-0005-0000-0000-0000ED040000}"/>
    <cellStyle name="Comma 15 2 2 3 2 2 3" xfId="24906" xr:uid="{00000000-0005-0000-0000-0000EE040000}"/>
    <cellStyle name="Comma 15 2 2 3 2 3" xfId="12190" xr:uid="{00000000-0005-0000-0000-0000EF040000}"/>
    <cellStyle name="Comma 15 2 2 3 2 3 2" xfId="29130" xr:uid="{00000000-0005-0000-0000-0000F0040000}"/>
    <cellStyle name="Comma 15 2 2 3 2 4" xfId="20682" xr:uid="{00000000-0005-0000-0000-0000F1040000}"/>
    <cellStyle name="Comma 15 2 2 3 3" xfId="5854" xr:uid="{00000000-0005-0000-0000-0000F2040000}"/>
    <cellStyle name="Comma 15 2 2 3 3 2" xfId="14302" xr:uid="{00000000-0005-0000-0000-0000F3040000}"/>
    <cellStyle name="Comma 15 2 2 3 3 2 2" xfId="31242" xr:uid="{00000000-0005-0000-0000-0000F4040000}"/>
    <cellStyle name="Comma 15 2 2 3 3 3" xfId="22794" xr:uid="{00000000-0005-0000-0000-0000F5040000}"/>
    <cellStyle name="Comma 15 2 2 3 4" xfId="10078" xr:uid="{00000000-0005-0000-0000-0000F6040000}"/>
    <cellStyle name="Comma 15 2 2 3 4 2" xfId="27018" xr:uid="{00000000-0005-0000-0000-0000F7040000}"/>
    <cellStyle name="Comma 15 2 2 3 5" xfId="18570" xr:uid="{00000000-0005-0000-0000-0000F8040000}"/>
    <cellStyle name="Comma 15 2 2 4" xfId="2684" xr:uid="{00000000-0005-0000-0000-0000F9040000}"/>
    <cellStyle name="Comma 15 2 2 4 2" xfId="6910" xr:uid="{00000000-0005-0000-0000-0000FA040000}"/>
    <cellStyle name="Comma 15 2 2 4 2 2" xfId="15358" xr:uid="{00000000-0005-0000-0000-0000FB040000}"/>
    <cellStyle name="Comma 15 2 2 4 2 2 2" xfId="32298" xr:uid="{00000000-0005-0000-0000-0000FC040000}"/>
    <cellStyle name="Comma 15 2 2 4 2 3" xfId="23850" xr:uid="{00000000-0005-0000-0000-0000FD040000}"/>
    <cellStyle name="Comma 15 2 2 4 3" xfId="11134" xr:uid="{00000000-0005-0000-0000-0000FE040000}"/>
    <cellStyle name="Comma 15 2 2 4 3 2" xfId="28074" xr:uid="{00000000-0005-0000-0000-0000FF040000}"/>
    <cellStyle name="Comma 15 2 2 4 4" xfId="19626" xr:uid="{00000000-0005-0000-0000-000000050000}"/>
    <cellStyle name="Comma 15 2 2 5" xfId="4798" xr:uid="{00000000-0005-0000-0000-000001050000}"/>
    <cellStyle name="Comma 15 2 2 5 2" xfId="13246" xr:uid="{00000000-0005-0000-0000-000002050000}"/>
    <cellStyle name="Comma 15 2 2 5 2 2" xfId="30186" xr:uid="{00000000-0005-0000-0000-000003050000}"/>
    <cellStyle name="Comma 15 2 2 5 3" xfId="21738" xr:uid="{00000000-0005-0000-0000-000004050000}"/>
    <cellStyle name="Comma 15 2 2 6" xfId="9022" xr:uid="{00000000-0005-0000-0000-000005050000}"/>
    <cellStyle name="Comma 15 2 2 6 2" xfId="25962" xr:uid="{00000000-0005-0000-0000-000006050000}"/>
    <cellStyle name="Comma 15 2 2 7" xfId="17514" xr:uid="{00000000-0005-0000-0000-000007050000}"/>
    <cellStyle name="Comma 15 2 3" xfId="742" xr:uid="{00000000-0005-0000-0000-000008050000}"/>
    <cellStyle name="Comma 15 2 3 2" xfId="1804" xr:uid="{00000000-0005-0000-0000-000009050000}"/>
    <cellStyle name="Comma 15 2 3 2 2" xfId="3916" xr:uid="{00000000-0005-0000-0000-00000A050000}"/>
    <cellStyle name="Comma 15 2 3 2 2 2" xfId="8142" xr:uid="{00000000-0005-0000-0000-00000B050000}"/>
    <cellStyle name="Comma 15 2 3 2 2 2 2" xfId="16590" xr:uid="{00000000-0005-0000-0000-00000C050000}"/>
    <cellStyle name="Comma 15 2 3 2 2 2 2 2" xfId="33530" xr:uid="{00000000-0005-0000-0000-00000D050000}"/>
    <cellStyle name="Comma 15 2 3 2 2 2 3" xfId="25082" xr:uid="{00000000-0005-0000-0000-00000E050000}"/>
    <cellStyle name="Comma 15 2 3 2 2 3" xfId="12366" xr:uid="{00000000-0005-0000-0000-00000F050000}"/>
    <cellStyle name="Comma 15 2 3 2 2 3 2" xfId="29306" xr:uid="{00000000-0005-0000-0000-000010050000}"/>
    <cellStyle name="Comma 15 2 3 2 2 4" xfId="20858" xr:uid="{00000000-0005-0000-0000-000011050000}"/>
    <cellStyle name="Comma 15 2 3 2 3" xfId="6030" xr:uid="{00000000-0005-0000-0000-000012050000}"/>
    <cellStyle name="Comma 15 2 3 2 3 2" xfId="14478" xr:uid="{00000000-0005-0000-0000-000013050000}"/>
    <cellStyle name="Comma 15 2 3 2 3 2 2" xfId="31418" xr:uid="{00000000-0005-0000-0000-000014050000}"/>
    <cellStyle name="Comma 15 2 3 2 3 3" xfId="22970" xr:uid="{00000000-0005-0000-0000-000015050000}"/>
    <cellStyle name="Comma 15 2 3 2 4" xfId="10254" xr:uid="{00000000-0005-0000-0000-000016050000}"/>
    <cellStyle name="Comma 15 2 3 2 4 2" xfId="27194" xr:uid="{00000000-0005-0000-0000-000017050000}"/>
    <cellStyle name="Comma 15 2 3 2 5" xfId="18746" xr:uid="{00000000-0005-0000-0000-000018050000}"/>
    <cellStyle name="Comma 15 2 3 3" xfId="2860" xr:uid="{00000000-0005-0000-0000-000019050000}"/>
    <cellStyle name="Comma 15 2 3 3 2" xfId="7086" xr:uid="{00000000-0005-0000-0000-00001A050000}"/>
    <cellStyle name="Comma 15 2 3 3 2 2" xfId="15534" xr:uid="{00000000-0005-0000-0000-00001B050000}"/>
    <cellStyle name="Comma 15 2 3 3 2 2 2" xfId="32474" xr:uid="{00000000-0005-0000-0000-00001C050000}"/>
    <cellStyle name="Comma 15 2 3 3 2 3" xfId="24026" xr:uid="{00000000-0005-0000-0000-00001D050000}"/>
    <cellStyle name="Comma 15 2 3 3 3" xfId="11310" xr:uid="{00000000-0005-0000-0000-00001E050000}"/>
    <cellStyle name="Comma 15 2 3 3 3 2" xfId="28250" xr:uid="{00000000-0005-0000-0000-00001F050000}"/>
    <cellStyle name="Comma 15 2 3 3 4" xfId="19802" xr:uid="{00000000-0005-0000-0000-000020050000}"/>
    <cellStyle name="Comma 15 2 3 4" xfId="4974" xr:uid="{00000000-0005-0000-0000-000021050000}"/>
    <cellStyle name="Comma 15 2 3 4 2" xfId="13422" xr:uid="{00000000-0005-0000-0000-000022050000}"/>
    <cellStyle name="Comma 15 2 3 4 2 2" xfId="30362" xr:uid="{00000000-0005-0000-0000-000023050000}"/>
    <cellStyle name="Comma 15 2 3 4 3" xfId="21914" xr:uid="{00000000-0005-0000-0000-000024050000}"/>
    <cellStyle name="Comma 15 2 3 5" xfId="9198" xr:uid="{00000000-0005-0000-0000-000025050000}"/>
    <cellStyle name="Comma 15 2 3 5 2" xfId="26138" xr:uid="{00000000-0005-0000-0000-000026050000}"/>
    <cellStyle name="Comma 15 2 3 6" xfId="17690" xr:uid="{00000000-0005-0000-0000-000027050000}"/>
    <cellStyle name="Comma 15 2 4" xfId="1094" xr:uid="{00000000-0005-0000-0000-000028050000}"/>
    <cellStyle name="Comma 15 2 4 2" xfId="2156" xr:uid="{00000000-0005-0000-0000-000029050000}"/>
    <cellStyle name="Comma 15 2 4 2 2" xfId="4268" xr:uid="{00000000-0005-0000-0000-00002A050000}"/>
    <cellStyle name="Comma 15 2 4 2 2 2" xfId="8494" xr:uid="{00000000-0005-0000-0000-00002B050000}"/>
    <cellStyle name="Comma 15 2 4 2 2 2 2" xfId="16942" xr:uid="{00000000-0005-0000-0000-00002C050000}"/>
    <cellStyle name="Comma 15 2 4 2 2 2 2 2" xfId="33882" xr:uid="{00000000-0005-0000-0000-00002D050000}"/>
    <cellStyle name="Comma 15 2 4 2 2 2 3" xfId="25434" xr:uid="{00000000-0005-0000-0000-00002E050000}"/>
    <cellStyle name="Comma 15 2 4 2 2 3" xfId="12718" xr:uid="{00000000-0005-0000-0000-00002F050000}"/>
    <cellStyle name="Comma 15 2 4 2 2 3 2" xfId="29658" xr:uid="{00000000-0005-0000-0000-000030050000}"/>
    <cellStyle name="Comma 15 2 4 2 2 4" xfId="21210" xr:uid="{00000000-0005-0000-0000-000031050000}"/>
    <cellStyle name="Comma 15 2 4 2 3" xfId="6382" xr:uid="{00000000-0005-0000-0000-000032050000}"/>
    <cellStyle name="Comma 15 2 4 2 3 2" xfId="14830" xr:uid="{00000000-0005-0000-0000-000033050000}"/>
    <cellStyle name="Comma 15 2 4 2 3 2 2" xfId="31770" xr:uid="{00000000-0005-0000-0000-000034050000}"/>
    <cellStyle name="Comma 15 2 4 2 3 3" xfId="23322" xr:uid="{00000000-0005-0000-0000-000035050000}"/>
    <cellStyle name="Comma 15 2 4 2 4" xfId="10606" xr:uid="{00000000-0005-0000-0000-000036050000}"/>
    <cellStyle name="Comma 15 2 4 2 4 2" xfId="27546" xr:uid="{00000000-0005-0000-0000-000037050000}"/>
    <cellStyle name="Comma 15 2 4 2 5" xfId="19098" xr:uid="{00000000-0005-0000-0000-000038050000}"/>
    <cellStyle name="Comma 15 2 4 3" xfId="3212" xr:uid="{00000000-0005-0000-0000-000039050000}"/>
    <cellStyle name="Comma 15 2 4 3 2" xfId="7438" xr:uid="{00000000-0005-0000-0000-00003A050000}"/>
    <cellStyle name="Comma 15 2 4 3 2 2" xfId="15886" xr:uid="{00000000-0005-0000-0000-00003B050000}"/>
    <cellStyle name="Comma 15 2 4 3 2 2 2" xfId="32826" xr:uid="{00000000-0005-0000-0000-00003C050000}"/>
    <cellStyle name="Comma 15 2 4 3 2 3" xfId="24378" xr:uid="{00000000-0005-0000-0000-00003D050000}"/>
    <cellStyle name="Comma 15 2 4 3 3" xfId="11662" xr:uid="{00000000-0005-0000-0000-00003E050000}"/>
    <cellStyle name="Comma 15 2 4 3 3 2" xfId="28602" xr:uid="{00000000-0005-0000-0000-00003F050000}"/>
    <cellStyle name="Comma 15 2 4 3 4" xfId="20154" xr:uid="{00000000-0005-0000-0000-000040050000}"/>
    <cellStyle name="Comma 15 2 4 4" xfId="5326" xr:uid="{00000000-0005-0000-0000-000041050000}"/>
    <cellStyle name="Comma 15 2 4 4 2" xfId="13774" xr:uid="{00000000-0005-0000-0000-000042050000}"/>
    <cellStyle name="Comma 15 2 4 4 2 2" xfId="30714" xr:uid="{00000000-0005-0000-0000-000043050000}"/>
    <cellStyle name="Comma 15 2 4 4 3" xfId="22266" xr:uid="{00000000-0005-0000-0000-000044050000}"/>
    <cellStyle name="Comma 15 2 4 5" xfId="9550" xr:uid="{00000000-0005-0000-0000-000045050000}"/>
    <cellStyle name="Comma 15 2 4 5 2" xfId="26490" xr:uid="{00000000-0005-0000-0000-000046050000}"/>
    <cellStyle name="Comma 15 2 4 6" xfId="18042" xr:uid="{00000000-0005-0000-0000-000047050000}"/>
    <cellStyle name="Comma 15 2 5" xfId="1276" xr:uid="{00000000-0005-0000-0000-000048050000}"/>
    <cellStyle name="Comma 15 2 5 2" xfId="2332" xr:uid="{00000000-0005-0000-0000-000049050000}"/>
    <cellStyle name="Comma 15 2 5 2 2" xfId="4444" xr:uid="{00000000-0005-0000-0000-00004A050000}"/>
    <cellStyle name="Comma 15 2 5 2 2 2" xfId="8670" xr:uid="{00000000-0005-0000-0000-00004B050000}"/>
    <cellStyle name="Comma 15 2 5 2 2 2 2" xfId="17118" xr:uid="{00000000-0005-0000-0000-00004C050000}"/>
    <cellStyle name="Comma 15 2 5 2 2 2 2 2" xfId="34058" xr:uid="{00000000-0005-0000-0000-00004D050000}"/>
    <cellStyle name="Comma 15 2 5 2 2 2 3" xfId="25610" xr:uid="{00000000-0005-0000-0000-00004E050000}"/>
    <cellStyle name="Comma 15 2 5 2 2 3" xfId="12894" xr:uid="{00000000-0005-0000-0000-00004F050000}"/>
    <cellStyle name="Comma 15 2 5 2 2 3 2" xfId="29834" xr:uid="{00000000-0005-0000-0000-000050050000}"/>
    <cellStyle name="Comma 15 2 5 2 2 4" xfId="21386" xr:uid="{00000000-0005-0000-0000-000051050000}"/>
    <cellStyle name="Comma 15 2 5 2 3" xfId="6558" xr:uid="{00000000-0005-0000-0000-000052050000}"/>
    <cellStyle name="Comma 15 2 5 2 3 2" xfId="15006" xr:uid="{00000000-0005-0000-0000-000053050000}"/>
    <cellStyle name="Comma 15 2 5 2 3 2 2" xfId="31946" xr:uid="{00000000-0005-0000-0000-000054050000}"/>
    <cellStyle name="Comma 15 2 5 2 3 3" xfId="23498" xr:uid="{00000000-0005-0000-0000-000055050000}"/>
    <cellStyle name="Comma 15 2 5 2 4" xfId="10782" xr:uid="{00000000-0005-0000-0000-000056050000}"/>
    <cellStyle name="Comma 15 2 5 2 4 2" xfId="27722" xr:uid="{00000000-0005-0000-0000-000057050000}"/>
    <cellStyle name="Comma 15 2 5 2 5" xfId="19274" xr:uid="{00000000-0005-0000-0000-000058050000}"/>
    <cellStyle name="Comma 15 2 5 3" xfId="3388" xr:uid="{00000000-0005-0000-0000-000059050000}"/>
    <cellStyle name="Comma 15 2 5 3 2" xfId="7614" xr:uid="{00000000-0005-0000-0000-00005A050000}"/>
    <cellStyle name="Comma 15 2 5 3 2 2" xfId="16062" xr:uid="{00000000-0005-0000-0000-00005B050000}"/>
    <cellStyle name="Comma 15 2 5 3 2 2 2" xfId="33002" xr:uid="{00000000-0005-0000-0000-00005C050000}"/>
    <cellStyle name="Comma 15 2 5 3 2 3" xfId="24554" xr:uid="{00000000-0005-0000-0000-00005D050000}"/>
    <cellStyle name="Comma 15 2 5 3 3" xfId="11838" xr:uid="{00000000-0005-0000-0000-00005E050000}"/>
    <cellStyle name="Comma 15 2 5 3 3 2" xfId="28778" xr:uid="{00000000-0005-0000-0000-00005F050000}"/>
    <cellStyle name="Comma 15 2 5 3 4" xfId="20330" xr:uid="{00000000-0005-0000-0000-000060050000}"/>
    <cellStyle name="Comma 15 2 5 4" xfId="5502" xr:uid="{00000000-0005-0000-0000-000061050000}"/>
    <cellStyle name="Comma 15 2 5 4 2" xfId="13950" xr:uid="{00000000-0005-0000-0000-000062050000}"/>
    <cellStyle name="Comma 15 2 5 4 2 2" xfId="30890" xr:uid="{00000000-0005-0000-0000-000063050000}"/>
    <cellStyle name="Comma 15 2 5 4 3" xfId="22442" xr:uid="{00000000-0005-0000-0000-000064050000}"/>
    <cellStyle name="Comma 15 2 5 5" xfId="9726" xr:uid="{00000000-0005-0000-0000-000065050000}"/>
    <cellStyle name="Comma 15 2 5 5 2" xfId="26666" xr:uid="{00000000-0005-0000-0000-000066050000}"/>
    <cellStyle name="Comma 15 2 5 6" xfId="18218" xr:uid="{00000000-0005-0000-0000-000067050000}"/>
    <cellStyle name="Comma 15 2 6" xfId="1452" xr:uid="{00000000-0005-0000-0000-000068050000}"/>
    <cellStyle name="Comma 15 2 6 2" xfId="3564" xr:uid="{00000000-0005-0000-0000-000069050000}"/>
    <cellStyle name="Comma 15 2 6 2 2" xfId="7790" xr:uid="{00000000-0005-0000-0000-00006A050000}"/>
    <cellStyle name="Comma 15 2 6 2 2 2" xfId="16238" xr:uid="{00000000-0005-0000-0000-00006B050000}"/>
    <cellStyle name="Comma 15 2 6 2 2 2 2" xfId="33178" xr:uid="{00000000-0005-0000-0000-00006C050000}"/>
    <cellStyle name="Comma 15 2 6 2 2 3" xfId="24730" xr:uid="{00000000-0005-0000-0000-00006D050000}"/>
    <cellStyle name="Comma 15 2 6 2 3" xfId="12014" xr:uid="{00000000-0005-0000-0000-00006E050000}"/>
    <cellStyle name="Comma 15 2 6 2 3 2" xfId="28954" xr:uid="{00000000-0005-0000-0000-00006F050000}"/>
    <cellStyle name="Comma 15 2 6 2 4" xfId="20506" xr:uid="{00000000-0005-0000-0000-000070050000}"/>
    <cellStyle name="Comma 15 2 6 3" xfId="5678" xr:uid="{00000000-0005-0000-0000-000071050000}"/>
    <cellStyle name="Comma 15 2 6 3 2" xfId="14126" xr:uid="{00000000-0005-0000-0000-000072050000}"/>
    <cellStyle name="Comma 15 2 6 3 2 2" xfId="31066" xr:uid="{00000000-0005-0000-0000-000073050000}"/>
    <cellStyle name="Comma 15 2 6 3 3" xfId="22618" xr:uid="{00000000-0005-0000-0000-000074050000}"/>
    <cellStyle name="Comma 15 2 6 4" xfId="9902" xr:uid="{00000000-0005-0000-0000-000075050000}"/>
    <cellStyle name="Comma 15 2 6 4 2" xfId="26842" xr:uid="{00000000-0005-0000-0000-000076050000}"/>
    <cellStyle name="Comma 15 2 6 5" xfId="18394" xr:uid="{00000000-0005-0000-0000-000077050000}"/>
    <cellStyle name="Comma 15 2 7" xfId="2508" xr:uid="{00000000-0005-0000-0000-000078050000}"/>
    <cellStyle name="Comma 15 2 7 2" xfId="6734" xr:uid="{00000000-0005-0000-0000-000079050000}"/>
    <cellStyle name="Comma 15 2 7 2 2" xfId="15182" xr:uid="{00000000-0005-0000-0000-00007A050000}"/>
    <cellStyle name="Comma 15 2 7 2 2 2" xfId="32122" xr:uid="{00000000-0005-0000-0000-00007B050000}"/>
    <cellStyle name="Comma 15 2 7 2 3" xfId="23674" xr:uid="{00000000-0005-0000-0000-00007C050000}"/>
    <cellStyle name="Comma 15 2 7 3" xfId="10958" xr:uid="{00000000-0005-0000-0000-00007D050000}"/>
    <cellStyle name="Comma 15 2 7 3 2" xfId="27898" xr:uid="{00000000-0005-0000-0000-00007E050000}"/>
    <cellStyle name="Comma 15 2 7 4" xfId="19450" xr:uid="{00000000-0005-0000-0000-00007F050000}"/>
    <cellStyle name="Comma 15 2 8" xfId="4621" xr:uid="{00000000-0005-0000-0000-000080050000}"/>
    <cellStyle name="Comma 15 2 8 2" xfId="13070" xr:uid="{00000000-0005-0000-0000-000081050000}"/>
    <cellStyle name="Comma 15 2 8 2 2" xfId="30010" xr:uid="{00000000-0005-0000-0000-000082050000}"/>
    <cellStyle name="Comma 15 2 8 3" xfId="21562" xr:uid="{00000000-0005-0000-0000-000083050000}"/>
    <cellStyle name="Comma 15 2 9" xfId="8846" xr:uid="{00000000-0005-0000-0000-000084050000}"/>
    <cellStyle name="Comma 15 2 9 2" xfId="25786" xr:uid="{00000000-0005-0000-0000-000085050000}"/>
    <cellStyle name="Comma 15 3" xfId="71" xr:uid="{00000000-0005-0000-0000-000086050000}"/>
    <cellStyle name="Comma 15 3 10" xfId="17299" xr:uid="{00000000-0005-0000-0000-000087050000}"/>
    <cellStyle name="Comma 15 3 2" xfId="565" xr:uid="{00000000-0005-0000-0000-000088050000}"/>
    <cellStyle name="Comma 15 3 2 2" xfId="919" xr:uid="{00000000-0005-0000-0000-000089050000}"/>
    <cellStyle name="Comma 15 3 2 2 2" xfId="1981" xr:uid="{00000000-0005-0000-0000-00008A050000}"/>
    <cellStyle name="Comma 15 3 2 2 2 2" xfId="4093" xr:uid="{00000000-0005-0000-0000-00008B050000}"/>
    <cellStyle name="Comma 15 3 2 2 2 2 2" xfId="8319" xr:uid="{00000000-0005-0000-0000-00008C050000}"/>
    <cellStyle name="Comma 15 3 2 2 2 2 2 2" xfId="16767" xr:uid="{00000000-0005-0000-0000-00008D050000}"/>
    <cellStyle name="Comma 15 3 2 2 2 2 2 2 2" xfId="33707" xr:uid="{00000000-0005-0000-0000-00008E050000}"/>
    <cellStyle name="Comma 15 3 2 2 2 2 2 3" xfId="25259" xr:uid="{00000000-0005-0000-0000-00008F050000}"/>
    <cellStyle name="Comma 15 3 2 2 2 2 3" xfId="12543" xr:uid="{00000000-0005-0000-0000-000090050000}"/>
    <cellStyle name="Comma 15 3 2 2 2 2 3 2" xfId="29483" xr:uid="{00000000-0005-0000-0000-000091050000}"/>
    <cellStyle name="Comma 15 3 2 2 2 2 4" xfId="21035" xr:uid="{00000000-0005-0000-0000-000092050000}"/>
    <cellStyle name="Comma 15 3 2 2 2 3" xfId="6207" xr:uid="{00000000-0005-0000-0000-000093050000}"/>
    <cellStyle name="Comma 15 3 2 2 2 3 2" xfId="14655" xr:uid="{00000000-0005-0000-0000-000094050000}"/>
    <cellStyle name="Comma 15 3 2 2 2 3 2 2" xfId="31595" xr:uid="{00000000-0005-0000-0000-000095050000}"/>
    <cellStyle name="Comma 15 3 2 2 2 3 3" xfId="23147" xr:uid="{00000000-0005-0000-0000-000096050000}"/>
    <cellStyle name="Comma 15 3 2 2 2 4" xfId="10431" xr:uid="{00000000-0005-0000-0000-000097050000}"/>
    <cellStyle name="Comma 15 3 2 2 2 4 2" xfId="27371" xr:uid="{00000000-0005-0000-0000-000098050000}"/>
    <cellStyle name="Comma 15 3 2 2 2 5" xfId="18923" xr:uid="{00000000-0005-0000-0000-000099050000}"/>
    <cellStyle name="Comma 15 3 2 2 3" xfId="3037" xr:uid="{00000000-0005-0000-0000-00009A050000}"/>
    <cellStyle name="Comma 15 3 2 2 3 2" xfId="7263" xr:uid="{00000000-0005-0000-0000-00009B050000}"/>
    <cellStyle name="Comma 15 3 2 2 3 2 2" xfId="15711" xr:uid="{00000000-0005-0000-0000-00009C050000}"/>
    <cellStyle name="Comma 15 3 2 2 3 2 2 2" xfId="32651" xr:uid="{00000000-0005-0000-0000-00009D050000}"/>
    <cellStyle name="Comma 15 3 2 2 3 2 3" xfId="24203" xr:uid="{00000000-0005-0000-0000-00009E050000}"/>
    <cellStyle name="Comma 15 3 2 2 3 3" xfId="11487" xr:uid="{00000000-0005-0000-0000-00009F050000}"/>
    <cellStyle name="Comma 15 3 2 2 3 3 2" xfId="28427" xr:uid="{00000000-0005-0000-0000-0000A0050000}"/>
    <cellStyle name="Comma 15 3 2 2 3 4" xfId="19979" xr:uid="{00000000-0005-0000-0000-0000A1050000}"/>
    <cellStyle name="Comma 15 3 2 2 4" xfId="5151" xr:uid="{00000000-0005-0000-0000-0000A2050000}"/>
    <cellStyle name="Comma 15 3 2 2 4 2" xfId="13599" xr:uid="{00000000-0005-0000-0000-0000A3050000}"/>
    <cellStyle name="Comma 15 3 2 2 4 2 2" xfId="30539" xr:uid="{00000000-0005-0000-0000-0000A4050000}"/>
    <cellStyle name="Comma 15 3 2 2 4 3" xfId="22091" xr:uid="{00000000-0005-0000-0000-0000A5050000}"/>
    <cellStyle name="Comma 15 3 2 2 5" xfId="9375" xr:uid="{00000000-0005-0000-0000-0000A6050000}"/>
    <cellStyle name="Comma 15 3 2 2 5 2" xfId="26315" xr:uid="{00000000-0005-0000-0000-0000A7050000}"/>
    <cellStyle name="Comma 15 3 2 2 6" xfId="17867" xr:uid="{00000000-0005-0000-0000-0000A8050000}"/>
    <cellStyle name="Comma 15 3 2 3" xfId="1629" xr:uid="{00000000-0005-0000-0000-0000A9050000}"/>
    <cellStyle name="Comma 15 3 2 3 2" xfId="3741" xr:uid="{00000000-0005-0000-0000-0000AA050000}"/>
    <cellStyle name="Comma 15 3 2 3 2 2" xfId="7967" xr:uid="{00000000-0005-0000-0000-0000AB050000}"/>
    <cellStyle name="Comma 15 3 2 3 2 2 2" xfId="16415" xr:uid="{00000000-0005-0000-0000-0000AC050000}"/>
    <cellStyle name="Comma 15 3 2 3 2 2 2 2" xfId="33355" xr:uid="{00000000-0005-0000-0000-0000AD050000}"/>
    <cellStyle name="Comma 15 3 2 3 2 2 3" xfId="24907" xr:uid="{00000000-0005-0000-0000-0000AE050000}"/>
    <cellStyle name="Comma 15 3 2 3 2 3" xfId="12191" xr:uid="{00000000-0005-0000-0000-0000AF050000}"/>
    <cellStyle name="Comma 15 3 2 3 2 3 2" xfId="29131" xr:uid="{00000000-0005-0000-0000-0000B0050000}"/>
    <cellStyle name="Comma 15 3 2 3 2 4" xfId="20683" xr:uid="{00000000-0005-0000-0000-0000B1050000}"/>
    <cellStyle name="Comma 15 3 2 3 3" xfId="5855" xr:uid="{00000000-0005-0000-0000-0000B2050000}"/>
    <cellStyle name="Comma 15 3 2 3 3 2" xfId="14303" xr:uid="{00000000-0005-0000-0000-0000B3050000}"/>
    <cellStyle name="Comma 15 3 2 3 3 2 2" xfId="31243" xr:uid="{00000000-0005-0000-0000-0000B4050000}"/>
    <cellStyle name="Comma 15 3 2 3 3 3" xfId="22795" xr:uid="{00000000-0005-0000-0000-0000B5050000}"/>
    <cellStyle name="Comma 15 3 2 3 4" xfId="10079" xr:uid="{00000000-0005-0000-0000-0000B6050000}"/>
    <cellStyle name="Comma 15 3 2 3 4 2" xfId="27019" xr:uid="{00000000-0005-0000-0000-0000B7050000}"/>
    <cellStyle name="Comma 15 3 2 3 5" xfId="18571" xr:uid="{00000000-0005-0000-0000-0000B8050000}"/>
    <cellStyle name="Comma 15 3 2 4" xfId="2685" xr:uid="{00000000-0005-0000-0000-0000B9050000}"/>
    <cellStyle name="Comma 15 3 2 4 2" xfId="6911" xr:uid="{00000000-0005-0000-0000-0000BA050000}"/>
    <cellStyle name="Comma 15 3 2 4 2 2" xfId="15359" xr:uid="{00000000-0005-0000-0000-0000BB050000}"/>
    <cellStyle name="Comma 15 3 2 4 2 2 2" xfId="32299" xr:uid="{00000000-0005-0000-0000-0000BC050000}"/>
    <cellStyle name="Comma 15 3 2 4 2 3" xfId="23851" xr:uid="{00000000-0005-0000-0000-0000BD050000}"/>
    <cellStyle name="Comma 15 3 2 4 3" xfId="11135" xr:uid="{00000000-0005-0000-0000-0000BE050000}"/>
    <cellStyle name="Comma 15 3 2 4 3 2" xfId="28075" xr:uid="{00000000-0005-0000-0000-0000BF050000}"/>
    <cellStyle name="Comma 15 3 2 4 4" xfId="19627" xr:uid="{00000000-0005-0000-0000-0000C0050000}"/>
    <cellStyle name="Comma 15 3 2 5" xfId="4799" xr:uid="{00000000-0005-0000-0000-0000C1050000}"/>
    <cellStyle name="Comma 15 3 2 5 2" xfId="13247" xr:uid="{00000000-0005-0000-0000-0000C2050000}"/>
    <cellStyle name="Comma 15 3 2 5 2 2" xfId="30187" xr:uid="{00000000-0005-0000-0000-0000C3050000}"/>
    <cellStyle name="Comma 15 3 2 5 3" xfId="21739" xr:uid="{00000000-0005-0000-0000-0000C4050000}"/>
    <cellStyle name="Comma 15 3 2 6" xfId="9023" xr:uid="{00000000-0005-0000-0000-0000C5050000}"/>
    <cellStyle name="Comma 15 3 2 6 2" xfId="25963" xr:uid="{00000000-0005-0000-0000-0000C6050000}"/>
    <cellStyle name="Comma 15 3 2 7" xfId="17515" xr:uid="{00000000-0005-0000-0000-0000C7050000}"/>
    <cellStyle name="Comma 15 3 3" xfId="743" xr:uid="{00000000-0005-0000-0000-0000C8050000}"/>
    <cellStyle name="Comma 15 3 3 2" xfId="1805" xr:uid="{00000000-0005-0000-0000-0000C9050000}"/>
    <cellStyle name="Comma 15 3 3 2 2" xfId="3917" xr:uid="{00000000-0005-0000-0000-0000CA050000}"/>
    <cellStyle name="Comma 15 3 3 2 2 2" xfId="8143" xr:uid="{00000000-0005-0000-0000-0000CB050000}"/>
    <cellStyle name="Comma 15 3 3 2 2 2 2" xfId="16591" xr:uid="{00000000-0005-0000-0000-0000CC050000}"/>
    <cellStyle name="Comma 15 3 3 2 2 2 2 2" xfId="33531" xr:uid="{00000000-0005-0000-0000-0000CD050000}"/>
    <cellStyle name="Comma 15 3 3 2 2 2 3" xfId="25083" xr:uid="{00000000-0005-0000-0000-0000CE050000}"/>
    <cellStyle name="Comma 15 3 3 2 2 3" xfId="12367" xr:uid="{00000000-0005-0000-0000-0000CF050000}"/>
    <cellStyle name="Comma 15 3 3 2 2 3 2" xfId="29307" xr:uid="{00000000-0005-0000-0000-0000D0050000}"/>
    <cellStyle name="Comma 15 3 3 2 2 4" xfId="20859" xr:uid="{00000000-0005-0000-0000-0000D1050000}"/>
    <cellStyle name="Comma 15 3 3 2 3" xfId="6031" xr:uid="{00000000-0005-0000-0000-0000D2050000}"/>
    <cellStyle name="Comma 15 3 3 2 3 2" xfId="14479" xr:uid="{00000000-0005-0000-0000-0000D3050000}"/>
    <cellStyle name="Comma 15 3 3 2 3 2 2" xfId="31419" xr:uid="{00000000-0005-0000-0000-0000D4050000}"/>
    <cellStyle name="Comma 15 3 3 2 3 3" xfId="22971" xr:uid="{00000000-0005-0000-0000-0000D5050000}"/>
    <cellStyle name="Comma 15 3 3 2 4" xfId="10255" xr:uid="{00000000-0005-0000-0000-0000D6050000}"/>
    <cellStyle name="Comma 15 3 3 2 4 2" xfId="27195" xr:uid="{00000000-0005-0000-0000-0000D7050000}"/>
    <cellStyle name="Comma 15 3 3 2 5" xfId="18747" xr:uid="{00000000-0005-0000-0000-0000D8050000}"/>
    <cellStyle name="Comma 15 3 3 3" xfId="2861" xr:uid="{00000000-0005-0000-0000-0000D9050000}"/>
    <cellStyle name="Comma 15 3 3 3 2" xfId="7087" xr:uid="{00000000-0005-0000-0000-0000DA050000}"/>
    <cellStyle name="Comma 15 3 3 3 2 2" xfId="15535" xr:uid="{00000000-0005-0000-0000-0000DB050000}"/>
    <cellStyle name="Comma 15 3 3 3 2 2 2" xfId="32475" xr:uid="{00000000-0005-0000-0000-0000DC050000}"/>
    <cellStyle name="Comma 15 3 3 3 2 3" xfId="24027" xr:uid="{00000000-0005-0000-0000-0000DD050000}"/>
    <cellStyle name="Comma 15 3 3 3 3" xfId="11311" xr:uid="{00000000-0005-0000-0000-0000DE050000}"/>
    <cellStyle name="Comma 15 3 3 3 3 2" xfId="28251" xr:uid="{00000000-0005-0000-0000-0000DF050000}"/>
    <cellStyle name="Comma 15 3 3 3 4" xfId="19803" xr:uid="{00000000-0005-0000-0000-0000E0050000}"/>
    <cellStyle name="Comma 15 3 3 4" xfId="4975" xr:uid="{00000000-0005-0000-0000-0000E1050000}"/>
    <cellStyle name="Comma 15 3 3 4 2" xfId="13423" xr:uid="{00000000-0005-0000-0000-0000E2050000}"/>
    <cellStyle name="Comma 15 3 3 4 2 2" xfId="30363" xr:uid="{00000000-0005-0000-0000-0000E3050000}"/>
    <cellStyle name="Comma 15 3 3 4 3" xfId="21915" xr:uid="{00000000-0005-0000-0000-0000E4050000}"/>
    <cellStyle name="Comma 15 3 3 5" xfId="9199" xr:uid="{00000000-0005-0000-0000-0000E5050000}"/>
    <cellStyle name="Comma 15 3 3 5 2" xfId="26139" xr:uid="{00000000-0005-0000-0000-0000E6050000}"/>
    <cellStyle name="Comma 15 3 3 6" xfId="17691" xr:uid="{00000000-0005-0000-0000-0000E7050000}"/>
    <cellStyle name="Comma 15 3 4" xfId="1095" xr:uid="{00000000-0005-0000-0000-0000E8050000}"/>
    <cellStyle name="Comma 15 3 4 2" xfId="2157" xr:uid="{00000000-0005-0000-0000-0000E9050000}"/>
    <cellStyle name="Comma 15 3 4 2 2" xfId="4269" xr:uid="{00000000-0005-0000-0000-0000EA050000}"/>
    <cellStyle name="Comma 15 3 4 2 2 2" xfId="8495" xr:uid="{00000000-0005-0000-0000-0000EB050000}"/>
    <cellStyle name="Comma 15 3 4 2 2 2 2" xfId="16943" xr:uid="{00000000-0005-0000-0000-0000EC050000}"/>
    <cellStyle name="Comma 15 3 4 2 2 2 2 2" xfId="33883" xr:uid="{00000000-0005-0000-0000-0000ED050000}"/>
    <cellStyle name="Comma 15 3 4 2 2 2 3" xfId="25435" xr:uid="{00000000-0005-0000-0000-0000EE050000}"/>
    <cellStyle name="Comma 15 3 4 2 2 3" xfId="12719" xr:uid="{00000000-0005-0000-0000-0000EF050000}"/>
    <cellStyle name="Comma 15 3 4 2 2 3 2" xfId="29659" xr:uid="{00000000-0005-0000-0000-0000F0050000}"/>
    <cellStyle name="Comma 15 3 4 2 2 4" xfId="21211" xr:uid="{00000000-0005-0000-0000-0000F1050000}"/>
    <cellStyle name="Comma 15 3 4 2 3" xfId="6383" xr:uid="{00000000-0005-0000-0000-0000F2050000}"/>
    <cellStyle name="Comma 15 3 4 2 3 2" xfId="14831" xr:uid="{00000000-0005-0000-0000-0000F3050000}"/>
    <cellStyle name="Comma 15 3 4 2 3 2 2" xfId="31771" xr:uid="{00000000-0005-0000-0000-0000F4050000}"/>
    <cellStyle name="Comma 15 3 4 2 3 3" xfId="23323" xr:uid="{00000000-0005-0000-0000-0000F5050000}"/>
    <cellStyle name="Comma 15 3 4 2 4" xfId="10607" xr:uid="{00000000-0005-0000-0000-0000F6050000}"/>
    <cellStyle name="Comma 15 3 4 2 4 2" xfId="27547" xr:uid="{00000000-0005-0000-0000-0000F7050000}"/>
    <cellStyle name="Comma 15 3 4 2 5" xfId="19099" xr:uid="{00000000-0005-0000-0000-0000F8050000}"/>
    <cellStyle name="Comma 15 3 4 3" xfId="3213" xr:uid="{00000000-0005-0000-0000-0000F9050000}"/>
    <cellStyle name="Comma 15 3 4 3 2" xfId="7439" xr:uid="{00000000-0005-0000-0000-0000FA050000}"/>
    <cellStyle name="Comma 15 3 4 3 2 2" xfId="15887" xr:uid="{00000000-0005-0000-0000-0000FB050000}"/>
    <cellStyle name="Comma 15 3 4 3 2 2 2" xfId="32827" xr:uid="{00000000-0005-0000-0000-0000FC050000}"/>
    <cellStyle name="Comma 15 3 4 3 2 3" xfId="24379" xr:uid="{00000000-0005-0000-0000-0000FD050000}"/>
    <cellStyle name="Comma 15 3 4 3 3" xfId="11663" xr:uid="{00000000-0005-0000-0000-0000FE050000}"/>
    <cellStyle name="Comma 15 3 4 3 3 2" xfId="28603" xr:uid="{00000000-0005-0000-0000-0000FF050000}"/>
    <cellStyle name="Comma 15 3 4 3 4" xfId="20155" xr:uid="{00000000-0005-0000-0000-000000060000}"/>
    <cellStyle name="Comma 15 3 4 4" xfId="5327" xr:uid="{00000000-0005-0000-0000-000001060000}"/>
    <cellStyle name="Comma 15 3 4 4 2" xfId="13775" xr:uid="{00000000-0005-0000-0000-000002060000}"/>
    <cellStyle name="Comma 15 3 4 4 2 2" xfId="30715" xr:uid="{00000000-0005-0000-0000-000003060000}"/>
    <cellStyle name="Comma 15 3 4 4 3" xfId="22267" xr:uid="{00000000-0005-0000-0000-000004060000}"/>
    <cellStyle name="Comma 15 3 4 5" xfId="9551" xr:uid="{00000000-0005-0000-0000-000005060000}"/>
    <cellStyle name="Comma 15 3 4 5 2" xfId="26491" xr:uid="{00000000-0005-0000-0000-000006060000}"/>
    <cellStyle name="Comma 15 3 4 6" xfId="18043" xr:uid="{00000000-0005-0000-0000-000007060000}"/>
    <cellStyle name="Comma 15 3 5" xfId="1277" xr:uid="{00000000-0005-0000-0000-000008060000}"/>
    <cellStyle name="Comma 15 3 5 2" xfId="2333" xr:uid="{00000000-0005-0000-0000-000009060000}"/>
    <cellStyle name="Comma 15 3 5 2 2" xfId="4445" xr:uid="{00000000-0005-0000-0000-00000A060000}"/>
    <cellStyle name="Comma 15 3 5 2 2 2" xfId="8671" xr:uid="{00000000-0005-0000-0000-00000B060000}"/>
    <cellStyle name="Comma 15 3 5 2 2 2 2" xfId="17119" xr:uid="{00000000-0005-0000-0000-00000C060000}"/>
    <cellStyle name="Comma 15 3 5 2 2 2 2 2" xfId="34059" xr:uid="{00000000-0005-0000-0000-00000D060000}"/>
    <cellStyle name="Comma 15 3 5 2 2 2 3" xfId="25611" xr:uid="{00000000-0005-0000-0000-00000E060000}"/>
    <cellStyle name="Comma 15 3 5 2 2 3" xfId="12895" xr:uid="{00000000-0005-0000-0000-00000F060000}"/>
    <cellStyle name="Comma 15 3 5 2 2 3 2" xfId="29835" xr:uid="{00000000-0005-0000-0000-000010060000}"/>
    <cellStyle name="Comma 15 3 5 2 2 4" xfId="21387" xr:uid="{00000000-0005-0000-0000-000011060000}"/>
    <cellStyle name="Comma 15 3 5 2 3" xfId="6559" xr:uid="{00000000-0005-0000-0000-000012060000}"/>
    <cellStyle name="Comma 15 3 5 2 3 2" xfId="15007" xr:uid="{00000000-0005-0000-0000-000013060000}"/>
    <cellStyle name="Comma 15 3 5 2 3 2 2" xfId="31947" xr:uid="{00000000-0005-0000-0000-000014060000}"/>
    <cellStyle name="Comma 15 3 5 2 3 3" xfId="23499" xr:uid="{00000000-0005-0000-0000-000015060000}"/>
    <cellStyle name="Comma 15 3 5 2 4" xfId="10783" xr:uid="{00000000-0005-0000-0000-000016060000}"/>
    <cellStyle name="Comma 15 3 5 2 4 2" xfId="27723" xr:uid="{00000000-0005-0000-0000-000017060000}"/>
    <cellStyle name="Comma 15 3 5 2 5" xfId="19275" xr:uid="{00000000-0005-0000-0000-000018060000}"/>
    <cellStyle name="Comma 15 3 5 3" xfId="3389" xr:uid="{00000000-0005-0000-0000-000019060000}"/>
    <cellStyle name="Comma 15 3 5 3 2" xfId="7615" xr:uid="{00000000-0005-0000-0000-00001A060000}"/>
    <cellStyle name="Comma 15 3 5 3 2 2" xfId="16063" xr:uid="{00000000-0005-0000-0000-00001B060000}"/>
    <cellStyle name="Comma 15 3 5 3 2 2 2" xfId="33003" xr:uid="{00000000-0005-0000-0000-00001C060000}"/>
    <cellStyle name="Comma 15 3 5 3 2 3" xfId="24555" xr:uid="{00000000-0005-0000-0000-00001D060000}"/>
    <cellStyle name="Comma 15 3 5 3 3" xfId="11839" xr:uid="{00000000-0005-0000-0000-00001E060000}"/>
    <cellStyle name="Comma 15 3 5 3 3 2" xfId="28779" xr:uid="{00000000-0005-0000-0000-00001F060000}"/>
    <cellStyle name="Comma 15 3 5 3 4" xfId="20331" xr:uid="{00000000-0005-0000-0000-000020060000}"/>
    <cellStyle name="Comma 15 3 5 4" xfId="5503" xr:uid="{00000000-0005-0000-0000-000021060000}"/>
    <cellStyle name="Comma 15 3 5 4 2" xfId="13951" xr:uid="{00000000-0005-0000-0000-000022060000}"/>
    <cellStyle name="Comma 15 3 5 4 2 2" xfId="30891" xr:uid="{00000000-0005-0000-0000-000023060000}"/>
    <cellStyle name="Comma 15 3 5 4 3" xfId="22443" xr:uid="{00000000-0005-0000-0000-000024060000}"/>
    <cellStyle name="Comma 15 3 5 5" xfId="9727" xr:uid="{00000000-0005-0000-0000-000025060000}"/>
    <cellStyle name="Comma 15 3 5 5 2" xfId="26667" xr:uid="{00000000-0005-0000-0000-000026060000}"/>
    <cellStyle name="Comma 15 3 5 6" xfId="18219" xr:uid="{00000000-0005-0000-0000-000027060000}"/>
    <cellStyle name="Comma 15 3 6" xfId="1453" xr:uid="{00000000-0005-0000-0000-000028060000}"/>
    <cellStyle name="Comma 15 3 6 2" xfId="3565" xr:uid="{00000000-0005-0000-0000-000029060000}"/>
    <cellStyle name="Comma 15 3 6 2 2" xfId="7791" xr:uid="{00000000-0005-0000-0000-00002A060000}"/>
    <cellStyle name="Comma 15 3 6 2 2 2" xfId="16239" xr:uid="{00000000-0005-0000-0000-00002B060000}"/>
    <cellStyle name="Comma 15 3 6 2 2 2 2" xfId="33179" xr:uid="{00000000-0005-0000-0000-00002C060000}"/>
    <cellStyle name="Comma 15 3 6 2 2 3" xfId="24731" xr:uid="{00000000-0005-0000-0000-00002D060000}"/>
    <cellStyle name="Comma 15 3 6 2 3" xfId="12015" xr:uid="{00000000-0005-0000-0000-00002E060000}"/>
    <cellStyle name="Comma 15 3 6 2 3 2" xfId="28955" xr:uid="{00000000-0005-0000-0000-00002F060000}"/>
    <cellStyle name="Comma 15 3 6 2 4" xfId="20507" xr:uid="{00000000-0005-0000-0000-000030060000}"/>
    <cellStyle name="Comma 15 3 6 3" xfId="5679" xr:uid="{00000000-0005-0000-0000-000031060000}"/>
    <cellStyle name="Comma 15 3 6 3 2" xfId="14127" xr:uid="{00000000-0005-0000-0000-000032060000}"/>
    <cellStyle name="Comma 15 3 6 3 2 2" xfId="31067" xr:uid="{00000000-0005-0000-0000-000033060000}"/>
    <cellStyle name="Comma 15 3 6 3 3" xfId="22619" xr:uid="{00000000-0005-0000-0000-000034060000}"/>
    <cellStyle name="Comma 15 3 6 4" xfId="9903" xr:uid="{00000000-0005-0000-0000-000035060000}"/>
    <cellStyle name="Comma 15 3 6 4 2" xfId="26843" xr:uid="{00000000-0005-0000-0000-000036060000}"/>
    <cellStyle name="Comma 15 3 6 5" xfId="18395" xr:uid="{00000000-0005-0000-0000-000037060000}"/>
    <cellStyle name="Comma 15 3 7" xfId="2509" xr:uid="{00000000-0005-0000-0000-000038060000}"/>
    <cellStyle name="Comma 15 3 7 2" xfId="6735" xr:uid="{00000000-0005-0000-0000-000039060000}"/>
    <cellStyle name="Comma 15 3 7 2 2" xfId="15183" xr:uid="{00000000-0005-0000-0000-00003A060000}"/>
    <cellStyle name="Comma 15 3 7 2 2 2" xfId="32123" xr:uid="{00000000-0005-0000-0000-00003B060000}"/>
    <cellStyle name="Comma 15 3 7 2 3" xfId="23675" xr:uid="{00000000-0005-0000-0000-00003C060000}"/>
    <cellStyle name="Comma 15 3 7 3" xfId="10959" xr:uid="{00000000-0005-0000-0000-00003D060000}"/>
    <cellStyle name="Comma 15 3 7 3 2" xfId="27899" xr:uid="{00000000-0005-0000-0000-00003E060000}"/>
    <cellStyle name="Comma 15 3 7 4" xfId="19451" xr:uid="{00000000-0005-0000-0000-00003F060000}"/>
    <cellStyle name="Comma 15 3 8" xfId="4622" xr:uid="{00000000-0005-0000-0000-000040060000}"/>
    <cellStyle name="Comma 15 3 8 2" xfId="13071" xr:uid="{00000000-0005-0000-0000-000041060000}"/>
    <cellStyle name="Comma 15 3 8 2 2" xfId="30011" xr:uid="{00000000-0005-0000-0000-000042060000}"/>
    <cellStyle name="Comma 15 3 8 3" xfId="21563" xr:uid="{00000000-0005-0000-0000-000043060000}"/>
    <cellStyle name="Comma 15 3 9" xfId="8847" xr:uid="{00000000-0005-0000-0000-000044060000}"/>
    <cellStyle name="Comma 15 3 9 2" xfId="25787" xr:uid="{00000000-0005-0000-0000-000045060000}"/>
    <cellStyle name="Comma 15 4" xfId="563" xr:uid="{00000000-0005-0000-0000-000046060000}"/>
    <cellStyle name="Comma 15 4 2" xfId="917" xr:uid="{00000000-0005-0000-0000-000047060000}"/>
    <cellStyle name="Comma 15 4 2 2" xfId="1979" xr:uid="{00000000-0005-0000-0000-000048060000}"/>
    <cellStyle name="Comma 15 4 2 2 2" xfId="4091" xr:uid="{00000000-0005-0000-0000-000049060000}"/>
    <cellStyle name="Comma 15 4 2 2 2 2" xfId="8317" xr:uid="{00000000-0005-0000-0000-00004A060000}"/>
    <cellStyle name="Comma 15 4 2 2 2 2 2" xfId="16765" xr:uid="{00000000-0005-0000-0000-00004B060000}"/>
    <cellStyle name="Comma 15 4 2 2 2 2 2 2" xfId="33705" xr:uid="{00000000-0005-0000-0000-00004C060000}"/>
    <cellStyle name="Comma 15 4 2 2 2 2 3" xfId="25257" xr:uid="{00000000-0005-0000-0000-00004D060000}"/>
    <cellStyle name="Comma 15 4 2 2 2 3" xfId="12541" xr:uid="{00000000-0005-0000-0000-00004E060000}"/>
    <cellStyle name="Comma 15 4 2 2 2 3 2" xfId="29481" xr:uid="{00000000-0005-0000-0000-00004F060000}"/>
    <cellStyle name="Comma 15 4 2 2 2 4" xfId="21033" xr:uid="{00000000-0005-0000-0000-000050060000}"/>
    <cellStyle name="Comma 15 4 2 2 3" xfId="6205" xr:uid="{00000000-0005-0000-0000-000051060000}"/>
    <cellStyle name="Comma 15 4 2 2 3 2" xfId="14653" xr:uid="{00000000-0005-0000-0000-000052060000}"/>
    <cellStyle name="Comma 15 4 2 2 3 2 2" xfId="31593" xr:uid="{00000000-0005-0000-0000-000053060000}"/>
    <cellStyle name="Comma 15 4 2 2 3 3" xfId="23145" xr:uid="{00000000-0005-0000-0000-000054060000}"/>
    <cellStyle name="Comma 15 4 2 2 4" xfId="10429" xr:uid="{00000000-0005-0000-0000-000055060000}"/>
    <cellStyle name="Comma 15 4 2 2 4 2" xfId="27369" xr:uid="{00000000-0005-0000-0000-000056060000}"/>
    <cellStyle name="Comma 15 4 2 2 5" xfId="18921" xr:uid="{00000000-0005-0000-0000-000057060000}"/>
    <cellStyle name="Comma 15 4 2 3" xfId="3035" xr:uid="{00000000-0005-0000-0000-000058060000}"/>
    <cellStyle name="Comma 15 4 2 3 2" xfId="7261" xr:uid="{00000000-0005-0000-0000-000059060000}"/>
    <cellStyle name="Comma 15 4 2 3 2 2" xfId="15709" xr:uid="{00000000-0005-0000-0000-00005A060000}"/>
    <cellStyle name="Comma 15 4 2 3 2 2 2" xfId="32649" xr:uid="{00000000-0005-0000-0000-00005B060000}"/>
    <cellStyle name="Comma 15 4 2 3 2 3" xfId="24201" xr:uid="{00000000-0005-0000-0000-00005C060000}"/>
    <cellStyle name="Comma 15 4 2 3 3" xfId="11485" xr:uid="{00000000-0005-0000-0000-00005D060000}"/>
    <cellStyle name="Comma 15 4 2 3 3 2" xfId="28425" xr:uid="{00000000-0005-0000-0000-00005E060000}"/>
    <cellStyle name="Comma 15 4 2 3 4" xfId="19977" xr:uid="{00000000-0005-0000-0000-00005F060000}"/>
    <cellStyle name="Comma 15 4 2 4" xfId="5149" xr:uid="{00000000-0005-0000-0000-000060060000}"/>
    <cellStyle name="Comma 15 4 2 4 2" xfId="13597" xr:uid="{00000000-0005-0000-0000-000061060000}"/>
    <cellStyle name="Comma 15 4 2 4 2 2" xfId="30537" xr:uid="{00000000-0005-0000-0000-000062060000}"/>
    <cellStyle name="Comma 15 4 2 4 3" xfId="22089" xr:uid="{00000000-0005-0000-0000-000063060000}"/>
    <cellStyle name="Comma 15 4 2 5" xfId="9373" xr:uid="{00000000-0005-0000-0000-000064060000}"/>
    <cellStyle name="Comma 15 4 2 5 2" xfId="26313" xr:uid="{00000000-0005-0000-0000-000065060000}"/>
    <cellStyle name="Comma 15 4 2 6" xfId="17865" xr:uid="{00000000-0005-0000-0000-000066060000}"/>
    <cellStyle name="Comma 15 4 3" xfId="1627" xr:uid="{00000000-0005-0000-0000-000067060000}"/>
    <cellStyle name="Comma 15 4 3 2" xfId="3739" xr:uid="{00000000-0005-0000-0000-000068060000}"/>
    <cellStyle name="Comma 15 4 3 2 2" xfId="7965" xr:uid="{00000000-0005-0000-0000-000069060000}"/>
    <cellStyle name="Comma 15 4 3 2 2 2" xfId="16413" xr:uid="{00000000-0005-0000-0000-00006A060000}"/>
    <cellStyle name="Comma 15 4 3 2 2 2 2" xfId="33353" xr:uid="{00000000-0005-0000-0000-00006B060000}"/>
    <cellStyle name="Comma 15 4 3 2 2 3" xfId="24905" xr:uid="{00000000-0005-0000-0000-00006C060000}"/>
    <cellStyle name="Comma 15 4 3 2 3" xfId="12189" xr:uid="{00000000-0005-0000-0000-00006D060000}"/>
    <cellStyle name="Comma 15 4 3 2 3 2" xfId="29129" xr:uid="{00000000-0005-0000-0000-00006E060000}"/>
    <cellStyle name="Comma 15 4 3 2 4" xfId="20681" xr:uid="{00000000-0005-0000-0000-00006F060000}"/>
    <cellStyle name="Comma 15 4 3 3" xfId="5853" xr:uid="{00000000-0005-0000-0000-000070060000}"/>
    <cellStyle name="Comma 15 4 3 3 2" xfId="14301" xr:uid="{00000000-0005-0000-0000-000071060000}"/>
    <cellStyle name="Comma 15 4 3 3 2 2" xfId="31241" xr:uid="{00000000-0005-0000-0000-000072060000}"/>
    <cellStyle name="Comma 15 4 3 3 3" xfId="22793" xr:uid="{00000000-0005-0000-0000-000073060000}"/>
    <cellStyle name="Comma 15 4 3 4" xfId="10077" xr:uid="{00000000-0005-0000-0000-000074060000}"/>
    <cellStyle name="Comma 15 4 3 4 2" xfId="27017" xr:uid="{00000000-0005-0000-0000-000075060000}"/>
    <cellStyle name="Comma 15 4 3 5" xfId="18569" xr:uid="{00000000-0005-0000-0000-000076060000}"/>
    <cellStyle name="Comma 15 4 4" xfId="2683" xr:uid="{00000000-0005-0000-0000-000077060000}"/>
    <cellStyle name="Comma 15 4 4 2" xfId="6909" xr:uid="{00000000-0005-0000-0000-000078060000}"/>
    <cellStyle name="Comma 15 4 4 2 2" xfId="15357" xr:uid="{00000000-0005-0000-0000-000079060000}"/>
    <cellStyle name="Comma 15 4 4 2 2 2" xfId="32297" xr:uid="{00000000-0005-0000-0000-00007A060000}"/>
    <cellStyle name="Comma 15 4 4 2 3" xfId="23849" xr:uid="{00000000-0005-0000-0000-00007B060000}"/>
    <cellStyle name="Comma 15 4 4 3" xfId="11133" xr:uid="{00000000-0005-0000-0000-00007C060000}"/>
    <cellStyle name="Comma 15 4 4 3 2" xfId="28073" xr:uid="{00000000-0005-0000-0000-00007D060000}"/>
    <cellStyle name="Comma 15 4 4 4" xfId="19625" xr:uid="{00000000-0005-0000-0000-00007E060000}"/>
    <cellStyle name="Comma 15 4 5" xfId="4797" xr:uid="{00000000-0005-0000-0000-00007F060000}"/>
    <cellStyle name="Comma 15 4 5 2" xfId="13245" xr:uid="{00000000-0005-0000-0000-000080060000}"/>
    <cellStyle name="Comma 15 4 5 2 2" xfId="30185" xr:uid="{00000000-0005-0000-0000-000081060000}"/>
    <cellStyle name="Comma 15 4 5 3" xfId="21737" xr:uid="{00000000-0005-0000-0000-000082060000}"/>
    <cellStyle name="Comma 15 4 6" xfId="9021" xr:uid="{00000000-0005-0000-0000-000083060000}"/>
    <cellStyle name="Comma 15 4 6 2" xfId="25961" xr:uid="{00000000-0005-0000-0000-000084060000}"/>
    <cellStyle name="Comma 15 4 7" xfId="17513" xr:uid="{00000000-0005-0000-0000-000085060000}"/>
    <cellStyle name="Comma 15 5" xfId="741" xr:uid="{00000000-0005-0000-0000-000086060000}"/>
    <cellStyle name="Comma 15 5 2" xfId="1803" xr:uid="{00000000-0005-0000-0000-000087060000}"/>
    <cellStyle name="Comma 15 5 2 2" xfId="3915" xr:uid="{00000000-0005-0000-0000-000088060000}"/>
    <cellStyle name="Comma 15 5 2 2 2" xfId="8141" xr:uid="{00000000-0005-0000-0000-000089060000}"/>
    <cellStyle name="Comma 15 5 2 2 2 2" xfId="16589" xr:uid="{00000000-0005-0000-0000-00008A060000}"/>
    <cellStyle name="Comma 15 5 2 2 2 2 2" xfId="33529" xr:uid="{00000000-0005-0000-0000-00008B060000}"/>
    <cellStyle name="Comma 15 5 2 2 2 3" xfId="25081" xr:uid="{00000000-0005-0000-0000-00008C060000}"/>
    <cellStyle name="Comma 15 5 2 2 3" xfId="12365" xr:uid="{00000000-0005-0000-0000-00008D060000}"/>
    <cellStyle name="Comma 15 5 2 2 3 2" xfId="29305" xr:uid="{00000000-0005-0000-0000-00008E060000}"/>
    <cellStyle name="Comma 15 5 2 2 4" xfId="20857" xr:uid="{00000000-0005-0000-0000-00008F060000}"/>
    <cellStyle name="Comma 15 5 2 3" xfId="6029" xr:uid="{00000000-0005-0000-0000-000090060000}"/>
    <cellStyle name="Comma 15 5 2 3 2" xfId="14477" xr:uid="{00000000-0005-0000-0000-000091060000}"/>
    <cellStyle name="Comma 15 5 2 3 2 2" xfId="31417" xr:uid="{00000000-0005-0000-0000-000092060000}"/>
    <cellStyle name="Comma 15 5 2 3 3" xfId="22969" xr:uid="{00000000-0005-0000-0000-000093060000}"/>
    <cellStyle name="Comma 15 5 2 4" xfId="10253" xr:uid="{00000000-0005-0000-0000-000094060000}"/>
    <cellStyle name="Comma 15 5 2 4 2" xfId="27193" xr:uid="{00000000-0005-0000-0000-000095060000}"/>
    <cellStyle name="Comma 15 5 2 5" xfId="18745" xr:uid="{00000000-0005-0000-0000-000096060000}"/>
    <cellStyle name="Comma 15 5 3" xfId="2859" xr:uid="{00000000-0005-0000-0000-000097060000}"/>
    <cellStyle name="Comma 15 5 3 2" xfId="7085" xr:uid="{00000000-0005-0000-0000-000098060000}"/>
    <cellStyle name="Comma 15 5 3 2 2" xfId="15533" xr:uid="{00000000-0005-0000-0000-000099060000}"/>
    <cellStyle name="Comma 15 5 3 2 2 2" xfId="32473" xr:uid="{00000000-0005-0000-0000-00009A060000}"/>
    <cellStyle name="Comma 15 5 3 2 3" xfId="24025" xr:uid="{00000000-0005-0000-0000-00009B060000}"/>
    <cellStyle name="Comma 15 5 3 3" xfId="11309" xr:uid="{00000000-0005-0000-0000-00009C060000}"/>
    <cellStyle name="Comma 15 5 3 3 2" xfId="28249" xr:uid="{00000000-0005-0000-0000-00009D060000}"/>
    <cellStyle name="Comma 15 5 3 4" xfId="19801" xr:uid="{00000000-0005-0000-0000-00009E060000}"/>
    <cellStyle name="Comma 15 5 4" xfId="4973" xr:uid="{00000000-0005-0000-0000-00009F060000}"/>
    <cellStyle name="Comma 15 5 4 2" xfId="13421" xr:uid="{00000000-0005-0000-0000-0000A0060000}"/>
    <cellStyle name="Comma 15 5 4 2 2" xfId="30361" xr:uid="{00000000-0005-0000-0000-0000A1060000}"/>
    <cellStyle name="Comma 15 5 4 3" xfId="21913" xr:uid="{00000000-0005-0000-0000-0000A2060000}"/>
    <cellStyle name="Comma 15 5 5" xfId="9197" xr:uid="{00000000-0005-0000-0000-0000A3060000}"/>
    <cellStyle name="Comma 15 5 5 2" xfId="26137" xr:uid="{00000000-0005-0000-0000-0000A4060000}"/>
    <cellStyle name="Comma 15 5 6" xfId="17689" xr:uid="{00000000-0005-0000-0000-0000A5060000}"/>
    <cellStyle name="Comma 15 6" xfId="1093" xr:uid="{00000000-0005-0000-0000-0000A6060000}"/>
    <cellStyle name="Comma 15 6 2" xfId="2155" xr:uid="{00000000-0005-0000-0000-0000A7060000}"/>
    <cellStyle name="Comma 15 6 2 2" xfId="4267" xr:uid="{00000000-0005-0000-0000-0000A8060000}"/>
    <cellStyle name="Comma 15 6 2 2 2" xfId="8493" xr:uid="{00000000-0005-0000-0000-0000A9060000}"/>
    <cellStyle name="Comma 15 6 2 2 2 2" xfId="16941" xr:uid="{00000000-0005-0000-0000-0000AA060000}"/>
    <cellStyle name="Comma 15 6 2 2 2 2 2" xfId="33881" xr:uid="{00000000-0005-0000-0000-0000AB060000}"/>
    <cellStyle name="Comma 15 6 2 2 2 3" xfId="25433" xr:uid="{00000000-0005-0000-0000-0000AC060000}"/>
    <cellStyle name="Comma 15 6 2 2 3" xfId="12717" xr:uid="{00000000-0005-0000-0000-0000AD060000}"/>
    <cellStyle name="Comma 15 6 2 2 3 2" xfId="29657" xr:uid="{00000000-0005-0000-0000-0000AE060000}"/>
    <cellStyle name="Comma 15 6 2 2 4" xfId="21209" xr:uid="{00000000-0005-0000-0000-0000AF060000}"/>
    <cellStyle name="Comma 15 6 2 3" xfId="6381" xr:uid="{00000000-0005-0000-0000-0000B0060000}"/>
    <cellStyle name="Comma 15 6 2 3 2" xfId="14829" xr:uid="{00000000-0005-0000-0000-0000B1060000}"/>
    <cellStyle name="Comma 15 6 2 3 2 2" xfId="31769" xr:uid="{00000000-0005-0000-0000-0000B2060000}"/>
    <cellStyle name="Comma 15 6 2 3 3" xfId="23321" xr:uid="{00000000-0005-0000-0000-0000B3060000}"/>
    <cellStyle name="Comma 15 6 2 4" xfId="10605" xr:uid="{00000000-0005-0000-0000-0000B4060000}"/>
    <cellStyle name="Comma 15 6 2 4 2" xfId="27545" xr:uid="{00000000-0005-0000-0000-0000B5060000}"/>
    <cellStyle name="Comma 15 6 2 5" xfId="19097" xr:uid="{00000000-0005-0000-0000-0000B6060000}"/>
    <cellStyle name="Comma 15 6 3" xfId="3211" xr:uid="{00000000-0005-0000-0000-0000B7060000}"/>
    <cellStyle name="Comma 15 6 3 2" xfId="7437" xr:uid="{00000000-0005-0000-0000-0000B8060000}"/>
    <cellStyle name="Comma 15 6 3 2 2" xfId="15885" xr:uid="{00000000-0005-0000-0000-0000B9060000}"/>
    <cellStyle name="Comma 15 6 3 2 2 2" xfId="32825" xr:uid="{00000000-0005-0000-0000-0000BA060000}"/>
    <cellStyle name="Comma 15 6 3 2 3" xfId="24377" xr:uid="{00000000-0005-0000-0000-0000BB060000}"/>
    <cellStyle name="Comma 15 6 3 3" xfId="11661" xr:uid="{00000000-0005-0000-0000-0000BC060000}"/>
    <cellStyle name="Comma 15 6 3 3 2" xfId="28601" xr:uid="{00000000-0005-0000-0000-0000BD060000}"/>
    <cellStyle name="Comma 15 6 3 4" xfId="20153" xr:uid="{00000000-0005-0000-0000-0000BE060000}"/>
    <cellStyle name="Comma 15 6 4" xfId="5325" xr:uid="{00000000-0005-0000-0000-0000BF060000}"/>
    <cellStyle name="Comma 15 6 4 2" xfId="13773" xr:uid="{00000000-0005-0000-0000-0000C0060000}"/>
    <cellStyle name="Comma 15 6 4 2 2" xfId="30713" xr:uid="{00000000-0005-0000-0000-0000C1060000}"/>
    <cellStyle name="Comma 15 6 4 3" xfId="22265" xr:uid="{00000000-0005-0000-0000-0000C2060000}"/>
    <cellStyle name="Comma 15 6 5" xfId="9549" xr:uid="{00000000-0005-0000-0000-0000C3060000}"/>
    <cellStyle name="Comma 15 6 5 2" xfId="26489" xr:uid="{00000000-0005-0000-0000-0000C4060000}"/>
    <cellStyle name="Comma 15 6 6" xfId="18041" xr:uid="{00000000-0005-0000-0000-0000C5060000}"/>
    <cellStyle name="Comma 15 7" xfId="1275" xr:uid="{00000000-0005-0000-0000-0000C6060000}"/>
    <cellStyle name="Comma 15 7 2" xfId="2331" xr:uid="{00000000-0005-0000-0000-0000C7060000}"/>
    <cellStyle name="Comma 15 7 2 2" xfId="4443" xr:uid="{00000000-0005-0000-0000-0000C8060000}"/>
    <cellStyle name="Comma 15 7 2 2 2" xfId="8669" xr:uid="{00000000-0005-0000-0000-0000C9060000}"/>
    <cellStyle name="Comma 15 7 2 2 2 2" xfId="17117" xr:uid="{00000000-0005-0000-0000-0000CA060000}"/>
    <cellStyle name="Comma 15 7 2 2 2 2 2" xfId="34057" xr:uid="{00000000-0005-0000-0000-0000CB060000}"/>
    <cellStyle name="Comma 15 7 2 2 2 3" xfId="25609" xr:uid="{00000000-0005-0000-0000-0000CC060000}"/>
    <cellStyle name="Comma 15 7 2 2 3" xfId="12893" xr:uid="{00000000-0005-0000-0000-0000CD060000}"/>
    <cellStyle name="Comma 15 7 2 2 3 2" xfId="29833" xr:uid="{00000000-0005-0000-0000-0000CE060000}"/>
    <cellStyle name="Comma 15 7 2 2 4" xfId="21385" xr:uid="{00000000-0005-0000-0000-0000CF060000}"/>
    <cellStyle name="Comma 15 7 2 3" xfId="6557" xr:uid="{00000000-0005-0000-0000-0000D0060000}"/>
    <cellStyle name="Comma 15 7 2 3 2" xfId="15005" xr:uid="{00000000-0005-0000-0000-0000D1060000}"/>
    <cellStyle name="Comma 15 7 2 3 2 2" xfId="31945" xr:uid="{00000000-0005-0000-0000-0000D2060000}"/>
    <cellStyle name="Comma 15 7 2 3 3" xfId="23497" xr:uid="{00000000-0005-0000-0000-0000D3060000}"/>
    <cellStyle name="Comma 15 7 2 4" xfId="10781" xr:uid="{00000000-0005-0000-0000-0000D4060000}"/>
    <cellStyle name="Comma 15 7 2 4 2" xfId="27721" xr:uid="{00000000-0005-0000-0000-0000D5060000}"/>
    <cellStyle name="Comma 15 7 2 5" xfId="19273" xr:uid="{00000000-0005-0000-0000-0000D6060000}"/>
    <cellStyle name="Comma 15 7 3" xfId="3387" xr:uid="{00000000-0005-0000-0000-0000D7060000}"/>
    <cellStyle name="Comma 15 7 3 2" xfId="7613" xr:uid="{00000000-0005-0000-0000-0000D8060000}"/>
    <cellStyle name="Comma 15 7 3 2 2" xfId="16061" xr:uid="{00000000-0005-0000-0000-0000D9060000}"/>
    <cellStyle name="Comma 15 7 3 2 2 2" xfId="33001" xr:uid="{00000000-0005-0000-0000-0000DA060000}"/>
    <cellStyle name="Comma 15 7 3 2 3" xfId="24553" xr:uid="{00000000-0005-0000-0000-0000DB060000}"/>
    <cellStyle name="Comma 15 7 3 3" xfId="11837" xr:uid="{00000000-0005-0000-0000-0000DC060000}"/>
    <cellStyle name="Comma 15 7 3 3 2" xfId="28777" xr:uid="{00000000-0005-0000-0000-0000DD060000}"/>
    <cellStyle name="Comma 15 7 3 4" xfId="20329" xr:uid="{00000000-0005-0000-0000-0000DE060000}"/>
    <cellStyle name="Comma 15 7 4" xfId="5501" xr:uid="{00000000-0005-0000-0000-0000DF060000}"/>
    <cellStyle name="Comma 15 7 4 2" xfId="13949" xr:uid="{00000000-0005-0000-0000-0000E0060000}"/>
    <cellStyle name="Comma 15 7 4 2 2" xfId="30889" xr:uid="{00000000-0005-0000-0000-0000E1060000}"/>
    <cellStyle name="Comma 15 7 4 3" xfId="22441" xr:uid="{00000000-0005-0000-0000-0000E2060000}"/>
    <cellStyle name="Comma 15 7 5" xfId="9725" xr:uid="{00000000-0005-0000-0000-0000E3060000}"/>
    <cellStyle name="Comma 15 7 5 2" xfId="26665" xr:uid="{00000000-0005-0000-0000-0000E4060000}"/>
    <cellStyle name="Comma 15 7 6" xfId="18217" xr:uid="{00000000-0005-0000-0000-0000E5060000}"/>
    <cellStyle name="Comma 15 8" xfId="1451" xr:uid="{00000000-0005-0000-0000-0000E6060000}"/>
    <cellStyle name="Comma 15 8 2" xfId="3563" xr:uid="{00000000-0005-0000-0000-0000E7060000}"/>
    <cellStyle name="Comma 15 8 2 2" xfId="7789" xr:uid="{00000000-0005-0000-0000-0000E8060000}"/>
    <cellStyle name="Comma 15 8 2 2 2" xfId="16237" xr:uid="{00000000-0005-0000-0000-0000E9060000}"/>
    <cellStyle name="Comma 15 8 2 2 2 2" xfId="33177" xr:uid="{00000000-0005-0000-0000-0000EA060000}"/>
    <cellStyle name="Comma 15 8 2 2 3" xfId="24729" xr:uid="{00000000-0005-0000-0000-0000EB060000}"/>
    <cellStyle name="Comma 15 8 2 3" xfId="12013" xr:uid="{00000000-0005-0000-0000-0000EC060000}"/>
    <cellStyle name="Comma 15 8 2 3 2" xfId="28953" xr:uid="{00000000-0005-0000-0000-0000ED060000}"/>
    <cellStyle name="Comma 15 8 2 4" xfId="20505" xr:uid="{00000000-0005-0000-0000-0000EE060000}"/>
    <cellStyle name="Comma 15 8 3" xfId="5677" xr:uid="{00000000-0005-0000-0000-0000EF060000}"/>
    <cellStyle name="Comma 15 8 3 2" xfId="14125" xr:uid="{00000000-0005-0000-0000-0000F0060000}"/>
    <cellStyle name="Comma 15 8 3 2 2" xfId="31065" xr:uid="{00000000-0005-0000-0000-0000F1060000}"/>
    <cellStyle name="Comma 15 8 3 3" xfId="22617" xr:uid="{00000000-0005-0000-0000-0000F2060000}"/>
    <cellStyle name="Comma 15 8 4" xfId="9901" xr:uid="{00000000-0005-0000-0000-0000F3060000}"/>
    <cellStyle name="Comma 15 8 4 2" xfId="26841" xr:uid="{00000000-0005-0000-0000-0000F4060000}"/>
    <cellStyle name="Comma 15 8 5" xfId="18393" xr:uid="{00000000-0005-0000-0000-0000F5060000}"/>
    <cellStyle name="Comma 15 9" xfId="2507" xr:uid="{00000000-0005-0000-0000-0000F6060000}"/>
    <cellStyle name="Comma 15 9 2" xfId="6733" xr:uid="{00000000-0005-0000-0000-0000F7060000}"/>
    <cellStyle name="Comma 15 9 2 2" xfId="15181" xr:uid="{00000000-0005-0000-0000-0000F8060000}"/>
    <cellStyle name="Comma 15 9 2 2 2" xfId="32121" xr:uid="{00000000-0005-0000-0000-0000F9060000}"/>
    <cellStyle name="Comma 15 9 2 3" xfId="23673" xr:uid="{00000000-0005-0000-0000-0000FA060000}"/>
    <cellStyle name="Comma 15 9 3" xfId="10957" xr:uid="{00000000-0005-0000-0000-0000FB060000}"/>
    <cellStyle name="Comma 15 9 3 2" xfId="27897" xr:uid="{00000000-0005-0000-0000-0000FC060000}"/>
    <cellStyle name="Comma 15 9 4" xfId="19449" xr:uid="{00000000-0005-0000-0000-0000FD060000}"/>
    <cellStyle name="Comma 16" xfId="72" xr:uid="{00000000-0005-0000-0000-0000FE060000}"/>
    <cellStyle name="Comma 17" xfId="73" xr:uid="{00000000-0005-0000-0000-0000FF060000}"/>
    <cellStyle name="Comma 18" xfId="74" xr:uid="{00000000-0005-0000-0000-000000070000}"/>
    <cellStyle name="Comma 18 10" xfId="4623" xr:uid="{00000000-0005-0000-0000-000001070000}"/>
    <cellStyle name="Comma 18 10 2" xfId="13072" xr:uid="{00000000-0005-0000-0000-000002070000}"/>
    <cellStyle name="Comma 18 10 2 2" xfId="30012" xr:uid="{00000000-0005-0000-0000-000003070000}"/>
    <cellStyle name="Comma 18 10 3" xfId="21564" xr:uid="{00000000-0005-0000-0000-000004070000}"/>
    <cellStyle name="Comma 18 11" xfId="8848" xr:uid="{00000000-0005-0000-0000-000005070000}"/>
    <cellStyle name="Comma 18 11 2" xfId="25788" xr:uid="{00000000-0005-0000-0000-000006070000}"/>
    <cellStyle name="Comma 18 12" xfId="17300" xr:uid="{00000000-0005-0000-0000-000007070000}"/>
    <cellStyle name="Comma 18 2" xfId="75" xr:uid="{00000000-0005-0000-0000-000008070000}"/>
    <cellStyle name="Comma 18 2 10" xfId="17301" xr:uid="{00000000-0005-0000-0000-000009070000}"/>
    <cellStyle name="Comma 18 2 2" xfId="567" xr:uid="{00000000-0005-0000-0000-00000A070000}"/>
    <cellStyle name="Comma 18 2 2 2" xfId="921" xr:uid="{00000000-0005-0000-0000-00000B070000}"/>
    <cellStyle name="Comma 18 2 2 2 2" xfId="1983" xr:uid="{00000000-0005-0000-0000-00000C070000}"/>
    <cellStyle name="Comma 18 2 2 2 2 2" xfId="4095" xr:uid="{00000000-0005-0000-0000-00000D070000}"/>
    <cellStyle name="Comma 18 2 2 2 2 2 2" xfId="8321" xr:uid="{00000000-0005-0000-0000-00000E070000}"/>
    <cellStyle name="Comma 18 2 2 2 2 2 2 2" xfId="16769" xr:uid="{00000000-0005-0000-0000-00000F070000}"/>
    <cellStyle name="Comma 18 2 2 2 2 2 2 2 2" xfId="33709" xr:uid="{00000000-0005-0000-0000-000010070000}"/>
    <cellStyle name="Comma 18 2 2 2 2 2 2 3" xfId="25261" xr:uid="{00000000-0005-0000-0000-000011070000}"/>
    <cellStyle name="Comma 18 2 2 2 2 2 3" xfId="12545" xr:uid="{00000000-0005-0000-0000-000012070000}"/>
    <cellStyle name="Comma 18 2 2 2 2 2 3 2" xfId="29485" xr:uid="{00000000-0005-0000-0000-000013070000}"/>
    <cellStyle name="Comma 18 2 2 2 2 2 4" xfId="21037" xr:uid="{00000000-0005-0000-0000-000014070000}"/>
    <cellStyle name="Comma 18 2 2 2 2 3" xfId="6209" xr:uid="{00000000-0005-0000-0000-000015070000}"/>
    <cellStyle name="Comma 18 2 2 2 2 3 2" xfId="14657" xr:uid="{00000000-0005-0000-0000-000016070000}"/>
    <cellStyle name="Comma 18 2 2 2 2 3 2 2" xfId="31597" xr:uid="{00000000-0005-0000-0000-000017070000}"/>
    <cellStyle name="Comma 18 2 2 2 2 3 3" xfId="23149" xr:uid="{00000000-0005-0000-0000-000018070000}"/>
    <cellStyle name="Comma 18 2 2 2 2 4" xfId="10433" xr:uid="{00000000-0005-0000-0000-000019070000}"/>
    <cellStyle name="Comma 18 2 2 2 2 4 2" xfId="27373" xr:uid="{00000000-0005-0000-0000-00001A070000}"/>
    <cellStyle name="Comma 18 2 2 2 2 5" xfId="18925" xr:uid="{00000000-0005-0000-0000-00001B070000}"/>
    <cellStyle name="Comma 18 2 2 2 3" xfId="3039" xr:uid="{00000000-0005-0000-0000-00001C070000}"/>
    <cellStyle name="Comma 18 2 2 2 3 2" xfId="7265" xr:uid="{00000000-0005-0000-0000-00001D070000}"/>
    <cellStyle name="Comma 18 2 2 2 3 2 2" xfId="15713" xr:uid="{00000000-0005-0000-0000-00001E070000}"/>
    <cellStyle name="Comma 18 2 2 2 3 2 2 2" xfId="32653" xr:uid="{00000000-0005-0000-0000-00001F070000}"/>
    <cellStyle name="Comma 18 2 2 2 3 2 3" xfId="24205" xr:uid="{00000000-0005-0000-0000-000020070000}"/>
    <cellStyle name="Comma 18 2 2 2 3 3" xfId="11489" xr:uid="{00000000-0005-0000-0000-000021070000}"/>
    <cellStyle name="Comma 18 2 2 2 3 3 2" xfId="28429" xr:uid="{00000000-0005-0000-0000-000022070000}"/>
    <cellStyle name="Comma 18 2 2 2 3 4" xfId="19981" xr:uid="{00000000-0005-0000-0000-000023070000}"/>
    <cellStyle name="Comma 18 2 2 2 4" xfId="5153" xr:uid="{00000000-0005-0000-0000-000024070000}"/>
    <cellStyle name="Comma 18 2 2 2 4 2" xfId="13601" xr:uid="{00000000-0005-0000-0000-000025070000}"/>
    <cellStyle name="Comma 18 2 2 2 4 2 2" xfId="30541" xr:uid="{00000000-0005-0000-0000-000026070000}"/>
    <cellStyle name="Comma 18 2 2 2 4 3" xfId="22093" xr:uid="{00000000-0005-0000-0000-000027070000}"/>
    <cellStyle name="Comma 18 2 2 2 5" xfId="9377" xr:uid="{00000000-0005-0000-0000-000028070000}"/>
    <cellStyle name="Comma 18 2 2 2 5 2" xfId="26317" xr:uid="{00000000-0005-0000-0000-000029070000}"/>
    <cellStyle name="Comma 18 2 2 2 6" xfId="17869" xr:uid="{00000000-0005-0000-0000-00002A070000}"/>
    <cellStyle name="Comma 18 2 2 3" xfId="1631" xr:uid="{00000000-0005-0000-0000-00002B070000}"/>
    <cellStyle name="Comma 18 2 2 3 2" xfId="3743" xr:uid="{00000000-0005-0000-0000-00002C070000}"/>
    <cellStyle name="Comma 18 2 2 3 2 2" xfId="7969" xr:uid="{00000000-0005-0000-0000-00002D070000}"/>
    <cellStyle name="Comma 18 2 2 3 2 2 2" xfId="16417" xr:uid="{00000000-0005-0000-0000-00002E070000}"/>
    <cellStyle name="Comma 18 2 2 3 2 2 2 2" xfId="33357" xr:uid="{00000000-0005-0000-0000-00002F070000}"/>
    <cellStyle name="Comma 18 2 2 3 2 2 3" xfId="24909" xr:uid="{00000000-0005-0000-0000-000030070000}"/>
    <cellStyle name="Comma 18 2 2 3 2 3" xfId="12193" xr:uid="{00000000-0005-0000-0000-000031070000}"/>
    <cellStyle name="Comma 18 2 2 3 2 3 2" xfId="29133" xr:uid="{00000000-0005-0000-0000-000032070000}"/>
    <cellStyle name="Comma 18 2 2 3 2 4" xfId="20685" xr:uid="{00000000-0005-0000-0000-000033070000}"/>
    <cellStyle name="Comma 18 2 2 3 3" xfId="5857" xr:uid="{00000000-0005-0000-0000-000034070000}"/>
    <cellStyle name="Comma 18 2 2 3 3 2" xfId="14305" xr:uid="{00000000-0005-0000-0000-000035070000}"/>
    <cellStyle name="Comma 18 2 2 3 3 2 2" xfId="31245" xr:uid="{00000000-0005-0000-0000-000036070000}"/>
    <cellStyle name="Comma 18 2 2 3 3 3" xfId="22797" xr:uid="{00000000-0005-0000-0000-000037070000}"/>
    <cellStyle name="Comma 18 2 2 3 4" xfId="10081" xr:uid="{00000000-0005-0000-0000-000038070000}"/>
    <cellStyle name="Comma 18 2 2 3 4 2" xfId="27021" xr:uid="{00000000-0005-0000-0000-000039070000}"/>
    <cellStyle name="Comma 18 2 2 3 5" xfId="18573" xr:uid="{00000000-0005-0000-0000-00003A070000}"/>
    <cellStyle name="Comma 18 2 2 4" xfId="2687" xr:uid="{00000000-0005-0000-0000-00003B070000}"/>
    <cellStyle name="Comma 18 2 2 4 2" xfId="6913" xr:uid="{00000000-0005-0000-0000-00003C070000}"/>
    <cellStyle name="Comma 18 2 2 4 2 2" xfId="15361" xr:uid="{00000000-0005-0000-0000-00003D070000}"/>
    <cellStyle name="Comma 18 2 2 4 2 2 2" xfId="32301" xr:uid="{00000000-0005-0000-0000-00003E070000}"/>
    <cellStyle name="Comma 18 2 2 4 2 3" xfId="23853" xr:uid="{00000000-0005-0000-0000-00003F070000}"/>
    <cellStyle name="Comma 18 2 2 4 3" xfId="11137" xr:uid="{00000000-0005-0000-0000-000040070000}"/>
    <cellStyle name="Comma 18 2 2 4 3 2" xfId="28077" xr:uid="{00000000-0005-0000-0000-000041070000}"/>
    <cellStyle name="Comma 18 2 2 4 4" xfId="19629" xr:uid="{00000000-0005-0000-0000-000042070000}"/>
    <cellStyle name="Comma 18 2 2 5" xfId="4801" xr:uid="{00000000-0005-0000-0000-000043070000}"/>
    <cellStyle name="Comma 18 2 2 5 2" xfId="13249" xr:uid="{00000000-0005-0000-0000-000044070000}"/>
    <cellStyle name="Comma 18 2 2 5 2 2" xfId="30189" xr:uid="{00000000-0005-0000-0000-000045070000}"/>
    <cellStyle name="Comma 18 2 2 5 3" xfId="21741" xr:uid="{00000000-0005-0000-0000-000046070000}"/>
    <cellStyle name="Comma 18 2 2 6" xfId="9025" xr:uid="{00000000-0005-0000-0000-000047070000}"/>
    <cellStyle name="Comma 18 2 2 6 2" xfId="25965" xr:uid="{00000000-0005-0000-0000-000048070000}"/>
    <cellStyle name="Comma 18 2 2 7" xfId="17517" xr:uid="{00000000-0005-0000-0000-000049070000}"/>
    <cellStyle name="Comma 18 2 3" xfId="745" xr:uid="{00000000-0005-0000-0000-00004A070000}"/>
    <cellStyle name="Comma 18 2 3 2" xfId="1807" xr:uid="{00000000-0005-0000-0000-00004B070000}"/>
    <cellStyle name="Comma 18 2 3 2 2" xfId="3919" xr:uid="{00000000-0005-0000-0000-00004C070000}"/>
    <cellStyle name="Comma 18 2 3 2 2 2" xfId="8145" xr:uid="{00000000-0005-0000-0000-00004D070000}"/>
    <cellStyle name="Comma 18 2 3 2 2 2 2" xfId="16593" xr:uid="{00000000-0005-0000-0000-00004E070000}"/>
    <cellStyle name="Comma 18 2 3 2 2 2 2 2" xfId="33533" xr:uid="{00000000-0005-0000-0000-00004F070000}"/>
    <cellStyle name="Comma 18 2 3 2 2 2 3" xfId="25085" xr:uid="{00000000-0005-0000-0000-000050070000}"/>
    <cellStyle name="Comma 18 2 3 2 2 3" xfId="12369" xr:uid="{00000000-0005-0000-0000-000051070000}"/>
    <cellStyle name="Comma 18 2 3 2 2 3 2" xfId="29309" xr:uid="{00000000-0005-0000-0000-000052070000}"/>
    <cellStyle name="Comma 18 2 3 2 2 4" xfId="20861" xr:uid="{00000000-0005-0000-0000-000053070000}"/>
    <cellStyle name="Comma 18 2 3 2 3" xfId="6033" xr:uid="{00000000-0005-0000-0000-000054070000}"/>
    <cellStyle name="Comma 18 2 3 2 3 2" xfId="14481" xr:uid="{00000000-0005-0000-0000-000055070000}"/>
    <cellStyle name="Comma 18 2 3 2 3 2 2" xfId="31421" xr:uid="{00000000-0005-0000-0000-000056070000}"/>
    <cellStyle name="Comma 18 2 3 2 3 3" xfId="22973" xr:uid="{00000000-0005-0000-0000-000057070000}"/>
    <cellStyle name="Comma 18 2 3 2 4" xfId="10257" xr:uid="{00000000-0005-0000-0000-000058070000}"/>
    <cellStyle name="Comma 18 2 3 2 4 2" xfId="27197" xr:uid="{00000000-0005-0000-0000-000059070000}"/>
    <cellStyle name="Comma 18 2 3 2 5" xfId="18749" xr:uid="{00000000-0005-0000-0000-00005A070000}"/>
    <cellStyle name="Comma 18 2 3 3" xfId="2863" xr:uid="{00000000-0005-0000-0000-00005B070000}"/>
    <cellStyle name="Comma 18 2 3 3 2" xfId="7089" xr:uid="{00000000-0005-0000-0000-00005C070000}"/>
    <cellStyle name="Comma 18 2 3 3 2 2" xfId="15537" xr:uid="{00000000-0005-0000-0000-00005D070000}"/>
    <cellStyle name="Comma 18 2 3 3 2 2 2" xfId="32477" xr:uid="{00000000-0005-0000-0000-00005E070000}"/>
    <cellStyle name="Comma 18 2 3 3 2 3" xfId="24029" xr:uid="{00000000-0005-0000-0000-00005F070000}"/>
    <cellStyle name="Comma 18 2 3 3 3" xfId="11313" xr:uid="{00000000-0005-0000-0000-000060070000}"/>
    <cellStyle name="Comma 18 2 3 3 3 2" xfId="28253" xr:uid="{00000000-0005-0000-0000-000061070000}"/>
    <cellStyle name="Comma 18 2 3 3 4" xfId="19805" xr:uid="{00000000-0005-0000-0000-000062070000}"/>
    <cellStyle name="Comma 18 2 3 4" xfId="4977" xr:uid="{00000000-0005-0000-0000-000063070000}"/>
    <cellStyle name="Comma 18 2 3 4 2" xfId="13425" xr:uid="{00000000-0005-0000-0000-000064070000}"/>
    <cellStyle name="Comma 18 2 3 4 2 2" xfId="30365" xr:uid="{00000000-0005-0000-0000-000065070000}"/>
    <cellStyle name="Comma 18 2 3 4 3" xfId="21917" xr:uid="{00000000-0005-0000-0000-000066070000}"/>
    <cellStyle name="Comma 18 2 3 5" xfId="9201" xr:uid="{00000000-0005-0000-0000-000067070000}"/>
    <cellStyle name="Comma 18 2 3 5 2" xfId="26141" xr:uid="{00000000-0005-0000-0000-000068070000}"/>
    <cellStyle name="Comma 18 2 3 6" xfId="17693" xr:uid="{00000000-0005-0000-0000-000069070000}"/>
    <cellStyle name="Comma 18 2 4" xfId="1097" xr:uid="{00000000-0005-0000-0000-00006A070000}"/>
    <cellStyle name="Comma 18 2 4 2" xfId="2159" xr:uid="{00000000-0005-0000-0000-00006B070000}"/>
    <cellStyle name="Comma 18 2 4 2 2" xfId="4271" xr:uid="{00000000-0005-0000-0000-00006C070000}"/>
    <cellStyle name="Comma 18 2 4 2 2 2" xfId="8497" xr:uid="{00000000-0005-0000-0000-00006D070000}"/>
    <cellStyle name="Comma 18 2 4 2 2 2 2" xfId="16945" xr:uid="{00000000-0005-0000-0000-00006E070000}"/>
    <cellStyle name="Comma 18 2 4 2 2 2 2 2" xfId="33885" xr:uid="{00000000-0005-0000-0000-00006F070000}"/>
    <cellStyle name="Comma 18 2 4 2 2 2 3" xfId="25437" xr:uid="{00000000-0005-0000-0000-000070070000}"/>
    <cellStyle name="Comma 18 2 4 2 2 3" xfId="12721" xr:uid="{00000000-0005-0000-0000-000071070000}"/>
    <cellStyle name="Comma 18 2 4 2 2 3 2" xfId="29661" xr:uid="{00000000-0005-0000-0000-000072070000}"/>
    <cellStyle name="Comma 18 2 4 2 2 4" xfId="21213" xr:uid="{00000000-0005-0000-0000-000073070000}"/>
    <cellStyle name="Comma 18 2 4 2 3" xfId="6385" xr:uid="{00000000-0005-0000-0000-000074070000}"/>
    <cellStyle name="Comma 18 2 4 2 3 2" xfId="14833" xr:uid="{00000000-0005-0000-0000-000075070000}"/>
    <cellStyle name="Comma 18 2 4 2 3 2 2" xfId="31773" xr:uid="{00000000-0005-0000-0000-000076070000}"/>
    <cellStyle name="Comma 18 2 4 2 3 3" xfId="23325" xr:uid="{00000000-0005-0000-0000-000077070000}"/>
    <cellStyle name="Comma 18 2 4 2 4" xfId="10609" xr:uid="{00000000-0005-0000-0000-000078070000}"/>
    <cellStyle name="Comma 18 2 4 2 4 2" xfId="27549" xr:uid="{00000000-0005-0000-0000-000079070000}"/>
    <cellStyle name="Comma 18 2 4 2 5" xfId="19101" xr:uid="{00000000-0005-0000-0000-00007A070000}"/>
    <cellStyle name="Comma 18 2 4 3" xfId="3215" xr:uid="{00000000-0005-0000-0000-00007B070000}"/>
    <cellStyle name="Comma 18 2 4 3 2" xfId="7441" xr:uid="{00000000-0005-0000-0000-00007C070000}"/>
    <cellStyle name="Comma 18 2 4 3 2 2" xfId="15889" xr:uid="{00000000-0005-0000-0000-00007D070000}"/>
    <cellStyle name="Comma 18 2 4 3 2 2 2" xfId="32829" xr:uid="{00000000-0005-0000-0000-00007E070000}"/>
    <cellStyle name="Comma 18 2 4 3 2 3" xfId="24381" xr:uid="{00000000-0005-0000-0000-00007F070000}"/>
    <cellStyle name="Comma 18 2 4 3 3" xfId="11665" xr:uid="{00000000-0005-0000-0000-000080070000}"/>
    <cellStyle name="Comma 18 2 4 3 3 2" xfId="28605" xr:uid="{00000000-0005-0000-0000-000081070000}"/>
    <cellStyle name="Comma 18 2 4 3 4" xfId="20157" xr:uid="{00000000-0005-0000-0000-000082070000}"/>
    <cellStyle name="Comma 18 2 4 4" xfId="5329" xr:uid="{00000000-0005-0000-0000-000083070000}"/>
    <cellStyle name="Comma 18 2 4 4 2" xfId="13777" xr:uid="{00000000-0005-0000-0000-000084070000}"/>
    <cellStyle name="Comma 18 2 4 4 2 2" xfId="30717" xr:uid="{00000000-0005-0000-0000-000085070000}"/>
    <cellStyle name="Comma 18 2 4 4 3" xfId="22269" xr:uid="{00000000-0005-0000-0000-000086070000}"/>
    <cellStyle name="Comma 18 2 4 5" xfId="9553" xr:uid="{00000000-0005-0000-0000-000087070000}"/>
    <cellStyle name="Comma 18 2 4 5 2" xfId="26493" xr:uid="{00000000-0005-0000-0000-000088070000}"/>
    <cellStyle name="Comma 18 2 4 6" xfId="18045" xr:uid="{00000000-0005-0000-0000-000089070000}"/>
    <cellStyle name="Comma 18 2 5" xfId="1279" xr:uid="{00000000-0005-0000-0000-00008A070000}"/>
    <cellStyle name="Comma 18 2 5 2" xfId="2335" xr:uid="{00000000-0005-0000-0000-00008B070000}"/>
    <cellStyle name="Comma 18 2 5 2 2" xfId="4447" xr:uid="{00000000-0005-0000-0000-00008C070000}"/>
    <cellStyle name="Comma 18 2 5 2 2 2" xfId="8673" xr:uid="{00000000-0005-0000-0000-00008D070000}"/>
    <cellStyle name="Comma 18 2 5 2 2 2 2" xfId="17121" xr:uid="{00000000-0005-0000-0000-00008E070000}"/>
    <cellStyle name="Comma 18 2 5 2 2 2 2 2" xfId="34061" xr:uid="{00000000-0005-0000-0000-00008F070000}"/>
    <cellStyle name="Comma 18 2 5 2 2 2 3" xfId="25613" xr:uid="{00000000-0005-0000-0000-000090070000}"/>
    <cellStyle name="Comma 18 2 5 2 2 3" xfId="12897" xr:uid="{00000000-0005-0000-0000-000091070000}"/>
    <cellStyle name="Comma 18 2 5 2 2 3 2" xfId="29837" xr:uid="{00000000-0005-0000-0000-000092070000}"/>
    <cellStyle name="Comma 18 2 5 2 2 4" xfId="21389" xr:uid="{00000000-0005-0000-0000-000093070000}"/>
    <cellStyle name="Comma 18 2 5 2 3" xfId="6561" xr:uid="{00000000-0005-0000-0000-000094070000}"/>
    <cellStyle name="Comma 18 2 5 2 3 2" xfId="15009" xr:uid="{00000000-0005-0000-0000-000095070000}"/>
    <cellStyle name="Comma 18 2 5 2 3 2 2" xfId="31949" xr:uid="{00000000-0005-0000-0000-000096070000}"/>
    <cellStyle name="Comma 18 2 5 2 3 3" xfId="23501" xr:uid="{00000000-0005-0000-0000-000097070000}"/>
    <cellStyle name="Comma 18 2 5 2 4" xfId="10785" xr:uid="{00000000-0005-0000-0000-000098070000}"/>
    <cellStyle name="Comma 18 2 5 2 4 2" xfId="27725" xr:uid="{00000000-0005-0000-0000-000099070000}"/>
    <cellStyle name="Comma 18 2 5 2 5" xfId="19277" xr:uid="{00000000-0005-0000-0000-00009A070000}"/>
    <cellStyle name="Comma 18 2 5 3" xfId="3391" xr:uid="{00000000-0005-0000-0000-00009B070000}"/>
    <cellStyle name="Comma 18 2 5 3 2" xfId="7617" xr:uid="{00000000-0005-0000-0000-00009C070000}"/>
    <cellStyle name="Comma 18 2 5 3 2 2" xfId="16065" xr:uid="{00000000-0005-0000-0000-00009D070000}"/>
    <cellStyle name="Comma 18 2 5 3 2 2 2" xfId="33005" xr:uid="{00000000-0005-0000-0000-00009E070000}"/>
    <cellStyle name="Comma 18 2 5 3 2 3" xfId="24557" xr:uid="{00000000-0005-0000-0000-00009F070000}"/>
    <cellStyle name="Comma 18 2 5 3 3" xfId="11841" xr:uid="{00000000-0005-0000-0000-0000A0070000}"/>
    <cellStyle name="Comma 18 2 5 3 3 2" xfId="28781" xr:uid="{00000000-0005-0000-0000-0000A1070000}"/>
    <cellStyle name="Comma 18 2 5 3 4" xfId="20333" xr:uid="{00000000-0005-0000-0000-0000A2070000}"/>
    <cellStyle name="Comma 18 2 5 4" xfId="5505" xr:uid="{00000000-0005-0000-0000-0000A3070000}"/>
    <cellStyle name="Comma 18 2 5 4 2" xfId="13953" xr:uid="{00000000-0005-0000-0000-0000A4070000}"/>
    <cellStyle name="Comma 18 2 5 4 2 2" xfId="30893" xr:uid="{00000000-0005-0000-0000-0000A5070000}"/>
    <cellStyle name="Comma 18 2 5 4 3" xfId="22445" xr:uid="{00000000-0005-0000-0000-0000A6070000}"/>
    <cellStyle name="Comma 18 2 5 5" xfId="9729" xr:uid="{00000000-0005-0000-0000-0000A7070000}"/>
    <cellStyle name="Comma 18 2 5 5 2" xfId="26669" xr:uid="{00000000-0005-0000-0000-0000A8070000}"/>
    <cellStyle name="Comma 18 2 5 6" xfId="18221" xr:uid="{00000000-0005-0000-0000-0000A9070000}"/>
    <cellStyle name="Comma 18 2 6" xfId="1455" xr:uid="{00000000-0005-0000-0000-0000AA070000}"/>
    <cellStyle name="Comma 18 2 6 2" xfId="3567" xr:uid="{00000000-0005-0000-0000-0000AB070000}"/>
    <cellStyle name="Comma 18 2 6 2 2" xfId="7793" xr:uid="{00000000-0005-0000-0000-0000AC070000}"/>
    <cellStyle name="Comma 18 2 6 2 2 2" xfId="16241" xr:uid="{00000000-0005-0000-0000-0000AD070000}"/>
    <cellStyle name="Comma 18 2 6 2 2 2 2" xfId="33181" xr:uid="{00000000-0005-0000-0000-0000AE070000}"/>
    <cellStyle name="Comma 18 2 6 2 2 3" xfId="24733" xr:uid="{00000000-0005-0000-0000-0000AF070000}"/>
    <cellStyle name="Comma 18 2 6 2 3" xfId="12017" xr:uid="{00000000-0005-0000-0000-0000B0070000}"/>
    <cellStyle name="Comma 18 2 6 2 3 2" xfId="28957" xr:uid="{00000000-0005-0000-0000-0000B1070000}"/>
    <cellStyle name="Comma 18 2 6 2 4" xfId="20509" xr:uid="{00000000-0005-0000-0000-0000B2070000}"/>
    <cellStyle name="Comma 18 2 6 3" xfId="5681" xr:uid="{00000000-0005-0000-0000-0000B3070000}"/>
    <cellStyle name="Comma 18 2 6 3 2" xfId="14129" xr:uid="{00000000-0005-0000-0000-0000B4070000}"/>
    <cellStyle name="Comma 18 2 6 3 2 2" xfId="31069" xr:uid="{00000000-0005-0000-0000-0000B5070000}"/>
    <cellStyle name="Comma 18 2 6 3 3" xfId="22621" xr:uid="{00000000-0005-0000-0000-0000B6070000}"/>
    <cellStyle name="Comma 18 2 6 4" xfId="9905" xr:uid="{00000000-0005-0000-0000-0000B7070000}"/>
    <cellStyle name="Comma 18 2 6 4 2" xfId="26845" xr:uid="{00000000-0005-0000-0000-0000B8070000}"/>
    <cellStyle name="Comma 18 2 6 5" xfId="18397" xr:uid="{00000000-0005-0000-0000-0000B9070000}"/>
    <cellStyle name="Comma 18 2 7" xfId="2511" xr:uid="{00000000-0005-0000-0000-0000BA070000}"/>
    <cellStyle name="Comma 18 2 7 2" xfId="6737" xr:uid="{00000000-0005-0000-0000-0000BB070000}"/>
    <cellStyle name="Comma 18 2 7 2 2" xfId="15185" xr:uid="{00000000-0005-0000-0000-0000BC070000}"/>
    <cellStyle name="Comma 18 2 7 2 2 2" xfId="32125" xr:uid="{00000000-0005-0000-0000-0000BD070000}"/>
    <cellStyle name="Comma 18 2 7 2 3" xfId="23677" xr:uid="{00000000-0005-0000-0000-0000BE070000}"/>
    <cellStyle name="Comma 18 2 7 3" xfId="10961" xr:uid="{00000000-0005-0000-0000-0000BF070000}"/>
    <cellStyle name="Comma 18 2 7 3 2" xfId="27901" xr:uid="{00000000-0005-0000-0000-0000C0070000}"/>
    <cellStyle name="Comma 18 2 7 4" xfId="19453" xr:uid="{00000000-0005-0000-0000-0000C1070000}"/>
    <cellStyle name="Comma 18 2 8" xfId="4624" xr:uid="{00000000-0005-0000-0000-0000C2070000}"/>
    <cellStyle name="Comma 18 2 8 2" xfId="13073" xr:uid="{00000000-0005-0000-0000-0000C3070000}"/>
    <cellStyle name="Comma 18 2 8 2 2" xfId="30013" xr:uid="{00000000-0005-0000-0000-0000C4070000}"/>
    <cellStyle name="Comma 18 2 8 3" xfId="21565" xr:uid="{00000000-0005-0000-0000-0000C5070000}"/>
    <cellStyle name="Comma 18 2 9" xfId="8849" xr:uid="{00000000-0005-0000-0000-0000C6070000}"/>
    <cellStyle name="Comma 18 2 9 2" xfId="25789" xr:uid="{00000000-0005-0000-0000-0000C7070000}"/>
    <cellStyle name="Comma 18 3" xfId="76" xr:uid="{00000000-0005-0000-0000-0000C8070000}"/>
    <cellStyle name="Comma 18 3 10" xfId="17302" xr:uid="{00000000-0005-0000-0000-0000C9070000}"/>
    <cellStyle name="Comma 18 3 2" xfId="568" xr:uid="{00000000-0005-0000-0000-0000CA070000}"/>
    <cellStyle name="Comma 18 3 2 2" xfId="922" xr:uid="{00000000-0005-0000-0000-0000CB070000}"/>
    <cellStyle name="Comma 18 3 2 2 2" xfId="1984" xr:uid="{00000000-0005-0000-0000-0000CC070000}"/>
    <cellStyle name="Comma 18 3 2 2 2 2" xfId="4096" xr:uid="{00000000-0005-0000-0000-0000CD070000}"/>
    <cellStyle name="Comma 18 3 2 2 2 2 2" xfId="8322" xr:uid="{00000000-0005-0000-0000-0000CE070000}"/>
    <cellStyle name="Comma 18 3 2 2 2 2 2 2" xfId="16770" xr:uid="{00000000-0005-0000-0000-0000CF070000}"/>
    <cellStyle name="Comma 18 3 2 2 2 2 2 2 2" xfId="33710" xr:uid="{00000000-0005-0000-0000-0000D0070000}"/>
    <cellStyle name="Comma 18 3 2 2 2 2 2 3" xfId="25262" xr:uid="{00000000-0005-0000-0000-0000D1070000}"/>
    <cellStyle name="Comma 18 3 2 2 2 2 3" xfId="12546" xr:uid="{00000000-0005-0000-0000-0000D2070000}"/>
    <cellStyle name="Comma 18 3 2 2 2 2 3 2" xfId="29486" xr:uid="{00000000-0005-0000-0000-0000D3070000}"/>
    <cellStyle name="Comma 18 3 2 2 2 2 4" xfId="21038" xr:uid="{00000000-0005-0000-0000-0000D4070000}"/>
    <cellStyle name="Comma 18 3 2 2 2 3" xfId="6210" xr:uid="{00000000-0005-0000-0000-0000D5070000}"/>
    <cellStyle name="Comma 18 3 2 2 2 3 2" xfId="14658" xr:uid="{00000000-0005-0000-0000-0000D6070000}"/>
    <cellStyle name="Comma 18 3 2 2 2 3 2 2" xfId="31598" xr:uid="{00000000-0005-0000-0000-0000D7070000}"/>
    <cellStyle name="Comma 18 3 2 2 2 3 3" xfId="23150" xr:uid="{00000000-0005-0000-0000-0000D8070000}"/>
    <cellStyle name="Comma 18 3 2 2 2 4" xfId="10434" xr:uid="{00000000-0005-0000-0000-0000D9070000}"/>
    <cellStyle name="Comma 18 3 2 2 2 4 2" xfId="27374" xr:uid="{00000000-0005-0000-0000-0000DA070000}"/>
    <cellStyle name="Comma 18 3 2 2 2 5" xfId="18926" xr:uid="{00000000-0005-0000-0000-0000DB070000}"/>
    <cellStyle name="Comma 18 3 2 2 3" xfId="3040" xr:uid="{00000000-0005-0000-0000-0000DC070000}"/>
    <cellStyle name="Comma 18 3 2 2 3 2" xfId="7266" xr:uid="{00000000-0005-0000-0000-0000DD070000}"/>
    <cellStyle name="Comma 18 3 2 2 3 2 2" xfId="15714" xr:uid="{00000000-0005-0000-0000-0000DE070000}"/>
    <cellStyle name="Comma 18 3 2 2 3 2 2 2" xfId="32654" xr:uid="{00000000-0005-0000-0000-0000DF070000}"/>
    <cellStyle name="Comma 18 3 2 2 3 2 3" xfId="24206" xr:uid="{00000000-0005-0000-0000-0000E0070000}"/>
    <cellStyle name="Comma 18 3 2 2 3 3" xfId="11490" xr:uid="{00000000-0005-0000-0000-0000E1070000}"/>
    <cellStyle name="Comma 18 3 2 2 3 3 2" xfId="28430" xr:uid="{00000000-0005-0000-0000-0000E2070000}"/>
    <cellStyle name="Comma 18 3 2 2 3 4" xfId="19982" xr:uid="{00000000-0005-0000-0000-0000E3070000}"/>
    <cellStyle name="Comma 18 3 2 2 4" xfId="5154" xr:uid="{00000000-0005-0000-0000-0000E4070000}"/>
    <cellStyle name="Comma 18 3 2 2 4 2" xfId="13602" xr:uid="{00000000-0005-0000-0000-0000E5070000}"/>
    <cellStyle name="Comma 18 3 2 2 4 2 2" xfId="30542" xr:uid="{00000000-0005-0000-0000-0000E6070000}"/>
    <cellStyle name="Comma 18 3 2 2 4 3" xfId="22094" xr:uid="{00000000-0005-0000-0000-0000E7070000}"/>
    <cellStyle name="Comma 18 3 2 2 5" xfId="9378" xr:uid="{00000000-0005-0000-0000-0000E8070000}"/>
    <cellStyle name="Comma 18 3 2 2 5 2" xfId="26318" xr:uid="{00000000-0005-0000-0000-0000E9070000}"/>
    <cellStyle name="Comma 18 3 2 2 6" xfId="17870" xr:uid="{00000000-0005-0000-0000-0000EA070000}"/>
    <cellStyle name="Comma 18 3 2 3" xfId="1632" xr:uid="{00000000-0005-0000-0000-0000EB070000}"/>
    <cellStyle name="Comma 18 3 2 3 2" xfId="3744" xr:uid="{00000000-0005-0000-0000-0000EC070000}"/>
    <cellStyle name="Comma 18 3 2 3 2 2" xfId="7970" xr:uid="{00000000-0005-0000-0000-0000ED070000}"/>
    <cellStyle name="Comma 18 3 2 3 2 2 2" xfId="16418" xr:uid="{00000000-0005-0000-0000-0000EE070000}"/>
    <cellStyle name="Comma 18 3 2 3 2 2 2 2" xfId="33358" xr:uid="{00000000-0005-0000-0000-0000EF070000}"/>
    <cellStyle name="Comma 18 3 2 3 2 2 3" xfId="24910" xr:uid="{00000000-0005-0000-0000-0000F0070000}"/>
    <cellStyle name="Comma 18 3 2 3 2 3" xfId="12194" xr:uid="{00000000-0005-0000-0000-0000F1070000}"/>
    <cellStyle name="Comma 18 3 2 3 2 3 2" xfId="29134" xr:uid="{00000000-0005-0000-0000-0000F2070000}"/>
    <cellStyle name="Comma 18 3 2 3 2 4" xfId="20686" xr:uid="{00000000-0005-0000-0000-0000F3070000}"/>
    <cellStyle name="Comma 18 3 2 3 3" xfId="5858" xr:uid="{00000000-0005-0000-0000-0000F4070000}"/>
    <cellStyle name="Comma 18 3 2 3 3 2" xfId="14306" xr:uid="{00000000-0005-0000-0000-0000F5070000}"/>
    <cellStyle name="Comma 18 3 2 3 3 2 2" xfId="31246" xr:uid="{00000000-0005-0000-0000-0000F6070000}"/>
    <cellStyle name="Comma 18 3 2 3 3 3" xfId="22798" xr:uid="{00000000-0005-0000-0000-0000F7070000}"/>
    <cellStyle name="Comma 18 3 2 3 4" xfId="10082" xr:uid="{00000000-0005-0000-0000-0000F8070000}"/>
    <cellStyle name="Comma 18 3 2 3 4 2" xfId="27022" xr:uid="{00000000-0005-0000-0000-0000F9070000}"/>
    <cellStyle name="Comma 18 3 2 3 5" xfId="18574" xr:uid="{00000000-0005-0000-0000-0000FA070000}"/>
    <cellStyle name="Comma 18 3 2 4" xfId="2688" xr:uid="{00000000-0005-0000-0000-0000FB070000}"/>
    <cellStyle name="Comma 18 3 2 4 2" xfId="6914" xr:uid="{00000000-0005-0000-0000-0000FC070000}"/>
    <cellStyle name="Comma 18 3 2 4 2 2" xfId="15362" xr:uid="{00000000-0005-0000-0000-0000FD070000}"/>
    <cellStyle name="Comma 18 3 2 4 2 2 2" xfId="32302" xr:uid="{00000000-0005-0000-0000-0000FE070000}"/>
    <cellStyle name="Comma 18 3 2 4 2 3" xfId="23854" xr:uid="{00000000-0005-0000-0000-0000FF070000}"/>
    <cellStyle name="Comma 18 3 2 4 3" xfId="11138" xr:uid="{00000000-0005-0000-0000-000000080000}"/>
    <cellStyle name="Comma 18 3 2 4 3 2" xfId="28078" xr:uid="{00000000-0005-0000-0000-000001080000}"/>
    <cellStyle name="Comma 18 3 2 4 4" xfId="19630" xr:uid="{00000000-0005-0000-0000-000002080000}"/>
    <cellStyle name="Comma 18 3 2 5" xfId="4802" xr:uid="{00000000-0005-0000-0000-000003080000}"/>
    <cellStyle name="Comma 18 3 2 5 2" xfId="13250" xr:uid="{00000000-0005-0000-0000-000004080000}"/>
    <cellStyle name="Comma 18 3 2 5 2 2" xfId="30190" xr:uid="{00000000-0005-0000-0000-000005080000}"/>
    <cellStyle name="Comma 18 3 2 5 3" xfId="21742" xr:uid="{00000000-0005-0000-0000-000006080000}"/>
    <cellStyle name="Comma 18 3 2 6" xfId="9026" xr:uid="{00000000-0005-0000-0000-000007080000}"/>
    <cellStyle name="Comma 18 3 2 6 2" xfId="25966" xr:uid="{00000000-0005-0000-0000-000008080000}"/>
    <cellStyle name="Comma 18 3 2 7" xfId="17518" xr:uid="{00000000-0005-0000-0000-000009080000}"/>
    <cellStyle name="Comma 18 3 3" xfId="746" xr:uid="{00000000-0005-0000-0000-00000A080000}"/>
    <cellStyle name="Comma 18 3 3 2" xfId="1808" xr:uid="{00000000-0005-0000-0000-00000B080000}"/>
    <cellStyle name="Comma 18 3 3 2 2" xfId="3920" xr:uid="{00000000-0005-0000-0000-00000C080000}"/>
    <cellStyle name="Comma 18 3 3 2 2 2" xfId="8146" xr:uid="{00000000-0005-0000-0000-00000D080000}"/>
    <cellStyle name="Comma 18 3 3 2 2 2 2" xfId="16594" xr:uid="{00000000-0005-0000-0000-00000E080000}"/>
    <cellStyle name="Comma 18 3 3 2 2 2 2 2" xfId="33534" xr:uid="{00000000-0005-0000-0000-00000F080000}"/>
    <cellStyle name="Comma 18 3 3 2 2 2 3" xfId="25086" xr:uid="{00000000-0005-0000-0000-000010080000}"/>
    <cellStyle name="Comma 18 3 3 2 2 3" xfId="12370" xr:uid="{00000000-0005-0000-0000-000011080000}"/>
    <cellStyle name="Comma 18 3 3 2 2 3 2" xfId="29310" xr:uid="{00000000-0005-0000-0000-000012080000}"/>
    <cellStyle name="Comma 18 3 3 2 2 4" xfId="20862" xr:uid="{00000000-0005-0000-0000-000013080000}"/>
    <cellStyle name="Comma 18 3 3 2 3" xfId="6034" xr:uid="{00000000-0005-0000-0000-000014080000}"/>
    <cellStyle name="Comma 18 3 3 2 3 2" xfId="14482" xr:uid="{00000000-0005-0000-0000-000015080000}"/>
    <cellStyle name="Comma 18 3 3 2 3 2 2" xfId="31422" xr:uid="{00000000-0005-0000-0000-000016080000}"/>
    <cellStyle name="Comma 18 3 3 2 3 3" xfId="22974" xr:uid="{00000000-0005-0000-0000-000017080000}"/>
    <cellStyle name="Comma 18 3 3 2 4" xfId="10258" xr:uid="{00000000-0005-0000-0000-000018080000}"/>
    <cellStyle name="Comma 18 3 3 2 4 2" xfId="27198" xr:uid="{00000000-0005-0000-0000-000019080000}"/>
    <cellStyle name="Comma 18 3 3 2 5" xfId="18750" xr:uid="{00000000-0005-0000-0000-00001A080000}"/>
    <cellStyle name="Comma 18 3 3 3" xfId="2864" xr:uid="{00000000-0005-0000-0000-00001B080000}"/>
    <cellStyle name="Comma 18 3 3 3 2" xfId="7090" xr:uid="{00000000-0005-0000-0000-00001C080000}"/>
    <cellStyle name="Comma 18 3 3 3 2 2" xfId="15538" xr:uid="{00000000-0005-0000-0000-00001D080000}"/>
    <cellStyle name="Comma 18 3 3 3 2 2 2" xfId="32478" xr:uid="{00000000-0005-0000-0000-00001E080000}"/>
    <cellStyle name="Comma 18 3 3 3 2 3" xfId="24030" xr:uid="{00000000-0005-0000-0000-00001F080000}"/>
    <cellStyle name="Comma 18 3 3 3 3" xfId="11314" xr:uid="{00000000-0005-0000-0000-000020080000}"/>
    <cellStyle name="Comma 18 3 3 3 3 2" xfId="28254" xr:uid="{00000000-0005-0000-0000-000021080000}"/>
    <cellStyle name="Comma 18 3 3 3 4" xfId="19806" xr:uid="{00000000-0005-0000-0000-000022080000}"/>
    <cellStyle name="Comma 18 3 3 4" xfId="4978" xr:uid="{00000000-0005-0000-0000-000023080000}"/>
    <cellStyle name="Comma 18 3 3 4 2" xfId="13426" xr:uid="{00000000-0005-0000-0000-000024080000}"/>
    <cellStyle name="Comma 18 3 3 4 2 2" xfId="30366" xr:uid="{00000000-0005-0000-0000-000025080000}"/>
    <cellStyle name="Comma 18 3 3 4 3" xfId="21918" xr:uid="{00000000-0005-0000-0000-000026080000}"/>
    <cellStyle name="Comma 18 3 3 5" xfId="9202" xr:uid="{00000000-0005-0000-0000-000027080000}"/>
    <cellStyle name="Comma 18 3 3 5 2" xfId="26142" xr:uid="{00000000-0005-0000-0000-000028080000}"/>
    <cellStyle name="Comma 18 3 3 6" xfId="17694" xr:uid="{00000000-0005-0000-0000-000029080000}"/>
    <cellStyle name="Comma 18 3 4" xfId="1098" xr:uid="{00000000-0005-0000-0000-00002A080000}"/>
    <cellStyle name="Comma 18 3 4 2" xfId="2160" xr:uid="{00000000-0005-0000-0000-00002B080000}"/>
    <cellStyle name="Comma 18 3 4 2 2" xfId="4272" xr:uid="{00000000-0005-0000-0000-00002C080000}"/>
    <cellStyle name="Comma 18 3 4 2 2 2" xfId="8498" xr:uid="{00000000-0005-0000-0000-00002D080000}"/>
    <cellStyle name="Comma 18 3 4 2 2 2 2" xfId="16946" xr:uid="{00000000-0005-0000-0000-00002E080000}"/>
    <cellStyle name="Comma 18 3 4 2 2 2 2 2" xfId="33886" xr:uid="{00000000-0005-0000-0000-00002F080000}"/>
    <cellStyle name="Comma 18 3 4 2 2 2 3" xfId="25438" xr:uid="{00000000-0005-0000-0000-000030080000}"/>
    <cellStyle name="Comma 18 3 4 2 2 3" xfId="12722" xr:uid="{00000000-0005-0000-0000-000031080000}"/>
    <cellStyle name="Comma 18 3 4 2 2 3 2" xfId="29662" xr:uid="{00000000-0005-0000-0000-000032080000}"/>
    <cellStyle name="Comma 18 3 4 2 2 4" xfId="21214" xr:uid="{00000000-0005-0000-0000-000033080000}"/>
    <cellStyle name="Comma 18 3 4 2 3" xfId="6386" xr:uid="{00000000-0005-0000-0000-000034080000}"/>
    <cellStyle name="Comma 18 3 4 2 3 2" xfId="14834" xr:uid="{00000000-0005-0000-0000-000035080000}"/>
    <cellStyle name="Comma 18 3 4 2 3 2 2" xfId="31774" xr:uid="{00000000-0005-0000-0000-000036080000}"/>
    <cellStyle name="Comma 18 3 4 2 3 3" xfId="23326" xr:uid="{00000000-0005-0000-0000-000037080000}"/>
    <cellStyle name="Comma 18 3 4 2 4" xfId="10610" xr:uid="{00000000-0005-0000-0000-000038080000}"/>
    <cellStyle name="Comma 18 3 4 2 4 2" xfId="27550" xr:uid="{00000000-0005-0000-0000-000039080000}"/>
    <cellStyle name="Comma 18 3 4 2 5" xfId="19102" xr:uid="{00000000-0005-0000-0000-00003A080000}"/>
    <cellStyle name="Comma 18 3 4 3" xfId="3216" xr:uid="{00000000-0005-0000-0000-00003B080000}"/>
    <cellStyle name="Comma 18 3 4 3 2" xfId="7442" xr:uid="{00000000-0005-0000-0000-00003C080000}"/>
    <cellStyle name="Comma 18 3 4 3 2 2" xfId="15890" xr:uid="{00000000-0005-0000-0000-00003D080000}"/>
    <cellStyle name="Comma 18 3 4 3 2 2 2" xfId="32830" xr:uid="{00000000-0005-0000-0000-00003E080000}"/>
    <cellStyle name="Comma 18 3 4 3 2 3" xfId="24382" xr:uid="{00000000-0005-0000-0000-00003F080000}"/>
    <cellStyle name="Comma 18 3 4 3 3" xfId="11666" xr:uid="{00000000-0005-0000-0000-000040080000}"/>
    <cellStyle name="Comma 18 3 4 3 3 2" xfId="28606" xr:uid="{00000000-0005-0000-0000-000041080000}"/>
    <cellStyle name="Comma 18 3 4 3 4" xfId="20158" xr:uid="{00000000-0005-0000-0000-000042080000}"/>
    <cellStyle name="Comma 18 3 4 4" xfId="5330" xr:uid="{00000000-0005-0000-0000-000043080000}"/>
    <cellStyle name="Comma 18 3 4 4 2" xfId="13778" xr:uid="{00000000-0005-0000-0000-000044080000}"/>
    <cellStyle name="Comma 18 3 4 4 2 2" xfId="30718" xr:uid="{00000000-0005-0000-0000-000045080000}"/>
    <cellStyle name="Comma 18 3 4 4 3" xfId="22270" xr:uid="{00000000-0005-0000-0000-000046080000}"/>
    <cellStyle name="Comma 18 3 4 5" xfId="9554" xr:uid="{00000000-0005-0000-0000-000047080000}"/>
    <cellStyle name="Comma 18 3 4 5 2" xfId="26494" xr:uid="{00000000-0005-0000-0000-000048080000}"/>
    <cellStyle name="Comma 18 3 4 6" xfId="18046" xr:uid="{00000000-0005-0000-0000-000049080000}"/>
    <cellStyle name="Comma 18 3 5" xfId="1280" xr:uid="{00000000-0005-0000-0000-00004A080000}"/>
    <cellStyle name="Comma 18 3 5 2" xfId="2336" xr:uid="{00000000-0005-0000-0000-00004B080000}"/>
    <cellStyle name="Comma 18 3 5 2 2" xfId="4448" xr:uid="{00000000-0005-0000-0000-00004C080000}"/>
    <cellStyle name="Comma 18 3 5 2 2 2" xfId="8674" xr:uid="{00000000-0005-0000-0000-00004D080000}"/>
    <cellStyle name="Comma 18 3 5 2 2 2 2" xfId="17122" xr:uid="{00000000-0005-0000-0000-00004E080000}"/>
    <cellStyle name="Comma 18 3 5 2 2 2 2 2" xfId="34062" xr:uid="{00000000-0005-0000-0000-00004F080000}"/>
    <cellStyle name="Comma 18 3 5 2 2 2 3" xfId="25614" xr:uid="{00000000-0005-0000-0000-000050080000}"/>
    <cellStyle name="Comma 18 3 5 2 2 3" xfId="12898" xr:uid="{00000000-0005-0000-0000-000051080000}"/>
    <cellStyle name="Comma 18 3 5 2 2 3 2" xfId="29838" xr:uid="{00000000-0005-0000-0000-000052080000}"/>
    <cellStyle name="Comma 18 3 5 2 2 4" xfId="21390" xr:uid="{00000000-0005-0000-0000-000053080000}"/>
    <cellStyle name="Comma 18 3 5 2 3" xfId="6562" xr:uid="{00000000-0005-0000-0000-000054080000}"/>
    <cellStyle name="Comma 18 3 5 2 3 2" xfId="15010" xr:uid="{00000000-0005-0000-0000-000055080000}"/>
    <cellStyle name="Comma 18 3 5 2 3 2 2" xfId="31950" xr:uid="{00000000-0005-0000-0000-000056080000}"/>
    <cellStyle name="Comma 18 3 5 2 3 3" xfId="23502" xr:uid="{00000000-0005-0000-0000-000057080000}"/>
    <cellStyle name="Comma 18 3 5 2 4" xfId="10786" xr:uid="{00000000-0005-0000-0000-000058080000}"/>
    <cellStyle name="Comma 18 3 5 2 4 2" xfId="27726" xr:uid="{00000000-0005-0000-0000-000059080000}"/>
    <cellStyle name="Comma 18 3 5 2 5" xfId="19278" xr:uid="{00000000-0005-0000-0000-00005A080000}"/>
    <cellStyle name="Comma 18 3 5 3" xfId="3392" xr:uid="{00000000-0005-0000-0000-00005B080000}"/>
    <cellStyle name="Comma 18 3 5 3 2" xfId="7618" xr:uid="{00000000-0005-0000-0000-00005C080000}"/>
    <cellStyle name="Comma 18 3 5 3 2 2" xfId="16066" xr:uid="{00000000-0005-0000-0000-00005D080000}"/>
    <cellStyle name="Comma 18 3 5 3 2 2 2" xfId="33006" xr:uid="{00000000-0005-0000-0000-00005E080000}"/>
    <cellStyle name="Comma 18 3 5 3 2 3" xfId="24558" xr:uid="{00000000-0005-0000-0000-00005F080000}"/>
    <cellStyle name="Comma 18 3 5 3 3" xfId="11842" xr:uid="{00000000-0005-0000-0000-000060080000}"/>
    <cellStyle name="Comma 18 3 5 3 3 2" xfId="28782" xr:uid="{00000000-0005-0000-0000-000061080000}"/>
    <cellStyle name="Comma 18 3 5 3 4" xfId="20334" xr:uid="{00000000-0005-0000-0000-000062080000}"/>
    <cellStyle name="Comma 18 3 5 4" xfId="5506" xr:uid="{00000000-0005-0000-0000-000063080000}"/>
    <cellStyle name="Comma 18 3 5 4 2" xfId="13954" xr:uid="{00000000-0005-0000-0000-000064080000}"/>
    <cellStyle name="Comma 18 3 5 4 2 2" xfId="30894" xr:uid="{00000000-0005-0000-0000-000065080000}"/>
    <cellStyle name="Comma 18 3 5 4 3" xfId="22446" xr:uid="{00000000-0005-0000-0000-000066080000}"/>
    <cellStyle name="Comma 18 3 5 5" xfId="9730" xr:uid="{00000000-0005-0000-0000-000067080000}"/>
    <cellStyle name="Comma 18 3 5 5 2" xfId="26670" xr:uid="{00000000-0005-0000-0000-000068080000}"/>
    <cellStyle name="Comma 18 3 5 6" xfId="18222" xr:uid="{00000000-0005-0000-0000-000069080000}"/>
    <cellStyle name="Comma 18 3 6" xfId="1456" xr:uid="{00000000-0005-0000-0000-00006A080000}"/>
    <cellStyle name="Comma 18 3 6 2" xfId="3568" xr:uid="{00000000-0005-0000-0000-00006B080000}"/>
    <cellStyle name="Comma 18 3 6 2 2" xfId="7794" xr:uid="{00000000-0005-0000-0000-00006C080000}"/>
    <cellStyle name="Comma 18 3 6 2 2 2" xfId="16242" xr:uid="{00000000-0005-0000-0000-00006D080000}"/>
    <cellStyle name="Comma 18 3 6 2 2 2 2" xfId="33182" xr:uid="{00000000-0005-0000-0000-00006E080000}"/>
    <cellStyle name="Comma 18 3 6 2 2 3" xfId="24734" xr:uid="{00000000-0005-0000-0000-00006F080000}"/>
    <cellStyle name="Comma 18 3 6 2 3" xfId="12018" xr:uid="{00000000-0005-0000-0000-000070080000}"/>
    <cellStyle name="Comma 18 3 6 2 3 2" xfId="28958" xr:uid="{00000000-0005-0000-0000-000071080000}"/>
    <cellStyle name="Comma 18 3 6 2 4" xfId="20510" xr:uid="{00000000-0005-0000-0000-000072080000}"/>
    <cellStyle name="Comma 18 3 6 3" xfId="5682" xr:uid="{00000000-0005-0000-0000-000073080000}"/>
    <cellStyle name="Comma 18 3 6 3 2" xfId="14130" xr:uid="{00000000-0005-0000-0000-000074080000}"/>
    <cellStyle name="Comma 18 3 6 3 2 2" xfId="31070" xr:uid="{00000000-0005-0000-0000-000075080000}"/>
    <cellStyle name="Comma 18 3 6 3 3" xfId="22622" xr:uid="{00000000-0005-0000-0000-000076080000}"/>
    <cellStyle name="Comma 18 3 6 4" xfId="9906" xr:uid="{00000000-0005-0000-0000-000077080000}"/>
    <cellStyle name="Comma 18 3 6 4 2" xfId="26846" xr:uid="{00000000-0005-0000-0000-000078080000}"/>
    <cellStyle name="Comma 18 3 6 5" xfId="18398" xr:uid="{00000000-0005-0000-0000-000079080000}"/>
    <cellStyle name="Comma 18 3 7" xfId="2512" xr:uid="{00000000-0005-0000-0000-00007A080000}"/>
    <cellStyle name="Comma 18 3 7 2" xfId="6738" xr:uid="{00000000-0005-0000-0000-00007B080000}"/>
    <cellStyle name="Comma 18 3 7 2 2" xfId="15186" xr:uid="{00000000-0005-0000-0000-00007C080000}"/>
    <cellStyle name="Comma 18 3 7 2 2 2" xfId="32126" xr:uid="{00000000-0005-0000-0000-00007D080000}"/>
    <cellStyle name="Comma 18 3 7 2 3" xfId="23678" xr:uid="{00000000-0005-0000-0000-00007E080000}"/>
    <cellStyle name="Comma 18 3 7 3" xfId="10962" xr:uid="{00000000-0005-0000-0000-00007F080000}"/>
    <cellStyle name="Comma 18 3 7 3 2" xfId="27902" xr:uid="{00000000-0005-0000-0000-000080080000}"/>
    <cellStyle name="Comma 18 3 7 4" xfId="19454" xr:uid="{00000000-0005-0000-0000-000081080000}"/>
    <cellStyle name="Comma 18 3 8" xfId="4625" xr:uid="{00000000-0005-0000-0000-000082080000}"/>
    <cellStyle name="Comma 18 3 8 2" xfId="13074" xr:uid="{00000000-0005-0000-0000-000083080000}"/>
    <cellStyle name="Comma 18 3 8 2 2" xfId="30014" xr:uid="{00000000-0005-0000-0000-000084080000}"/>
    <cellStyle name="Comma 18 3 8 3" xfId="21566" xr:uid="{00000000-0005-0000-0000-000085080000}"/>
    <cellStyle name="Comma 18 3 9" xfId="8850" xr:uid="{00000000-0005-0000-0000-000086080000}"/>
    <cellStyle name="Comma 18 3 9 2" xfId="25790" xr:uid="{00000000-0005-0000-0000-000087080000}"/>
    <cellStyle name="Comma 18 4" xfId="566" xr:uid="{00000000-0005-0000-0000-000088080000}"/>
    <cellStyle name="Comma 18 4 2" xfId="920" xr:uid="{00000000-0005-0000-0000-000089080000}"/>
    <cellStyle name="Comma 18 4 2 2" xfId="1982" xr:uid="{00000000-0005-0000-0000-00008A080000}"/>
    <cellStyle name="Comma 18 4 2 2 2" xfId="4094" xr:uid="{00000000-0005-0000-0000-00008B080000}"/>
    <cellStyle name="Comma 18 4 2 2 2 2" xfId="8320" xr:uid="{00000000-0005-0000-0000-00008C080000}"/>
    <cellStyle name="Comma 18 4 2 2 2 2 2" xfId="16768" xr:uid="{00000000-0005-0000-0000-00008D080000}"/>
    <cellStyle name="Comma 18 4 2 2 2 2 2 2" xfId="33708" xr:uid="{00000000-0005-0000-0000-00008E080000}"/>
    <cellStyle name="Comma 18 4 2 2 2 2 3" xfId="25260" xr:uid="{00000000-0005-0000-0000-00008F080000}"/>
    <cellStyle name="Comma 18 4 2 2 2 3" xfId="12544" xr:uid="{00000000-0005-0000-0000-000090080000}"/>
    <cellStyle name="Comma 18 4 2 2 2 3 2" xfId="29484" xr:uid="{00000000-0005-0000-0000-000091080000}"/>
    <cellStyle name="Comma 18 4 2 2 2 4" xfId="21036" xr:uid="{00000000-0005-0000-0000-000092080000}"/>
    <cellStyle name="Comma 18 4 2 2 3" xfId="6208" xr:uid="{00000000-0005-0000-0000-000093080000}"/>
    <cellStyle name="Comma 18 4 2 2 3 2" xfId="14656" xr:uid="{00000000-0005-0000-0000-000094080000}"/>
    <cellStyle name="Comma 18 4 2 2 3 2 2" xfId="31596" xr:uid="{00000000-0005-0000-0000-000095080000}"/>
    <cellStyle name="Comma 18 4 2 2 3 3" xfId="23148" xr:uid="{00000000-0005-0000-0000-000096080000}"/>
    <cellStyle name="Comma 18 4 2 2 4" xfId="10432" xr:uid="{00000000-0005-0000-0000-000097080000}"/>
    <cellStyle name="Comma 18 4 2 2 4 2" xfId="27372" xr:uid="{00000000-0005-0000-0000-000098080000}"/>
    <cellStyle name="Comma 18 4 2 2 5" xfId="18924" xr:uid="{00000000-0005-0000-0000-000099080000}"/>
    <cellStyle name="Comma 18 4 2 3" xfId="3038" xr:uid="{00000000-0005-0000-0000-00009A080000}"/>
    <cellStyle name="Comma 18 4 2 3 2" xfId="7264" xr:uid="{00000000-0005-0000-0000-00009B080000}"/>
    <cellStyle name="Comma 18 4 2 3 2 2" xfId="15712" xr:uid="{00000000-0005-0000-0000-00009C080000}"/>
    <cellStyle name="Comma 18 4 2 3 2 2 2" xfId="32652" xr:uid="{00000000-0005-0000-0000-00009D080000}"/>
    <cellStyle name="Comma 18 4 2 3 2 3" xfId="24204" xr:uid="{00000000-0005-0000-0000-00009E080000}"/>
    <cellStyle name="Comma 18 4 2 3 3" xfId="11488" xr:uid="{00000000-0005-0000-0000-00009F080000}"/>
    <cellStyle name="Comma 18 4 2 3 3 2" xfId="28428" xr:uid="{00000000-0005-0000-0000-0000A0080000}"/>
    <cellStyle name="Comma 18 4 2 3 4" xfId="19980" xr:uid="{00000000-0005-0000-0000-0000A1080000}"/>
    <cellStyle name="Comma 18 4 2 4" xfId="5152" xr:uid="{00000000-0005-0000-0000-0000A2080000}"/>
    <cellStyle name="Comma 18 4 2 4 2" xfId="13600" xr:uid="{00000000-0005-0000-0000-0000A3080000}"/>
    <cellStyle name="Comma 18 4 2 4 2 2" xfId="30540" xr:uid="{00000000-0005-0000-0000-0000A4080000}"/>
    <cellStyle name="Comma 18 4 2 4 3" xfId="22092" xr:uid="{00000000-0005-0000-0000-0000A5080000}"/>
    <cellStyle name="Comma 18 4 2 5" xfId="9376" xr:uid="{00000000-0005-0000-0000-0000A6080000}"/>
    <cellStyle name="Comma 18 4 2 5 2" xfId="26316" xr:uid="{00000000-0005-0000-0000-0000A7080000}"/>
    <cellStyle name="Comma 18 4 2 6" xfId="17868" xr:uid="{00000000-0005-0000-0000-0000A8080000}"/>
    <cellStyle name="Comma 18 4 3" xfId="1630" xr:uid="{00000000-0005-0000-0000-0000A9080000}"/>
    <cellStyle name="Comma 18 4 3 2" xfId="3742" xr:uid="{00000000-0005-0000-0000-0000AA080000}"/>
    <cellStyle name="Comma 18 4 3 2 2" xfId="7968" xr:uid="{00000000-0005-0000-0000-0000AB080000}"/>
    <cellStyle name="Comma 18 4 3 2 2 2" xfId="16416" xr:uid="{00000000-0005-0000-0000-0000AC080000}"/>
    <cellStyle name="Comma 18 4 3 2 2 2 2" xfId="33356" xr:uid="{00000000-0005-0000-0000-0000AD080000}"/>
    <cellStyle name="Comma 18 4 3 2 2 3" xfId="24908" xr:uid="{00000000-0005-0000-0000-0000AE080000}"/>
    <cellStyle name="Comma 18 4 3 2 3" xfId="12192" xr:uid="{00000000-0005-0000-0000-0000AF080000}"/>
    <cellStyle name="Comma 18 4 3 2 3 2" xfId="29132" xr:uid="{00000000-0005-0000-0000-0000B0080000}"/>
    <cellStyle name="Comma 18 4 3 2 4" xfId="20684" xr:uid="{00000000-0005-0000-0000-0000B1080000}"/>
    <cellStyle name="Comma 18 4 3 3" xfId="5856" xr:uid="{00000000-0005-0000-0000-0000B2080000}"/>
    <cellStyle name="Comma 18 4 3 3 2" xfId="14304" xr:uid="{00000000-0005-0000-0000-0000B3080000}"/>
    <cellStyle name="Comma 18 4 3 3 2 2" xfId="31244" xr:uid="{00000000-0005-0000-0000-0000B4080000}"/>
    <cellStyle name="Comma 18 4 3 3 3" xfId="22796" xr:uid="{00000000-0005-0000-0000-0000B5080000}"/>
    <cellStyle name="Comma 18 4 3 4" xfId="10080" xr:uid="{00000000-0005-0000-0000-0000B6080000}"/>
    <cellStyle name="Comma 18 4 3 4 2" xfId="27020" xr:uid="{00000000-0005-0000-0000-0000B7080000}"/>
    <cellStyle name="Comma 18 4 3 5" xfId="18572" xr:uid="{00000000-0005-0000-0000-0000B8080000}"/>
    <cellStyle name="Comma 18 4 4" xfId="2686" xr:uid="{00000000-0005-0000-0000-0000B9080000}"/>
    <cellStyle name="Comma 18 4 4 2" xfId="6912" xr:uid="{00000000-0005-0000-0000-0000BA080000}"/>
    <cellStyle name="Comma 18 4 4 2 2" xfId="15360" xr:uid="{00000000-0005-0000-0000-0000BB080000}"/>
    <cellStyle name="Comma 18 4 4 2 2 2" xfId="32300" xr:uid="{00000000-0005-0000-0000-0000BC080000}"/>
    <cellStyle name="Comma 18 4 4 2 3" xfId="23852" xr:uid="{00000000-0005-0000-0000-0000BD080000}"/>
    <cellStyle name="Comma 18 4 4 3" xfId="11136" xr:uid="{00000000-0005-0000-0000-0000BE080000}"/>
    <cellStyle name="Comma 18 4 4 3 2" xfId="28076" xr:uid="{00000000-0005-0000-0000-0000BF080000}"/>
    <cellStyle name="Comma 18 4 4 4" xfId="19628" xr:uid="{00000000-0005-0000-0000-0000C0080000}"/>
    <cellStyle name="Comma 18 4 5" xfId="4800" xr:uid="{00000000-0005-0000-0000-0000C1080000}"/>
    <cellStyle name="Comma 18 4 5 2" xfId="13248" xr:uid="{00000000-0005-0000-0000-0000C2080000}"/>
    <cellStyle name="Comma 18 4 5 2 2" xfId="30188" xr:uid="{00000000-0005-0000-0000-0000C3080000}"/>
    <cellStyle name="Comma 18 4 5 3" xfId="21740" xr:uid="{00000000-0005-0000-0000-0000C4080000}"/>
    <cellStyle name="Comma 18 4 6" xfId="9024" xr:uid="{00000000-0005-0000-0000-0000C5080000}"/>
    <cellStyle name="Comma 18 4 6 2" xfId="25964" xr:uid="{00000000-0005-0000-0000-0000C6080000}"/>
    <cellStyle name="Comma 18 4 7" xfId="17516" xr:uid="{00000000-0005-0000-0000-0000C7080000}"/>
    <cellStyle name="Comma 18 5" xfId="744" xr:uid="{00000000-0005-0000-0000-0000C8080000}"/>
    <cellStyle name="Comma 18 5 2" xfId="1806" xr:uid="{00000000-0005-0000-0000-0000C9080000}"/>
    <cellStyle name="Comma 18 5 2 2" xfId="3918" xr:uid="{00000000-0005-0000-0000-0000CA080000}"/>
    <cellStyle name="Comma 18 5 2 2 2" xfId="8144" xr:uid="{00000000-0005-0000-0000-0000CB080000}"/>
    <cellStyle name="Comma 18 5 2 2 2 2" xfId="16592" xr:uid="{00000000-0005-0000-0000-0000CC080000}"/>
    <cellStyle name="Comma 18 5 2 2 2 2 2" xfId="33532" xr:uid="{00000000-0005-0000-0000-0000CD080000}"/>
    <cellStyle name="Comma 18 5 2 2 2 3" xfId="25084" xr:uid="{00000000-0005-0000-0000-0000CE080000}"/>
    <cellStyle name="Comma 18 5 2 2 3" xfId="12368" xr:uid="{00000000-0005-0000-0000-0000CF080000}"/>
    <cellStyle name="Comma 18 5 2 2 3 2" xfId="29308" xr:uid="{00000000-0005-0000-0000-0000D0080000}"/>
    <cellStyle name="Comma 18 5 2 2 4" xfId="20860" xr:uid="{00000000-0005-0000-0000-0000D1080000}"/>
    <cellStyle name="Comma 18 5 2 3" xfId="6032" xr:uid="{00000000-0005-0000-0000-0000D2080000}"/>
    <cellStyle name="Comma 18 5 2 3 2" xfId="14480" xr:uid="{00000000-0005-0000-0000-0000D3080000}"/>
    <cellStyle name="Comma 18 5 2 3 2 2" xfId="31420" xr:uid="{00000000-0005-0000-0000-0000D4080000}"/>
    <cellStyle name="Comma 18 5 2 3 3" xfId="22972" xr:uid="{00000000-0005-0000-0000-0000D5080000}"/>
    <cellStyle name="Comma 18 5 2 4" xfId="10256" xr:uid="{00000000-0005-0000-0000-0000D6080000}"/>
    <cellStyle name="Comma 18 5 2 4 2" xfId="27196" xr:uid="{00000000-0005-0000-0000-0000D7080000}"/>
    <cellStyle name="Comma 18 5 2 5" xfId="18748" xr:uid="{00000000-0005-0000-0000-0000D8080000}"/>
    <cellStyle name="Comma 18 5 3" xfId="2862" xr:uid="{00000000-0005-0000-0000-0000D9080000}"/>
    <cellStyle name="Comma 18 5 3 2" xfId="7088" xr:uid="{00000000-0005-0000-0000-0000DA080000}"/>
    <cellStyle name="Comma 18 5 3 2 2" xfId="15536" xr:uid="{00000000-0005-0000-0000-0000DB080000}"/>
    <cellStyle name="Comma 18 5 3 2 2 2" xfId="32476" xr:uid="{00000000-0005-0000-0000-0000DC080000}"/>
    <cellStyle name="Comma 18 5 3 2 3" xfId="24028" xr:uid="{00000000-0005-0000-0000-0000DD080000}"/>
    <cellStyle name="Comma 18 5 3 3" xfId="11312" xr:uid="{00000000-0005-0000-0000-0000DE080000}"/>
    <cellStyle name="Comma 18 5 3 3 2" xfId="28252" xr:uid="{00000000-0005-0000-0000-0000DF080000}"/>
    <cellStyle name="Comma 18 5 3 4" xfId="19804" xr:uid="{00000000-0005-0000-0000-0000E0080000}"/>
    <cellStyle name="Comma 18 5 4" xfId="4976" xr:uid="{00000000-0005-0000-0000-0000E1080000}"/>
    <cellStyle name="Comma 18 5 4 2" xfId="13424" xr:uid="{00000000-0005-0000-0000-0000E2080000}"/>
    <cellStyle name="Comma 18 5 4 2 2" xfId="30364" xr:uid="{00000000-0005-0000-0000-0000E3080000}"/>
    <cellStyle name="Comma 18 5 4 3" xfId="21916" xr:uid="{00000000-0005-0000-0000-0000E4080000}"/>
    <cellStyle name="Comma 18 5 5" xfId="9200" xr:uid="{00000000-0005-0000-0000-0000E5080000}"/>
    <cellStyle name="Comma 18 5 5 2" xfId="26140" xr:uid="{00000000-0005-0000-0000-0000E6080000}"/>
    <cellStyle name="Comma 18 5 6" xfId="17692" xr:uid="{00000000-0005-0000-0000-0000E7080000}"/>
    <cellStyle name="Comma 18 6" xfId="1096" xr:uid="{00000000-0005-0000-0000-0000E8080000}"/>
    <cellStyle name="Comma 18 6 2" xfId="2158" xr:uid="{00000000-0005-0000-0000-0000E9080000}"/>
    <cellStyle name="Comma 18 6 2 2" xfId="4270" xr:uid="{00000000-0005-0000-0000-0000EA080000}"/>
    <cellStyle name="Comma 18 6 2 2 2" xfId="8496" xr:uid="{00000000-0005-0000-0000-0000EB080000}"/>
    <cellStyle name="Comma 18 6 2 2 2 2" xfId="16944" xr:uid="{00000000-0005-0000-0000-0000EC080000}"/>
    <cellStyle name="Comma 18 6 2 2 2 2 2" xfId="33884" xr:uid="{00000000-0005-0000-0000-0000ED080000}"/>
    <cellStyle name="Comma 18 6 2 2 2 3" xfId="25436" xr:uid="{00000000-0005-0000-0000-0000EE080000}"/>
    <cellStyle name="Comma 18 6 2 2 3" xfId="12720" xr:uid="{00000000-0005-0000-0000-0000EF080000}"/>
    <cellStyle name="Comma 18 6 2 2 3 2" xfId="29660" xr:uid="{00000000-0005-0000-0000-0000F0080000}"/>
    <cellStyle name="Comma 18 6 2 2 4" xfId="21212" xr:uid="{00000000-0005-0000-0000-0000F1080000}"/>
    <cellStyle name="Comma 18 6 2 3" xfId="6384" xr:uid="{00000000-0005-0000-0000-0000F2080000}"/>
    <cellStyle name="Comma 18 6 2 3 2" xfId="14832" xr:uid="{00000000-0005-0000-0000-0000F3080000}"/>
    <cellStyle name="Comma 18 6 2 3 2 2" xfId="31772" xr:uid="{00000000-0005-0000-0000-0000F4080000}"/>
    <cellStyle name="Comma 18 6 2 3 3" xfId="23324" xr:uid="{00000000-0005-0000-0000-0000F5080000}"/>
    <cellStyle name="Comma 18 6 2 4" xfId="10608" xr:uid="{00000000-0005-0000-0000-0000F6080000}"/>
    <cellStyle name="Comma 18 6 2 4 2" xfId="27548" xr:uid="{00000000-0005-0000-0000-0000F7080000}"/>
    <cellStyle name="Comma 18 6 2 5" xfId="19100" xr:uid="{00000000-0005-0000-0000-0000F8080000}"/>
    <cellStyle name="Comma 18 6 3" xfId="3214" xr:uid="{00000000-0005-0000-0000-0000F9080000}"/>
    <cellStyle name="Comma 18 6 3 2" xfId="7440" xr:uid="{00000000-0005-0000-0000-0000FA080000}"/>
    <cellStyle name="Comma 18 6 3 2 2" xfId="15888" xr:uid="{00000000-0005-0000-0000-0000FB080000}"/>
    <cellStyle name="Comma 18 6 3 2 2 2" xfId="32828" xr:uid="{00000000-0005-0000-0000-0000FC080000}"/>
    <cellStyle name="Comma 18 6 3 2 3" xfId="24380" xr:uid="{00000000-0005-0000-0000-0000FD080000}"/>
    <cellStyle name="Comma 18 6 3 3" xfId="11664" xr:uid="{00000000-0005-0000-0000-0000FE080000}"/>
    <cellStyle name="Comma 18 6 3 3 2" xfId="28604" xr:uid="{00000000-0005-0000-0000-0000FF080000}"/>
    <cellStyle name="Comma 18 6 3 4" xfId="20156" xr:uid="{00000000-0005-0000-0000-000000090000}"/>
    <cellStyle name="Comma 18 6 4" xfId="5328" xr:uid="{00000000-0005-0000-0000-000001090000}"/>
    <cellStyle name="Comma 18 6 4 2" xfId="13776" xr:uid="{00000000-0005-0000-0000-000002090000}"/>
    <cellStyle name="Comma 18 6 4 2 2" xfId="30716" xr:uid="{00000000-0005-0000-0000-000003090000}"/>
    <cellStyle name="Comma 18 6 4 3" xfId="22268" xr:uid="{00000000-0005-0000-0000-000004090000}"/>
    <cellStyle name="Comma 18 6 5" xfId="9552" xr:uid="{00000000-0005-0000-0000-000005090000}"/>
    <cellStyle name="Comma 18 6 5 2" xfId="26492" xr:uid="{00000000-0005-0000-0000-000006090000}"/>
    <cellStyle name="Comma 18 6 6" xfId="18044" xr:uid="{00000000-0005-0000-0000-000007090000}"/>
    <cellStyle name="Comma 18 7" xfId="1278" xr:uid="{00000000-0005-0000-0000-000008090000}"/>
    <cellStyle name="Comma 18 7 2" xfId="2334" xr:uid="{00000000-0005-0000-0000-000009090000}"/>
    <cellStyle name="Comma 18 7 2 2" xfId="4446" xr:uid="{00000000-0005-0000-0000-00000A090000}"/>
    <cellStyle name="Comma 18 7 2 2 2" xfId="8672" xr:uid="{00000000-0005-0000-0000-00000B090000}"/>
    <cellStyle name="Comma 18 7 2 2 2 2" xfId="17120" xr:uid="{00000000-0005-0000-0000-00000C090000}"/>
    <cellStyle name="Comma 18 7 2 2 2 2 2" xfId="34060" xr:uid="{00000000-0005-0000-0000-00000D090000}"/>
    <cellStyle name="Comma 18 7 2 2 2 3" xfId="25612" xr:uid="{00000000-0005-0000-0000-00000E090000}"/>
    <cellStyle name="Comma 18 7 2 2 3" xfId="12896" xr:uid="{00000000-0005-0000-0000-00000F090000}"/>
    <cellStyle name="Comma 18 7 2 2 3 2" xfId="29836" xr:uid="{00000000-0005-0000-0000-000010090000}"/>
    <cellStyle name="Comma 18 7 2 2 4" xfId="21388" xr:uid="{00000000-0005-0000-0000-000011090000}"/>
    <cellStyle name="Comma 18 7 2 3" xfId="6560" xr:uid="{00000000-0005-0000-0000-000012090000}"/>
    <cellStyle name="Comma 18 7 2 3 2" xfId="15008" xr:uid="{00000000-0005-0000-0000-000013090000}"/>
    <cellStyle name="Comma 18 7 2 3 2 2" xfId="31948" xr:uid="{00000000-0005-0000-0000-000014090000}"/>
    <cellStyle name="Comma 18 7 2 3 3" xfId="23500" xr:uid="{00000000-0005-0000-0000-000015090000}"/>
    <cellStyle name="Comma 18 7 2 4" xfId="10784" xr:uid="{00000000-0005-0000-0000-000016090000}"/>
    <cellStyle name="Comma 18 7 2 4 2" xfId="27724" xr:uid="{00000000-0005-0000-0000-000017090000}"/>
    <cellStyle name="Comma 18 7 2 5" xfId="19276" xr:uid="{00000000-0005-0000-0000-000018090000}"/>
    <cellStyle name="Comma 18 7 3" xfId="3390" xr:uid="{00000000-0005-0000-0000-000019090000}"/>
    <cellStyle name="Comma 18 7 3 2" xfId="7616" xr:uid="{00000000-0005-0000-0000-00001A090000}"/>
    <cellStyle name="Comma 18 7 3 2 2" xfId="16064" xr:uid="{00000000-0005-0000-0000-00001B090000}"/>
    <cellStyle name="Comma 18 7 3 2 2 2" xfId="33004" xr:uid="{00000000-0005-0000-0000-00001C090000}"/>
    <cellStyle name="Comma 18 7 3 2 3" xfId="24556" xr:uid="{00000000-0005-0000-0000-00001D090000}"/>
    <cellStyle name="Comma 18 7 3 3" xfId="11840" xr:uid="{00000000-0005-0000-0000-00001E090000}"/>
    <cellStyle name="Comma 18 7 3 3 2" xfId="28780" xr:uid="{00000000-0005-0000-0000-00001F090000}"/>
    <cellStyle name="Comma 18 7 3 4" xfId="20332" xr:uid="{00000000-0005-0000-0000-000020090000}"/>
    <cellStyle name="Comma 18 7 4" xfId="5504" xr:uid="{00000000-0005-0000-0000-000021090000}"/>
    <cellStyle name="Comma 18 7 4 2" xfId="13952" xr:uid="{00000000-0005-0000-0000-000022090000}"/>
    <cellStyle name="Comma 18 7 4 2 2" xfId="30892" xr:uid="{00000000-0005-0000-0000-000023090000}"/>
    <cellStyle name="Comma 18 7 4 3" xfId="22444" xr:uid="{00000000-0005-0000-0000-000024090000}"/>
    <cellStyle name="Comma 18 7 5" xfId="9728" xr:uid="{00000000-0005-0000-0000-000025090000}"/>
    <cellStyle name="Comma 18 7 5 2" xfId="26668" xr:uid="{00000000-0005-0000-0000-000026090000}"/>
    <cellStyle name="Comma 18 7 6" xfId="18220" xr:uid="{00000000-0005-0000-0000-000027090000}"/>
    <cellStyle name="Comma 18 8" xfId="1454" xr:uid="{00000000-0005-0000-0000-000028090000}"/>
    <cellStyle name="Comma 18 8 2" xfId="3566" xr:uid="{00000000-0005-0000-0000-000029090000}"/>
    <cellStyle name="Comma 18 8 2 2" xfId="7792" xr:uid="{00000000-0005-0000-0000-00002A090000}"/>
    <cellStyle name="Comma 18 8 2 2 2" xfId="16240" xr:uid="{00000000-0005-0000-0000-00002B090000}"/>
    <cellStyle name="Comma 18 8 2 2 2 2" xfId="33180" xr:uid="{00000000-0005-0000-0000-00002C090000}"/>
    <cellStyle name="Comma 18 8 2 2 3" xfId="24732" xr:uid="{00000000-0005-0000-0000-00002D090000}"/>
    <cellStyle name="Comma 18 8 2 3" xfId="12016" xr:uid="{00000000-0005-0000-0000-00002E090000}"/>
    <cellStyle name="Comma 18 8 2 3 2" xfId="28956" xr:uid="{00000000-0005-0000-0000-00002F090000}"/>
    <cellStyle name="Comma 18 8 2 4" xfId="20508" xr:uid="{00000000-0005-0000-0000-000030090000}"/>
    <cellStyle name="Comma 18 8 3" xfId="5680" xr:uid="{00000000-0005-0000-0000-000031090000}"/>
    <cellStyle name="Comma 18 8 3 2" xfId="14128" xr:uid="{00000000-0005-0000-0000-000032090000}"/>
    <cellStyle name="Comma 18 8 3 2 2" xfId="31068" xr:uid="{00000000-0005-0000-0000-000033090000}"/>
    <cellStyle name="Comma 18 8 3 3" xfId="22620" xr:uid="{00000000-0005-0000-0000-000034090000}"/>
    <cellStyle name="Comma 18 8 4" xfId="9904" xr:uid="{00000000-0005-0000-0000-000035090000}"/>
    <cellStyle name="Comma 18 8 4 2" xfId="26844" xr:uid="{00000000-0005-0000-0000-000036090000}"/>
    <cellStyle name="Comma 18 8 5" xfId="18396" xr:uid="{00000000-0005-0000-0000-000037090000}"/>
    <cellStyle name="Comma 18 9" xfId="2510" xr:uid="{00000000-0005-0000-0000-000038090000}"/>
    <cellStyle name="Comma 18 9 2" xfId="6736" xr:uid="{00000000-0005-0000-0000-000039090000}"/>
    <cellStyle name="Comma 18 9 2 2" xfId="15184" xr:uid="{00000000-0005-0000-0000-00003A090000}"/>
    <cellStyle name="Comma 18 9 2 2 2" xfId="32124" xr:uid="{00000000-0005-0000-0000-00003B090000}"/>
    <cellStyle name="Comma 18 9 2 3" xfId="23676" xr:uid="{00000000-0005-0000-0000-00003C090000}"/>
    <cellStyle name="Comma 18 9 3" xfId="10960" xr:uid="{00000000-0005-0000-0000-00003D090000}"/>
    <cellStyle name="Comma 18 9 3 2" xfId="27900" xr:uid="{00000000-0005-0000-0000-00003E090000}"/>
    <cellStyle name="Comma 18 9 4" xfId="19452" xr:uid="{00000000-0005-0000-0000-00003F090000}"/>
    <cellStyle name="Comma 19" xfId="77" xr:uid="{00000000-0005-0000-0000-000040090000}"/>
    <cellStyle name="Comma 19 10" xfId="4626" xr:uid="{00000000-0005-0000-0000-000041090000}"/>
    <cellStyle name="Comma 19 10 2" xfId="13075" xr:uid="{00000000-0005-0000-0000-000042090000}"/>
    <cellStyle name="Comma 19 10 2 2" xfId="30015" xr:uid="{00000000-0005-0000-0000-000043090000}"/>
    <cellStyle name="Comma 19 10 3" xfId="21567" xr:uid="{00000000-0005-0000-0000-000044090000}"/>
    <cellStyle name="Comma 19 11" xfId="8851" xr:uid="{00000000-0005-0000-0000-000045090000}"/>
    <cellStyle name="Comma 19 11 2" xfId="25791" xr:uid="{00000000-0005-0000-0000-000046090000}"/>
    <cellStyle name="Comma 19 12" xfId="17303" xr:uid="{00000000-0005-0000-0000-000047090000}"/>
    <cellStyle name="Comma 19 2" xfId="78" xr:uid="{00000000-0005-0000-0000-000048090000}"/>
    <cellStyle name="Comma 19 2 10" xfId="17304" xr:uid="{00000000-0005-0000-0000-000049090000}"/>
    <cellStyle name="Comma 19 2 2" xfId="570" xr:uid="{00000000-0005-0000-0000-00004A090000}"/>
    <cellStyle name="Comma 19 2 2 2" xfId="924" xr:uid="{00000000-0005-0000-0000-00004B090000}"/>
    <cellStyle name="Comma 19 2 2 2 2" xfId="1986" xr:uid="{00000000-0005-0000-0000-00004C090000}"/>
    <cellStyle name="Comma 19 2 2 2 2 2" xfId="4098" xr:uid="{00000000-0005-0000-0000-00004D090000}"/>
    <cellStyle name="Comma 19 2 2 2 2 2 2" xfId="8324" xr:uid="{00000000-0005-0000-0000-00004E090000}"/>
    <cellStyle name="Comma 19 2 2 2 2 2 2 2" xfId="16772" xr:uid="{00000000-0005-0000-0000-00004F090000}"/>
    <cellStyle name="Comma 19 2 2 2 2 2 2 2 2" xfId="33712" xr:uid="{00000000-0005-0000-0000-000050090000}"/>
    <cellStyle name="Comma 19 2 2 2 2 2 2 3" xfId="25264" xr:uid="{00000000-0005-0000-0000-000051090000}"/>
    <cellStyle name="Comma 19 2 2 2 2 2 3" xfId="12548" xr:uid="{00000000-0005-0000-0000-000052090000}"/>
    <cellStyle name="Comma 19 2 2 2 2 2 3 2" xfId="29488" xr:uid="{00000000-0005-0000-0000-000053090000}"/>
    <cellStyle name="Comma 19 2 2 2 2 2 4" xfId="21040" xr:uid="{00000000-0005-0000-0000-000054090000}"/>
    <cellStyle name="Comma 19 2 2 2 2 3" xfId="6212" xr:uid="{00000000-0005-0000-0000-000055090000}"/>
    <cellStyle name="Comma 19 2 2 2 2 3 2" xfId="14660" xr:uid="{00000000-0005-0000-0000-000056090000}"/>
    <cellStyle name="Comma 19 2 2 2 2 3 2 2" xfId="31600" xr:uid="{00000000-0005-0000-0000-000057090000}"/>
    <cellStyle name="Comma 19 2 2 2 2 3 3" xfId="23152" xr:uid="{00000000-0005-0000-0000-000058090000}"/>
    <cellStyle name="Comma 19 2 2 2 2 4" xfId="10436" xr:uid="{00000000-0005-0000-0000-000059090000}"/>
    <cellStyle name="Comma 19 2 2 2 2 4 2" xfId="27376" xr:uid="{00000000-0005-0000-0000-00005A090000}"/>
    <cellStyle name="Comma 19 2 2 2 2 5" xfId="18928" xr:uid="{00000000-0005-0000-0000-00005B090000}"/>
    <cellStyle name="Comma 19 2 2 2 3" xfId="3042" xr:uid="{00000000-0005-0000-0000-00005C090000}"/>
    <cellStyle name="Comma 19 2 2 2 3 2" xfId="7268" xr:uid="{00000000-0005-0000-0000-00005D090000}"/>
    <cellStyle name="Comma 19 2 2 2 3 2 2" xfId="15716" xr:uid="{00000000-0005-0000-0000-00005E090000}"/>
    <cellStyle name="Comma 19 2 2 2 3 2 2 2" xfId="32656" xr:uid="{00000000-0005-0000-0000-00005F090000}"/>
    <cellStyle name="Comma 19 2 2 2 3 2 3" xfId="24208" xr:uid="{00000000-0005-0000-0000-000060090000}"/>
    <cellStyle name="Comma 19 2 2 2 3 3" xfId="11492" xr:uid="{00000000-0005-0000-0000-000061090000}"/>
    <cellStyle name="Comma 19 2 2 2 3 3 2" xfId="28432" xr:uid="{00000000-0005-0000-0000-000062090000}"/>
    <cellStyle name="Comma 19 2 2 2 3 4" xfId="19984" xr:uid="{00000000-0005-0000-0000-000063090000}"/>
    <cellStyle name="Comma 19 2 2 2 4" xfId="5156" xr:uid="{00000000-0005-0000-0000-000064090000}"/>
    <cellStyle name="Comma 19 2 2 2 4 2" xfId="13604" xr:uid="{00000000-0005-0000-0000-000065090000}"/>
    <cellStyle name="Comma 19 2 2 2 4 2 2" xfId="30544" xr:uid="{00000000-0005-0000-0000-000066090000}"/>
    <cellStyle name="Comma 19 2 2 2 4 3" xfId="22096" xr:uid="{00000000-0005-0000-0000-000067090000}"/>
    <cellStyle name="Comma 19 2 2 2 5" xfId="9380" xr:uid="{00000000-0005-0000-0000-000068090000}"/>
    <cellStyle name="Comma 19 2 2 2 5 2" xfId="26320" xr:uid="{00000000-0005-0000-0000-000069090000}"/>
    <cellStyle name="Comma 19 2 2 2 6" xfId="17872" xr:uid="{00000000-0005-0000-0000-00006A090000}"/>
    <cellStyle name="Comma 19 2 2 3" xfId="1634" xr:uid="{00000000-0005-0000-0000-00006B090000}"/>
    <cellStyle name="Comma 19 2 2 3 2" xfId="3746" xr:uid="{00000000-0005-0000-0000-00006C090000}"/>
    <cellStyle name="Comma 19 2 2 3 2 2" xfId="7972" xr:uid="{00000000-0005-0000-0000-00006D090000}"/>
    <cellStyle name="Comma 19 2 2 3 2 2 2" xfId="16420" xr:uid="{00000000-0005-0000-0000-00006E090000}"/>
    <cellStyle name="Comma 19 2 2 3 2 2 2 2" xfId="33360" xr:uid="{00000000-0005-0000-0000-00006F090000}"/>
    <cellStyle name="Comma 19 2 2 3 2 2 3" xfId="24912" xr:uid="{00000000-0005-0000-0000-000070090000}"/>
    <cellStyle name="Comma 19 2 2 3 2 3" xfId="12196" xr:uid="{00000000-0005-0000-0000-000071090000}"/>
    <cellStyle name="Comma 19 2 2 3 2 3 2" xfId="29136" xr:uid="{00000000-0005-0000-0000-000072090000}"/>
    <cellStyle name="Comma 19 2 2 3 2 4" xfId="20688" xr:uid="{00000000-0005-0000-0000-000073090000}"/>
    <cellStyle name="Comma 19 2 2 3 3" xfId="5860" xr:uid="{00000000-0005-0000-0000-000074090000}"/>
    <cellStyle name="Comma 19 2 2 3 3 2" xfId="14308" xr:uid="{00000000-0005-0000-0000-000075090000}"/>
    <cellStyle name="Comma 19 2 2 3 3 2 2" xfId="31248" xr:uid="{00000000-0005-0000-0000-000076090000}"/>
    <cellStyle name="Comma 19 2 2 3 3 3" xfId="22800" xr:uid="{00000000-0005-0000-0000-000077090000}"/>
    <cellStyle name="Comma 19 2 2 3 4" xfId="10084" xr:uid="{00000000-0005-0000-0000-000078090000}"/>
    <cellStyle name="Comma 19 2 2 3 4 2" xfId="27024" xr:uid="{00000000-0005-0000-0000-000079090000}"/>
    <cellStyle name="Comma 19 2 2 3 5" xfId="18576" xr:uid="{00000000-0005-0000-0000-00007A090000}"/>
    <cellStyle name="Comma 19 2 2 4" xfId="2690" xr:uid="{00000000-0005-0000-0000-00007B090000}"/>
    <cellStyle name="Comma 19 2 2 4 2" xfId="6916" xr:uid="{00000000-0005-0000-0000-00007C090000}"/>
    <cellStyle name="Comma 19 2 2 4 2 2" xfId="15364" xr:uid="{00000000-0005-0000-0000-00007D090000}"/>
    <cellStyle name="Comma 19 2 2 4 2 2 2" xfId="32304" xr:uid="{00000000-0005-0000-0000-00007E090000}"/>
    <cellStyle name="Comma 19 2 2 4 2 3" xfId="23856" xr:uid="{00000000-0005-0000-0000-00007F090000}"/>
    <cellStyle name="Comma 19 2 2 4 3" xfId="11140" xr:uid="{00000000-0005-0000-0000-000080090000}"/>
    <cellStyle name="Comma 19 2 2 4 3 2" xfId="28080" xr:uid="{00000000-0005-0000-0000-000081090000}"/>
    <cellStyle name="Comma 19 2 2 4 4" xfId="19632" xr:uid="{00000000-0005-0000-0000-000082090000}"/>
    <cellStyle name="Comma 19 2 2 5" xfId="4804" xr:uid="{00000000-0005-0000-0000-000083090000}"/>
    <cellStyle name="Comma 19 2 2 5 2" xfId="13252" xr:uid="{00000000-0005-0000-0000-000084090000}"/>
    <cellStyle name="Comma 19 2 2 5 2 2" xfId="30192" xr:uid="{00000000-0005-0000-0000-000085090000}"/>
    <cellStyle name="Comma 19 2 2 5 3" xfId="21744" xr:uid="{00000000-0005-0000-0000-000086090000}"/>
    <cellStyle name="Comma 19 2 2 6" xfId="9028" xr:uid="{00000000-0005-0000-0000-000087090000}"/>
    <cellStyle name="Comma 19 2 2 6 2" xfId="25968" xr:uid="{00000000-0005-0000-0000-000088090000}"/>
    <cellStyle name="Comma 19 2 2 7" xfId="17520" xr:uid="{00000000-0005-0000-0000-000089090000}"/>
    <cellStyle name="Comma 19 2 3" xfId="748" xr:uid="{00000000-0005-0000-0000-00008A090000}"/>
    <cellStyle name="Comma 19 2 3 2" xfId="1810" xr:uid="{00000000-0005-0000-0000-00008B090000}"/>
    <cellStyle name="Comma 19 2 3 2 2" xfId="3922" xr:uid="{00000000-0005-0000-0000-00008C090000}"/>
    <cellStyle name="Comma 19 2 3 2 2 2" xfId="8148" xr:uid="{00000000-0005-0000-0000-00008D090000}"/>
    <cellStyle name="Comma 19 2 3 2 2 2 2" xfId="16596" xr:uid="{00000000-0005-0000-0000-00008E090000}"/>
    <cellStyle name="Comma 19 2 3 2 2 2 2 2" xfId="33536" xr:uid="{00000000-0005-0000-0000-00008F090000}"/>
    <cellStyle name="Comma 19 2 3 2 2 2 3" xfId="25088" xr:uid="{00000000-0005-0000-0000-000090090000}"/>
    <cellStyle name="Comma 19 2 3 2 2 3" xfId="12372" xr:uid="{00000000-0005-0000-0000-000091090000}"/>
    <cellStyle name="Comma 19 2 3 2 2 3 2" xfId="29312" xr:uid="{00000000-0005-0000-0000-000092090000}"/>
    <cellStyle name="Comma 19 2 3 2 2 4" xfId="20864" xr:uid="{00000000-0005-0000-0000-000093090000}"/>
    <cellStyle name="Comma 19 2 3 2 3" xfId="6036" xr:uid="{00000000-0005-0000-0000-000094090000}"/>
    <cellStyle name="Comma 19 2 3 2 3 2" xfId="14484" xr:uid="{00000000-0005-0000-0000-000095090000}"/>
    <cellStyle name="Comma 19 2 3 2 3 2 2" xfId="31424" xr:uid="{00000000-0005-0000-0000-000096090000}"/>
    <cellStyle name="Comma 19 2 3 2 3 3" xfId="22976" xr:uid="{00000000-0005-0000-0000-000097090000}"/>
    <cellStyle name="Comma 19 2 3 2 4" xfId="10260" xr:uid="{00000000-0005-0000-0000-000098090000}"/>
    <cellStyle name="Comma 19 2 3 2 4 2" xfId="27200" xr:uid="{00000000-0005-0000-0000-000099090000}"/>
    <cellStyle name="Comma 19 2 3 2 5" xfId="18752" xr:uid="{00000000-0005-0000-0000-00009A090000}"/>
    <cellStyle name="Comma 19 2 3 3" xfId="2866" xr:uid="{00000000-0005-0000-0000-00009B090000}"/>
    <cellStyle name="Comma 19 2 3 3 2" xfId="7092" xr:uid="{00000000-0005-0000-0000-00009C090000}"/>
    <cellStyle name="Comma 19 2 3 3 2 2" xfId="15540" xr:uid="{00000000-0005-0000-0000-00009D090000}"/>
    <cellStyle name="Comma 19 2 3 3 2 2 2" xfId="32480" xr:uid="{00000000-0005-0000-0000-00009E090000}"/>
    <cellStyle name="Comma 19 2 3 3 2 3" xfId="24032" xr:uid="{00000000-0005-0000-0000-00009F090000}"/>
    <cellStyle name="Comma 19 2 3 3 3" xfId="11316" xr:uid="{00000000-0005-0000-0000-0000A0090000}"/>
    <cellStyle name="Comma 19 2 3 3 3 2" xfId="28256" xr:uid="{00000000-0005-0000-0000-0000A1090000}"/>
    <cellStyle name="Comma 19 2 3 3 4" xfId="19808" xr:uid="{00000000-0005-0000-0000-0000A2090000}"/>
    <cellStyle name="Comma 19 2 3 4" xfId="4980" xr:uid="{00000000-0005-0000-0000-0000A3090000}"/>
    <cellStyle name="Comma 19 2 3 4 2" xfId="13428" xr:uid="{00000000-0005-0000-0000-0000A4090000}"/>
    <cellStyle name="Comma 19 2 3 4 2 2" xfId="30368" xr:uid="{00000000-0005-0000-0000-0000A5090000}"/>
    <cellStyle name="Comma 19 2 3 4 3" xfId="21920" xr:uid="{00000000-0005-0000-0000-0000A6090000}"/>
    <cellStyle name="Comma 19 2 3 5" xfId="9204" xr:uid="{00000000-0005-0000-0000-0000A7090000}"/>
    <cellStyle name="Comma 19 2 3 5 2" xfId="26144" xr:uid="{00000000-0005-0000-0000-0000A8090000}"/>
    <cellStyle name="Comma 19 2 3 6" xfId="17696" xr:uid="{00000000-0005-0000-0000-0000A9090000}"/>
    <cellStyle name="Comma 19 2 4" xfId="1100" xr:uid="{00000000-0005-0000-0000-0000AA090000}"/>
    <cellStyle name="Comma 19 2 4 2" xfId="2162" xr:uid="{00000000-0005-0000-0000-0000AB090000}"/>
    <cellStyle name="Comma 19 2 4 2 2" xfId="4274" xr:uid="{00000000-0005-0000-0000-0000AC090000}"/>
    <cellStyle name="Comma 19 2 4 2 2 2" xfId="8500" xr:uid="{00000000-0005-0000-0000-0000AD090000}"/>
    <cellStyle name="Comma 19 2 4 2 2 2 2" xfId="16948" xr:uid="{00000000-0005-0000-0000-0000AE090000}"/>
    <cellStyle name="Comma 19 2 4 2 2 2 2 2" xfId="33888" xr:uid="{00000000-0005-0000-0000-0000AF090000}"/>
    <cellStyle name="Comma 19 2 4 2 2 2 3" xfId="25440" xr:uid="{00000000-0005-0000-0000-0000B0090000}"/>
    <cellStyle name="Comma 19 2 4 2 2 3" xfId="12724" xr:uid="{00000000-0005-0000-0000-0000B1090000}"/>
    <cellStyle name="Comma 19 2 4 2 2 3 2" xfId="29664" xr:uid="{00000000-0005-0000-0000-0000B2090000}"/>
    <cellStyle name="Comma 19 2 4 2 2 4" xfId="21216" xr:uid="{00000000-0005-0000-0000-0000B3090000}"/>
    <cellStyle name="Comma 19 2 4 2 3" xfId="6388" xr:uid="{00000000-0005-0000-0000-0000B4090000}"/>
    <cellStyle name="Comma 19 2 4 2 3 2" xfId="14836" xr:uid="{00000000-0005-0000-0000-0000B5090000}"/>
    <cellStyle name="Comma 19 2 4 2 3 2 2" xfId="31776" xr:uid="{00000000-0005-0000-0000-0000B6090000}"/>
    <cellStyle name="Comma 19 2 4 2 3 3" xfId="23328" xr:uid="{00000000-0005-0000-0000-0000B7090000}"/>
    <cellStyle name="Comma 19 2 4 2 4" xfId="10612" xr:uid="{00000000-0005-0000-0000-0000B8090000}"/>
    <cellStyle name="Comma 19 2 4 2 4 2" xfId="27552" xr:uid="{00000000-0005-0000-0000-0000B9090000}"/>
    <cellStyle name="Comma 19 2 4 2 5" xfId="19104" xr:uid="{00000000-0005-0000-0000-0000BA090000}"/>
    <cellStyle name="Comma 19 2 4 3" xfId="3218" xr:uid="{00000000-0005-0000-0000-0000BB090000}"/>
    <cellStyle name="Comma 19 2 4 3 2" xfId="7444" xr:uid="{00000000-0005-0000-0000-0000BC090000}"/>
    <cellStyle name="Comma 19 2 4 3 2 2" xfId="15892" xr:uid="{00000000-0005-0000-0000-0000BD090000}"/>
    <cellStyle name="Comma 19 2 4 3 2 2 2" xfId="32832" xr:uid="{00000000-0005-0000-0000-0000BE090000}"/>
    <cellStyle name="Comma 19 2 4 3 2 3" xfId="24384" xr:uid="{00000000-0005-0000-0000-0000BF090000}"/>
    <cellStyle name="Comma 19 2 4 3 3" xfId="11668" xr:uid="{00000000-0005-0000-0000-0000C0090000}"/>
    <cellStyle name="Comma 19 2 4 3 3 2" xfId="28608" xr:uid="{00000000-0005-0000-0000-0000C1090000}"/>
    <cellStyle name="Comma 19 2 4 3 4" xfId="20160" xr:uid="{00000000-0005-0000-0000-0000C2090000}"/>
    <cellStyle name="Comma 19 2 4 4" xfId="5332" xr:uid="{00000000-0005-0000-0000-0000C3090000}"/>
    <cellStyle name="Comma 19 2 4 4 2" xfId="13780" xr:uid="{00000000-0005-0000-0000-0000C4090000}"/>
    <cellStyle name="Comma 19 2 4 4 2 2" xfId="30720" xr:uid="{00000000-0005-0000-0000-0000C5090000}"/>
    <cellStyle name="Comma 19 2 4 4 3" xfId="22272" xr:uid="{00000000-0005-0000-0000-0000C6090000}"/>
    <cellStyle name="Comma 19 2 4 5" xfId="9556" xr:uid="{00000000-0005-0000-0000-0000C7090000}"/>
    <cellStyle name="Comma 19 2 4 5 2" xfId="26496" xr:uid="{00000000-0005-0000-0000-0000C8090000}"/>
    <cellStyle name="Comma 19 2 4 6" xfId="18048" xr:uid="{00000000-0005-0000-0000-0000C9090000}"/>
    <cellStyle name="Comma 19 2 5" xfId="1282" xr:uid="{00000000-0005-0000-0000-0000CA090000}"/>
    <cellStyle name="Comma 19 2 5 2" xfId="2338" xr:uid="{00000000-0005-0000-0000-0000CB090000}"/>
    <cellStyle name="Comma 19 2 5 2 2" xfId="4450" xr:uid="{00000000-0005-0000-0000-0000CC090000}"/>
    <cellStyle name="Comma 19 2 5 2 2 2" xfId="8676" xr:uid="{00000000-0005-0000-0000-0000CD090000}"/>
    <cellStyle name="Comma 19 2 5 2 2 2 2" xfId="17124" xr:uid="{00000000-0005-0000-0000-0000CE090000}"/>
    <cellStyle name="Comma 19 2 5 2 2 2 2 2" xfId="34064" xr:uid="{00000000-0005-0000-0000-0000CF090000}"/>
    <cellStyle name="Comma 19 2 5 2 2 2 3" xfId="25616" xr:uid="{00000000-0005-0000-0000-0000D0090000}"/>
    <cellStyle name="Comma 19 2 5 2 2 3" xfId="12900" xr:uid="{00000000-0005-0000-0000-0000D1090000}"/>
    <cellStyle name="Comma 19 2 5 2 2 3 2" xfId="29840" xr:uid="{00000000-0005-0000-0000-0000D2090000}"/>
    <cellStyle name="Comma 19 2 5 2 2 4" xfId="21392" xr:uid="{00000000-0005-0000-0000-0000D3090000}"/>
    <cellStyle name="Comma 19 2 5 2 3" xfId="6564" xr:uid="{00000000-0005-0000-0000-0000D4090000}"/>
    <cellStyle name="Comma 19 2 5 2 3 2" xfId="15012" xr:uid="{00000000-0005-0000-0000-0000D5090000}"/>
    <cellStyle name="Comma 19 2 5 2 3 2 2" xfId="31952" xr:uid="{00000000-0005-0000-0000-0000D6090000}"/>
    <cellStyle name="Comma 19 2 5 2 3 3" xfId="23504" xr:uid="{00000000-0005-0000-0000-0000D7090000}"/>
    <cellStyle name="Comma 19 2 5 2 4" xfId="10788" xr:uid="{00000000-0005-0000-0000-0000D8090000}"/>
    <cellStyle name="Comma 19 2 5 2 4 2" xfId="27728" xr:uid="{00000000-0005-0000-0000-0000D9090000}"/>
    <cellStyle name="Comma 19 2 5 2 5" xfId="19280" xr:uid="{00000000-0005-0000-0000-0000DA090000}"/>
    <cellStyle name="Comma 19 2 5 3" xfId="3394" xr:uid="{00000000-0005-0000-0000-0000DB090000}"/>
    <cellStyle name="Comma 19 2 5 3 2" xfId="7620" xr:uid="{00000000-0005-0000-0000-0000DC090000}"/>
    <cellStyle name="Comma 19 2 5 3 2 2" xfId="16068" xr:uid="{00000000-0005-0000-0000-0000DD090000}"/>
    <cellStyle name="Comma 19 2 5 3 2 2 2" xfId="33008" xr:uid="{00000000-0005-0000-0000-0000DE090000}"/>
    <cellStyle name="Comma 19 2 5 3 2 3" xfId="24560" xr:uid="{00000000-0005-0000-0000-0000DF090000}"/>
    <cellStyle name="Comma 19 2 5 3 3" xfId="11844" xr:uid="{00000000-0005-0000-0000-0000E0090000}"/>
    <cellStyle name="Comma 19 2 5 3 3 2" xfId="28784" xr:uid="{00000000-0005-0000-0000-0000E1090000}"/>
    <cellStyle name="Comma 19 2 5 3 4" xfId="20336" xr:uid="{00000000-0005-0000-0000-0000E2090000}"/>
    <cellStyle name="Comma 19 2 5 4" xfId="5508" xr:uid="{00000000-0005-0000-0000-0000E3090000}"/>
    <cellStyle name="Comma 19 2 5 4 2" xfId="13956" xr:uid="{00000000-0005-0000-0000-0000E4090000}"/>
    <cellStyle name="Comma 19 2 5 4 2 2" xfId="30896" xr:uid="{00000000-0005-0000-0000-0000E5090000}"/>
    <cellStyle name="Comma 19 2 5 4 3" xfId="22448" xr:uid="{00000000-0005-0000-0000-0000E6090000}"/>
    <cellStyle name="Comma 19 2 5 5" xfId="9732" xr:uid="{00000000-0005-0000-0000-0000E7090000}"/>
    <cellStyle name="Comma 19 2 5 5 2" xfId="26672" xr:uid="{00000000-0005-0000-0000-0000E8090000}"/>
    <cellStyle name="Comma 19 2 5 6" xfId="18224" xr:uid="{00000000-0005-0000-0000-0000E9090000}"/>
    <cellStyle name="Comma 19 2 6" xfId="1458" xr:uid="{00000000-0005-0000-0000-0000EA090000}"/>
    <cellStyle name="Comma 19 2 6 2" xfId="3570" xr:uid="{00000000-0005-0000-0000-0000EB090000}"/>
    <cellStyle name="Comma 19 2 6 2 2" xfId="7796" xr:uid="{00000000-0005-0000-0000-0000EC090000}"/>
    <cellStyle name="Comma 19 2 6 2 2 2" xfId="16244" xr:uid="{00000000-0005-0000-0000-0000ED090000}"/>
    <cellStyle name="Comma 19 2 6 2 2 2 2" xfId="33184" xr:uid="{00000000-0005-0000-0000-0000EE090000}"/>
    <cellStyle name="Comma 19 2 6 2 2 3" xfId="24736" xr:uid="{00000000-0005-0000-0000-0000EF090000}"/>
    <cellStyle name="Comma 19 2 6 2 3" xfId="12020" xr:uid="{00000000-0005-0000-0000-0000F0090000}"/>
    <cellStyle name="Comma 19 2 6 2 3 2" xfId="28960" xr:uid="{00000000-0005-0000-0000-0000F1090000}"/>
    <cellStyle name="Comma 19 2 6 2 4" xfId="20512" xr:uid="{00000000-0005-0000-0000-0000F2090000}"/>
    <cellStyle name="Comma 19 2 6 3" xfId="5684" xr:uid="{00000000-0005-0000-0000-0000F3090000}"/>
    <cellStyle name="Comma 19 2 6 3 2" xfId="14132" xr:uid="{00000000-0005-0000-0000-0000F4090000}"/>
    <cellStyle name="Comma 19 2 6 3 2 2" xfId="31072" xr:uid="{00000000-0005-0000-0000-0000F5090000}"/>
    <cellStyle name="Comma 19 2 6 3 3" xfId="22624" xr:uid="{00000000-0005-0000-0000-0000F6090000}"/>
    <cellStyle name="Comma 19 2 6 4" xfId="9908" xr:uid="{00000000-0005-0000-0000-0000F7090000}"/>
    <cellStyle name="Comma 19 2 6 4 2" xfId="26848" xr:uid="{00000000-0005-0000-0000-0000F8090000}"/>
    <cellStyle name="Comma 19 2 6 5" xfId="18400" xr:uid="{00000000-0005-0000-0000-0000F9090000}"/>
    <cellStyle name="Comma 19 2 7" xfId="2514" xr:uid="{00000000-0005-0000-0000-0000FA090000}"/>
    <cellStyle name="Comma 19 2 7 2" xfId="6740" xr:uid="{00000000-0005-0000-0000-0000FB090000}"/>
    <cellStyle name="Comma 19 2 7 2 2" xfId="15188" xr:uid="{00000000-0005-0000-0000-0000FC090000}"/>
    <cellStyle name="Comma 19 2 7 2 2 2" xfId="32128" xr:uid="{00000000-0005-0000-0000-0000FD090000}"/>
    <cellStyle name="Comma 19 2 7 2 3" xfId="23680" xr:uid="{00000000-0005-0000-0000-0000FE090000}"/>
    <cellStyle name="Comma 19 2 7 3" xfId="10964" xr:uid="{00000000-0005-0000-0000-0000FF090000}"/>
    <cellStyle name="Comma 19 2 7 3 2" xfId="27904" xr:uid="{00000000-0005-0000-0000-0000000A0000}"/>
    <cellStyle name="Comma 19 2 7 4" xfId="19456" xr:uid="{00000000-0005-0000-0000-0000010A0000}"/>
    <cellStyle name="Comma 19 2 8" xfId="4627" xr:uid="{00000000-0005-0000-0000-0000020A0000}"/>
    <cellStyle name="Comma 19 2 8 2" xfId="13076" xr:uid="{00000000-0005-0000-0000-0000030A0000}"/>
    <cellStyle name="Comma 19 2 8 2 2" xfId="30016" xr:uid="{00000000-0005-0000-0000-0000040A0000}"/>
    <cellStyle name="Comma 19 2 8 3" xfId="21568" xr:uid="{00000000-0005-0000-0000-0000050A0000}"/>
    <cellStyle name="Comma 19 2 9" xfId="8852" xr:uid="{00000000-0005-0000-0000-0000060A0000}"/>
    <cellStyle name="Comma 19 2 9 2" xfId="25792" xr:uid="{00000000-0005-0000-0000-0000070A0000}"/>
    <cellStyle name="Comma 19 3" xfId="79" xr:uid="{00000000-0005-0000-0000-0000080A0000}"/>
    <cellStyle name="Comma 19 3 10" xfId="17305" xr:uid="{00000000-0005-0000-0000-0000090A0000}"/>
    <cellStyle name="Comma 19 3 2" xfId="571" xr:uid="{00000000-0005-0000-0000-00000A0A0000}"/>
    <cellStyle name="Comma 19 3 2 2" xfId="925" xr:uid="{00000000-0005-0000-0000-00000B0A0000}"/>
    <cellStyle name="Comma 19 3 2 2 2" xfId="1987" xr:uid="{00000000-0005-0000-0000-00000C0A0000}"/>
    <cellStyle name="Comma 19 3 2 2 2 2" xfId="4099" xr:uid="{00000000-0005-0000-0000-00000D0A0000}"/>
    <cellStyle name="Comma 19 3 2 2 2 2 2" xfId="8325" xr:uid="{00000000-0005-0000-0000-00000E0A0000}"/>
    <cellStyle name="Comma 19 3 2 2 2 2 2 2" xfId="16773" xr:uid="{00000000-0005-0000-0000-00000F0A0000}"/>
    <cellStyle name="Comma 19 3 2 2 2 2 2 2 2" xfId="33713" xr:uid="{00000000-0005-0000-0000-0000100A0000}"/>
    <cellStyle name="Comma 19 3 2 2 2 2 2 3" xfId="25265" xr:uid="{00000000-0005-0000-0000-0000110A0000}"/>
    <cellStyle name="Comma 19 3 2 2 2 2 3" xfId="12549" xr:uid="{00000000-0005-0000-0000-0000120A0000}"/>
    <cellStyle name="Comma 19 3 2 2 2 2 3 2" xfId="29489" xr:uid="{00000000-0005-0000-0000-0000130A0000}"/>
    <cellStyle name="Comma 19 3 2 2 2 2 4" xfId="21041" xr:uid="{00000000-0005-0000-0000-0000140A0000}"/>
    <cellStyle name="Comma 19 3 2 2 2 3" xfId="6213" xr:uid="{00000000-0005-0000-0000-0000150A0000}"/>
    <cellStyle name="Comma 19 3 2 2 2 3 2" xfId="14661" xr:uid="{00000000-0005-0000-0000-0000160A0000}"/>
    <cellStyle name="Comma 19 3 2 2 2 3 2 2" xfId="31601" xr:uid="{00000000-0005-0000-0000-0000170A0000}"/>
    <cellStyle name="Comma 19 3 2 2 2 3 3" xfId="23153" xr:uid="{00000000-0005-0000-0000-0000180A0000}"/>
    <cellStyle name="Comma 19 3 2 2 2 4" xfId="10437" xr:uid="{00000000-0005-0000-0000-0000190A0000}"/>
    <cellStyle name="Comma 19 3 2 2 2 4 2" xfId="27377" xr:uid="{00000000-0005-0000-0000-00001A0A0000}"/>
    <cellStyle name="Comma 19 3 2 2 2 5" xfId="18929" xr:uid="{00000000-0005-0000-0000-00001B0A0000}"/>
    <cellStyle name="Comma 19 3 2 2 3" xfId="3043" xr:uid="{00000000-0005-0000-0000-00001C0A0000}"/>
    <cellStyle name="Comma 19 3 2 2 3 2" xfId="7269" xr:uid="{00000000-0005-0000-0000-00001D0A0000}"/>
    <cellStyle name="Comma 19 3 2 2 3 2 2" xfId="15717" xr:uid="{00000000-0005-0000-0000-00001E0A0000}"/>
    <cellStyle name="Comma 19 3 2 2 3 2 2 2" xfId="32657" xr:uid="{00000000-0005-0000-0000-00001F0A0000}"/>
    <cellStyle name="Comma 19 3 2 2 3 2 3" xfId="24209" xr:uid="{00000000-0005-0000-0000-0000200A0000}"/>
    <cellStyle name="Comma 19 3 2 2 3 3" xfId="11493" xr:uid="{00000000-0005-0000-0000-0000210A0000}"/>
    <cellStyle name="Comma 19 3 2 2 3 3 2" xfId="28433" xr:uid="{00000000-0005-0000-0000-0000220A0000}"/>
    <cellStyle name="Comma 19 3 2 2 3 4" xfId="19985" xr:uid="{00000000-0005-0000-0000-0000230A0000}"/>
    <cellStyle name="Comma 19 3 2 2 4" xfId="5157" xr:uid="{00000000-0005-0000-0000-0000240A0000}"/>
    <cellStyle name="Comma 19 3 2 2 4 2" xfId="13605" xr:uid="{00000000-0005-0000-0000-0000250A0000}"/>
    <cellStyle name="Comma 19 3 2 2 4 2 2" xfId="30545" xr:uid="{00000000-0005-0000-0000-0000260A0000}"/>
    <cellStyle name="Comma 19 3 2 2 4 3" xfId="22097" xr:uid="{00000000-0005-0000-0000-0000270A0000}"/>
    <cellStyle name="Comma 19 3 2 2 5" xfId="9381" xr:uid="{00000000-0005-0000-0000-0000280A0000}"/>
    <cellStyle name="Comma 19 3 2 2 5 2" xfId="26321" xr:uid="{00000000-0005-0000-0000-0000290A0000}"/>
    <cellStyle name="Comma 19 3 2 2 6" xfId="17873" xr:uid="{00000000-0005-0000-0000-00002A0A0000}"/>
    <cellStyle name="Comma 19 3 2 3" xfId="1635" xr:uid="{00000000-0005-0000-0000-00002B0A0000}"/>
    <cellStyle name="Comma 19 3 2 3 2" xfId="3747" xr:uid="{00000000-0005-0000-0000-00002C0A0000}"/>
    <cellStyle name="Comma 19 3 2 3 2 2" xfId="7973" xr:uid="{00000000-0005-0000-0000-00002D0A0000}"/>
    <cellStyle name="Comma 19 3 2 3 2 2 2" xfId="16421" xr:uid="{00000000-0005-0000-0000-00002E0A0000}"/>
    <cellStyle name="Comma 19 3 2 3 2 2 2 2" xfId="33361" xr:uid="{00000000-0005-0000-0000-00002F0A0000}"/>
    <cellStyle name="Comma 19 3 2 3 2 2 3" xfId="24913" xr:uid="{00000000-0005-0000-0000-0000300A0000}"/>
    <cellStyle name="Comma 19 3 2 3 2 3" xfId="12197" xr:uid="{00000000-0005-0000-0000-0000310A0000}"/>
    <cellStyle name="Comma 19 3 2 3 2 3 2" xfId="29137" xr:uid="{00000000-0005-0000-0000-0000320A0000}"/>
    <cellStyle name="Comma 19 3 2 3 2 4" xfId="20689" xr:uid="{00000000-0005-0000-0000-0000330A0000}"/>
    <cellStyle name="Comma 19 3 2 3 3" xfId="5861" xr:uid="{00000000-0005-0000-0000-0000340A0000}"/>
    <cellStyle name="Comma 19 3 2 3 3 2" xfId="14309" xr:uid="{00000000-0005-0000-0000-0000350A0000}"/>
    <cellStyle name="Comma 19 3 2 3 3 2 2" xfId="31249" xr:uid="{00000000-0005-0000-0000-0000360A0000}"/>
    <cellStyle name="Comma 19 3 2 3 3 3" xfId="22801" xr:uid="{00000000-0005-0000-0000-0000370A0000}"/>
    <cellStyle name="Comma 19 3 2 3 4" xfId="10085" xr:uid="{00000000-0005-0000-0000-0000380A0000}"/>
    <cellStyle name="Comma 19 3 2 3 4 2" xfId="27025" xr:uid="{00000000-0005-0000-0000-0000390A0000}"/>
    <cellStyle name="Comma 19 3 2 3 5" xfId="18577" xr:uid="{00000000-0005-0000-0000-00003A0A0000}"/>
    <cellStyle name="Comma 19 3 2 4" xfId="2691" xr:uid="{00000000-0005-0000-0000-00003B0A0000}"/>
    <cellStyle name="Comma 19 3 2 4 2" xfId="6917" xr:uid="{00000000-0005-0000-0000-00003C0A0000}"/>
    <cellStyle name="Comma 19 3 2 4 2 2" xfId="15365" xr:uid="{00000000-0005-0000-0000-00003D0A0000}"/>
    <cellStyle name="Comma 19 3 2 4 2 2 2" xfId="32305" xr:uid="{00000000-0005-0000-0000-00003E0A0000}"/>
    <cellStyle name="Comma 19 3 2 4 2 3" xfId="23857" xr:uid="{00000000-0005-0000-0000-00003F0A0000}"/>
    <cellStyle name="Comma 19 3 2 4 3" xfId="11141" xr:uid="{00000000-0005-0000-0000-0000400A0000}"/>
    <cellStyle name="Comma 19 3 2 4 3 2" xfId="28081" xr:uid="{00000000-0005-0000-0000-0000410A0000}"/>
    <cellStyle name="Comma 19 3 2 4 4" xfId="19633" xr:uid="{00000000-0005-0000-0000-0000420A0000}"/>
    <cellStyle name="Comma 19 3 2 5" xfId="4805" xr:uid="{00000000-0005-0000-0000-0000430A0000}"/>
    <cellStyle name="Comma 19 3 2 5 2" xfId="13253" xr:uid="{00000000-0005-0000-0000-0000440A0000}"/>
    <cellStyle name="Comma 19 3 2 5 2 2" xfId="30193" xr:uid="{00000000-0005-0000-0000-0000450A0000}"/>
    <cellStyle name="Comma 19 3 2 5 3" xfId="21745" xr:uid="{00000000-0005-0000-0000-0000460A0000}"/>
    <cellStyle name="Comma 19 3 2 6" xfId="9029" xr:uid="{00000000-0005-0000-0000-0000470A0000}"/>
    <cellStyle name="Comma 19 3 2 6 2" xfId="25969" xr:uid="{00000000-0005-0000-0000-0000480A0000}"/>
    <cellStyle name="Comma 19 3 2 7" xfId="17521" xr:uid="{00000000-0005-0000-0000-0000490A0000}"/>
    <cellStyle name="Comma 19 3 3" xfId="749" xr:uid="{00000000-0005-0000-0000-00004A0A0000}"/>
    <cellStyle name="Comma 19 3 3 2" xfId="1811" xr:uid="{00000000-0005-0000-0000-00004B0A0000}"/>
    <cellStyle name="Comma 19 3 3 2 2" xfId="3923" xr:uid="{00000000-0005-0000-0000-00004C0A0000}"/>
    <cellStyle name="Comma 19 3 3 2 2 2" xfId="8149" xr:uid="{00000000-0005-0000-0000-00004D0A0000}"/>
    <cellStyle name="Comma 19 3 3 2 2 2 2" xfId="16597" xr:uid="{00000000-0005-0000-0000-00004E0A0000}"/>
    <cellStyle name="Comma 19 3 3 2 2 2 2 2" xfId="33537" xr:uid="{00000000-0005-0000-0000-00004F0A0000}"/>
    <cellStyle name="Comma 19 3 3 2 2 2 3" xfId="25089" xr:uid="{00000000-0005-0000-0000-0000500A0000}"/>
    <cellStyle name="Comma 19 3 3 2 2 3" xfId="12373" xr:uid="{00000000-0005-0000-0000-0000510A0000}"/>
    <cellStyle name="Comma 19 3 3 2 2 3 2" xfId="29313" xr:uid="{00000000-0005-0000-0000-0000520A0000}"/>
    <cellStyle name="Comma 19 3 3 2 2 4" xfId="20865" xr:uid="{00000000-0005-0000-0000-0000530A0000}"/>
    <cellStyle name="Comma 19 3 3 2 3" xfId="6037" xr:uid="{00000000-0005-0000-0000-0000540A0000}"/>
    <cellStyle name="Comma 19 3 3 2 3 2" xfId="14485" xr:uid="{00000000-0005-0000-0000-0000550A0000}"/>
    <cellStyle name="Comma 19 3 3 2 3 2 2" xfId="31425" xr:uid="{00000000-0005-0000-0000-0000560A0000}"/>
    <cellStyle name="Comma 19 3 3 2 3 3" xfId="22977" xr:uid="{00000000-0005-0000-0000-0000570A0000}"/>
    <cellStyle name="Comma 19 3 3 2 4" xfId="10261" xr:uid="{00000000-0005-0000-0000-0000580A0000}"/>
    <cellStyle name="Comma 19 3 3 2 4 2" xfId="27201" xr:uid="{00000000-0005-0000-0000-0000590A0000}"/>
    <cellStyle name="Comma 19 3 3 2 5" xfId="18753" xr:uid="{00000000-0005-0000-0000-00005A0A0000}"/>
    <cellStyle name="Comma 19 3 3 3" xfId="2867" xr:uid="{00000000-0005-0000-0000-00005B0A0000}"/>
    <cellStyle name="Comma 19 3 3 3 2" xfId="7093" xr:uid="{00000000-0005-0000-0000-00005C0A0000}"/>
    <cellStyle name="Comma 19 3 3 3 2 2" xfId="15541" xr:uid="{00000000-0005-0000-0000-00005D0A0000}"/>
    <cellStyle name="Comma 19 3 3 3 2 2 2" xfId="32481" xr:uid="{00000000-0005-0000-0000-00005E0A0000}"/>
    <cellStyle name="Comma 19 3 3 3 2 3" xfId="24033" xr:uid="{00000000-0005-0000-0000-00005F0A0000}"/>
    <cellStyle name="Comma 19 3 3 3 3" xfId="11317" xr:uid="{00000000-0005-0000-0000-0000600A0000}"/>
    <cellStyle name="Comma 19 3 3 3 3 2" xfId="28257" xr:uid="{00000000-0005-0000-0000-0000610A0000}"/>
    <cellStyle name="Comma 19 3 3 3 4" xfId="19809" xr:uid="{00000000-0005-0000-0000-0000620A0000}"/>
    <cellStyle name="Comma 19 3 3 4" xfId="4981" xr:uid="{00000000-0005-0000-0000-0000630A0000}"/>
    <cellStyle name="Comma 19 3 3 4 2" xfId="13429" xr:uid="{00000000-0005-0000-0000-0000640A0000}"/>
    <cellStyle name="Comma 19 3 3 4 2 2" xfId="30369" xr:uid="{00000000-0005-0000-0000-0000650A0000}"/>
    <cellStyle name="Comma 19 3 3 4 3" xfId="21921" xr:uid="{00000000-0005-0000-0000-0000660A0000}"/>
    <cellStyle name="Comma 19 3 3 5" xfId="9205" xr:uid="{00000000-0005-0000-0000-0000670A0000}"/>
    <cellStyle name="Comma 19 3 3 5 2" xfId="26145" xr:uid="{00000000-0005-0000-0000-0000680A0000}"/>
    <cellStyle name="Comma 19 3 3 6" xfId="17697" xr:uid="{00000000-0005-0000-0000-0000690A0000}"/>
    <cellStyle name="Comma 19 3 4" xfId="1101" xr:uid="{00000000-0005-0000-0000-00006A0A0000}"/>
    <cellStyle name="Comma 19 3 4 2" xfId="2163" xr:uid="{00000000-0005-0000-0000-00006B0A0000}"/>
    <cellStyle name="Comma 19 3 4 2 2" xfId="4275" xr:uid="{00000000-0005-0000-0000-00006C0A0000}"/>
    <cellStyle name="Comma 19 3 4 2 2 2" xfId="8501" xr:uid="{00000000-0005-0000-0000-00006D0A0000}"/>
    <cellStyle name="Comma 19 3 4 2 2 2 2" xfId="16949" xr:uid="{00000000-0005-0000-0000-00006E0A0000}"/>
    <cellStyle name="Comma 19 3 4 2 2 2 2 2" xfId="33889" xr:uid="{00000000-0005-0000-0000-00006F0A0000}"/>
    <cellStyle name="Comma 19 3 4 2 2 2 3" xfId="25441" xr:uid="{00000000-0005-0000-0000-0000700A0000}"/>
    <cellStyle name="Comma 19 3 4 2 2 3" xfId="12725" xr:uid="{00000000-0005-0000-0000-0000710A0000}"/>
    <cellStyle name="Comma 19 3 4 2 2 3 2" xfId="29665" xr:uid="{00000000-0005-0000-0000-0000720A0000}"/>
    <cellStyle name="Comma 19 3 4 2 2 4" xfId="21217" xr:uid="{00000000-0005-0000-0000-0000730A0000}"/>
    <cellStyle name="Comma 19 3 4 2 3" xfId="6389" xr:uid="{00000000-0005-0000-0000-0000740A0000}"/>
    <cellStyle name="Comma 19 3 4 2 3 2" xfId="14837" xr:uid="{00000000-0005-0000-0000-0000750A0000}"/>
    <cellStyle name="Comma 19 3 4 2 3 2 2" xfId="31777" xr:uid="{00000000-0005-0000-0000-0000760A0000}"/>
    <cellStyle name="Comma 19 3 4 2 3 3" xfId="23329" xr:uid="{00000000-0005-0000-0000-0000770A0000}"/>
    <cellStyle name="Comma 19 3 4 2 4" xfId="10613" xr:uid="{00000000-0005-0000-0000-0000780A0000}"/>
    <cellStyle name="Comma 19 3 4 2 4 2" xfId="27553" xr:uid="{00000000-0005-0000-0000-0000790A0000}"/>
    <cellStyle name="Comma 19 3 4 2 5" xfId="19105" xr:uid="{00000000-0005-0000-0000-00007A0A0000}"/>
    <cellStyle name="Comma 19 3 4 3" xfId="3219" xr:uid="{00000000-0005-0000-0000-00007B0A0000}"/>
    <cellStyle name="Comma 19 3 4 3 2" xfId="7445" xr:uid="{00000000-0005-0000-0000-00007C0A0000}"/>
    <cellStyle name="Comma 19 3 4 3 2 2" xfId="15893" xr:uid="{00000000-0005-0000-0000-00007D0A0000}"/>
    <cellStyle name="Comma 19 3 4 3 2 2 2" xfId="32833" xr:uid="{00000000-0005-0000-0000-00007E0A0000}"/>
    <cellStyle name="Comma 19 3 4 3 2 3" xfId="24385" xr:uid="{00000000-0005-0000-0000-00007F0A0000}"/>
    <cellStyle name="Comma 19 3 4 3 3" xfId="11669" xr:uid="{00000000-0005-0000-0000-0000800A0000}"/>
    <cellStyle name="Comma 19 3 4 3 3 2" xfId="28609" xr:uid="{00000000-0005-0000-0000-0000810A0000}"/>
    <cellStyle name="Comma 19 3 4 3 4" xfId="20161" xr:uid="{00000000-0005-0000-0000-0000820A0000}"/>
    <cellStyle name="Comma 19 3 4 4" xfId="5333" xr:uid="{00000000-0005-0000-0000-0000830A0000}"/>
    <cellStyle name="Comma 19 3 4 4 2" xfId="13781" xr:uid="{00000000-0005-0000-0000-0000840A0000}"/>
    <cellStyle name="Comma 19 3 4 4 2 2" xfId="30721" xr:uid="{00000000-0005-0000-0000-0000850A0000}"/>
    <cellStyle name="Comma 19 3 4 4 3" xfId="22273" xr:uid="{00000000-0005-0000-0000-0000860A0000}"/>
    <cellStyle name="Comma 19 3 4 5" xfId="9557" xr:uid="{00000000-0005-0000-0000-0000870A0000}"/>
    <cellStyle name="Comma 19 3 4 5 2" xfId="26497" xr:uid="{00000000-0005-0000-0000-0000880A0000}"/>
    <cellStyle name="Comma 19 3 4 6" xfId="18049" xr:uid="{00000000-0005-0000-0000-0000890A0000}"/>
    <cellStyle name="Comma 19 3 5" xfId="1283" xr:uid="{00000000-0005-0000-0000-00008A0A0000}"/>
    <cellStyle name="Comma 19 3 5 2" xfId="2339" xr:uid="{00000000-0005-0000-0000-00008B0A0000}"/>
    <cellStyle name="Comma 19 3 5 2 2" xfId="4451" xr:uid="{00000000-0005-0000-0000-00008C0A0000}"/>
    <cellStyle name="Comma 19 3 5 2 2 2" xfId="8677" xr:uid="{00000000-0005-0000-0000-00008D0A0000}"/>
    <cellStyle name="Comma 19 3 5 2 2 2 2" xfId="17125" xr:uid="{00000000-0005-0000-0000-00008E0A0000}"/>
    <cellStyle name="Comma 19 3 5 2 2 2 2 2" xfId="34065" xr:uid="{00000000-0005-0000-0000-00008F0A0000}"/>
    <cellStyle name="Comma 19 3 5 2 2 2 3" xfId="25617" xr:uid="{00000000-0005-0000-0000-0000900A0000}"/>
    <cellStyle name="Comma 19 3 5 2 2 3" xfId="12901" xr:uid="{00000000-0005-0000-0000-0000910A0000}"/>
    <cellStyle name="Comma 19 3 5 2 2 3 2" xfId="29841" xr:uid="{00000000-0005-0000-0000-0000920A0000}"/>
    <cellStyle name="Comma 19 3 5 2 2 4" xfId="21393" xr:uid="{00000000-0005-0000-0000-0000930A0000}"/>
    <cellStyle name="Comma 19 3 5 2 3" xfId="6565" xr:uid="{00000000-0005-0000-0000-0000940A0000}"/>
    <cellStyle name="Comma 19 3 5 2 3 2" xfId="15013" xr:uid="{00000000-0005-0000-0000-0000950A0000}"/>
    <cellStyle name="Comma 19 3 5 2 3 2 2" xfId="31953" xr:uid="{00000000-0005-0000-0000-0000960A0000}"/>
    <cellStyle name="Comma 19 3 5 2 3 3" xfId="23505" xr:uid="{00000000-0005-0000-0000-0000970A0000}"/>
    <cellStyle name="Comma 19 3 5 2 4" xfId="10789" xr:uid="{00000000-0005-0000-0000-0000980A0000}"/>
    <cellStyle name="Comma 19 3 5 2 4 2" xfId="27729" xr:uid="{00000000-0005-0000-0000-0000990A0000}"/>
    <cellStyle name="Comma 19 3 5 2 5" xfId="19281" xr:uid="{00000000-0005-0000-0000-00009A0A0000}"/>
    <cellStyle name="Comma 19 3 5 3" xfId="3395" xr:uid="{00000000-0005-0000-0000-00009B0A0000}"/>
    <cellStyle name="Comma 19 3 5 3 2" xfId="7621" xr:uid="{00000000-0005-0000-0000-00009C0A0000}"/>
    <cellStyle name="Comma 19 3 5 3 2 2" xfId="16069" xr:uid="{00000000-0005-0000-0000-00009D0A0000}"/>
    <cellStyle name="Comma 19 3 5 3 2 2 2" xfId="33009" xr:uid="{00000000-0005-0000-0000-00009E0A0000}"/>
    <cellStyle name="Comma 19 3 5 3 2 3" xfId="24561" xr:uid="{00000000-0005-0000-0000-00009F0A0000}"/>
    <cellStyle name="Comma 19 3 5 3 3" xfId="11845" xr:uid="{00000000-0005-0000-0000-0000A00A0000}"/>
    <cellStyle name="Comma 19 3 5 3 3 2" xfId="28785" xr:uid="{00000000-0005-0000-0000-0000A10A0000}"/>
    <cellStyle name="Comma 19 3 5 3 4" xfId="20337" xr:uid="{00000000-0005-0000-0000-0000A20A0000}"/>
    <cellStyle name="Comma 19 3 5 4" xfId="5509" xr:uid="{00000000-0005-0000-0000-0000A30A0000}"/>
    <cellStyle name="Comma 19 3 5 4 2" xfId="13957" xr:uid="{00000000-0005-0000-0000-0000A40A0000}"/>
    <cellStyle name="Comma 19 3 5 4 2 2" xfId="30897" xr:uid="{00000000-0005-0000-0000-0000A50A0000}"/>
    <cellStyle name="Comma 19 3 5 4 3" xfId="22449" xr:uid="{00000000-0005-0000-0000-0000A60A0000}"/>
    <cellStyle name="Comma 19 3 5 5" xfId="9733" xr:uid="{00000000-0005-0000-0000-0000A70A0000}"/>
    <cellStyle name="Comma 19 3 5 5 2" xfId="26673" xr:uid="{00000000-0005-0000-0000-0000A80A0000}"/>
    <cellStyle name="Comma 19 3 5 6" xfId="18225" xr:uid="{00000000-0005-0000-0000-0000A90A0000}"/>
    <cellStyle name="Comma 19 3 6" xfId="1459" xr:uid="{00000000-0005-0000-0000-0000AA0A0000}"/>
    <cellStyle name="Comma 19 3 6 2" xfId="3571" xr:uid="{00000000-0005-0000-0000-0000AB0A0000}"/>
    <cellStyle name="Comma 19 3 6 2 2" xfId="7797" xr:uid="{00000000-0005-0000-0000-0000AC0A0000}"/>
    <cellStyle name="Comma 19 3 6 2 2 2" xfId="16245" xr:uid="{00000000-0005-0000-0000-0000AD0A0000}"/>
    <cellStyle name="Comma 19 3 6 2 2 2 2" xfId="33185" xr:uid="{00000000-0005-0000-0000-0000AE0A0000}"/>
    <cellStyle name="Comma 19 3 6 2 2 3" xfId="24737" xr:uid="{00000000-0005-0000-0000-0000AF0A0000}"/>
    <cellStyle name="Comma 19 3 6 2 3" xfId="12021" xr:uid="{00000000-0005-0000-0000-0000B00A0000}"/>
    <cellStyle name="Comma 19 3 6 2 3 2" xfId="28961" xr:uid="{00000000-0005-0000-0000-0000B10A0000}"/>
    <cellStyle name="Comma 19 3 6 2 4" xfId="20513" xr:uid="{00000000-0005-0000-0000-0000B20A0000}"/>
    <cellStyle name="Comma 19 3 6 3" xfId="5685" xr:uid="{00000000-0005-0000-0000-0000B30A0000}"/>
    <cellStyle name="Comma 19 3 6 3 2" xfId="14133" xr:uid="{00000000-0005-0000-0000-0000B40A0000}"/>
    <cellStyle name="Comma 19 3 6 3 2 2" xfId="31073" xr:uid="{00000000-0005-0000-0000-0000B50A0000}"/>
    <cellStyle name="Comma 19 3 6 3 3" xfId="22625" xr:uid="{00000000-0005-0000-0000-0000B60A0000}"/>
    <cellStyle name="Comma 19 3 6 4" xfId="9909" xr:uid="{00000000-0005-0000-0000-0000B70A0000}"/>
    <cellStyle name="Comma 19 3 6 4 2" xfId="26849" xr:uid="{00000000-0005-0000-0000-0000B80A0000}"/>
    <cellStyle name="Comma 19 3 6 5" xfId="18401" xr:uid="{00000000-0005-0000-0000-0000B90A0000}"/>
    <cellStyle name="Comma 19 3 7" xfId="2515" xr:uid="{00000000-0005-0000-0000-0000BA0A0000}"/>
    <cellStyle name="Comma 19 3 7 2" xfId="6741" xr:uid="{00000000-0005-0000-0000-0000BB0A0000}"/>
    <cellStyle name="Comma 19 3 7 2 2" xfId="15189" xr:uid="{00000000-0005-0000-0000-0000BC0A0000}"/>
    <cellStyle name="Comma 19 3 7 2 2 2" xfId="32129" xr:uid="{00000000-0005-0000-0000-0000BD0A0000}"/>
    <cellStyle name="Comma 19 3 7 2 3" xfId="23681" xr:uid="{00000000-0005-0000-0000-0000BE0A0000}"/>
    <cellStyle name="Comma 19 3 7 3" xfId="10965" xr:uid="{00000000-0005-0000-0000-0000BF0A0000}"/>
    <cellStyle name="Comma 19 3 7 3 2" xfId="27905" xr:uid="{00000000-0005-0000-0000-0000C00A0000}"/>
    <cellStyle name="Comma 19 3 7 4" xfId="19457" xr:uid="{00000000-0005-0000-0000-0000C10A0000}"/>
    <cellStyle name="Comma 19 3 8" xfId="4628" xr:uid="{00000000-0005-0000-0000-0000C20A0000}"/>
    <cellStyle name="Comma 19 3 8 2" xfId="13077" xr:uid="{00000000-0005-0000-0000-0000C30A0000}"/>
    <cellStyle name="Comma 19 3 8 2 2" xfId="30017" xr:uid="{00000000-0005-0000-0000-0000C40A0000}"/>
    <cellStyle name="Comma 19 3 8 3" xfId="21569" xr:uid="{00000000-0005-0000-0000-0000C50A0000}"/>
    <cellStyle name="Comma 19 3 9" xfId="8853" xr:uid="{00000000-0005-0000-0000-0000C60A0000}"/>
    <cellStyle name="Comma 19 3 9 2" xfId="25793" xr:uid="{00000000-0005-0000-0000-0000C70A0000}"/>
    <cellStyle name="Comma 19 4" xfId="569" xr:uid="{00000000-0005-0000-0000-0000C80A0000}"/>
    <cellStyle name="Comma 19 4 2" xfId="923" xr:uid="{00000000-0005-0000-0000-0000C90A0000}"/>
    <cellStyle name="Comma 19 4 2 2" xfId="1985" xr:uid="{00000000-0005-0000-0000-0000CA0A0000}"/>
    <cellStyle name="Comma 19 4 2 2 2" xfId="4097" xr:uid="{00000000-0005-0000-0000-0000CB0A0000}"/>
    <cellStyle name="Comma 19 4 2 2 2 2" xfId="8323" xr:uid="{00000000-0005-0000-0000-0000CC0A0000}"/>
    <cellStyle name="Comma 19 4 2 2 2 2 2" xfId="16771" xr:uid="{00000000-0005-0000-0000-0000CD0A0000}"/>
    <cellStyle name="Comma 19 4 2 2 2 2 2 2" xfId="33711" xr:uid="{00000000-0005-0000-0000-0000CE0A0000}"/>
    <cellStyle name="Comma 19 4 2 2 2 2 3" xfId="25263" xr:uid="{00000000-0005-0000-0000-0000CF0A0000}"/>
    <cellStyle name="Comma 19 4 2 2 2 3" xfId="12547" xr:uid="{00000000-0005-0000-0000-0000D00A0000}"/>
    <cellStyle name="Comma 19 4 2 2 2 3 2" xfId="29487" xr:uid="{00000000-0005-0000-0000-0000D10A0000}"/>
    <cellStyle name="Comma 19 4 2 2 2 4" xfId="21039" xr:uid="{00000000-0005-0000-0000-0000D20A0000}"/>
    <cellStyle name="Comma 19 4 2 2 3" xfId="6211" xr:uid="{00000000-0005-0000-0000-0000D30A0000}"/>
    <cellStyle name="Comma 19 4 2 2 3 2" xfId="14659" xr:uid="{00000000-0005-0000-0000-0000D40A0000}"/>
    <cellStyle name="Comma 19 4 2 2 3 2 2" xfId="31599" xr:uid="{00000000-0005-0000-0000-0000D50A0000}"/>
    <cellStyle name="Comma 19 4 2 2 3 3" xfId="23151" xr:uid="{00000000-0005-0000-0000-0000D60A0000}"/>
    <cellStyle name="Comma 19 4 2 2 4" xfId="10435" xr:uid="{00000000-0005-0000-0000-0000D70A0000}"/>
    <cellStyle name="Comma 19 4 2 2 4 2" xfId="27375" xr:uid="{00000000-0005-0000-0000-0000D80A0000}"/>
    <cellStyle name="Comma 19 4 2 2 5" xfId="18927" xr:uid="{00000000-0005-0000-0000-0000D90A0000}"/>
    <cellStyle name="Comma 19 4 2 3" xfId="3041" xr:uid="{00000000-0005-0000-0000-0000DA0A0000}"/>
    <cellStyle name="Comma 19 4 2 3 2" xfId="7267" xr:uid="{00000000-0005-0000-0000-0000DB0A0000}"/>
    <cellStyle name="Comma 19 4 2 3 2 2" xfId="15715" xr:uid="{00000000-0005-0000-0000-0000DC0A0000}"/>
    <cellStyle name="Comma 19 4 2 3 2 2 2" xfId="32655" xr:uid="{00000000-0005-0000-0000-0000DD0A0000}"/>
    <cellStyle name="Comma 19 4 2 3 2 3" xfId="24207" xr:uid="{00000000-0005-0000-0000-0000DE0A0000}"/>
    <cellStyle name="Comma 19 4 2 3 3" xfId="11491" xr:uid="{00000000-0005-0000-0000-0000DF0A0000}"/>
    <cellStyle name="Comma 19 4 2 3 3 2" xfId="28431" xr:uid="{00000000-0005-0000-0000-0000E00A0000}"/>
    <cellStyle name="Comma 19 4 2 3 4" xfId="19983" xr:uid="{00000000-0005-0000-0000-0000E10A0000}"/>
    <cellStyle name="Comma 19 4 2 4" xfId="5155" xr:uid="{00000000-0005-0000-0000-0000E20A0000}"/>
    <cellStyle name="Comma 19 4 2 4 2" xfId="13603" xr:uid="{00000000-0005-0000-0000-0000E30A0000}"/>
    <cellStyle name="Comma 19 4 2 4 2 2" xfId="30543" xr:uid="{00000000-0005-0000-0000-0000E40A0000}"/>
    <cellStyle name="Comma 19 4 2 4 3" xfId="22095" xr:uid="{00000000-0005-0000-0000-0000E50A0000}"/>
    <cellStyle name="Comma 19 4 2 5" xfId="9379" xr:uid="{00000000-0005-0000-0000-0000E60A0000}"/>
    <cellStyle name="Comma 19 4 2 5 2" xfId="26319" xr:uid="{00000000-0005-0000-0000-0000E70A0000}"/>
    <cellStyle name="Comma 19 4 2 6" xfId="17871" xr:uid="{00000000-0005-0000-0000-0000E80A0000}"/>
    <cellStyle name="Comma 19 4 3" xfId="1633" xr:uid="{00000000-0005-0000-0000-0000E90A0000}"/>
    <cellStyle name="Comma 19 4 3 2" xfId="3745" xr:uid="{00000000-0005-0000-0000-0000EA0A0000}"/>
    <cellStyle name="Comma 19 4 3 2 2" xfId="7971" xr:uid="{00000000-0005-0000-0000-0000EB0A0000}"/>
    <cellStyle name="Comma 19 4 3 2 2 2" xfId="16419" xr:uid="{00000000-0005-0000-0000-0000EC0A0000}"/>
    <cellStyle name="Comma 19 4 3 2 2 2 2" xfId="33359" xr:uid="{00000000-0005-0000-0000-0000ED0A0000}"/>
    <cellStyle name="Comma 19 4 3 2 2 3" xfId="24911" xr:uid="{00000000-0005-0000-0000-0000EE0A0000}"/>
    <cellStyle name="Comma 19 4 3 2 3" xfId="12195" xr:uid="{00000000-0005-0000-0000-0000EF0A0000}"/>
    <cellStyle name="Comma 19 4 3 2 3 2" xfId="29135" xr:uid="{00000000-0005-0000-0000-0000F00A0000}"/>
    <cellStyle name="Comma 19 4 3 2 4" xfId="20687" xr:uid="{00000000-0005-0000-0000-0000F10A0000}"/>
    <cellStyle name="Comma 19 4 3 3" xfId="5859" xr:uid="{00000000-0005-0000-0000-0000F20A0000}"/>
    <cellStyle name="Comma 19 4 3 3 2" xfId="14307" xr:uid="{00000000-0005-0000-0000-0000F30A0000}"/>
    <cellStyle name="Comma 19 4 3 3 2 2" xfId="31247" xr:uid="{00000000-0005-0000-0000-0000F40A0000}"/>
    <cellStyle name="Comma 19 4 3 3 3" xfId="22799" xr:uid="{00000000-0005-0000-0000-0000F50A0000}"/>
    <cellStyle name="Comma 19 4 3 4" xfId="10083" xr:uid="{00000000-0005-0000-0000-0000F60A0000}"/>
    <cellStyle name="Comma 19 4 3 4 2" xfId="27023" xr:uid="{00000000-0005-0000-0000-0000F70A0000}"/>
    <cellStyle name="Comma 19 4 3 5" xfId="18575" xr:uid="{00000000-0005-0000-0000-0000F80A0000}"/>
    <cellStyle name="Comma 19 4 4" xfId="2689" xr:uid="{00000000-0005-0000-0000-0000F90A0000}"/>
    <cellStyle name="Comma 19 4 4 2" xfId="6915" xr:uid="{00000000-0005-0000-0000-0000FA0A0000}"/>
    <cellStyle name="Comma 19 4 4 2 2" xfId="15363" xr:uid="{00000000-0005-0000-0000-0000FB0A0000}"/>
    <cellStyle name="Comma 19 4 4 2 2 2" xfId="32303" xr:uid="{00000000-0005-0000-0000-0000FC0A0000}"/>
    <cellStyle name="Comma 19 4 4 2 3" xfId="23855" xr:uid="{00000000-0005-0000-0000-0000FD0A0000}"/>
    <cellStyle name="Comma 19 4 4 3" xfId="11139" xr:uid="{00000000-0005-0000-0000-0000FE0A0000}"/>
    <cellStyle name="Comma 19 4 4 3 2" xfId="28079" xr:uid="{00000000-0005-0000-0000-0000FF0A0000}"/>
    <cellStyle name="Comma 19 4 4 4" xfId="19631" xr:uid="{00000000-0005-0000-0000-0000000B0000}"/>
    <cellStyle name="Comma 19 4 5" xfId="4803" xr:uid="{00000000-0005-0000-0000-0000010B0000}"/>
    <cellStyle name="Comma 19 4 5 2" xfId="13251" xr:uid="{00000000-0005-0000-0000-0000020B0000}"/>
    <cellStyle name="Comma 19 4 5 2 2" xfId="30191" xr:uid="{00000000-0005-0000-0000-0000030B0000}"/>
    <cellStyle name="Comma 19 4 5 3" xfId="21743" xr:uid="{00000000-0005-0000-0000-0000040B0000}"/>
    <cellStyle name="Comma 19 4 6" xfId="9027" xr:uid="{00000000-0005-0000-0000-0000050B0000}"/>
    <cellStyle name="Comma 19 4 6 2" xfId="25967" xr:uid="{00000000-0005-0000-0000-0000060B0000}"/>
    <cellStyle name="Comma 19 4 7" xfId="17519" xr:uid="{00000000-0005-0000-0000-0000070B0000}"/>
    <cellStyle name="Comma 19 5" xfId="747" xr:uid="{00000000-0005-0000-0000-0000080B0000}"/>
    <cellStyle name="Comma 19 5 2" xfId="1809" xr:uid="{00000000-0005-0000-0000-0000090B0000}"/>
    <cellStyle name="Comma 19 5 2 2" xfId="3921" xr:uid="{00000000-0005-0000-0000-00000A0B0000}"/>
    <cellStyle name="Comma 19 5 2 2 2" xfId="8147" xr:uid="{00000000-0005-0000-0000-00000B0B0000}"/>
    <cellStyle name="Comma 19 5 2 2 2 2" xfId="16595" xr:uid="{00000000-0005-0000-0000-00000C0B0000}"/>
    <cellStyle name="Comma 19 5 2 2 2 2 2" xfId="33535" xr:uid="{00000000-0005-0000-0000-00000D0B0000}"/>
    <cellStyle name="Comma 19 5 2 2 2 3" xfId="25087" xr:uid="{00000000-0005-0000-0000-00000E0B0000}"/>
    <cellStyle name="Comma 19 5 2 2 3" xfId="12371" xr:uid="{00000000-0005-0000-0000-00000F0B0000}"/>
    <cellStyle name="Comma 19 5 2 2 3 2" xfId="29311" xr:uid="{00000000-0005-0000-0000-0000100B0000}"/>
    <cellStyle name="Comma 19 5 2 2 4" xfId="20863" xr:uid="{00000000-0005-0000-0000-0000110B0000}"/>
    <cellStyle name="Comma 19 5 2 3" xfId="6035" xr:uid="{00000000-0005-0000-0000-0000120B0000}"/>
    <cellStyle name="Comma 19 5 2 3 2" xfId="14483" xr:uid="{00000000-0005-0000-0000-0000130B0000}"/>
    <cellStyle name="Comma 19 5 2 3 2 2" xfId="31423" xr:uid="{00000000-0005-0000-0000-0000140B0000}"/>
    <cellStyle name="Comma 19 5 2 3 3" xfId="22975" xr:uid="{00000000-0005-0000-0000-0000150B0000}"/>
    <cellStyle name="Comma 19 5 2 4" xfId="10259" xr:uid="{00000000-0005-0000-0000-0000160B0000}"/>
    <cellStyle name="Comma 19 5 2 4 2" xfId="27199" xr:uid="{00000000-0005-0000-0000-0000170B0000}"/>
    <cellStyle name="Comma 19 5 2 5" xfId="18751" xr:uid="{00000000-0005-0000-0000-0000180B0000}"/>
    <cellStyle name="Comma 19 5 3" xfId="2865" xr:uid="{00000000-0005-0000-0000-0000190B0000}"/>
    <cellStyle name="Comma 19 5 3 2" xfId="7091" xr:uid="{00000000-0005-0000-0000-00001A0B0000}"/>
    <cellStyle name="Comma 19 5 3 2 2" xfId="15539" xr:uid="{00000000-0005-0000-0000-00001B0B0000}"/>
    <cellStyle name="Comma 19 5 3 2 2 2" xfId="32479" xr:uid="{00000000-0005-0000-0000-00001C0B0000}"/>
    <cellStyle name="Comma 19 5 3 2 3" xfId="24031" xr:uid="{00000000-0005-0000-0000-00001D0B0000}"/>
    <cellStyle name="Comma 19 5 3 3" xfId="11315" xr:uid="{00000000-0005-0000-0000-00001E0B0000}"/>
    <cellStyle name="Comma 19 5 3 3 2" xfId="28255" xr:uid="{00000000-0005-0000-0000-00001F0B0000}"/>
    <cellStyle name="Comma 19 5 3 4" xfId="19807" xr:uid="{00000000-0005-0000-0000-0000200B0000}"/>
    <cellStyle name="Comma 19 5 4" xfId="4979" xr:uid="{00000000-0005-0000-0000-0000210B0000}"/>
    <cellStyle name="Comma 19 5 4 2" xfId="13427" xr:uid="{00000000-0005-0000-0000-0000220B0000}"/>
    <cellStyle name="Comma 19 5 4 2 2" xfId="30367" xr:uid="{00000000-0005-0000-0000-0000230B0000}"/>
    <cellStyle name="Comma 19 5 4 3" xfId="21919" xr:uid="{00000000-0005-0000-0000-0000240B0000}"/>
    <cellStyle name="Comma 19 5 5" xfId="9203" xr:uid="{00000000-0005-0000-0000-0000250B0000}"/>
    <cellStyle name="Comma 19 5 5 2" xfId="26143" xr:uid="{00000000-0005-0000-0000-0000260B0000}"/>
    <cellStyle name="Comma 19 5 6" xfId="17695" xr:uid="{00000000-0005-0000-0000-0000270B0000}"/>
    <cellStyle name="Comma 19 6" xfId="1099" xr:uid="{00000000-0005-0000-0000-0000280B0000}"/>
    <cellStyle name="Comma 19 6 2" xfId="2161" xr:uid="{00000000-0005-0000-0000-0000290B0000}"/>
    <cellStyle name="Comma 19 6 2 2" xfId="4273" xr:uid="{00000000-0005-0000-0000-00002A0B0000}"/>
    <cellStyle name="Comma 19 6 2 2 2" xfId="8499" xr:uid="{00000000-0005-0000-0000-00002B0B0000}"/>
    <cellStyle name="Comma 19 6 2 2 2 2" xfId="16947" xr:uid="{00000000-0005-0000-0000-00002C0B0000}"/>
    <cellStyle name="Comma 19 6 2 2 2 2 2" xfId="33887" xr:uid="{00000000-0005-0000-0000-00002D0B0000}"/>
    <cellStyle name="Comma 19 6 2 2 2 3" xfId="25439" xr:uid="{00000000-0005-0000-0000-00002E0B0000}"/>
    <cellStyle name="Comma 19 6 2 2 3" xfId="12723" xr:uid="{00000000-0005-0000-0000-00002F0B0000}"/>
    <cellStyle name="Comma 19 6 2 2 3 2" xfId="29663" xr:uid="{00000000-0005-0000-0000-0000300B0000}"/>
    <cellStyle name="Comma 19 6 2 2 4" xfId="21215" xr:uid="{00000000-0005-0000-0000-0000310B0000}"/>
    <cellStyle name="Comma 19 6 2 3" xfId="6387" xr:uid="{00000000-0005-0000-0000-0000320B0000}"/>
    <cellStyle name="Comma 19 6 2 3 2" xfId="14835" xr:uid="{00000000-0005-0000-0000-0000330B0000}"/>
    <cellStyle name="Comma 19 6 2 3 2 2" xfId="31775" xr:uid="{00000000-0005-0000-0000-0000340B0000}"/>
    <cellStyle name="Comma 19 6 2 3 3" xfId="23327" xr:uid="{00000000-0005-0000-0000-0000350B0000}"/>
    <cellStyle name="Comma 19 6 2 4" xfId="10611" xr:uid="{00000000-0005-0000-0000-0000360B0000}"/>
    <cellStyle name="Comma 19 6 2 4 2" xfId="27551" xr:uid="{00000000-0005-0000-0000-0000370B0000}"/>
    <cellStyle name="Comma 19 6 2 5" xfId="19103" xr:uid="{00000000-0005-0000-0000-0000380B0000}"/>
    <cellStyle name="Comma 19 6 3" xfId="3217" xr:uid="{00000000-0005-0000-0000-0000390B0000}"/>
    <cellStyle name="Comma 19 6 3 2" xfId="7443" xr:uid="{00000000-0005-0000-0000-00003A0B0000}"/>
    <cellStyle name="Comma 19 6 3 2 2" xfId="15891" xr:uid="{00000000-0005-0000-0000-00003B0B0000}"/>
    <cellStyle name="Comma 19 6 3 2 2 2" xfId="32831" xr:uid="{00000000-0005-0000-0000-00003C0B0000}"/>
    <cellStyle name="Comma 19 6 3 2 3" xfId="24383" xr:uid="{00000000-0005-0000-0000-00003D0B0000}"/>
    <cellStyle name="Comma 19 6 3 3" xfId="11667" xr:uid="{00000000-0005-0000-0000-00003E0B0000}"/>
    <cellStyle name="Comma 19 6 3 3 2" xfId="28607" xr:uid="{00000000-0005-0000-0000-00003F0B0000}"/>
    <cellStyle name="Comma 19 6 3 4" xfId="20159" xr:uid="{00000000-0005-0000-0000-0000400B0000}"/>
    <cellStyle name="Comma 19 6 4" xfId="5331" xr:uid="{00000000-0005-0000-0000-0000410B0000}"/>
    <cellStyle name="Comma 19 6 4 2" xfId="13779" xr:uid="{00000000-0005-0000-0000-0000420B0000}"/>
    <cellStyle name="Comma 19 6 4 2 2" xfId="30719" xr:uid="{00000000-0005-0000-0000-0000430B0000}"/>
    <cellStyle name="Comma 19 6 4 3" xfId="22271" xr:uid="{00000000-0005-0000-0000-0000440B0000}"/>
    <cellStyle name="Comma 19 6 5" xfId="9555" xr:uid="{00000000-0005-0000-0000-0000450B0000}"/>
    <cellStyle name="Comma 19 6 5 2" xfId="26495" xr:uid="{00000000-0005-0000-0000-0000460B0000}"/>
    <cellStyle name="Comma 19 6 6" xfId="18047" xr:uid="{00000000-0005-0000-0000-0000470B0000}"/>
    <cellStyle name="Comma 19 7" xfId="1281" xr:uid="{00000000-0005-0000-0000-0000480B0000}"/>
    <cellStyle name="Comma 19 7 2" xfId="2337" xr:uid="{00000000-0005-0000-0000-0000490B0000}"/>
    <cellStyle name="Comma 19 7 2 2" xfId="4449" xr:uid="{00000000-0005-0000-0000-00004A0B0000}"/>
    <cellStyle name="Comma 19 7 2 2 2" xfId="8675" xr:uid="{00000000-0005-0000-0000-00004B0B0000}"/>
    <cellStyle name="Comma 19 7 2 2 2 2" xfId="17123" xr:uid="{00000000-0005-0000-0000-00004C0B0000}"/>
    <cellStyle name="Comma 19 7 2 2 2 2 2" xfId="34063" xr:uid="{00000000-0005-0000-0000-00004D0B0000}"/>
    <cellStyle name="Comma 19 7 2 2 2 3" xfId="25615" xr:uid="{00000000-0005-0000-0000-00004E0B0000}"/>
    <cellStyle name="Comma 19 7 2 2 3" xfId="12899" xr:uid="{00000000-0005-0000-0000-00004F0B0000}"/>
    <cellStyle name="Comma 19 7 2 2 3 2" xfId="29839" xr:uid="{00000000-0005-0000-0000-0000500B0000}"/>
    <cellStyle name="Comma 19 7 2 2 4" xfId="21391" xr:uid="{00000000-0005-0000-0000-0000510B0000}"/>
    <cellStyle name="Comma 19 7 2 3" xfId="6563" xr:uid="{00000000-0005-0000-0000-0000520B0000}"/>
    <cellStyle name="Comma 19 7 2 3 2" xfId="15011" xr:uid="{00000000-0005-0000-0000-0000530B0000}"/>
    <cellStyle name="Comma 19 7 2 3 2 2" xfId="31951" xr:uid="{00000000-0005-0000-0000-0000540B0000}"/>
    <cellStyle name="Comma 19 7 2 3 3" xfId="23503" xr:uid="{00000000-0005-0000-0000-0000550B0000}"/>
    <cellStyle name="Comma 19 7 2 4" xfId="10787" xr:uid="{00000000-0005-0000-0000-0000560B0000}"/>
    <cellStyle name="Comma 19 7 2 4 2" xfId="27727" xr:uid="{00000000-0005-0000-0000-0000570B0000}"/>
    <cellStyle name="Comma 19 7 2 5" xfId="19279" xr:uid="{00000000-0005-0000-0000-0000580B0000}"/>
    <cellStyle name="Comma 19 7 3" xfId="3393" xr:uid="{00000000-0005-0000-0000-0000590B0000}"/>
    <cellStyle name="Comma 19 7 3 2" xfId="7619" xr:uid="{00000000-0005-0000-0000-00005A0B0000}"/>
    <cellStyle name="Comma 19 7 3 2 2" xfId="16067" xr:uid="{00000000-0005-0000-0000-00005B0B0000}"/>
    <cellStyle name="Comma 19 7 3 2 2 2" xfId="33007" xr:uid="{00000000-0005-0000-0000-00005C0B0000}"/>
    <cellStyle name="Comma 19 7 3 2 3" xfId="24559" xr:uid="{00000000-0005-0000-0000-00005D0B0000}"/>
    <cellStyle name="Comma 19 7 3 3" xfId="11843" xr:uid="{00000000-0005-0000-0000-00005E0B0000}"/>
    <cellStyle name="Comma 19 7 3 3 2" xfId="28783" xr:uid="{00000000-0005-0000-0000-00005F0B0000}"/>
    <cellStyle name="Comma 19 7 3 4" xfId="20335" xr:uid="{00000000-0005-0000-0000-0000600B0000}"/>
    <cellStyle name="Comma 19 7 4" xfId="5507" xr:uid="{00000000-0005-0000-0000-0000610B0000}"/>
    <cellStyle name="Comma 19 7 4 2" xfId="13955" xr:uid="{00000000-0005-0000-0000-0000620B0000}"/>
    <cellStyle name="Comma 19 7 4 2 2" xfId="30895" xr:uid="{00000000-0005-0000-0000-0000630B0000}"/>
    <cellStyle name="Comma 19 7 4 3" xfId="22447" xr:uid="{00000000-0005-0000-0000-0000640B0000}"/>
    <cellStyle name="Comma 19 7 5" xfId="9731" xr:uid="{00000000-0005-0000-0000-0000650B0000}"/>
    <cellStyle name="Comma 19 7 5 2" xfId="26671" xr:uid="{00000000-0005-0000-0000-0000660B0000}"/>
    <cellStyle name="Comma 19 7 6" xfId="18223" xr:uid="{00000000-0005-0000-0000-0000670B0000}"/>
    <cellStyle name="Comma 19 8" xfId="1457" xr:uid="{00000000-0005-0000-0000-0000680B0000}"/>
    <cellStyle name="Comma 19 8 2" xfId="3569" xr:uid="{00000000-0005-0000-0000-0000690B0000}"/>
    <cellStyle name="Comma 19 8 2 2" xfId="7795" xr:uid="{00000000-0005-0000-0000-00006A0B0000}"/>
    <cellStyle name="Comma 19 8 2 2 2" xfId="16243" xr:uid="{00000000-0005-0000-0000-00006B0B0000}"/>
    <cellStyle name="Comma 19 8 2 2 2 2" xfId="33183" xr:uid="{00000000-0005-0000-0000-00006C0B0000}"/>
    <cellStyle name="Comma 19 8 2 2 3" xfId="24735" xr:uid="{00000000-0005-0000-0000-00006D0B0000}"/>
    <cellStyle name="Comma 19 8 2 3" xfId="12019" xr:uid="{00000000-0005-0000-0000-00006E0B0000}"/>
    <cellStyle name="Comma 19 8 2 3 2" xfId="28959" xr:uid="{00000000-0005-0000-0000-00006F0B0000}"/>
    <cellStyle name="Comma 19 8 2 4" xfId="20511" xr:uid="{00000000-0005-0000-0000-0000700B0000}"/>
    <cellStyle name="Comma 19 8 3" xfId="5683" xr:uid="{00000000-0005-0000-0000-0000710B0000}"/>
    <cellStyle name="Comma 19 8 3 2" xfId="14131" xr:uid="{00000000-0005-0000-0000-0000720B0000}"/>
    <cellStyle name="Comma 19 8 3 2 2" xfId="31071" xr:uid="{00000000-0005-0000-0000-0000730B0000}"/>
    <cellStyle name="Comma 19 8 3 3" xfId="22623" xr:uid="{00000000-0005-0000-0000-0000740B0000}"/>
    <cellStyle name="Comma 19 8 4" xfId="9907" xr:uid="{00000000-0005-0000-0000-0000750B0000}"/>
    <cellStyle name="Comma 19 8 4 2" xfId="26847" xr:uid="{00000000-0005-0000-0000-0000760B0000}"/>
    <cellStyle name="Comma 19 8 5" xfId="18399" xr:uid="{00000000-0005-0000-0000-0000770B0000}"/>
    <cellStyle name="Comma 19 9" xfId="2513" xr:uid="{00000000-0005-0000-0000-0000780B0000}"/>
    <cellStyle name="Comma 19 9 2" xfId="6739" xr:uid="{00000000-0005-0000-0000-0000790B0000}"/>
    <cellStyle name="Comma 19 9 2 2" xfId="15187" xr:uid="{00000000-0005-0000-0000-00007A0B0000}"/>
    <cellStyle name="Comma 19 9 2 2 2" xfId="32127" xr:uid="{00000000-0005-0000-0000-00007B0B0000}"/>
    <cellStyle name="Comma 19 9 2 3" xfId="23679" xr:uid="{00000000-0005-0000-0000-00007C0B0000}"/>
    <cellStyle name="Comma 19 9 3" xfId="10963" xr:uid="{00000000-0005-0000-0000-00007D0B0000}"/>
    <cellStyle name="Comma 19 9 3 2" xfId="27903" xr:uid="{00000000-0005-0000-0000-00007E0B0000}"/>
    <cellStyle name="Comma 19 9 4" xfId="19455" xr:uid="{00000000-0005-0000-0000-00007F0B0000}"/>
    <cellStyle name="Comma 2" xfId="80" xr:uid="{00000000-0005-0000-0000-0000800B0000}"/>
    <cellStyle name="Comma 2 2" xfId="81" xr:uid="{00000000-0005-0000-0000-0000810B0000}"/>
    <cellStyle name="Comma 2 2 2" xfId="82" xr:uid="{00000000-0005-0000-0000-0000820B0000}"/>
    <cellStyle name="Comma 2 2 2 2" xfId="83" xr:uid="{00000000-0005-0000-0000-0000830B0000}"/>
    <cellStyle name="Comma 2 2 3" xfId="84" xr:uid="{00000000-0005-0000-0000-0000840B0000}"/>
    <cellStyle name="Comma 2 2 3 2" xfId="17308" xr:uid="{00000000-0005-0000-0000-0000850B0000}"/>
    <cellStyle name="Comma 2 2 4" xfId="85" xr:uid="{00000000-0005-0000-0000-0000860B0000}"/>
    <cellStyle name="Comma 2 2 4 10" xfId="4629" xr:uid="{00000000-0005-0000-0000-0000870B0000}"/>
    <cellStyle name="Comma 2 2 4 10 2" xfId="13078" xr:uid="{00000000-0005-0000-0000-0000880B0000}"/>
    <cellStyle name="Comma 2 2 4 10 2 2" xfId="30018" xr:uid="{00000000-0005-0000-0000-0000890B0000}"/>
    <cellStyle name="Comma 2 2 4 10 3" xfId="21570" xr:uid="{00000000-0005-0000-0000-00008A0B0000}"/>
    <cellStyle name="Comma 2 2 4 11" xfId="8854" xr:uid="{00000000-0005-0000-0000-00008B0B0000}"/>
    <cellStyle name="Comma 2 2 4 11 2" xfId="25794" xr:uid="{00000000-0005-0000-0000-00008C0B0000}"/>
    <cellStyle name="Comma 2 2 4 12" xfId="17309" xr:uid="{00000000-0005-0000-0000-00008D0B0000}"/>
    <cellStyle name="Comma 2 2 4 2" xfId="86" xr:uid="{00000000-0005-0000-0000-00008E0B0000}"/>
    <cellStyle name="Comma 2 2 4 2 10" xfId="17310" xr:uid="{00000000-0005-0000-0000-00008F0B0000}"/>
    <cellStyle name="Comma 2 2 4 2 2" xfId="573" xr:uid="{00000000-0005-0000-0000-0000900B0000}"/>
    <cellStyle name="Comma 2 2 4 2 2 2" xfId="927" xr:uid="{00000000-0005-0000-0000-0000910B0000}"/>
    <cellStyle name="Comma 2 2 4 2 2 2 2" xfId="1989" xr:uid="{00000000-0005-0000-0000-0000920B0000}"/>
    <cellStyle name="Comma 2 2 4 2 2 2 2 2" xfId="4101" xr:uid="{00000000-0005-0000-0000-0000930B0000}"/>
    <cellStyle name="Comma 2 2 4 2 2 2 2 2 2" xfId="8327" xr:uid="{00000000-0005-0000-0000-0000940B0000}"/>
    <cellStyle name="Comma 2 2 4 2 2 2 2 2 2 2" xfId="16775" xr:uid="{00000000-0005-0000-0000-0000950B0000}"/>
    <cellStyle name="Comma 2 2 4 2 2 2 2 2 2 2 2" xfId="33715" xr:uid="{00000000-0005-0000-0000-0000960B0000}"/>
    <cellStyle name="Comma 2 2 4 2 2 2 2 2 2 3" xfId="25267" xr:uid="{00000000-0005-0000-0000-0000970B0000}"/>
    <cellStyle name="Comma 2 2 4 2 2 2 2 2 3" xfId="12551" xr:uid="{00000000-0005-0000-0000-0000980B0000}"/>
    <cellStyle name="Comma 2 2 4 2 2 2 2 2 3 2" xfId="29491" xr:uid="{00000000-0005-0000-0000-0000990B0000}"/>
    <cellStyle name="Comma 2 2 4 2 2 2 2 2 4" xfId="21043" xr:uid="{00000000-0005-0000-0000-00009A0B0000}"/>
    <cellStyle name="Comma 2 2 4 2 2 2 2 3" xfId="6215" xr:uid="{00000000-0005-0000-0000-00009B0B0000}"/>
    <cellStyle name="Comma 2 2 4 2 2 2 2 3 2" xfId="14663" xr:uid="{00000000-0005-0000-0000-00009C0B0000}"/>
    <cellStyle name="Comma 2 2 4 2 2 2 2 3 2 2" xfId="31603" xr:uid="{00000000-0005-0000-0000-00009D0B0000}"/>
    <cellStyle name="Comma 2 2 4 2 2 2 2 3 3" xfId="23155" xr:uid="{00000000-0005-0000-0000-00009E0B0000}"/>
    <cellStyle name="Comma 2 2 4 2 2 2 2 4" xfId="10439" xr:uid="{00000000-0005-0000-0000-00009F0B0000}"/>
    <cellStyle name="Comma 2 2 4 2 2 2 2 4 2" xfId="27379" xr:uid="{00000000-0005-0000-0000-0000A00B0000}"/>
    <cellStyle name="Comma 2 2 4 2 2 2 2 5" xfId="18931" xr:uid="{00000000-0005-0000-0000-0000A10B0000}"/>
    <cellStyle name="Comma 2 2 4 2 2 2 3" xfId="3045" xr:uid="{00000000-0005-0000-0000-0000A20B0000}"/>
    <cellStyle name="Comma 2 2 4 2 2 2 3 2" xfId="7271" xr:uid="{00000000-0005-0000-0000-0000A30B0000}"/>
    <cellStyle name="Comma 2 2 4 2 2 2 3 2 2" xfId="15719" xr:uid="{00000000-0005-0000-0000-0000A40B0000}"/>
    <cellStyle name="Comma 2 2 4 2 2 2 3 2 2 2" xfId="32659" xr:uid="{00000000-0005-0000-0000-0000A50B0000}"/>
    <cellStyle name="Comma 2 2 4 2 2 2 3 2 3" xfId="24211" xr:uid="{00000000-0005-0000-0000-0000A60B0000}"/>
    <cellStyle name="Comma 2 2 4 2 2 2 3 3" xfId="11495" xr:uid="{00000000-0005-0000-0000-0000A70B0000}"/>
    <cellStyle name="Comma 2 2 4 2 2 2 3 3 2" xfId="28435" xr:uid="{00000000-0005-0000-0000-0000A80B0000}"/>
    <cellStyle name="Comma 2 2 4 2 2 2 3 4" xfId="19987" xr:uid="{00000000-0005-0000-0000-0000A90B0000}"/>
    <cellStyle name="Comma 2 2 4 2 2 2 4" xfId="5159" xr:uid="{00000000-0005-0000-0000-0000AA0B0000}"/>
    <cellStyle name="Comma 2 2 4 2 2 2 4 2" xfId="13607" xr:uid="{00000000-0005-0000-0000-0000AB0B0000}"/>
    <cellStyle name="Comma 2 2 4 2 2 2 4 2 2" xfId="30547" xr:uid="{00000000-0005-0000-0000-0000AC0B0000}"/>
    <cellStyle name="Comma 2 2 4 2 2 2 4 3" xfId="22099" xr:uid="{00000000-0005-0000-0000-0000AD0B0000}"/>
    <cellStyle name="Comma 2 2 4 2 2 2 5" xfId="9383" xr:uid="{00000000-0005-0000-0000-0000AE0B0000}"/>
    <cellStyle name="Comma 2 2 4 2 2 2 5 2" xfId="26323" xr:uid="{00000000-0005-0000-0000-0000AF0B0000}"/>
    <cellStyle name="Comma 2 2 4 2 2 2 6" xfId="17875" xr:uid="{00000000-0005-0000-0000-0000B00B0000}"/>
    <cellStyle name="Comma 2 2 4 2 2 3" xfId="1637" xr:uid="{00000000-0005-0000-0000-0000B10B0000}"/>
    <cellStyle name="Comma 2 2 4 2 2 3 2" xfId="3749" xr:uid="{00000000-0005-0000-0000-0000B20B0000}"/>
    <cellStyle name="Comma 2 2 4 2 2 3 2 2" xfId="7975" xr:uid="{00000000-0005-0000-0000-0000B30B0000}"/>
    <cellStyle name="Comma 2 2 4 2 2 3 2 2 2" xfId="16423" xr:uid="{00000000-0005-0000-0000-0000B40B0000}"/>
    <cellStyle name="Comma 2 2 4 2 2 3 2 2 2 2" xfId="33363" xr:uid="{00000000-0005-0000-0000-0000B50B0000}"/>
    <cellStyle name="Comma 2 2 4 2 2 3 2 2 3" xfId="24915" xr:uid="{00000000-0005-0000-0000-0000B60B0000}"/>
    <cellStyle name="Comma 2 2 4 2 2 3 2 3" xfId="12199" xr:uid="{00000000-0005-0000-0000-0000B70B0000}"/>
    <cellStyle name="Comma 2 2 4 2 2 3 2 3 2" xfId="29139" xr:uid="{00000000-0005-0000-0000-0000B80B0000}"/>
    <cellStyle name="Comma 2 2 4 2 2 3 2 4" xfId="20691" xr:uid="{00000000-0005-0000-0000-0000B90B0000}"/>
    <cellStyle name="Comma 2 2 4 2 2 3 3" xfId="5863" xr:uid="{00000000-0005-0000-0000-0000BA0B0000}"/>
    <cellStyle name="Comma 2 2 4 2 2 3 3 2" xfId="14311" xr:uid="{00000000-0005-0000-0000-0000BB0B0000}"/>
    <cellStyle name="Comma 2 2 4 2 2 3 3 2 2" xfId="31251" xr:uid="{00000000-0005-0000-0000-0000BC0B0000}"/>
    <cellStyle name="Comma 2 2 4 2 2 3 3 3" xfId="22803" xr:uid="{00000000-0005-0000-0000-0000BD0B0000}"/>
    <cellStyle name="Comma 2 2 4 2 2 3 4" xfId="10087" xr:uid="{00000000-0005-0000-0000-0000BE0B0000}"/>
    <cellStyle name="Comma 2 2 4 2 2 3 4 2" xfId="27027" xr:uid="{00000000-0005-0000-0000-0000BF0B0000}"/>
    <cellStyle name="Comma 2 2 4 2 2 3 5" xfId="18579" xr:uid="{00000000-0005-0000-0000-0000C00B0000}"/>
    <cellStyle name="Comma 2 2 4 2 2 4" xfId="2693" xr:uid="{00000000-0005-0000-0000-0000C10B0000}"/>
    <cellStyle name="Comma 2 2 4 2 2 4 2" xfId="6919" xr:uid="{00000000-0005-0000-0000-0000C20B0000}"/>
    <cellStyle name="Comma 2 2 4 2 2 4 2 2" xfId="15367" xr:uid="{00000000-0005-0000-0000-0000C30B0000}"/>
    <cellStyle name="Comma 2 2 4 2 2 4 2 2 2" xfId="32307" xr:uid="{00000000-0005-0000-0000-0000C40B0000}"/>
    <cellStyle name="Comma 2 2 4 2 2 4 2 3" xfId="23859" xr:uid="{00000000-0005-0000-0000-0000C50B0000}"/>
    <cellStyle name="Comma 2 2 4 2 2 4 3" xfId="11143" xr:uid="{00000000-0005-0000-0000-0000C60B0000}"/>
    <cellStyle name="Comma 2 2 4 2 2 4 3 2" xfId="28083" xr:uid="{00000000-0005-0000-0000-0000C70B0000}"/>
    <cellStyle name="Comma 2 2 4 2 2 4 4" xfId="19635" xr:uid="{00000000-0005-0000-0000-0000C80B0000}"/>
    <cellStyle name="Comma 2 2 4 2 2 5" xfId="4807" xr:uid="{00000000-0005-0000-0000-0000C90B0000}"/>
    <cellStyle name="Comma 2 2 4 2 2 5 2" xfId="13255" xr:uid="{00000000-0005-0000-0000-0000CA0B0000}"/>
    <cellStyle name="Comma 2 2 4 2 2 5 2 2" xfId="30195" xr:uid="{00000000-0005-0000-0000-0000CB0B0000}"/>
    <cellStyle name="Comma 2 2 4 2 2 5 3" xfId="21747" xr:uid="{00000000-0005-0000-0000-0000CC0B0000}"/>
    <cellStyle name="Comma 2 2 4 2 2 6" xfId="9031" xr:uid="{00000000-0005-0000-0000-0000CD0B0000}"/>
    <cellStyle name="Comma 2 2 4 2 2 6 2" xfId="25971" xr:uid="{00000000-0005-0000-0000-0000CE0B0000}"/>
    <cellStyle name="Comma 2 2 4 2 2 7" xfId="17523" xr:uid="{00000000-0005-0000-0000-0000CF0B0000}"/>
    <cellStyle name="Comma 2 2 4 2 3" xfId="751" xr:uid="{00000000-0005-0000-0000-0000D00B0000}"/>
    <cellStyle name="Comma 2 2 4 2 3 2" xfId="1813" xr:uid="{00000000-0005-0000-0000-0000D10B0000}"/>
    <cellStyle name="Comma 2 2 4 2 3 2 2" xfId="3925" xr:uid="{00000000-0005-0000-0000-0000D20B0000}"/>
    <cellStyle name="Comma 2 2 4 2 3 2 2 2" xfId="8151" xr:uid="{00000000-0005-0000-0000-0000D30B0000}"/>
    <cellStyle name="Comma 2 2 4 2 3 2 2 2 2" xfId="16599" xr:uid="{00000000-0005-0000-0000-0000D40B0000}"/>
    <cellStyle name="Comma 2 2 4 2 3 2 2 2 2 2" xfId="33539" xr:uid="{00000000-0005-0000-0000-0000D50B0000}"/>
    <cellStyle name="Comma 2 2 4 2 3 2 2 2 3" xfId="25091" xr:uid="{00000000-0005-0000-0000-0000D60B0000}"/>
    <cellStyle name="Comma 2 2 4 2 3 2 2 3" xfId="12375" xr:uid="{00000000-0005-0000-0000-0000D70B0000}"/>
    <cellStyle name="Comma 2 2 4 2 3 2 2 3 2" xfId="29315" xr:uid="{00000000-0005-0000-0000-0000D80B0000}"/>
    <cellStyle name="Comma 2 2 4 2 3 2 2 4" xfId="20867" xr:uid="{00000000-0005-0000-0000-0000D90B0000}"/>
    <cellStyle name="Comma 2 2 4 2 3 2 3" xfId="6039" xr:uid="{00000000-0005-0000-0000-0000DA0B0000}"/>
    <cellStyle name="Comma 2 2 4 2 3 2 3 2" xfId="14487" xr:uid="{00000000-0005-0000-0000-0000DB0B0000}"/>
    <cellStyle name="Comma 2 2 4 2 3 2 3 2 2" xfId="31427" xr:uid="{00000000-0005-0000-0000-0000DC0B0000}"/>
    <cellStyle name="Comma 2 2 4 2 3 2 3 3" xfId="22979" xr:uid="{00000000-0005-0000-0000-0000DD0B0000}"/>
    <cellStyle name="Comma 2 2 4 2 3 2 4" xfId="10263" xr:uid="{00000000-0005-0000-0000-0000DE0B0000}"/>
    <cellStyle name="Comma 2 2 4 2 3 2 4 2" xfId="27203" xr:uid="{00000000-0005-0000-0000-0000DF0B0000}"/>
    <cellStyle name="Comma 2 2 4 2 3 2 5" xfId="18755" xr:uid="{00000000-0005-0000-0000-0000E00B0000}"/>
    <cellStyle name="Comma 2 2 4 2 3 3" xfId="2869" xr:uid="{00000000-0005-0000-0000-0000E10B0000}"/>
    <cellStyle name="Comma 2 2 4 2 3 3 2" xfId="7095" xr:uid="{00000000-0005-0000-0000-0000E20B0000}"/>
    <cellStyle name="Comma 2 2 4 2 3 3 2 2" xfId="15543" xr:uid="{00000000-0005-0000-0000-0000E30B0000}"/>
    <cellStyle name="Comma 2 2 4 2 3 3 2 2 2" xfId="32483" xr:uid="{00000000-0005-0000-0000-0000E40B0000}"/>
    <cellStyle name="Comma 2 2 4 2 3 3 2 3" xfId="24035" xr:uid="{00000000-0005-0000-0000-0000E50B0000}"/>
    <cellStyle name="Comma 2 2 4 2 3 3 3" xfId="11319" xr:uid="{00000000-0005-0000-0000-0000E60B0000}"/>
    <cellStyle name="Comma 2 2 4 2 3 3 3 2" xfId="28259" xr:uid="{00000000-0005-0000-0000-0000E70B0000}"/>
    <cellStyle name="Comma 2 2 4 2 3 3 4" xfId="19811" xr:uid="{00000000-0005-0000-0000-0000E80B0000}"/>
    <cellStyle name="Comma 2 2 4 2 3 4" xfId="4983" xr:uid="{00000000-0005-0000-0000-0000E90B0000}"/>
    <cellStyle name="Comma 2 2 4 2 3 4 2" xfId="13431" xr:uid="{00000000-0005-0000-0000-0000EA0B0000}"/>
    <cellStyle name="Comma 2 2 4 2 3 4 2 2" xfId="30371" xr:uid="{00000000-0005-0000-0000-0000EB0B0000}"/>
    <cellStyle name="Comma 2 2 4 2 3 4 3" xfId="21923" xr:uid="{00000000-0005-0000-0000-0000EC0B0000}"/>
    <cellStyle name="Comma 2 2 4 2 3 5" xfId="9207" xr:uid="{00000000-0005-0000-0000-0000ED0B0000}"/>
    <cellStyle name="Comma 2 2 4 2 3 5 2" xfId="26147" xr:uid="{00000000-0005-0000-0000-0000EE0B0000}"/>
    <cellStyle name="Comma 2 2 4 2 3 6" xfId="17699" xr:uid="{00000000-0005-0000-0000-0000EF0B0000}"/>
    <cellStyle name="Comma 2 2 4 2 4" xfId="1103" xr:uid="{00000000-0005-0000-0000-0000F00B0000}"/>
    <cellStyle name="Comma 2 2 4 2 4 2" xfId="2165" xr:uid="{00000000-0005-0000-0000-0000F10B0000}"/>
    <cellStyle name="Comma 2 2 4 2 4 2 2" xfId="4277" xr:uid="{00000000-0005-0000-0000-0000F20B0000}"/>
    <cellStyle name="Comma 2 2 4 2 4 2 2 2" xfId="8503" xr:uid="{00000000-0005-0000-0000-0000F30B0000}"/>
    <cellStyle name="Comma 2 2 4 2 4 2 2 2 2" xfId="16951" xr:uid="{00000000-0005-0000-0000-0000F40B0000}"/>
    <cellStyle name="Comma 2 2 4 2 4 2 2 2 2 2" xfId="33891" xr:uid="{00000000-0005-0000-0000-0000F50B0000}"/>
    <cellStyle name="Comma 2 2 4 2 4 2 2 2 3" xfId="25443" xr:uid="{00000000-0005-0000-0000-0000F60B0000}"/>
    <cellStyle name="Comma 2 2 4 2 4 2 2 3" xfId="12727" xr:uid="{00000000-0005-0000-0000-0000F70B0000}"/>
    <cellStyle name="Comma 2 2 4 2 4 2 2 3 2" xfId="29667" xr:uid="{00000000-0005-0000-0000-0000F80B0000}"/>
    <cellStyle name="Comma 2 2 4 2 4 2 2 4" xfId="21219" xr:uid="{00000000-0005-0000-0000-0000F90B0000}"/>
    <cellStyle name="Comma 2 2 4 2 4 2 3" xfId="6391" xr:uid="{00000000-0005-0000-0000-0000FA0B0000}"/>
    <cellStyle name="Comma 2 2 4 2 4 2 3 2" xfId="14839" xr:uid="{00000000-0005-0000-0000-0000FB0B0000}"/>
    <cellStyle name="Comma 2 2 4 2 4 2 3 2 2" xfId="31779" xr:uid="{00000000-0005-0000-0000-0000FC0B0000}"/>
    <cellStyle name="Comma 2 2 4 2 4 2 3 3" xfId="23331" xr:uid="{00000000-0005-0000-0000-0000FD0B0000}"/>
    <cellStyle name="Comma 2 2 4 2 4 2 4" xfId="10615" xr:uid="{00000000-0005-0000-0000-0000FE0B0000}"/>
    <cellStyle name="Comma 2 2 4 2 4 2 4 2" xfId="27555" xr:uid="{00000000-0005-0000-0000-0000FF0B0000}"/>
    <cellStyle name="Comma 2 2 4 2 4 2 5" xfId="19107" xr:uid="{00000000-0005-0000-0000-0000000C0000}"/>
    <cellStyle name="Comma 2 2 4 2 4 3" xfId="3221" xr:uid="{00000000-0005-0000-0000-0000010C0000}"/>
    <cellStyle name="Comma 2 2 4 2 4 3 2" xfId="7447" xr:uid="{00000000-0005-0000-0000-0000020C0000}"/>
    <cellStyle name="Comma 2 2 4 2 4 3 2 2" xfId="15895" xr:uid="{00000000-0005-0000-0000-0000030C0000}"/>
    <cellStyle name="Comma 2 2 4 2 4 3 2 2 2" xfId="32835" xr:uid="{00000000-0005-0000-0000-0000040C0000}"/>
    <cellStyle name="Comma 2 2 4 2 4 3 2 3" xfId="24387" xr:uid="{00000000-0005-0000-0000-0000050C0000}"/>
    <cellStyle name="Comma 2 2 4 2 4 3 3" xfId="11671" xr:uid="{00000000-0005-0000-0000-0000060C0000}"/>
    <cellStyle name="Comma 2 2 4 2 4 3 3 2" xfId="28611" xr:uid="{00000000-0005-0000-0000-0000070C0000}"/>
    <cellStyle name="Comma 2 2 4 2 4 3 4" xfId="20163" xr:uid="{00000000-0005-0000-0000-0000080C0000}"/>
    <cellStyle name="Comma 2 2 4 2 4 4" xfId="5335" xr:uid="{00000000-0005-0000-0000-0000090C0000}"/>
    <cellStyle name="Comma 2 2 4 2 4 4 2" xfId="13783" xr:uid="{00000000-0005-0000-0000-00000A0C0000}"/>
    <cellStyle name="Comma 2 2 4 2 4 4 2 2" xfId="30723" xr:uid="{00000000-0005-0000-0000-00000B0C0000}"/>
    <cellStyle name="Comma 2 2 4 2 4 4 3" xfId="22275" xr:uid="{00000000-0005-0000-0000-00000C0C0000}"/>
    <cellStyle name="Comma 2 2 4 2 4 5" xfId="9559" xr:uid="{00000000-0005-0000-0000-00000D0C0000}"/>
    <cellStyle name="Comma 2 2 4 2 4 5 2" xfId="26499" xr:uid="{00000000-0005-0000-0000-00000E0C0000}"/>
    <cellStyle name="Comma 2 2 4 2 4 6" xfId="18051" xr:uid="{00000000-0005-0000-0000-00000F0C0000}"/>
    <cellStyle name="Comma 2 2 4 2 5" xfId="1285" xr:uid="{00000000-0005-0000-0000-0000100C0000}"/>
    <cellStyle name="Comma 2 2 4 2 5 2" xfId="2341" xr:uid="{00000000-0005-0000-0000-0000110C0000}"/>
    <cellStyle name="Comma 2 2 4 2 5 2 2" xfId="4453" xr:uid="{00000000-0005-0000-0000-0000120C0000}"/>
    <cellStyle name="Comma 2 2 4 2 5 2 2 2" xfId="8679" xr:uid="{00000000-0005-0000-0000-0000130C0000}"/>
    <cellStyle name="Comma 2 2 4 2 5 2 2 2 2" xfId="17127" xr:uid="{00000000-0005-0000-0000-0000140C0000}"/>
    <cellStyle name="Comma 2 2 4 2 5 2 2 2 2 2" xfId="34067" xr:uid="{00000000-0005-0000-0000-0000150C0000}"/>
    <cellStyle name="Comma 2 2 4 2 5 2 2 2 3" xfId="25619" xr:uid="{00000000-0005-0000-0000-0000160C0000}"/>
    <cellStyle name="Comma 2 2 4 2 5 2 2 3" xfId="12903" xr:uid="{00000000-0005-0000-0000-0000170C0000}"/>
    <cellStyle name="Comma 2 2 4 2 5 2 2 3 2" xfId="29843" xr:uid="{00000000-0005-0000-0000-0000180C0000}"/>
    <cellStyle name="Comma 2 2 4 2 5 2 2 4" xfId="21395" xr:uid="{00000000-0005-0000-0000-0000190C0000}"/>
    <cellStyle name="Comma 2 2 4 2 5 2 3" xfId="6567" xr:uid="{00000000-0005-0000-0000-00001A0C0000}"/>
    <cellStyle name="Comma 2 2 4 2 5 2 3 2" xfId="15015" xr:uid="{00000000-0005-0000-0000-00001B0C0000}"/>
    <cellStyle name="Comma 2 2 4 2 5 2 3 2 2" xfId="31955" xr:uid="{00000000-0005-0000-0000-00001C0C0000}"/>
    <cellStyle name="Comma 2 2 4 2 5 2 3 3" xfId="23507" xr:uid="{00000000-0005-0000-0000-00001D0C0000}"/>
    <cellStyle name="Comma 2 2 4 2 5 2 4" xfId="10791" xr:uid="{00000000-0005-0000-0000-00001E0C0000}"/>
    <cellStyle name="Comma 2 2 4 2 5 2 4 2" xfId="27731" xr:uid="{00000000-0005-0000-0000-00001F0C0000}"/>
    <cellStyle name="Comma 2 2 4 2 5 2 5" xfId="19283" xr:uid="{00000000-0005-0000-0000-0000200C0000}"/>
    <cellStyle name="Comma 2 2 4 2 5 3" xfId="3397" xr:uid="{00000000-0005-0000-0000-0000210C0000}"/>
    <cellStyle name="Comma 2 2 4 2 5 3 2" xfId="7623" xr:uid="{00000000-0005-0000-0000-0000220C0000}"/>
    <cellStyle name="Comma 2 2 4 2 5 3 2 2" xfId="16071" xr:uid="{00000000-0005-0000-0000-0000230C0000}"/>
    <cellStyle name="Comma 2 2 4 2 5 3 2 2 2" xfId="33011" xr:uid="{00000000-0005-0000-0000-0000240C0000}"/>
    <cellStyle name="Comma 2 2 4 2 5 3 2 3" xfId="24563" xr:uid="{00000000-0005-0000-0000-0000250C0000}"/>
    <cellStyle name="Comma 2 2 4 2 5 3 3" xfId="11847" xr:uid="{00000000-0005-0000-0000-0000260C0000}"/>
    <cellStyle name="Comma 2 2 4 2 5 3 3 2" xfId="28787" xr:uid="{00000000-0005-0000-0000-0000270C0000}"/>
    <cellStyle name="Comma 2 2 4 2 5 3 4" xfId="20339" xr:uid="{00000000-0005-0000-0000-0000280C0000}"/>
    <cellStyle name="Comma 2 2 4 2 5 4" xfId="5511" xr:uid="{00000000-0005-0000-0000-0000290C0000}"/>
    <cellStyle name="Comma 2 2 4 2 5 4 2" xfId="13959" xr:uid="{00000000-0005-0000-0000-00002A0C0000}"/>
    <cellStyle name="Comma 2 2 4 2 5 4 2 2" xfId="30899" xr:uid="{00000000-0005-0000-0000-00002B0C0000}"/>
    <cellStyle name="Comma 2 2 4 2 5 4 3" xfId="22451" xr:uid="{00000000-0005-0000-0000-00002C0C0000}"/>
    <cellStyle name="Comma 2 2 4 2 5 5" xfId="9735" xr:uid="{00000000-0005-0000-0000-00002D0C0000}"/>
    <cellStyle name="Comma 2 2 4 2 5 5 2" xfId="26675" xr:uid="{00000000-0005-0000-0000-00002E0C0000}"/>
    <cellStyle name="Comma 2 2 4 2 5 6" xfId="18227" xr:uid="{00000000-0005-0000-0000-00002F0C0000}"/>
    <cellStyle name="Comma 2 2 4 2 6" xfId="1461" xr:uid="{00000000-0005-0000-0000-0000300C0000}"/>
    <cellStyle name="Comma 2 2 4 2 6 2" xfId="3573" xr:uid="{00000000-0005-0000-0000-0000310C0000}"/>
    <cellStyle name="Comma 2 2 4 2 6 2 2" xfId="7799" xr:uid="{00000000-0005-0000-0000-0000320C0000}"/>
    <cellStyle name="Comma 2 2 4 2 6 2 2 2" xfId="16247" xr:uid="{00000000-0005-0000-0000-0000330C0000}"/>
    <cellStyle name="Comma 2 2 4 2 6 2 2 2 2" xfId="33187" xr:uid="{00000000-0005-0000-0000-0000340C0000}"/>
    <cellStyle name="Comma 2 2 4 2 6 2 2 3" xfId="24739" xr:uid="{00000000-0005-0000-0000-0000350C0000}"/>
    <cellStyle name="Comma 2 2 4 2 6 2 3" xfId="12023" xr:uid="{00000000-0005-0000-0000-0000360C0000}"/>
    <cellStyle name="Comma 2 2 4 2 6 2 3 2" xfId="28963" xr:uid="{00000000-0005-0000-0000-0000370C0000}"/>
    <cellStyle name="Comma 2 2 4 2 6 2 4" xfId="20515" xr:uid="{00000000-0005-0000-0000-0000380C0000}"/>
    <cellStyle name="Comma 2 2 4 2 6 3" xfId="5687" xr:uid="{00000000-0005-0000-0000-0000390C0000}"/>
    <cellStyle name="Comma 2 2 4 2 6 3 2" xfId="14135" xr:uid="{00000000-0005-0000-0000-00003A0C0000}"/>
    <cellStyle name="Comma 2 2 4 2 6 3 2 2" xfId="31075" xr:uid="{00000000-0005-0000-0000-00003B0C0000}"/>
    <cellStyle name="Comma 2 2 4 2 6 3 3" xfId="22627" xr:uid="{00000000-0005-0000-0000-00003C0C0000}"/>
    <cellStyle name="Comma 2 2 4 2 6 4" xfId="9911" xr:uid="{00000000-0005-0000-0000-00003D0C0000}"/>
    <cellStyle name="Comma 2 2 4 2 6 4 2" xfId="26851" xr:uid="{00000000-0005-0000-0000-00003E0C0000}"/>
    <cellStyle name="Comma 2 2 4 2 6 5" xfId="18403" xr:uid="{00000000-0005-0000-0000-00003F0C0000}"/>
    <cellStyle name="Comma 2 2 4 2 7" xfId="2517" xr:uid="{00000000-0005-0000-0000-0000400C0000}"/>
    <cellStyle name="Comma 2 2 4 2 7 2" xfId="6743" xr:uid="{00000000-0005-0000-0000-0000410C0000}"/>
    <cellStyle name="Comma 2 2 4 2 7 2 2" xfId="15191" xr:uid="{00000000-0005-0000-0000-0000420C0000}"/>
    <cellStyle name="Comma 2 2 4 2 7 2 2 2" xfId="32131" xr:uid="{00000000-0005-0000-0000-0000430C0000}"/>
    <cellStyle name="Comma 2 2 4 2 7 2 3" xfId="23683" xr:uid="{00000000-0005-0000-0000-0000440C0000}"/>
    <cellStyle name="Comma 2 2 4 2 7 3" xfId="10967" xr:uid="{00000000-0005-0000-0000-0000450C0000}"/>
    <cellStyle name="Comma 2 2 4 2 7 3 2" xfId="27907" xr:uid="{00000000-0005-0000-0000-0000460C0000}"/>
    <cellStyle name="Comma 2 2 4 2 7 4" xfId="19459" xr:uid="{00000000-0005-0000-0000-0000470C0000}"/>
    <cellStyle name="Comma 2 2 4 2 8" xfId="4630" xr:uid="{00000000-0005-0000-0000-0000480C0000}"/>
    <cellStyle name="Comma 2 2 4 2 8 2" xfId="13079" xr:uid="{00000000-0005-0000-0000-0000490C0000}"/>
    <cellStyle name="Comma 2 2 4 2 8 2 2" xfId="30019" xr:uid="{00000000-0005-0000-0000-00004A0C0000}"/>
    <cellStyle name="Comma 2 2 4 2 8 3" xfId="21571" xr:uid="{00000000-0005-0000-0000-00004B0C0000}"/>
    <cellStyle name="Comma 2 2 4 2 9" xfId="8855" xr:uid="{00000000-0005-0000-0000-00004C0C0000}"/>
    <cellStyle name="Comma 2 2 4 2 9 2" xfId="25795" xr:uid="{00000000-0005-0000-0000-00004D0C0000}"/>
    <cellStyle name="Comma 2 2 4 3" xfId="87" xr:uid="{00000000-0005-0000-0000-00004E0C0000}"/>
    <cellStyle name="Comma 2 2 4 3 10" xfId="17311" xr:uid="{00000000-0005-0000-0000-00004F0C0000}"/>
    <cellStyle name="Comma 2 2 4 3 2" xfId="574" xr:uid="{00000000-0005-0000-0000-0000500C0000}"/>
    <cellStyle name="Comma 2 2 4 3 2 2" xfId="928" xr:uid="{00000000-0005-0000-0000-0000510C0000}"/>
    <cellStyle name="Comma 2 2 4 3 2 2 2" xfId="1990" xr:uid="{00000000-0005-0000-0000-0000520C0000}"/>
    <cellStyle name="Comma 2 2 4 3 2 2 2 2" xfId="4102" xr:uid="{00000000-0005-0000-0000-0000530C0000}"/>
    <cellStyle name="Comma 2 2 4 3 2 2 2 2 2" xfId="8328" xr:uid="{00000000-0005-0000-0000-0000540C0000}"/>
    <cellStyle name="Comma 2 2 4 3 2 2 2 2 2 2" xfId="16776" xr:uid="{00000000-0005-0000-0000-0000550C0000}"/>
    <cellStyle name="Comma 2 2 4 3 2 2 2 2 2 2 2" xfId="33716" xr:uid="{00000000-0005-0000-0000-0000560C0000}"/>
    <cellStyle name="Comma 2 2 4 3 2 2 2 2 2 3" xfId="25268" xr:uid="{00000000-0005-0000-0000-0000570C0000}"/>
    <cellStyle name="Comma 2 2 4 3 2 2 2 2 3" xfId="12552" xr:uid="{00000000-0005-0000-0000-0000580C0000}"/>
    <cellStyle name="Comma 2 2 4 3 2 2 2 2 3 2" xfId="29492" xr:uid="{00000000-0005-0000-0000-0000590C0000}"/>
    <cellStyle name="Comma 2 2 4 3 2 2 2 2 4" xfId="21044" xr:uid="{00000000-0005-0000-0000-00005A0C0000}"/>
    <cellStyle name="Comma 2 2 4 3 2 2 2 3" xfId="6216" xr:uid="{00000000-0005-0000-0000-00005B0C0000}"/>
    <cellStyle name="Comma 2 2 4 3 2 2 2 3 2" xfId="14664" xr:uid="{00000000-0005-0000-0000-00005C0C0000}"/>
    <cellStyle name="Comma 2 2 4 3 2 2 2 3 2 2" xfId="31604" xr:uid="{00000000-0005-0000-0000-00005D0C0000}"/>
    <cellStyle name="Comma 2 2 4 3 2 2 2 3 3" xfId="23156" xr:uid="{00000000-0005-0000-0000-00005E0C0000}"/>
    <cellStyle name="Comma 2 2 4 3 2 2 2 4" xfId="10440" xr:uid="{00000000-0005-0000-0000-00005F0C0000}"/>
    <cellStyle name="Comma 2 2 4 3 2 2 2 4 2" xfId="27380" xr:uid="{00000000-0005-0000-0000-0000600C0000}"/>
    <cellStyle name="Comma 2 2 4 3 2 2 2 5" xfId="18932" xr:uid="{00000000-0005-0000-0000-0000610C0000}"/>
    <cellStyle name="Comma 2 2 4 3 2 2 3" xfId="3046" xr:uid="{00000000-0005-0000-0000-0000620C0000}"/>
    <cellStyle name="Comma 2 2 4 3 2 2 3 2" xfId="7272" xr:uid="{00000000-0005-0000-0000-0000630C0000}"/>
    <cellStyle name="Comma 2 2 4 3 2 2 3 2 2" xfId="15720" xr:uid="{00000000-0005-0000-0000-0000640C0000}"/>
    <cellStyle name="Comma 2 2 4 3 2 2 3 2 2 2" xfId="32660" xr:uid="{00000000-0005-0000-0000-0000650C0000}"/>
    <cellStyle name="Comma 2 2 4 3 2 2 3 2 3" xfId="24212" xr:uid="{00000000-0005-0000-0000-0000660C0000}"/>
    <cellStyle name="Comma 2 2 4 3 2 2 3 3" xfId="11496" xr:uid="{00000000-0005-0000-0000-0000670C0000}"/>
    <cellStyle name="Comma 2 2 4 3 2 2 3 3 2" xfId="28436" xr:uid="{00000000-0005-0000-0000-0000680C0000}"/>
    <cellStyle name="Comma 2 2 4 3 2 2 3 4" xfId="19988" xr:uid="{00000000-0005-0000-0000-0000690C0000}"/>
    <cellStyle name="Comma 2 2 4 3 2 2 4" xfId="5160" xr:uid="{00000000-0005-0000-0000-00006A0C0000}"/>
    <cellStyle name="Comma 2 2 4 3 2 2 4 2" xfId="13608" xr:uid="{00000000-0005-0000-0000-00006B0C0000}"/>
    <cellStyle name="Comma 2 2 4 3 2 2 4 2 2" xfId="30548" xr:uid="{00000000-0005-0000-0000-00006C0C0000}"/>
    <cellStyle name="Comma 2 2 4 3 2 2 4 3" xfId="22100" xr:uid="{00000000-0005-0000-0000-00006D0C0000}"/>
    <cellStyle name="Comma 2 2 4 3 2 2 5" xfId="9384" xr:uid="{00000000-0005-0000-0000-00006E0C0000}"/>
    <cellStyle name="Comma 2 2 4 3 2 2 5 2" xfId="26324" xr:uid="{00000000-0005-0000-0000-00006F0C0000}"/>
    <cellStyle name="Comma 2 2 4 3 2 2 6" xfId="17876" xr:uid="{00000000-0005-0000-0000-0000700C0000}"/>
    <cellStyle name="Comma 2 2 4 3 2 3" xfId="1638" xr:uid="{00000000-0005-0000-0000-0000710C0000}"/>
    <cellStyle name="Comma 2 2 4 3 2 3 2" xfId="3750" xr:uid="{00000000-0005-0000-0000-0000720C0000}"/>
    <cellStyle name="Comma 2 2 4 3 2 3 2 2" xfId="7976" xr:uid="{00000000-0005-0000-0000-0000730C0000}"/>
    <cellStyle name="Comma 2 2 4 3 2 3 2 2 2" xfId="16424" xr:uid="{00000000-0005-0000-0000-0000740C0000}"/>
    <cellStyle name="Comma 2 2 4 3 2 3 2 2 2 2" xfId="33364" xr:uid="{00000000-0005-0000-0000-0000750C0000}"/>
    <cellStyle name="Comma 2 2 4 3 2 3 2 2 3" xfId="24916" xr:uid="{00000000-0005-0000-0000-0000760C0000}"/>
    <cellStyle name="Comma 2 2 4 3 2 3 2 3" xfId="12200" xr:uid="{00000000-0005-0000-0000-0000770C0000}"/>
    <cellStyle name="Comma 2 2 4 3 2 3 2 3 2" xfId="29140" xr:uid="{00000000-0005-0000-0000-0000780C0000}"/>
    <cellStyle name="Comma 2 2 4 3 2 3 2 4" xfId="20692" xr:uid="{00000000-0005-0000-0000-0000790C0000}"/>
    <cellStyle name="Comma 2 2 4 3 2 3 3" xfId="5864" xr:uid="{00000000-0005-0000-0000-00007A0C0000}"/>
    <cellStyle name="Comma 2 2 4 3 2 3 3 2" xfId="14312" xr:uid="{00000000-0005-0000-0000-00007B0C0000}"/>
    <cellStyle name="Comma 2 2 4 3 2 3 3 2 2" xfId="31252" xr:uid="{00000000-0005-0000-0000-00007C0C0000}"/>
    <cellStyle name="Comma 2 2 4 3 2 3 3 3" xfId="22804" xr:uid="{00000000-0005-0000-0000-00007D0C0000}"/>
    <cellStyle name="Comma 2 2 4 3 2 3 4" xfId="10088" xr:uid="{00000000-0005-0000-0000-00007E0C0000}"/>
    <cellStyle name="Comma 2 2 4 3 2 3 4 2" xfId="27028" xr:uid="{00000000-0005-0000-0000-00007F0C0000}"/>
    <cellStyle name="Comma 2 2 4 3 2 3 5" xfId="18580" xr:uid="{00000000-0005-0000-0000-0000800C0000}"/>
    <cellStyle name="Comma 2 2 4 3 2 4" xfId="2694" xr:uid="{00000000-0005-0000-0000-0000810C0000}"/>
    <cellStyle name="Comma 2 2 4 3 2 4 2" xfId="6920" xr:uid="{00000000-0005-0000-0000-0000820C0000}"/>
    <cellStyle name="Comma 2 2 4 3 2 4 2 2" xfId="15368" xr:uid="{00000000-0005-0000-0000-0000830C0000}"/>
    <cellStyle name="Comma 2 2 4 3 2 4 2 2 2" xfId="32308" xr:uid="{00000000-0005-0000-0000-0000840C0000}"/>
    <cellStyle name="Comma 2 2 4 3 2 4 2 3" xfId="23860" xr:uid="{00000000-0005-0000-0000-0000850C0000}"/>
    <cellStyle name="Comma 2 2 4 3 2 4 3" xfId="11144" xr:uid="{00000000-0005-0000-0000-0000860C0000}"/>
    <cellStyle name="Comma 2 2 4 3 2 4 3 2" xfId="28084" xr:uid="{00000000-0005-0000-0000-0000870C0000}"/>
    <cellStyle name="Comma 2 2 4 3 2 4 4" xfId="19636" xr:uid="{00000000-0005-0000-0000-0000880C0000}"/>
    <cellStyle name="Comma 2 2 4 3 2 5" xfId="4808" xr:uid="{00000000-0005-0000-0000-0000890C0000}"/>
    <cellStyle name="Comma 2 2 4 3 2 5 2" xfId="13256" xr:uid="{00000000-0005-0000-0000-00008A0C0000}"/>
    <cellStyle name="Comma 2 2 4 3 2 5 2 2" xfId="30196" xr:uid="{00000000-0005-0000-0000-00008B0C0000}"/>
    <cellStyle name="Comma 2 2 4 3 2 5 3" xfId="21748" xr:uid="{00000000-0005-0000-0000-00008C0C0000}"/>
    <cellStyle name="Comma 2 2 4 3 2 6" xfId="9032" xr:uid="{00000000-0005-0000-0000-00008D0C0000}"/>
    <cellStyle name="Comma 2 2 4 3 2 6 2" xfId="25972" xr:uid="{00000000-0005-0000-0000-00008E0C0000}"/>
    <cellStyle name="Comma 2 2 4 3 2 7" xfId="17524" xr:uid="{00000000-0005-0000-0000-00008F0C0000}"/>
    <cellStyle name="Comma 2 2 4 3 3" xfId="752" xr:uid="{00000000-0005-0000-0000-0000900C0000}"/>
    <cellStyle name="Comma 2 2 4 3 3 2" xfId="1814" xr:uid="{00000000-0005-0000-0000-0000910C0000}"/>
    <cellStyle name="Comma 2 2 4 3 3 2 2" xfId="3926" xr:uid="{00000000-0005-0000-0000-0000920C0000}"/>
    <cellStyle name="Comma 2 2 4 3 3 2 2 2" xfId="8152" xr:uid="{00000000-0005-0000-0000-0000930C0000}"/>
    <cellStyle name="Comma 2 2 4 3 3 2 2 2 2" xfId="16600" xr:uid="{00000000-0005-0000-0000-0000940C0000}"/>
    <cellStyle name="Comma 2 2 4 3 3 2 2 2 2 2" xfId="33540" xr:uid="{00000000-0005-0000-0000-0000950C0000}"/>
    <cellStyle name="Comma 2 2 4 3 3 2 2 2 3" xfId="25092" xr:uid="{00000000-0005-0000-0000-0000960C0000}"/>
    <cellStyle name="Comma 2 2 4 3 3 2 2 3" xfId="12376" xr:uid="{00000000-0005-0000-0000-0000970C0000}"/>
    <cellStyle name="Comma 2 2 4 3 3 2 2 3 2" xfId="29316" xr:uid="{00000000-0005-0000-0000-0000980C0000}"/>
    <cellStyle name="Comma 2 2 4 3 3 2 2 4" xfId="20868" xr:uid="{00000000-0005-0000-0000-0000990C0000}"/>
    <cellStyle name="Comma 2 2 4 3 3 2 3" xfId="6040" xr:uid="{00000000-0005-0000-0000-00009A0C0000}"/>
    <cellStyle name="Comma 2 2 4 3 3 2 3 2" xfId="14488" xr:uid="{00000000-0005-0000-0000-00009B0C0000}"/>
    <cellStyle name="Comma 2 2 4 3 3 2 3 2 2" xfId="31428" xr:uid="{00000000-0005-0000-0000-00009C0C0000}"/>
    <cellStyle name="Comma 2 2 4 3 3 2 3 3" xfId="22980" xr:uid="{00000000-0005-0000-0000-00009D0C0000}"/>
    <cellStyle name="Comma 2 2 4 3 3 2 4" xfId="10264" xr:uid="{00000000-0005-0000-0000-00009E0C0000}"/>
    <cellStyle name="Comma 2 2 4 3 3 2 4 2" xfId="27204" xr:uid="{00000000-0005-0000-0000-00009F0C0000}"/>
    <cellStyle name="Comma 2 2 4 3 3 2 5" xfId="18756" xr:uid="{00000000-0005-0000-0000-0000A00C0000}"/>
    <cellStyle name="Comma 2 2 4 3 3 3" xfId="2870" xr:uid="{00000000-0005-0000-0000-0000A10C0000}"/>
    <cellStyle name="Comma 2 2 4 3 3 3 2" xfId="7096" xr:uid="{00000000-0005-0000-0000-0000A20C0000}"/>
    <cellStyle name="Comma 2 2 4 3 3 3 2 2" xfId="15544" xr:uid="{00000000-0005-0000-0000-0000A30C0000}"/>
    <cellStyle name="Comma 2 2 4 3 3 3 2 2 2" xfId="32484" xr:uid="{00000000-0005-0000-0000-0000A40C0000}"/>
    <cellStyle name="Comma 2 2 4 3 3 3 2 3" xfId="24036" xr:uid="{00000000-0005-0000-0000-0000A50C0000}"/>
    <cellStyle name="Comma 2 2 4 3 3 3 3" xfId="11320" xr:uid="{00000000-0005-0000-0000-0000A60C0000}"/>
    <cellStyle name="Comma 2 2 4 3 3 3 3 2" xfId="28260" xr:uid="{00000000-0005-0000-0000-0000A70C0000}"/>
    <cellStyle name="Comma 2 2 4 3 3 3 4" xfId="19812" xr:uid="{00000000-0005-0000-0000-0000A80C0000}"/>
    <cellStyle name="Comma 2 2 4 3 3 4" xfId="4984" xr:uid="{00000000-0005-0000-0000-0000A90C0000}"/>
    <cellStyle name="Comma 2 2 4 3 3 4 2" xfId="13432" xr:uid="{00000000-0005-0000-0000-0000AA0C0000}"/>
    <cellStyle name="Comma 2 2 4 3 3 4 2 2" xfId="30372" xr:uid="{00000000-0005-0000-0000-0000AB0C0000}"/>
    <cellStyle name="Comma 2 2 4 3 3 4 3" xfId="21924" xr:uid="{00000000-0005-0000-0000-0000AC0C0000}"/>
    <cellStyle name="Comma 2 2 4 3 3 5" xfId="9208" xr:uid="{00000000-0005-0000-0000-0000AD0C0000}"/>
    <cellStyle name="Comma 2 2 4 3 3 5 2" xfId="26148" xr:uid="{00000000-0005-0000-0000-0000AE0C0000}"/>
    <cellStyle name="Comma 2 2 4 3 3 6" xfId="17700" xr:uid="{00000000-0005-0000-0000-0000AF0C0000}"/>
    <cellStyle name="Comma 2 2 4 3 4" xfId="1104" xr:uid="{00000000-0005-0000-0000-0000B00C0000}"/>
    <cellStyle name="Comma 2 2 4 3 4 2" xfId="2166" xr:uid="{00000000-0005-0000-0000-0000B10C0000}"/>
    <cellStyle name="Comma 2 2 4 3 4 2 2" xfId="4278" xr:uid="{00000000-0005-0000-0000-0000B20C0000}"/>
    <cellStyle name="Comma 2 2 4 3 4 2 2 2" xfId="8504" xr:uid="{00000000-0005-0000-0000-0000B30C0000}"/>
    <cellStyle name="Comma 2 2 4 3 4 2 2 2 2" xfId="16952" xr:uid="{00000000-0005-0000-0000-0000B40C0000}"/>
    <cellStyle name="Comma 2 2 4 3 4 2 2 2 2 2" xfId="33892" xr:uid="{00000000-0005-0000-0000-0000B50C0000}"/>
    <cellStyle name="Comma 2 2 4 3 4 2 2 2 3" xfId="25444" xr:uid="{00000000-0005-0000-0000-0000B60C0000}"/>
    <cellStyle name="Comma 2 2 4 3 4 2 2 3" xfId="12728" xr:uid="{00000000-0005-0000-0000-0000B70C0000}"/>
    <cellStyle name="Comma 2 2 4 3 4 2 2 3 2" xfId="29668" xr:uid="{00000000-0005-0000-0000-0000B80C0000}"/>
    <cellStyle name="Comma 2 2 4 3 4 2 2 4" xfId="21220" xr:uid="{00000000-0005-0000-0000-0000B90C0000}"/>
    <cellStyle name="Comma 2 2 4 3 4 2 3" xfId="6392" xr:uid="{00000000-0005-0000-0000-0000BA0C0000}"/>
    <cellStyle name="Comma 2 2 4 3 4 2 3 2" xfId="14840" xr:uid="{00000000-0005-0000-0000-0000BB0C0000}"/>
    <cellStyle name="Comma 2 2 4 3 4 2 3 2 2" xfId="31780" xr:uid="{00000000-0005-0000-0000-0000BC0C0000}"/>
    <cellStyle name="Comma 2 2 4 3 4 2 3 3" xfId="23332" xr:uid="{00000000-0005-0000-0000-0000BD0C0000}"/>
    <cellStyle name="Comma 2 2 4 3 4 2 4" xfId="10616" xr:uid="{00000000-0005-0000-0000-0000BE0C0000}"/>
    <cellStyle name="Comma 2 2 4 3 4 2 4 2" xfId="27556" xr:uid="{00000000-0005-0000-0000-0000BF0C0000}"/>
    <cellStyle name="Comma 2 2 4 3 4 2 5" xfId="19108" xr:uid="{00000000-0005-0000-0000-0000C00C0000}"/>
    <cellStyle name="Comma 2 2 4 3 4 3" xfId="3222" xr:uid="{00000000-0005-0000-0000-0000C10C0000}"/>
    <cellStyle name="Comma 2 2 4 3 4 3 2" xfId="7448" xr:uid="{00000000-0005-0000-0000-0000C20C0000}"/>
    <cellStyle name="Comma 2 2 4 3 4 3 2 2" xfId="15896" xr:uid="{00000000-0005-0000-0000-0000C30C0000}"/>
    <cellStyle name="Comma 2 2 4 3 4 3 2 2 2" xfId="32836" xr:uid="{00000000-0005-0000-0000-0000C40C0000}"/>
    <cellStyle name="Comma 2 2 4 3 4 3 2 3" xfId="24388" xr:uid="{00000000-0005-0000-0000-0000C50C0000}"/>
    <cellStyle name="Comma 2 2 4 3 4 3 3" xfId="11672" xr:uid="{00000000-0005-0000-0000-0000C60C0000}"/>
    <cellStyle name="Comma 2 2 4 3 4 3 3 2" xfId="28612" xr:uid="{00000000-0005-0000-0000-0000C70C0000}"/>
    <cellStyle name="Comma 2 2 4 3 4 3 4" xfId="20164" xr:uid="{00000000-0005-0000-0000-0000C80C0000}"/>
    <cellStyle name="Comma 2 2 4 3 4 4" xfId="5336" xr:uid="{00000000-0005-0000-0000-0000C90C0000}"/>
    <cellStyle name="Comma 2 2 4 3 4 4 2" xfId="13784" xr:uid="{00000000-0005-0000-0000-0000CA0C0000}"/>
    <cellStyle name="Comma 2 2 4 3 4 4 2 2" xfId="30724" xr:uid="{00000000-0005-0000-0000-0000CB0C0000}"/>
    <cellStyle name="Comma 2 2 4 3 4 4 3" xfId="22276" xr:uid="{00000000-0005-0000-0000-0000CC0C0000}"/>
    <cellStyle name="Comma 2 2 4 3 4 5" xfId="9560" xr:uid="{00000000-0005-0000-0000-0000CD0C0000}"/>
    <cellStyle name="Comma 2 2 4 3 4 5 2" xfId="26500" xr:uid="{00000000-0005-0000-0000-0000CE0C0000}"/>
    <cellStyle name="Comma 2 2 4 3 4 6" xfId="18052" xr:uid="{00000000-0005-0000-0000-0000CF0C0000}"/>
    <cellStyle name="Comma 2 2 4 3 5" xfId="1286" xr:uid="{00000000-0005-0000-0000-0000D00C0000}"/>
    <cellStyle name="Comma 2 2 4 3 5 2" xfId="2342" xr:uid="{00000000-0005-0000-0000-0000D10C0000}"/>
    <cellStyle name="Comma 2 2 4 3 5 2 2" xfId="4454" xr:uid="{00000000-0005-0000-0000-0000D20C0000}"/>
    <cellStyle name="Comma 2 2 4 3 5 2 2 2" xfId="8680" xr:uid="{00000000-0005-0000-0000-0000D30C0000}"/>
    <cellStyle name="Comma 2 2 4 3 5 2 2 2 2" xfId="17128" xr:uid="{00000000-0005-0000-0000-0000D40C0000}"/>
    <cellStyle name="Comma 2 2 4 3 5 2 2 2 2 2" xfId="34068" xr:uid="{00000000-0005-0000-0000-0000D50C0000}"/>
    <cellStyle name="Comma 2 2 4 3 5 2 2 2 3" xfId="25620" xr:uid="{00000000-0005-0000-0000-0000D60C0000}"/>
    <cellStyle name="Comma 2 2 4 3 5 2 2 3" xfId="12904" xr:uid="{00000000-0005-0000-0000-0000D70C0000}"/>
    <cellStyle name="Comma 2 2 4 3 5 2 2 3 2" xfId="29844" xr:uid="{00000000-0005-0000-0000-0000D80C0000}"/>
    <cellStyle name="Comma 2 2 4 3 5 2 2 4" xfId="21396" xr:uid="{00000000-0005-0000-0000-0000D90C0000}"/>
    <cellStyle name="Comma 2 2 4 3 5 2 3" xfId="6568" xr:uid="{00000000-0005-0000-0000-0000DA0C0000}"/>
    <cellStyle name="Comma 2 2 4 3 5 2 3 2" xfId="15016" xr:uid="{00000000-0005-0000-0000-0000DB0C0000}"/>
    <cellStyle name="Comma 2 2 4 3 5 2 3 2 2" xfId="31956" xr:uid="{00000000-0005-0000-0000-0000DC0C0000}"/>
    <cellStyle name="Comma 2 2 4 3 5 2 3 3" xfId="23508" xr:uid="{00000000-0005-0000-0000-0000DD0C0000}"/>
    <cellStyle name="Comma 2 2 4 3 5 2 4" xfId="10792" xr:uid="{00000000-0005-0000-0000-0000DE0C0000}"/>
    <cellStyle name="Comma 2 2 4 3 5 2 4 2" xfId="27732" xr:uid="{00000000-0005-0000-0000-0000DF0C0000}"/>
    <cellStyle name="Comma 2 2 4 3 5 2 5" xfId="19284" xr:uid="{00000000-0005-0000-0000-0000E00C0000}"/>
    <cellStyle name="Comma 2 2 4 3 5 3" xfId="3398" xr:uid="{00000000-0005-0000-0000-0000E10C0000}"/>
    <cellStyle name="Comma 2 2 4 3 5 3 2" xfId="7624" xr:uid="{00000000-0005-0000-0000-0000E20C0000}"/>
    <cellStyle name="Comma 2 2 4 3 5 3 2 2" xfId="16072" xr:uid="{00000000-0005-0000-0000-0000E30C0000}"/>
    <cellStyle name="Comma 2 2 4 3 5 3 2 2 2" xfId="33012" xr:uid="{00000000-0005-0000-0000-0000E40C0000}"/>
    <cellStyle name="Comma 2 2 4 3 5 3 2 3" xfId="24564" xr:uid="{00000000-0005-0000-0000-0000E50C0000}"/>
    <cellStyle name="Comma 2 2 4 3 5 3 3" xfId="11848" xr:uid="{00000000-0005-0000-0000-0000E60C0000}"/>
    <cellStyle name="Comma 2 2 4 3 5 3 3 2" xfId="28788" xr:uid="{00000000-0005-0000-0000-0000E70C0000}"/>
    <cellStyle name="Comma 2 2 4 3 5 3 4" xfId="20340" xr:uid="{00000000-0005-0000-0000-0000E80C0000}"/>
    <cellStyle name="Comma 2 2 4 3 5 4" xfId="5512" xr:uid="{00000000-0005-0000-0000-0000E90C0000}"/>
    <cellStyle name="Comma 2 2 4 3 5 4 2" xfId="13960" xr:uid="{00000000-0005-0000-0000-0000EA0C0000}"/>
    <cellStyle name="Comma 2 2 4 3 5 4 2 2" xfId="30900" xr:uid="{00000000-0005-0000-0000-0000EB0C0000}"/>
    <cellStyle name="Comma 2 2 4 3 5 4 3" xfId="22452" xr:uid="{00000000-0005-0000-0000-0000EC0C0000}"/>
    <cellStyle name="Comma 2 2 4 3 5 5" xfId="9736" xr:uid="{00000000-0005-0000-0000-0000ED0C0000}"/>
    <cellStyle name="Comma 2 2 4 3 5 5 2" xfId="26676" xr:uid="{00000000-0005-0000-0000-0000EE0C0000}"/>
    <cellStyle name="Comma 2 2 4 3 5 6" xfId="18228" xr:uid="{00000000-0005-0000-0000-0000EF0C0000}"/>
    <cellStyle name="Comma 2 2 4 3 6" xfId="1462" xr:uid="{00000000-0005-0000-0000-0000F00C0000}"/>
    <cellStyle name="Comma 2 2 4 3 6 2" xfId="3574" xr:uid="{00000000-0005-0000-0000-0000F10C0000}"/>
    <cellStyle name="Comma 2 2 4 3 6 2 2" xfId="7800" xr:uid="{00000000-0005-0000-0000-0000F20C0000}"/>
    <cellStyle name="Comma 2 2 4 3 6 2 2 2" xfId="16248" xr:uid="{00000000-0005-0000-0000-0000F30C0000}"/>
    <cellStyle name="Comma 2 2 4 3 6 2 2 2 2" xfId="33188" xr:uid="{00000000-0005-0000-0000-0000F40C0000}"/>
    <cellStyle name="Comma 2 2 4 3 6 2 2 3" xfId="24740" xr:uid="{00000000-0005-0000-0000-0000F50C0000}"/>
    <cellStyle name="Comma 2 2 4 3 6 2 3" xfId="12024" xr:uid="{00000000-0005-0000-0000-0000F60C0000}"/>
    <cellStyle name="Comma 2 2 4 3 6 2 3 2" xfId="28964" xr:uid="{00000000-0005-0000-0000-0000F70C0000}"/>
    <cellStyle name="Comma 2 2 4 3 6 2 4" xfId="20516" xr:uid="{00000000-0005-0000-0000-0000F80C0000}"/>
    <cellStyle name="Comma 2 2 4 3 6 3" xfId="5688" xr:uid="{00000000-0005-0000-0000-0000F90C0000}"/>
    <cellStyle name="Comma 2 2 4 3 6 3 2" xfId="14136" xr:uid="{00000000-0005-0000-0000-0000FA0C0000}"/>
    <cellStyle name="Comma 2 2 4 3 6 3 2 2" xfId="31076" xr:uid="{00000000-0005-0000-0000-0000FB0C0000}"/>
    <cellStyle name="Comma 2 2 4 3 6 3 3" xfId="22628" xr:uid="{00000000-0005-0000-0000-0000FC0C0000}"/>
    <cellStyle name="Comma 2 2 4 3 6 4" xfId="9912" xr:uid="{00000000-0005-0000-0000-0000FD0C0000}"/>
    <cellStyle name="Comma 2 2 4 3 6 4 2" xfId="26852" xr:uid="{00000000-0005-0000-0000-0000FE0C0000}"/>
    <cellStyle name="Comma 2 2 4 3 6 5" xfId="18404" xr:uid="{00000000-0005-0000-0000-0000FF0C0000}"/>
    <cellStyle name="Comma 2 2 4 3 7" xfId="2518" xr:uid="{00000000-0005-0000-0000-0000000D0000}"/>
    <cellStyle name="Comma 2 2 4 3 7 2" xfId="6744" xr:uid="{00000000-0005-0000-0000-0000010D0000}"/>
    <cellStyle name="Comma 2 2 4 3 7 2 2" xfId="15192" xr:uid="{00000000-0005-0000-0000-0000020D0000}"/>
    <cellStyle name="Comma 2 2 4 3 7 2 2 2" xfId="32132" xr:uid="{00000000-0005-0000-0000-0000030D0000}"/>
    <cellStyle name="Comma 2 2 4 3 7 2 3" xfId="23684" xr:uid="{00000000-0005-0000-0000-0000040D0000}"/>
    <cellStyle name="Comma 2 2 4 3 7 3" xfId="10968" xr:uid="{00000000-0005-0000-0000-0000050D0000}"/>
    <cellStyle name="Comma 2 2 4 3 7 3 2" xfId="27908" xr:uid="{00000000-0005-0000-0000-0000060D0000}"/>
    <cellStyle name="Comma 2 2 4 3 7 4" xfId="19460" xr:uid="{00000000-0005-0000-0000-0000070D0000}"/>
    <cellStyle name="Comma 2 2 4 3 8" xfId="4631" xr:uid="{00000000-0005-0000-0000-0000080D0000}"/>
    <cellStyle name="Comma 2 2 4 3 8 2" xfId="13080" xr:uid="{00000000-0005-0000-0000-0000090D0000}"/>
    <cellStyle name="Comma 2 2 4 3 8 2 2" xfId="30020" xr:uid="{00000000-0005-0000-0000-00000A0D0000}"/>
    <cellStyle name="Comma 2 2 4 3 8 3" xfId="21572" xr:uid="{00000000-0005-0000-0000-00000B0D0000}"/>
    <cellStyle name="Comma 2 2 4 3 9" xfId="8856" xr:uid="{00000000-0005-0000-0000-00000C0D0000}"/>
    <cellStyle name="Comma 2 2 4 3 9 2" xfId="25796" xr:uid="{00000000-0005-0000-0000-00000D0D0000}"/>
    <cellStyle name="Comma 2 2 4 4" xfId="572" xr:uid="{00000000-0005-0000-0000-00000E0D0000}"/>
    <cellStyle name="Comma 2 2 4 4 2" xfId="926" xr:uid="{00000000-0005-0000-0000-00000F0D0000}"/>
    <cellStyle name="Comma 2 2 4 4 2 2" xfId="1988" xr:uid="{00000000-0005-0000-0000-0000100D0000}"/>
    <cellStyle name="Comma 2 2 4 4 2 2 2" xfId="4100" xr:uid="{00000000-0005-0000-0000-0000110D0000}"/>
    <cellStyle name="Comma 2 2 4 4 2 2 2 2" xfId="8326" xr:uid="{00000000-0005-0000-0000-0000120D0000}"/>
    <cellStyle name="Comma 2 2 4 4 2 2 2 2 2" xfId="16774" xr:uid="{00000000-0005-0000-0000-0000130D0000}"/>
    <cellStyle name="Comma 2 2 4 4 2 2 2 2 2 2" xfId="33714" xr:uid="{00000000-0005-0000-0000-0000140D0000}"/>
    <cellStyle name="Comma 2 2 4 4 2 2 2 2 3" xfId="25266" xr:uid="{00000000-0005-0000-0000-0000150D0000}"/>
    <cellStyle name="Comma 2 2 4 4 2 2 2 3" xfId="12550" xr:uid="{00000000-0005-0000-0000-0000160D0000}"/>
    <cellStyle name="Comma 2 2 4 4 2 2 2 3 2" xfId="29490" xr:uid="{00000000-0005-0000-0000-0000170D0000}"/>
    <cellStyle name="Comma 2 2 4 4 2 2 2 4" xfId="21042" xr:uid="{00000000-0005-0000-0000-0000180D0000}"/>
    <cellStyle name="Comma 2 2 4 4 2 2 3" xfId="6214" xr:uid="{00000000-0005-0000-0000-0000190D0000}"/>
    <cellStyle name="Comma 2 2 4 4 2 2 3 2" xfId="14662" xr:uid="{00000000-0005-0000-0000-00001A0D0000}"/>
    <cellStyle name="Comma 2 2 4 4 2 2 3 2 2" xfId="31602" xr:uid="{00000000-0005-0000-0000-00001B0D0000}"/>
    <cellStyle name="Comma 2 2 4 4 2 2 3 3" xfId="23154" xr:uid="{00000000-0005-0000-0000-00001C0D0000}"/>
    <cellStyle name="Comma 2 2 4 4 2 2 4" xfId="10438" xr:uid="{00000000-0005-0000-0000-00001D0D0000}"/>
    <cellStyle name="Comma 2 2 4 4 2 2 4 2" xfId="27378" xr:uid="{00000000-0005-0000-0000-00001E0D0000}"/>
    <cellStyle name="Comma 2 2 4 4 2 2 5" xfId="18930" xr:uid="{00000000-0005-0000-0000-00001F0D0000}"/>
    <cellStyle name="Comma 2 2 4 4 2 3" xfId="3044" xr:uid="{00000000-0005-0000-0000-0000200D0000}"/>
    <cellStyle name="Comma 2 2 4 4 2 3 2" xfId="7270" xr:uid="{00000000-0005-0000-0000-0000210D0000}"/>
    <cellStyle name="Comma 2 2 4 4 2 3 2 2" xfId="15718" xr:uid="{00000000-0005-0000-0000-0000220D0000}"/>
    <cellStyle name="Comma 2 2 4 4 2 3 2 2 2" xfId="32658" xr:uid="{00000000-0005-0000-0000-0000230D0000}"/>
    <cellStyle name="Comma 2 2 4 4 2 3 2 3" xfId="24210" xr:uid="{00000000-0005-0000-0000-0000240D0000}"/>
    <cellStyle name="Comma 2 2 4 4 2 3 3" xfId="11494" xr:uid="{00000000-0005-0000-0000-0000250D0000}"/>
    <cellStyle name="Comma 2 2 4 4 2 3 3 2" xfId="28434" xr:uid="{00000000-0005-0000-0000-0000260D0000}"/>
    <cellStyle name="Comma 2 2 4 4 2 3 4" xfId="19986" xr:uid="{00000000-0005-0000-0000-0000270D0000}"/>
    <cellStyle name="Comma 2 2 4 4 2 4" xfId="5158" xr:uid="{00000000-0005-0000-0000-0000280D0000}"/>
    <cellStyle name="Comma 2 2 4 4 2 4 2" xfId="13606" xr:uid="{00000000-0005-0000-0000-0000290D0000}"/>
    <cellStyle name="Comma 2 2 4 4 2 4 2 2" xfId="30546" xr:uid="{00000000-0005-0000-0000-00002A0D0000}"/>
    <cellStyle name="Comma 2 2 4 4 2 4 3" xfId="22098" xr:uid="{00000000-0005-0000-0000-00002B0D0000}"/>
    <cellStyle name="Comma 2 2 4 4 2 5" xfId="9382" xr:uid="{00000000-0005-0000-0000-00002C0D0000}"/>
    <cellStyle name="Comma 2 2 4 4 2 5 2" xfId="26322" xr:uid="{00000000-0005-0000-0000-00002D0D0000}"/>
    <cellStyle name="Comma 2 2 4 4 2 6" xfId="17874" xr:uid="{00000000-0005-0000-0000-00002E0D0000}"/>
    <cellStyle name="Comma 2 2 4 4 3" xfId="1636" xr:uid="{00000000-0005-0000-0000-00002F0D0000}"/>
    <cellStyle name="Comma 2 2 4 4 3 2" xfId="3748" xr:uid="{00000000-0005-0000-0000-0000300D0000}"/>
    <cellStyle name="Comma 2 2 4 4 3 2 2" xfId="7974" xr:uid="{00000000-0005-0000-0000-0000310D0000}"/>
    <cellStyle name="Comma 2 2 4 4 3 2 2 2" xfId="16422" xr:uid="{00000000-0005-0000-0000-0000320D0000}"/>
    <cellStyle name="Comma 2 2 4 4 3 2 2 2 2" xfId="33362" xr:uid="{00000000-0005-0000-0000-0000330D0000}"/>
    <cellStyle name="Comma 2 2 4 4 3 2 2 3" xfId="24914" xr:uid="{00000000-0005-0000-0000-0000340D0000}"/>
    <cellStyle name="Comma 2 2 4 4 3 2 3" xfId="12198" xr:uid="{00000000-0005-0000-0000-0000350D0000}"/>
    <cellStyle name="Comma 2 2 4 4 3 2 3 2" xfId="29138" xr:uid="{00000000-0005-0000-0000-0000360D0000}"/>
    <cellStyle name="Comma 2 2 4 4 3 2 4" xfId="20690" xr:uid="{00000000-0005-0000-0000-0000370D0000}"/>
    <cellStyle name="Comma 2 2 4 4 3 3" xfId="5862" xr:uid="{00000000-0005-0000-0000-0000380D0000}"/>
    <cellStyle name="Comma 2 2 4 4 3 3 2" xfId="14310" xr:uid="{00000000-0005-0000-0000-0000390D0000}"/>
    <cellStyle name="Comma 2 2 4 4 3 3 2 2" xfId="31250" xr:uid="{00000000-0005-0000-0000-00003A0D0000}"/>
    <cellStyle name="Comma 2 2 4 4 3 3 3" xfId="22802" xr:uid="{00000000-0005-0000-0000-00003B0D0000}"/>
    <cellStyle name="Comma 2 2 4 4 3 4" xfId="10086" xr:uid="{00000000-0005-0000-0000-00003C0D0000}"/>
    <cellStyle name="Comma 2 2 4 4 3 4 2" xfId="27026" xr:uid="{00000000-0005-0000-0000-00003D0D0000}"/>
    <cellStyle name="Comma 2 2 4 4 3 5" xfId="18578" xr:uid="{00000000-0005-0000-0000-00003E0D0000}"/>
    <cellStyle name="Comma 2 2 4 4 4" xfId="2692" xr:uid="{00000000-0005-0000-0000-00003F0D0000}"/>
    <cellStyle name="Comma 2 2 4 4 4 2" xfId="6918" xr:uid="{00000000-0005-0000-0000-0000400D0000}"/>
    <cellStyle name="Comma 2 2 4 4 4 2 2" xfId="15366" xr:uid="{00000000-0005-0000-0000-0000410D0000}"/>
    <cellStyle name="Comma 2 2 4 4 4 2 2 2" xfId="32306" xr:uid="{00000000-0005-0000-0000-0000420D0000}"/>
    <cellStyle name="Comma 2 2 4 4 4 2 3" xfId="23858" xr:uid="{00000000-0005-0000-0000-0000430D0000}"/>
    <cellStyle name="Comma 2 2 4 4 4 3" xfId="11142" xr:uid="{00000000-0005-0000-0000-0000440D0000}"/>
    <cellStyle name="Comma 2 2 4 4 4 3 2" xfId="28082" xr:uid="{00000000-0005-0000-0000-0000450D0000}"/>
    <cellStyle name="Comma 2 2 4 4 4 4" xfId="19634" xr:uid="{00000000-0005-0000-0000-0000460D0000}"/>
    <cellStyle name="Comma 2 2 4 4 5" xfId="4806" xr:uid="{00000000-0005-0000-0000-0000470D0000}"/>
    <cellStyle name="Comma 2 2 4 4 5 2" xfId="13254" xr:uid="{00000000-0005-0000-0000-0000480D0000}"/>
    <cellStyle name="Comma 2 2 4 4 5 2 2" xfId="30194" xr:uid="{00000000-0005-0000-0000-0000490D0000}"/>
    <cellStyle name="Comma 2 2 4 4 5 3" xfId="21746" xr:uid="{00000000-0005-0000-0000-00004A0D0000}"/>
    <cellStyle name="Comma 2 2 4 4 6" xfId="9030" xr:uid="{00000000-0005-0000-0000-00004B0D0000}"/>
    <cellStyle name="Comma 2 2 4 4 6 2" xfId="25970" xr:uid="{00000000-0005-0000-0000-00004C0D0000}"/>
    <cellStyle name="Comma 2 2 4 4 7" xfId="17522" xr:uid="{00000000-0005-0000-0000-00004D0D0000}"/>
    <cellStyle name="Comma 2 2 4 5" xfId="750" xr:uid="{00000000-0005-0000-0000-00004E0D0000}"/>
    <cellStyle name="Comma 2 2 4 5 2" xfId="1812" xr:uid="{00000000-0005-0000-0000-00004F0D0000}"/>
    <cellStyle name="Comma 2 2 4 5 2 2" xfId="3924" xr:uid="{00000000-0005-0000-0000-0000500D0000}"/>
    <cellStyle name="Comma 2 2 4 5 2 2 2" xfId="8150" xr:uid="{00000000-0005-0000-0000-0000510D0000}"/>
    <cellStyle name="Comma 2 2 4 5 2 2 2 2" xfId="16598" xr:uid="{00000000-0005-0000-0000-0000520D0000}"/>
    <cellStyle name="Comma 2 2 4 5 2 2 2 2 2" xfId="33538" xr:uid="{00000000-0005-0000-0000-0000530D0000}"/>
    <cellStyle name="Comma 2 2 4 5 2 2 2 3" xfId="25090" xr:uid="{00000000-0005-0000-0000-0000540D0000}"/>
    <cellStyle name="Comma 2 2 4 5 2 2 3" xfId="12374" xr:uid="{00000000-0005-0000-0000-0000550D0000}"/>
    <cellStyle name="Comma 2 2 4 5 2 2 3 2" xfId="29314" xr:uid="{00000000-0005-0000-0000-0000560D0000}"/>
    <cellStyle name="Comma 2 2 4 5 2 2 4" xfId="20866" xr:uid="{00000000-0005-0000-0000-0000570D0000}"/>
    <cellStyle name="Comma 2 2 4 5 2 3" xfId="6038" xr:uid="{00000000-0005-0000-0000-0000580D0000}"/>
    <cellStyle name="Comma 2 2 4 5 2 3 2" xfId="14486" xr:uid="{00000000-0005-0000-0000-0000590D0000}"/>
    <cellStyle name="Comma 2 2 4 5 2 3 2 2" xfId="31426" xr:uid="{00000000-0005-0000-0000-00005A0D0000}"/>
    <cellStyle name="Comma 2 2 4 5 2 3 3" xfId="22978" xr:uid="{00000000-0005-0000-0000-00005B0D0000}"/>
    <cellStyle name="Comma 2 2 4 5 2 4" xfId="10262" xr:uid="{00000000-0005-0000-0000-00005C0D0000}"/>
    <cellStyle name="Comma 2 2 4 5 2 4 2" xfId="27202" xr:uid="{00000000-0005-0000-0000-00005D0D0000}"/>
    <cellStyle name="Comma 2 2 4 5 2 5" xfId="18754" xr:uid="{00000000-0005-0000-0000-00005E0D0000}"/>
    <cellStyle name="Comma 2 2 4 5 3" xfId="2868" xr:uid="{00000000-0005-0000-0000-00005F0D0000}"/>
    <cellStyle name="Comma 2 2 4 5 3 2" xfId="7094" xr:uid="{00000000-0005-0000-0000-0000600D0000}"/>
    <cellStyle name="Comma 2 2 4 5 3 2 2" xfId="15542" xr:uid="{00000000-0005-0000-0000-0000610D0000}"/>
    <cellStyle name="Comma 2 2 4 5 3 2 2 2" xfId="32482" xr:uid="{00000000-0005-0000-0000-0000620D0000}"/>
    <cellStyle name="Comma 2 2 4 5 3 2 3" xfId="24034" xr:uid="{00000000-0005-0000-0000-0000630D0000}"/>
    <cellStyle name="Comma 2 2 4 5 3 3" xfId="11318" xr:uid="{00000000-0005-0000-0000-0000640D0000}"/>
    <cellStyle name="Comma 2 2 4 5 3 3 2" xfId="28258" xr:uid="{00000000-0005-0000-0000-0000650D0000}"/>
    <cellStyle name="Comma 2 2 4 5 3 4" xfId="19810" xr:uid="{00000000-0005-0000-0000-0000660D0000}"/>
    <cellStyle name="Comma 2 2 4 5 4" xfId="4982" xr:uid="{00000000-0005-0000-0000-0000670D0000}"/>
    <cellStyle name="Comma 2 2 4 5 4 2" xfId="13430" xr:uid="{00000000-0005-0000-0000-0000680D0000}"/>
    <cellStyle name="Comma 2 2 4 5 4 2 2" xfId="30370" xr:uid="{00000000-0005-0000-0000-0000690D0000}"/>
    <cellStyle name="Comma 2 2 4 5 4 3" xfId="21922" xr:uid="{00000000-0005-0000-0000-00006A0D0000}"/>
    <cellStyle name="Comma 2 2 4 5 5" xfId="9206" xr:uid="{00000000-0005-0000-0000-00006B0D0000}"/>
    <cellStyle name="Comma 2 2 4 5 5 2" xfId="26146" xr:uid="{00000000-0005-0000-0000-00006C0D0000}"/>
    <cellStyle name="Comma 2 2 4 5 6" xfId="17698" xr:uid="{00000000-0005-0000-0000-00006D0D0000}"/>
    <cellStyle name="Comma 2 2 4 6" xfId="1102" xr:uid="{00000000-0005-0000-0000-00006E0D0000}"/>
    <cellStyle name="Comma 2 2 4 6 2" xfId="2164" xr:uid="{00000000-0005-0000-0000-00006F0D0000}"/>
    <cellStyle name="Comma 2 2 4 6 2 2" xfId="4276" xr:uid="{00000000-0005-0000-0000-0000700D0000}"/>
    <cellStyle name="Comma 2 2 4 6 2 2 2" xfId="8502" xr:uid="{00000000-0005-0000-0000-0000710D0000}"/>
    <cellStyle name="Comma 2 2 4 6 2 2 2 2" xfId="16950" xr:uid="{00000000-0005-0000-0000-0000720D0000}"/>
    <cellStyle name="Comma 2 2 4 6 2 2 2 2 2" xfId="33890" xr:uid="{00000000-0005-0000-0000-0000730D0000}"/>
    <cellStyle name="Comma 2 2 4 6 2 2 2 3" xfId="25442" xr:uid="{00000000-0005-0000-0000-0000740D0000}"/>
    <cellStyle name="Comma 2 2 4 6 2 2 3" xfId="12726" xr:uid="{00000000-0005-0000-0000-0000750D0000}"/>
    <cellStyle name="Comma 2 2 4 6 2 2 3 2" xfId="29666" xr:uid="{00000000-0005-0000-0000-0000760D0000}"/>
    <cellStyle name="Comma 2 2 4 6 2 2 4" xfId="21218" xr:uid="{00000000-0005-0000-0000-0000770D0000}"/>
    <cellStyle name="Comma 2 2 4 6 2 3" xfId="6390" xr:uid="{00000000-0005-0000-0000-0000780D0000}"/>
    <cellStyle name="Comma 2 2 4 6 2 3 2" xfId="14838" xr:uid="{00000000-0005-0000-0000-0000790D0000}"/>
    <cellStyle name="Comma 2 2 4 6 2 3 2 2" xfId="31778" xr:uid="{00000000-0005-0000-0000-00007A0D0000}"/>
    <cellStyle name="Comma 2 2 4 6 2 3 3" xfId="23330" xr:uid="{00000000-0005-0000-0000-00007B0D0000}"/>
    <cellStyle name="Comma 2 2 4 6 2 4" xfId="10614" xr:uid="{00000000-0005-0000-0000-00007C0D0000}"/>
    <cellStyle name="Comma 2 2 4 6 2 4 2" xfId="27554" xr:uid="{00000000-0005-0000-0000-00007D0D0000}"/>
    <cellStyle name="Comma 2 2 4 6 2 5" xfId="19106" xr:uid="{00000000-0005-0000-0000-00007E0D0000}"/>
    <cellStyle name="Comma 2 2 4 6 3" xfId="3220" xr:uid="{00000000-0005-0000-0000-00007F0D0000}"/>
    <cellStyle name="Comma 2 2 4 6 3 2" xfId="7446" xr:uid="{00000000-0005-0000-0000-0000800D0000}"/>
    <cellStyle name="Comma 2 2 4 6 3 2 2" xfId="15894" xr:uid="{00000000-0005-0000-0000-0000810D0000}"/>
    <cellStyle name="Comma 2 2 4 6 3 2 2 2" xfId="32834" xr:uid="{00000000-0005-0000-0000-0000820D0000}"/>
    <cellStyle name="Comma 2 2 4 6 3 2 3" xfId="24386" xr:uid="{00000000-0005-0000-0000-0000830D0000}"/>
    <cellStyle name="Comma 2 2 4 6 3 3" xfId="11670" xr:uid="{00000000-0005-0000-0000-0000840D0000}"/>
    <cellStyle name="Comma 2 2 4 6 3 3 2" xfId="28610" xr:uid="{00000000-0005-0000-0000-0000850D0000}"/>
    <cellStyle name="Comma 2 2 4 6 3 4" xfId="20162" xr:uid="{00000000-0005-0000-0000-0000860D0000}"/>
    <cellStyle name="Comma 2 2 4 6 4" xfId="5334" xr:uid="{00000000-0005-0000-0000-0000870D0000}"/>
    <cellStyle name="Comma 2 2 4 6 4 2" xfId="13782" xr:uid="{00000000-0005-0000-0000-0000880D0000}"/>
    <cellStyle name="Comma 2 2 4 6 4 2 2" xfId="30722" xr:uid="{00000000-0005-0000-0000-0000890D0000}"/>
    <cellStyle name="Comma 2 2 4 6 4 3" xfId="22274" xr:uid="{00000000-0005-0000-0000-00008A0D0000}"/>
    <cellStyle name="Comma 2 2 4 6 5" xfId="9558" xr:uid="{00000000-0005-0000-0000-00008B0D0000}"/>
    <cellStyle name="Comma 2 2 4 6 5 2" xfId="26498" xr:uid="{00000000-0005-0000-0000-00008C0D0000}"/>
    <cellStyle name="Comma 2 2 4 6 6" xfId="18050" xr:uid="{00000000-0005-0000-0000-00008D0D0000}"/>
    <cellStyle name="Comma 2 2 4 7" xfId="1284" xr:uid="{00000000-0005-0000-0000-00008E0D0000}"/>
    <cellStyle name="Comma 2 2 4 7 2" xfId="2340" xr:uid="{00000000-0005-0000-0000-00008F0D0000}"/>
    <cellStyle name="Comma 2 2 4 7 2 2" xfId="4452" xr:uid="{00000000-0005-0000-0000-0000900D0000}"/>
    <cellStyle name="Comma 2 2 4 7 2 2 2" xfId="8678" xr:uid="{00000000-0005-0000-0000-0000910D0000}"/>
    <cellStyle name="Comma 2 2 4 7 2 2 2 2" xfId="17126" xr:uid="{00000000-0005-0000-0000-0000920D0000}"/>
    <cellStyle name="Comma 2 2 4 7 2 2 2 2 2" xfId="34066" xr:uid="{00000000-0005-0000-0000-0000930D0000}"/>
    <cellStyle name="Comma 2 2 4 7 2 2 2 3" xfId="25618" xr:uid="{00000000-0005-0000-0000-0000940D0000}"/>
    <cellStyle name="Comma 2 2 4 7 2 2 3" xfId="12902" xr:uid="{00000000-0005-0000-0000-0000950D0000}"/>
    <cellStyle name="Comma 2 2 4 7 2 2 3 2" xfId="29842" xr:uid="{00000000-0005-0000-0000-0000960D0000}"/>
    <cellStyle name="Comma 2 2 4 7 2 2 4" xfId="21394" xr:uid="{00000000-0005-0000-0000-0000970D0000}"/>
    <cellStyle name="Comma 2 2 4 7 2 3" xfId="6566" xr:uid="{00000000-0005-0000-0000-0000980D0000}"/>
    <cellStyle name="Comma 2 2 4 7 2 3 2" xfId="15014" xr:uid="{00000000-0005-0000-0000-0000990D0000}"/>
    <cellStyle name="Comma 2 2 4 7 2 3 2 2" xfId="31954" xr:uid="{00000000-0005-0000-0000-00009A0D0000}"/>
    <cellStyle name="Comma 2 2 4 7 2 3 3" xfId="23506" xr:uid="{00000000-0005-0000-0000-00009B0D0000}"/>
    <cellStyle name="Comma 2 2 4 7 2 4" xfId="10790" xr:uid="{00000000-0005-0000-0000-00009C0D0000}"/>
    <cellStyle name="Comma 2 2 4 7 2 4 2" xfId="27730" xr:uid="{00000000-0005-0000-0000-00009D0D0000}"/>
    <cellStyle name="Comma 2 2 4 7 2 5" xfId="19282" xr:uid="{00000000-0005-0000-0000-00009E0D0000}"/>
    <cellStyle name="Comma 2 2 4 7 3" xfId="3396" xr:uid="{00000000-0005-0000-0000-00009F0D0000}"/>
    <cellStyle name="Comma 2 2 4 7 3 2" xfId="7622" xr:uid="{00000000-0005-0000-0000-0000A00D0000}"/>
    <cellStyle name="Comma 2 2 4 7 3 2 2" xfId="16070" xr:uid="{00000000-0005-0000-0000-0000A10D0000}"/>
    <cellStyle name="Comma 2 2 4 7 3 2 2 2" xfId="33010" xr:uid="{00000000-0005-0000-0000-0000A20D0000}"/>
    <cellStyle name="Comma 2 2 4 7 3 2 3" xfId="24562" xr:uid="{00000000-0005-0000-0000-0000A30D0000}"/>
    <cellStyle name="Comma 2 2 4 7 3 3" xfId="11846" xr:uid="{00000000-0005-0000-0000-0000A40D0000}"/>
    <cellStyle name="Comma 2 2 4 7 3 3 2" xfId="28786" xr:uid="{00000000-0005-0000-0000-0000A50D0000}"/>
    <cellStyle name="Comma 2 2 4 7 3 4" xfId="20338" xr:uid="{00000000-0005-0000-0000-0000A60D0000}"/>
    <cellStyle name="Comma 2 2 4 7 4" xfId="5510" xr:uid="{00000000-0005-0000-0000-0000A70D0000}"/>
    <cellStyle name="Comma 2 2 4 7 4 2" xfId="13958" xr:uid="{00000000-0005-0000-0000-0000A80D0000}"/>
    <cellStyle name="Comma 2 2 4 7 4 2 2" xfId="30898" xr:uid="{00000000-0005-0000-0000-0000A90D0000}"/>
    <cellStyle name="Comma 2 2 4 7 4 3" xfId="22450" xr:uid="{00000000-0005-0000-0000-0000AA0D0000}"/>
    <cellStyle name="Comma 2 2 4 7 5" xfId="9734" xr:uid="{00000000-0005-0000-0000-0000AB0D0000}"/>
    <cellStyle name="Comma 2 2 4 7 5 2" xfId="26674" xr:uid="{00000000-0005-0000-0000-0000AC0D0000}"/>
    <cellStyle name="Comma 2 2 4 7 6" xfId="18226" xr:uid="{00000000-0005-0000-0000-0000AD0D0000}"/>
    <cellStyle name="Comma 2 2 4 8" xfId="1460" xr:uid="{00000000-0005-0000-0000-0000AE0D0000}"/>
    <cellStyle name="Comma 2 2 4 8 2" xfId="3572" xr:uid="{00000000-0005-0000-0000-0000AF0D0000}"/>
    <cellStyle name="Comma 2 2 4 8 2 2" xfId="7798" xr:uid="{00000000-0005-0000-0000-0000B00D0000}"/>
    <cellStyle name="Comma 2 2 4 8 2 2 2" xfId="16246" xr:uid="{00000000-0005-0000-0000-0000B10D0000}"/>
    <cellStyle name="Comma 2 2 4 8 2 2 2 2" xfId="33186" xr:uid="{00000000-0005-0000-0000-0000B20D0000}"/>
    <cellStyle name="Comma 2 2 4 8 2 2 3" xfId="24738" xr:uid="{00000000-0005-0000-0000-0000B30D0000}"/>
    <cellStyle name="Comma 2 2 4 8 2 3" xfId="12022" xr:uid="{00000000-0005-0000-0000-0000B40D0000}"/>
    <cellStyle name="Comma 2 2 4 8 2 3 2" xfId="28962" xr:uid="{00000000-0005-0000-0000-0000B50D0000}"/>
    <cellStyle name="Comma 2 2 4 8 2 4" xfId="20514" xr:uid="{00000000-0005-0000-0000-0000B60D0000}"/>
    <cellStyle name="Comma 2 2 4 8 3" xfId="5686" xr:uid="{00000000-0005-0000-0000-0000B70D0000}"/>
    <cellStyle name="Comma 2 2 4 8 3 2" xfId="14134" xr:uid="{00000000-0005-0000-0000-0000B80D0000}"/>
    <cellStyle name="Comma 2 2 4 8 3 2 2" xfId="31074" xr:uid="{00000000-0005-0000-0000-0000B90D0000}"/>
    <cellStyle name="Comma 2 2 4 8 3 3" xfId="22626" xr:uid="{00000000-0005-0000-0000-0000BA0D0000}"/>
    <cellStyle name="Comma 2 2 4 8 4" xfId="9910" xr:uid="{00000000-0005-0000-0000-0000BB0D0000}"/>
    <cellStyle name="Comma 2 2 4 8 4 2" xfId="26850" xr:uid="{00000000-0005-0000-0000-0000BC0D0000}"/>
    <cellStyle name="Comma 2 2 4 8 5" xfId="18402" xr:uid="{00000000-0005-0000-0000-0000BD0D0000}"/>
    <cellStyle name="Comma 2 2 4 9" xfId="2516" xr:uid="{00000000-0005-0000-0000-0000BE0D0000}"/>
    <cellStyle name="Comma 2 2 4 9 2" xfId="6742" xr:uid="{00000000-0005-0000-0000-0000BF0D0000}"/>
    <cellStyle name="Comma 2 2 4 9 2 2" xfId="15190" xr:uid="{00000000-0005-0000-0000-0000C00D0000}"/>
    <cellStyle name="Comma 2 2 4 9 2 2 2" xfId="32130" xr:uid="{00000000-0005-0000-0000-0000C10D0000}"/>
    <cellStyle name="Comma 2 2 4 9 2 3" xfId="23682" xr:uid="{00000000-0005-0000-0000-0000C20D0000}"/>
    <cellStyle name="Comma 2 2 4 9 3" xfId="10966" xr:uid="{00000000-0005-0000-0000-0000C30D0000}"/>
    <cellStyle name="Comma 2 2 4 9 3 2" xfId="27906" xr:uid="{00000000-0005-0000-0000-0000C40D0000}"/>
    <cellStyle name="Comma 2 2 4 9 4" xfId="19458" xr:uid="{00000000-0005-0000-0000-0000C50D0000}"/>
    <cellStyle name="Comma 2 2 5" xfId="88" xr:uid="{00000000-0005-0000-0000-0000C60D0000}"/>
    <cellStyle name="Comma 2 2 5 2" xfId="575" xr:uid="{00000000-0005-0000-0000-0000C70D0000}"/>
    <cellStyle name="Comma 2 2 6" xfId="89" xr:uid="{00000000-0005-0000-0000-0000C80D0000}"/>
    <cellStyle name="Comma 2 2 7" xfId="17307" xr:uid="{00000000-0005-0000-0000-0000C90D0000}"/>
    <cellStyle name="Comma 2 3" xfId="90" xr:uid="{00000000-0005-0000-0000-0000CA0D0000}"/>
    <cellStyle name="Comma 2 3 2" xfId="91" xr:uid="{00000000-0005-0000-0000-0000CB0D0000}"/>
    <cellStyle name="Comma 2 3 3" xfId="92" xr:uid="{00000000-0005-0000-0000-0000CC0D0000}"/>
    <cellStyle name="Comma 2 3 3 2" xfId="17312" xr:uid="{00000000-0005-0000-0000-0000CD0D0000}"/>
    <cellStyle name="Comma 2 4" xfId="93" xr:uid="{00000000-0005-0000-0000-0000CE0D0000}"/>
    <cellStyle name="Comma 2 5" xfId="94" xr:uid="{00000000-0005-0000-0000-0000CF0D0000}"/>
    <cellStyle name="Comma 2 6" xfId="95" xr:uid="{00000000-0005-0000-0000-0000D00D0000}"/>
    <cellStyle name="Comma 2 6 2" xfId="17313" xr:uid="{00000000-0005-0000-0000-0000D10D0000}"/>
    <cellStyle name="Comma 2 7" xfId="17306" xr:uid="{00000000-0005-0000-0000-0000D20D0000}"/>
    <cellStyle name="Comma 20" xfId="96" xr:uid="{00000000-0005-0000-0000-0000D30D0000}"/>
    <cellStyle name="Comma 20 10" xfId="4632" xr:uid="{00000000-0005-0000-0000-0000D40D0000}"/>
    <cellStyle name="Comma 20 10 2" xfId="13081" xr:uid="{00000000-0005-0000-0000-0000D50D0000}"/>
    <cellStyle name="Comma 20 10 2 2" xfId="30021" xr:uid="{00000000-0005-0000-0000-0000D60D0000}"/>
    <cellStyle name="Comma 20 10 3" xfId="21573" xr:uid="{00000000-0005-0000-0000-0000D70D0000}"/>
    <cellStyle name="Comma 20 11" xfId="8857" xr:uid="{00000000-0005-0000-0000-0000D80D0000}"/>
    <cellStyle name="Comma 20 11 2" xfId="25797" xr:uid="{00000000-0005-0000-0000-0000D90D0000}"/>
    <cellStyle name="Comma 20 12" xfId="17314" xr:uid="{00000000-0005-0000-0000-0000DA0D0000}"/>
    <cellStyle name="Comma 20 2" xfId="97" xr:uid="{00000000-0005-0000-0000-0000DB0D0000}"/>
    <cellStyle name="Comma 20 2 10" xfId="17315" xr:uid="{00000000-0005-0000-0000-0000DC0D0000}"/>
    <cellStyle name="Comma 20 2 2" xfId="577" xr:uid="{00000000-0005-0000-0000-0000DD0D0000}"/>
    <cellStyle name="Comma 20 2 2 2" xfId="930" xr:uid="{00000000-0005-0000-0000-0000DE0D0000}"/>
    <cellStyle name="Comma 20 2 2 2 2" xfId="1992" xr:uid="{00000000-0005-0000-0000-0000DF0D0000}"/>
    <cellStyle name="Comma 20 2 2 2 2 2" xfId="4104" xr:uid="{00000000-0005-0000-0000-0000E00D0000}"/>
    <cellStyle name="Comma 20 2 2 2 2 2 2" xfId="8330" xr:uid="{00000000-0005-0000-0000-0000E10D0000}"/>
    <cellStyle name="Comma 20 2 2 2 2 2 2 2" xfId="16778" xr:uid="{00000000-0005-0000-0000-0000E20D0000}"/>
    <cellStyle name="Comma 20 2 2 2 2 2 2 2 2" xfId="33718" xr:uid="{00000000-0005-0000-0000-0000E30D0000}"/>
    <cellStyle name="Comma 20 2 2 2 2 2 2 3" xfId="25270" xr:uid="{00000000-0005-0000-0000-0000E40D0000}"/>
    <cellStyle name="Comma 20 2 2 2 2 2 3" xfId="12554" xr:uid="{00000000-0005-0000-0000-0000E50D0000}"/>
    <cellStyle name="Comma 20 2 2 2 2 2 3 2" xfId="29494" xr:uid="{00000000-0005-0000-0000-0000E60D0000}"/>
    <cellStyle name="Comma 20 2 2 2 2 2 4" xfId="21046" xr:uid="{00000000-0005-0000-0000-0000E70D0000}"/>
    <cellStyle name="Comma 20 2 2 2 2 3" xfId="6218" xr:uid="{00000000-0005-0000-0000-0000E80D0000}"/>
    <cellStyle name="Comma 20 2 2 2 2 3 2" xfId="14666" xr:uid="{00000000-0005-0000-0000-0000E90D0000}"/>
    <cellStyle name="Comma 20 2 2 2 2 3 2 2" xfId="31606" xr:uid="{00000000-0005-0000-0000-0000EA0D0000}"/>
    <cellStyle name="Comma 20 2 2 2 2 3 3" xfId="23158" xr:uid="{00000000-0005-0000-0000-0000EB0D0000}"/>
    <cellStyle name="Comma 20 2 2 2 2 4" xfId="10442" xr:uid="{00000000-0005-0000-0000-0000EC0D0000}"/>
    <cellStyle name="Comma 20 2 2 2 2 4 2" xfId="27382" xr:uid="{00000000-0005-0000-0000-0000ED0D0000}"/>
    <cellStyle name="Comma 20 2 2 2 2 5" xfId="18934" xr:uid="{00000000-0005-0000-0000-0000EE0D0000}"/>
    <cellStyle name="Comma 20 2 2 2 3" xfId="3048" xr:uid="{00000000-0005-0000-0000-0000EF0D0000}"/>
    <cellStyle name="Comma 20 2 2 2 3 2" xfId="7274" xr:uid="{00000000-0005-0000-0000-0000F00D0000}"/>
    <cellStyle name="Comma 20 2 2 2 3 2 2" xfId="15722" xr:uid="{00000000-0005-0000-0000-0000F10D0000}"/>
    <cellStyle name="Comma 20 2 2 2 3 2 2 2" xfId="32662" xr:uid="{00000000-0005-0000-0000-0000F20D0000}"/>
    <cellStyle name="Comma 20 2 2 2 3 2 3" xfId="24214" xr:uid="{00000000-0005-0000-0000-0000F30D0000}"/>
    <cellStyle name="Comma 20 2 2 2 3 3" xfId="11498" xr:uid="{00000000-0005-0000-0000-0000F40D0000}"/>
    <cellStyle name="Comma 20 2 2 2 3 3 2" xfId="28438" xr:uid="{00000000-0005-0000-0000-0000F50D0000}"/>
    <cellStyle name="Comma 20 2 2 2 3 4" xfId="19990" xr:uid="{00000000-0005-0000-0000-0000F60D0000}"/>
    <cellStyle name="Comma 20 2 2 2 4" xfId="5162" xr:uid="{00000000-0005-0000-0000-0000F70D0000}"/>
    <cellStyle name="Comma 20 2 2 2 4 2" xfId="13610" xr:uid="{00000000-0005-0000-0000-0000F80D0000}"/>
    <cellStyle name="Comma 20 2 2 2 4 2 2" xfId="30550" xr:uid="{00000000-0005-0000-0000-0000F90D0000}"/>
    <cellStyle name="Comma 20 2 2 2 4 3" xfId="22102" xr:uid="{00000000-0005-0000-0000-0000FA0D0000}"/>
    <cellStyle name="Comma 20 2 2 2 5" xfId="9386" xr:uid="{00000000-0005-0000-0000-0000FB0D0000}"/>
    <cellStyle name="Comma 20 2 2 2 5 2" xfId="26326" xr:uid="{00000000-0005-0000-0000-0000FC0D0000}"/>
    <cellStyle name="Comma 20 2 2 2 6" xfId="17878" xr:uid="{00000000-0005-0000-0000-0000FD0D0000}"/>
    <cellStyle name="Comma 20 2 2 3" xfId="1640" xr:uid="{00000000-0005-0000-0000-0000FE0D0000}"/>
    <cellStyle name="Comma 20 2 2 3 2" xfId="3752" xr:uid="{00000000-0005-0000-0000-0000FF0D0000}"/>
    <cellStyle name="Comma 20 2 2 3 2 2" xfId="7978" xr:uid="{00000000-0005-0000-0000-0000000E0000}"/>
    <cellStyle name="Comma 20 2 2 3 2 2 2" xfId="16426" xr:uid="{00000000-0005-0000-0000-0000010E0000}"/>
    <cellStyle name="Comma 20 2 2 3 2 2 2 2" xfId="33366" xr:uid="{00000000-0005-0000-0000-0000020E0000}"/>
    <cellStyle name="Comma 20 2 2 3 2 2 3" xfId="24918" xr:uid="{00000000-0005-0000-0000-0000030E0000}"/>
    <cellStyle name="Comma 20 2 2 3 2 3" xfId="12202" xr:uid="{00000000-0005-0000-0000-0000040E0000}"/>
    <cellStyle name="Comma 20 2 2 3 2 3 2" xfId="29142" xr:uid="{00000000-0005-0000-0000-0000050E0000}"/>
    <cellStyle name="Comma 20 2 2 3 2 4" xfId="20694" xr:uid="{00000000-0005-0000-0000-0000060E0000}"/>
    <cellStyle name="Comma 20 2 2 3 3" xfId="5866" xr:uid="{00000000-0005-0000-0000-0000070E0000}"/>
    <cellStyle name="Comma 20 2 2 3 3 2" xfId="14314" xr:uid="{00000000-0005-0000-0000-0000080E0000}"/>
    <cellStyle name="Comma 20 2 2 3 3 2 2" xfId="31254" xr:uid="{00000000-0005-0000-0000-0000090E0000}"/>
    <cellStyle name="Comma 20 2 2 3 3 3" xfId="22806" xr:uid="{00000000-0005-0000-0000-00000A0E0000}"/>
    <cellStyle name="Comma 20 2 2 3 4" xfId="10090" xr:uid="{00000000-0005-0000-0000-00000B0E0000}"/>
    <cellStyle name="Comma 20 2 2 3 4 2" xfId="27030" xr:uid="{00000000-0005-0000-0000-00000C0E0000}"/>
    <cellStyle name="Comma 20 2 2 3 5" xfId="18582" xr:uid="{00000000-0005-0000-0000-00000D0E0000}"/>
    <cellStyle name="Comma 20 2 2 4" xfId="2696" xr:uid="{00000000-0005-0000-0000-00000E0E0000}"/>
    <cellStyle name="Comma 20 2 2 4 2" xfId="6922" xr:uid="{00000000-0005-0000-0000-00000F0E0000}"/>
    <cellStyle name="Comma 20 2 2 4 2 2" xfId="15370" xr:uid="{00000000-0005-0000-0000-0000100E0000}"/>
    <cellStyle name="Comma 20 2 2 4 2 2 2" xfId="32310" xr:uid="{00000000-0005-0000-0000-0000110E0000}"/>
    <cellStyle name="Comma 20 2 2 4 2 3" xfId="23862" xr:uid="{00000000-0005-0000-0000-0000120E0000}"/>
    <cellStyle name="Comma 20 2 2 4 3" xfId="11146" xr:uid="{00000000-0005-0000-0000-0000130E0000}"/>
    <cellStyle name="Comma 20 2 2 4 3 2" xfId="28086" xr:uid="{00000000-0005-0000-0000-0000140E0000}"/>
    <cellStyle name="Comma 20 2 2 4 4" xfId="19638" xr:uid="{00000000-0005-0000-0000-0000150E0000}"/>
    <cellStyle name="Comma 20 2 2 5" xfId="4810" xr:uid="{00000000-0005-0000-0000-0000160E0000}"/>
    <cellStyle name="Comma 20 2 2 5 2" xfId="13258" xr:uid="{00000000-0005-0000-0000-0000170E0000}"/>
    <cellStyle name="Comma 20 2 2 5 2 2" xfId="30198" xr:uid="{00000000-0005-0000-0000-0000180E0000}"/>
    <cellStyle name="Comma 20 2 2 5 3" xfId="21750" xr:uid="{00000000-0005-0000-0000-0000190E0000}"/>
    <cellStyle name="Comma 20 2 2 6" xfId="9034" xr:uid="{00000000-0005-0000-0000-00001A0E0000}"/>
    <cellStyle name="Comma 20 2 2 6 2" xfId="25974" xr:uid="{00000000-0005-0000-0000-00001B0E0000}"/>
    <cellStyle name="Comma 20 2 2 7" xfId="17526" xr:uid="{00000000-0005-0000-0000-00001C0E0000}"/>
    <cellStyle name="Comma 20 2 3" xfId="754" xr:uid="{00000000-0005-0000-0000-00001D0E0000}"/>
    <cellStyle name="Comma 20 2 3 2" xfId="1816" xr:uid="{00000000-0005-0000-0000-00001E0E0000}"/>
    <cellStyle name="Comma 20 2 3 2 2" xfId="3928" xr:uid="{00000000-0005-0000-0000-00001F0E0000}"/>
    <cellStyle name="Comma 20 2 3 2 2 2" xfId="8154" xr:uid="{00000000-0005-0000-0000-0000200E0000}"/>
    <cellStyle name="Comma 20 2 3 2 2 2 2" xfId="16602" xr:uid="{00000000-0005-0000-0000-0000210E0000}"/>
    <cellStyle name="Comma 20 2 3 2 2 2 2 2" xfId="33542" xr:uid="{00000000-0005-0000-0000-0000220E0000}"/>
    <cellStyle name="Comma 20 2 3 2 2 2 3" xfId="25094" xr:uid="{00000000-0005-0000-0000-0000230E0000}"/>
    <cellStyle name="Comma 20 2 3 2 2 3" xfId="12378" xr:uid="{00000000-0005-0000-0000-0000240E0000}"/>
    <cellStyle name="Comma 20 2 3 2 2 3 2" xfId="29318" xr:uid="{00000000-0005-0000-0000-0000250E0000}"/>
    <cellStyle name="Comma 20 2 3 2 2 4" xfId="20870" xr:uid="{00000000-0005-0000-0000-0000260E0000}"/>
    <cellStyle name="Comma 20 2 3 2 3" xfId="6042" xr:uid="{00000000-0005-0000-0000-0000270E0000}"/>
    <cellStyle name="Comma 20 2 3 2 3 2" xfId="14490" xr:uid="{00000000-0005-0000-0000-0000280E0000}"/>
    <cellStyle name="Comma 20 2 3 2 3 2 2" xfId="31430" xr:uid="{00000000-0005-0000-0000-0000290E0000}"/>
    <cellStyle name="Comma 20 2 3 2 3 3" xfId="22982" xr:uid="{00000000-0005-0000-0000-00002A0E0000}"/>
    <cellStyle name="Comma 20 2 3 2 4" xfId="10266" xr:uid="{00000000-0005-0000-0000-00002B0E0000}"/>
    <cellStyle name="Comma 20 2 3 2 4 2" xfId="27206" xr:uid="{00000000-0005-0000-0000-00002C0E0000}"/>
    <cellStyle name="Comma 20 2 3 2 5" xfId="18758" xr:uid="{00000000-0005-0000-0000-00002D0E0000}"/>
    <cellStyle name="Comma 20 2 3 3" xfId="2872" xr:uid="{00000000-0005-0000-0000-00002E0E0000}"/>
    <cellStyle name="Comma 20 2 3 3 2" xfId="7098" xr:uid="{00000000-0005-0000-0000-00002F0E0000}"/>
    <cellStyle name="Comma 20 2 3 3 2 2" xfId="15546" xr:uid="{00000000-0005-0000-0000-0000300E0000}"/>
    <cellStyle name="Comma 20 2 3 3 2 2 2" xfId="32486" xr:uid="{00000000-0005-0000-0000-0000310E0000}"/>
    <cellStyle name="Comma 20 2 3 3 2 3" xfId="24038" xr:uid="{00000000-0005-0000-0000-0000320E0000}"/>
    <cellStyle name="Comma 20 2 3 3 3" xfId="11322" xr:uid="{00000000-0005-0000-0000-0000330E0000}"/>
    <cellStyle name="Comma 20 2 3 3 3 2" xfId="28262" xr:uid="{00000000-0005-0000-0000-0000340E0000}"/>
    <cellStyle name="Comma 20 2 3 3 4" xfId="19814" xr:uid="{00000000-0005-0000-0000-0000350E0000}"/>
    <cellStyle name="Comma 20 2 3 4" xfId="4986" xr:uid="{00000000-0005-0000-0000-0000360E0000}"/>
    <cellStyle name="Comma 20 2 3 4 2" xfId="13434" xr:uid="{00000000-0005-0000-0000-0000370E0000}"/>
    <cellStyle name="Comma 20 2 3 4 2 2" xfId="30374" xr:uid="{00000000-0005-0000-0000-0000380E0000}"/>
    <cellStyle name="Comma 20 2 3 4 3" xfId="21926" xr:uid="{00000000-0005-0000-0000-0000390E0000}"/>
    <cellStyle name="Comma 20 2 3 5" xfId="9210" xr:uid="{00000000-0005-0000-0000-00003A0E0000}"/>
    <cellStyle name="Comma 20 2 3 5 2" xfId="26150" xr:uid="{00000000-0005-0000-0000-00003B0E0000}"/>
    <cellStyle name="Comma 20 2 3 6" xfId="17702" xr:uid="{00000000-0005-0000-0000-00003C0E0000}"/>
    <cellStyle name="Comma 20 2 4" xfId="1106" xr:uid="{00000000-0005-0000-0000-00003D0E0000}"/>
    <cellStyle name="Comma 20 2 4 2" xfId="2168" xr:uid="{00000000-0005-0000-0000-00003E0E0000}"/>
    <cellStyle name="Comma 20 2 4 2 2" xfId="4280" xr:uid="{00000000-0005-0000-0000-00003F0E0000}"/>
    <cellStyle name="Comma 20 2 4 2 2 2" xfId="8506" xr:uid="{00000000-0005-0000-0000-0000400E0000}"/>
    <cellStyle name="Comma 20 2 4 2 2 2 2" xfId="16954" xr:uid="{00000000-0005-0000-0000-0000410E0000}"/>
    <cellStyle name="Comma 20 2 4 2 2 2 2 2" xfId="33894" xr:uid="{00000000-0005-0000-0000-0000420E0000}"/>
    <cellStyle name="Comma 20 2 4 2 2 2 3" xfId="25446" xr:uid="{00000000-0005-0000-0000-0000430E0000}"/>
    <cellStyle name="Comma 20 2 4 2 2 3" xfId="12730" xr:uid="{00000000-0005-0000-0000-0000440E0000}"/>
    <cellStyle name="Comma 20 2 4 2 2 3 2" xfId="29670" xr:uid="{00000000-0005-0000-0000-0000450E0000}"/>
    <cellStyle name="Comma 20 2 4 2 2 4" xfId="21222" xr:uid="{00000000-0005-0000-0000-0000460E0000}"/>
    <cellStyle name="Comma 20 2 4 2 3" xfId="6394" xr:uid="{00000000-0005-0000-0000-0000470E0000}"/>
    <cellStyle name="Comma 20 2 4 2 3 2" xfId="14842" xr:uid="{00000000-0005-0000-0000-0000480E0000}"/>
    <cellStyle name="Comma 20 2 4 2 3 2 2" xfId="31782" xr:uid="{00000000-0005-0000-0000-0000490E0000}"/>
    <cellStyle name="Comma 20 2 4 2 3 3" xfId="23334" xr:uid="{00000000-0005-0000-0000-00004A0E0000}"/>
    <cellStyle name="Comma 20 2 4 2 4" xfId="10618" xr:uid="{00000000-0005-0000-0000-00004B0E0000}"/>
    <cellStyle name="Comma 20 2 4 2 4 2" xfId="27558" xr:uid="{00000000-0005-0000-0000-00004C0E0000}"/>
    <cellStyle name="Comma 20 2 4 2 5" xfId="19110" xr:uid="{00000000-0005-0000-0000-00004D0E0000}"/>
    <cellStyle name="Comma 20 2 4 3" xfId="3224" xr:uid="{00000000-0005-0000-0000-00004E0E0000}"/>
    <cellStyle name="Comma 20 2 4 3 2" xfId="7450" xr:uid="{00000000-0005-0000-0000-00004F0E0000}"/>
    <cellStyle name="Comma 20 2 4 3 2 2" xfId="15898" xr:uid="{00000000-0005-0000-0000-0000500E0000}"/>
    <cellStyle name="Comma 20 2 4 3 2 2 2" xfId="32838" xr:uid="{00000000-0005-0000-0000-0000510E0000}"/>
    <cellStyle name="Comma 20 2 4 3 2 3" xfId="24390" xr:uid="{00000000-0005-0000-0000-0000520E0000}"/>
    <cellStyle name="Comma 20 2 4 3 3" xfId="11674" xr:uid="{00000000-0005-0000-0000-0000530E0000}"/>
    <cellStyle name="Comma 20 2 4 3 3 2" xfId="28614" xr:uid="{00000000-0005-0000-0000-0000540E0000}"/>
    <cellStyle name="Comma 20 2 4 3 4" xfId="20166" xr:uid="{00000000-0005-0000-0000-0000550E0000}"/>
    <cellStyle name="Comma 20 2 4 4" xfId="5338" xr:uid="{00000000-0005-0000-0000-0000560E0000}"/>
    <cellStyle name="Comma 20 2 4 4 2" xfId="13786" xr:uid="{00000000-0005-0000-0000-0000570E0000}"/>
    <cellStyle name="Comma 20 2 4 4 2 2" xfId="30726" xr:uid="{00000000-0005-0000-0000-0000580E0000}"/>
    <cellStyle name="Comma 20 2 4 4 3" xfId="22278" xr:uid="{00000000-0005-0000-0000-0000590E0000}"/>
    <cellStyle name="Comma 20 2 4 5" xfId="9562" xr:uid="{00000000-0005-0000-0000-00005A0E0000}"/>
    <cellStyle name="Comma 20 2 4 5 2" xfId="26502" xr:uid="{00000000-0005-0000-0000-00005B0E0000}"/>
    <cellStyle name="Comma 20 2 4 6" xfId="18054" xr:uid="{00000000-0005-0000-0000-00005C0E0000}"/>
    <cellStyle name="Comma 20 2 5" xfId="1288" xr:uid="{00000000-0005-0000-0000-00005D0E0000}"/>
    <cellStyle name="Comma 20 2 5 2" xfId="2344" xr:uid="{00000000-0005-0000-0000-00005E0E0000}"/>
    <cellStyle name="Comma 20 2 5 2 2" xfId="4456" xr:uid="{00000000-0005-0000-0000-00005F0E0000}"/>
    <cellStyle name="Comma 20 2 5 2 2 2" xfId="8682" xr:uid="{00000000-0005-0000-0000-0000600E0000}"/>
    <cellStyle name="Comma 20 2 5 2 2 2 2" xfId="17130" xr:uid="{00000000-0005-0000-0000-0000610E0000}"/>
    <cellStyle name="Comma 20 2 5 2 2 2 2 2" xfId="34070" xr:uid="{00000000-0005-0000-0000-0000620E0000}"/>
    <cellStyle name="Comma 20 2 5 2 2 2 3" xfId="25622" xr:uid="{00000000-0005-0000-0000-0000630E0000}"/>
    <cellStyle name="Comma 20 2 5 2 2 3" xfId="12906" xr:uid="{00000000-0005-0000-0000-0000640E0000}"/>
    <cellStyle name="Comma 20 2 5 2 2 3 2" xfId="29846" xr:uid="{00000000-0005-0000-0000-0000650E0000}"/>
    <cellStyle name="Comma 20 2 5 2 2 4" xfId="21398" xr:uid="{00000000-0005-0000-0000-0000660E0000}"/>
    <cellStyle name="Comma 20 2 5 2 3" xfId="6570" xr:uid="{00000000-0005-0000-0000-0000670E0000}"/>
    <cellStyle name="Comma 20 2 5 2 3 2" xfId="15018" xr:uid="{00000000-0005-0000-0000-0000680E0000}"/>
    <cellStyle name="Comma 20 2 5 2 3 2 2" xfId="31958" xr:uid="{00000000-0005-0000-0000-0000690E0000}"/>
    <cellStyle name="Comma 20 2 5 2 3 3" xfId="23510" xr:uid="{00000000-0005-0000-0000-00006A0E0000}"/>
    <cellStyle name="Comma 20 2 5 2 4" xfId="10794" xr:uid="{00000000-0005-0000-0000-00006B0E0000}"/>
    <cellStyle name="Comma 20 2 5 2 4 2" xfId="27734" xr:uid="{00000000-0005-0000-0000-00006C0E0000}"/>
    <cellStyle name="Comma 20 2 5 2 5" xfId="19286" xr:uid="{00000000-0005-0000-0000-00006D0E0000}"/>
    <cellStyle name="Comma 20 2 5 3" xfId="3400" xr:uid="{00000000-0005-0000-0000-00006E0E0000}"/>
    <cellStyle name="Comma 20 2 5 3 2" xfId="7626" xr:uid="{00000000-0005-0000-0000-00006F0E0000}"/>
    <cellStyle name="Comma 20 2 5 3 2 2" xfId="16074" xr:uid="{00000000-0005-0000-0000-0000700E0000}"/>
    <cellStyle name="Comma 20 2 5 3 2 2 2" xfId="33014" xr:uid="{00000000-0005-0000-0000-0000710E0000}"/>
    <cellStyle name="Comma 20 2 5 3 2 3" xfId="24566" xr:uid="{00000000-0005-0000-0000-0000720E0000}"/>
    <cellStyle name="Comma 20 2 5 3 3" xfId="11850" xr:uid="{00000000-0005-0000-0000-0000730E0000}"/>
    <cellStyle name="Comma 20 2 5 3 3 2" xfId="28790" xr:uid="{00000000-0005-0000-0000-0000740E0000}"/>
    <cellStyle name="Comma 20 2 5 3 4" xfId="20342" xr:uid="{00000000-0005-0000-0000-0000750E0000}"/>
    <cellStyle name="Comma 20 2 5 4" xfId="5514" xr:uid="{00000000-0005-0000-0000-0000760E0000}"/>
    <cellStyle name="Comma 20 2 5 4 2" xfId="13962" xr:uid="{00000000-0005-0000-0000-0000770E0000}"/>
    <cellStyle name="Comma 20 2 5 4 2 2" xfId="30902" xr:uid="{00000000-0005-0000-0000-0000780E0000}"/>
    <cellStyle name="Comma 20 2 5 4 3" xfId="22454" xr:uid="{00000000-0005-0000-0000-0000790E0000}"/>
    <cellStyle name="Comma 20 2 5 5" xfId="9738" xr:uid="{00000000-0005-0000-0000-00007A0E0000}"/>
    <cellStyle name="Comma 20 2 5 5 2" xfId="26678" xr:uid="{00000000-0005-0000-0000-00007B0E0000}"/>
    <cellStyle name="Comma 20 2 5 6" xfId="18230" xr:uid="{00000000-0005-0000-0000-00007C0E0000}"/>
    <cellStyle name="Comma 20 2 6" xfId="1464" xr:uid="{00000000-0005-0000-0000-00007D0E0000}"/>
    <cellStyle name="Comma 20 2 6 2" xfId="3576" xr:uid="{00000000-0005-0000-0000-00007E0E0000}"/>
    <cellStyle name="Comma 20 2 6 2 2" xfId="7802" xr:uid="{00000000-0005-0000-0000-00007F0E0000}"/>
    <cellStyle name="Comma 20 2 6 2 2 2" xfId="16250" xr:uid="{00000000-0005-0000-0000-0000800E0000}"/>
    <cellStyle name="Comma 20 2 6 2 2 2 2" xfId="33190" xr:uid="{00000000-0005-0000-0000-0000810E0000}"/>
    <cellStyle name="Comma 20 2 6 2 2 3" xfId="24742" xr:uid="{00000000-0005-0000-0000-0000820E0000}"/>
    <cellStyle name="Comma 20 2 6 2 3" xfId="12026" xr:uid="{00000000-0005-0000-0000-0000830E0000}"/>
    <cellStyle name="Comma 20 2 6 2 3 2" xfId="28966" xr:uid="{00000000-0005-0000-0000-0000840E0000}"/>
    <cellStyle name="Comma 20 2 6 2 4" xfId="20518" xr:uid="{00000000-0005-0000-0000-0000850E0000}"/>
    <cellStyle name="Comma 20 2 6 3" xfId="5690" xr:uid="{00000000-0005-0000-0000-0000860E0000}"/>
    <cellStyle name="Comma 20 2 6 3 2" xfId="14138" xr:uid="{00000000-0005-0000-0000-0000870E0000}"/>
    <cellStyle name="Comma 20 2 6 3 2 2" xfId="31078" xr:uid="{00000000-0005-0000-0000-0000880E0000}"/>
    <cellStyle name="Comma 20 2 6 3 3" xfId="22630" xr:uid="{00000000-0005-0000-0000-0000890E0000}"/>
    <cellStyle name="Comma 20 2 6 4" xfId="9914" xr:uid="{00000000-0005-0000-0000-00008A0E0000}"/>
    <cellStyle name="Comma 20 2 6 4 2" xfId="26854" xr:uid="{00000000-0005-0000-0000-00008B0E0000}"/>
    <cellStyle name="Comma 20 2 6 5" xfId="18406" xr:uid="{00000000-0005-0000-0000-00008C0E0000}"/>
    <cellStyle name="Comma 20 2 7" xfId="2520" xr:uid="{00000000-0005-0000-0000-00008D0E0000}"/>
    <cellStyle name="Comma 20 2 7 2" xfId="6746" xr:uid="{00000000-0005-0000-0000-00008E0E0000}"/>
    <cellStyle name="Comma 20 2 7 2 2" xfId="15194" xr:uid="{00000000-0005-0000-0000-00008F0E0000}"/>
    <cellStyle name="Comma 20 2 7 2 2 2" xfId="32134" xr:uid="{00000000-0005-0000-0000-0000900E0000}"/>
    <cellStyle name="Comma 20 2 7 2 3" xfId="23686" xr:uid="{00000000-0005-0000-0000-0000910E0000}"/>
    <cellStyle name="Comma 20 2 7 3" xfId="10970" xr:uid="{00000000-0005-0000-0000-0000920E0000}"/>
    <cellStyle name="Comma 20 2 7 3 2" xfId="27910" xr:uid="{00000000-0005-0000-0000-0000930E0000}"/>
    <cellStyle name="Comma 20 2 7 4" xfId="19462" xr:uid="{00000000-0005-0000-0000-0000940E0000}"/>
    <cellStyle name="Comma 20 2 8" xfId="4633" xr:uid="{00000000-0005-0000-0000-0000950E0000}"/>
    <cellStyle name="Comma 20 2 8 2" xfId="13082" xr:uid="{00000000-0005-0000-0000-0000960E0000}"/>
    <cellStyle name="Comma 20 2 8 2 2" xfId="30022" xr:uid="{00000000-0005-0000-0000-0000970E0000}"/>
    <cellStyle name="Comma 20 2 8 3" xfId="21574" xr:uid="{00000000-0005-0000-0000-0000980E0000}"/>
    <cellStyle name="Comma 20 2 9" xfId="8858" xr:uid="{00000000-0005-0000-0000-0000990E0000}"/>
    <cellStyle name="Comma 20 2 9 2" xfId="25798" xr:uid="{00000000-0005-0000-0000-00009A0E0000}"/>
    <cellStyle name="Comma 20 3" xfId="98" xr:uid="{00000000-0005-0000-0000-00009B0E0000}"/>
    <cellStyle name="Comma 20 3 10" xfId="17316" xr:uid="{00000000-0005-0000-0000-00009C0E0000}"/>
    <cellStyle name="Comma 20 3 2" xfId="578" xr:uid="{00000000-0005-0000-0000-00009D0E0000}"/>
    <cellStyle name="Comma 20 3 2 2" xfId="931" xr:uid="{00000000-0005-0000-0000-00009E0E0000}"/>
    <cellStyle name="Comma 20 3 2 2 2" xfId="1993" xr:uid="{00000000-0005-0000-0000-00009F0E0000}"/>
    <cellStyle name="Comma 20 3 2 2 2 2" xfId="4105" xr:uid="{00000000-0005-0000-0000-0000A00E0000}"/>
    <cellStyle name="Comma 20 3 2 2 2 2 2" xfId="8331" xr:uid="{00000000-0005-0000-0000-0000A10E0000}"/>
    <cellStyle name="Comma 20 3 2 2 2 2 2 2" xfId="16779" xr:uid="{00000000-0005-0000-0000-0000A20E0000}"/>
    <cellStyle name="Comma 20 3 2 2 2 2 2 2 2" xfId="33719" xr:uid="{00000000-0005-0000-0000-0000A30E0000}"/>
    <cellStyle name="Comma 20 3 2 2 2 2 2 3" xfId="25271" xr:uid="{00000000-0005-0000-0000-0000A40E0000}"/>
    <cellStyle name="Comma 20 3 2 2 2 2 3" xfId="12555" xr:uid="{00000000-0005-0000-0000-0000A50E0000}"/>
    <cellStyle name="Comma 20 3 2 2 2 2 3 2" xfId="29495" xr:uid="{00000000-0005-0000-0000-0000A60E0000}"/>
    <cellStyle name="Comma 20 3 2 2 2 2 4" xfId="21047" xr:uid="{00000000-0005-0000-0000-0000A70E0000}"/>
    <cellStyle name="Comma 20 3 2 2 2 3" xfId="6219" xr:uid="{00000000-0005-0000-0000-0000A80E0000}"/>
    <cellStyle name="Comma 20 3 2 2 2 3 2" xfId="14667" xr:uid="{00000000-0005-0000-0000-0000A90E0000}"/>
    <cellStyle name="Comma 20 3 2 2 2 3 2 2" xfId="31607" xr:uid="{00000000-0005-0000-0000-0000AA0E0000}"/>
    <cellStyle name="Comma 20 3 2 2 2 3 3" xfId="23159" xr:uid="{00000000-0005-0000-0000-0000AB0E0000}"/>
    <cellStyle name="Comma 20 3 2 2 2 4" xfId="10443" xr:uid="{00000000-0005-0000-0000-0000AC0E0000}"/>
    <cellStyle name="Comma 20 3 2 2 2 4 2" xfId="27383" xr:uid="{00000000-0005-0000-0000-0000AD0E0000}"/>
    <cellStyle name="Comma 20 3 2 2 2 5" xfId="18935" xr:uid="{00000000-0005-0000-0000-0000AE0E0000}"/>
    <cellStyle name="Comma 20 3 2 2 3" xfId="3049" xr:uid="{00000000-0005-0000-0000-0000AF0E0000}"/>
    <cellStyle name="Comma 20 3 2 2 3 2" xfId="7275" xr:uid="{00000000-0005-0000-0000-0000B00E0000}"/>
    <cellStyle name="Comma 20 3 2 2 3 2 2" xfId="15723" xr:uid="{00000000-0005-0000-0000-0000B10E0000}"/>
    <cellStyle name="Comma 20 3 2 2 3 2 2 2" xfId="32663" xr:uid="{00000000-0005-0000-0000-0000B20E0000}"/>
    <cellStyle name="Comma 20 3 2 2 3 2 3" xfId="24215" xr:uid="{00000000-0005-0000-0000-0000B30E0000}"/>
    <cellStyle name="Comma 20 3 2 2 3 3" xfId="11499" xr:uid="{00000000-0005-0000-0000-0000B40E0000}"/>
    <cellStyle name="Comma 20 3 2 2 3 3 2" xfId="28439" xr:uid="{00000000-0005-0000-0000-0000B50E0000}"/>
    <cellStyle name="Comma 20 3 2 2 3 4" xfId="19991" xr:uid="{00000000-0005-0000-0000-0000B60E0000}"/>
    <cellStyle name="Comma 20 3 2 2 4" xfId="5163" xr:uid="{00000000-0005-0000-0000-0000B70E0000}"/>
    <cellStyle name="Comma 20 3 2 2 4 2" xfId="13611" xr:uid="{00000000-0005-0000-0000-0000B80E0000}"/>
    <cellStyle name="Comma 20 3 2 2 4 2 2" xfId="30551" xr:uid="{00000000-0005-0000-0000-0000B90E0000}"/>
    <cellStyle name="Comma 20 3 2 2 4 3" xfId="22103" xr:uid="{00000000-0005-0000-0000-0000BA0E0000}"/>
    <cellStyle name="Comma 20 3 2 2 5" xfId="9387" xr:uid="{00000000-0005-0000-0000-0000BB0E0000}"/>
    <cellStyle name="Comma 20 3 2 2 5 2" xfId="26327" xr:uid="{00000000-0005-0000-0000-0000BC0E0000}"/>
    <cellStyle name="Comma 20 3 2 2 6" xfId="17879" xr:uid="{00000000-0005-0000-0000-0000BD0E0000}"/>
    <cellStyle name="Comma 20 3 2 3" xfId="1641" xr:uid="{00000000-0005-0000-0000-0000BE0E0000}"/>
    <cellStyle name="Comma 20 3 2 3 2" xfId="3753" xr:uid="{00000000-0005-0000-0000-0000BF0E0000}"/>
    <cellStyle name="Comma 20 3 2 3 2 2" xfId="7979" xr:uid="{00000000-0005-0000-0000-0000C00E0000}"/>
    <cellStyle name="Comma 20 3 2 3 2 2 2" xfId="16427" xr:uid="{00000000-0005-0000-0000-0000C10E0000}"/>
    <cellStyle name="Comma 20 3 2 3 2 2 2 2" xfId="33367" xr:uid="{00000000-0005-0000-0000-0000C20E0000}"/>
    <cellStyle name="Comma 20 3 2 3 2 2 3" xfId="24919" xr:uid="{00000000-0005-0000-0000-0000C30E0000}"/>
    <cellStyle name="Comma 20 3 2 3 2 3" xfId="12203" xr:uid="{00000000-0005-0000-0000-0000C40E0000}"/>
    <cellStyle name="Comma 20 3 2 3 2 3 2" xfId="29143" xr:uid="{00000000-0005-0000-0000-0000C50E0000}"/>
    <cellStyle name="Comma 20 3 2 3 2 4" xfId="20695" xr:uid="{00000000-0005-0000-0000-0000C60E0000}"/>
    <cellStyle name="Comma 20 3 2 3 3" xfId="5867" xr:uid="{00000000-0005-0000-0000-0000C70E0000}"/>
    <cellStyle name="Comma 20 3 2 3 3 2" xfId="14315" xr:uid="{00000000-0005-0000-0000-0000C80E0000}"/>
    <cellStyle name="Comma 20 3 2 3 3 2 2" xfId="31255" xr:uid="{00000000-0005-0000-0000-0000C90E0000}"/>
    <cellStyle name="Comma 20 3 2 3 3 3" xfId="22807" xr:uid="{00000000-0005-0000-0000-0000CA0E0000}"/>
    <cellStyle name="Comma 20 3 2 3 4" xfId="10091" xr:uid="{00000000-0005-0000-0000-0000CB0E0000}"/>
    <cellStyle name="Comma 20 3 2 3 4 2" xfId="27031" xr:uid="{00000000-0005-0000-0000-0000CC0E0000}"/>
    <cellStyle name="Comma 20 3 2 3 5" xfId="18583" xr:uid="{00000000-0005-0000-0000-0000CD0E0000}"/>
    <cellStyle name="Comma 20 3 2 4" xfId="2697" xr:uid="{00000000-0005-0000-0000-0000CE0E0000}"/>
    <cellStyle name="Comma 20 3 2 4 2" xfId="6923" xr:uid="{00000000-0005-0000-0000-0000CF0E0000}"/>
    <cellStyle name="Comma 20 3 2 4 2 2" xfId="15371" xr:uid="{00000000-0005-0000-0000-0000D00E0000}"/>
    <cellStyle name="Comma 20 3 2 4 2 2 2" xfId="32311" xr:uid="{00000000-0005-0000-0000-0000D10E0000}"/>
    <cellStyle name="Comma 20 3 2 4 2 3" xfId="23863" xr:uid="{00000000-0005-0000-0000-0000D20E0000}"/>
    <cellStyle name="Comma 20 3 2 4 3" xfId="11147" xr:uid="{00000000-0005-0000-0000-0000D30E0000}"/>
    <cellStyle name="Comma 20 3 2 4 3 2" xfId="28087" xr:uid="{00000000-0005-0000-0000-0000D40E0000}"/>
    <cellStyle name="Comma 20 3 2 4 4" xfId="19639" xr:uid="{00000000-0005-0000-0000-0000D50E0000}"/>
    <cellStyle name="Comma 20 3 2 5" xfId="4811" xr:uid="{00000000-0005-0000-0000-0000D60E0000}"/>
    <cellStyle name="Comma 20 3 2 5 2" xfId="13259" xr:uid="{00000000-0005-0000-0000-0000D70E0000}"/>
    <cellStyle name="Comma 20 3 2 5 2 2" xfId="30199" xr:uid="{00000000-0005-0000-0000-0000D80E0000}"/>
    <cellStyle name="Comma 20 3 2 5 3" xfId="21751" xr:uid="{00000000-0005-0000-0000-0000D90E0000}"/>
    <cellStyle name="Comma 20 3 2 6" xfId="9035" xr:uid="{00000000-0005-0000-0000-0000DA0E0000}"/>
    <cellStyle name="Comma 20 3 2 6 2" xfId="25975" xr:uid="{00000000-0005-0000-0000-0000DB0E0000}"/>
    <cellStyle name="Comma 20 3 2 7" xfId="17527" xr:uid="{00000000-0005-0000-0000-0000DC0E0000}"/>
    <cellStyle name="Comma 20 3 3" xfId="755" xr:uid="{00000000-0005-0000-0000-0000DD0E0000}"/>
    <cellStyle name="Comma 20 3 3 2" xfId="1817" xr:uid="{00000000-0005-0000-0000-0000DE0E0000}"/>
    <cellStyle name="Comma 20 3 3 2 2" xfId="3929" xr:uid="{00000000-0005-0000-0000-0000DF0E0000}"/>
    <cellStyle name="Comma 20 3 3 2 2 2" xfId="8155" xr:uid="{00000000-0005-0000-0000-0000E00E0000}"/>
    <cellStyle name="Comma 20 3 3 2 2 2 2" xfId="16603" xr:uid="{00000000-0005-0000-0000-0000E10E0000}"/>
    <cellStyle name="Comma 20 3 3 2 2 2 2 2" xfId="33543" xr:uid="{00000000-0005-0000-0000-0000E20E0000}"/>
    <cellStyle name="Comma 20 3 3 2 2 2 3" xfId="25095" xr:uid="{00000000-0005-0000-0000-0000E30E0000}"/>
    <cellStyle name="Comma 20 3 3 2 2 3" xfId="12379" xr:uid="{00000000-0005-0000-0000-0000E40E0000}"/>
    <cellStyle name="Comma 20 3 3 2 2 3 2" xfId="29319" xr:uid="{00000000-0005-0000-0000-0000E50E0000}"/>
    <cellStyle name="Comma 20 3 3 2 2 4" xfId="20871" xr:uid="{00000000-0005-0000-0000-0000E60E0000}"/>
    <cellStyle name="Comma 20 3 3 2 3" xfId="6043" xr:uid="{00000000-0005-0000-0000-0000E70E0000}"/>
    <cellStyle name="Comma 20 3 3 2 3 2" xfId="14491" xr:uid="{00000000-0005-0000-0000-0000E80E0000}"/>
    <cellStyle name="Comma 20 3 3 2 3 2 2" xfId="31431" xr:uid="{00000000-0005-0000-0000-0000E90E0000}"/>
    <cellStyle name="Comma 20 3 3 2 3 3" xfId="22983" xr:uid="{00000000-0005-0000-0000-0000EA0E0000}"/>
    <cellStyle name="Comma 20 3 3 2 4" xfId="10267" xr:uid="{00000000-0005-0000-0000-0000EB0E0000}"/>
    <cellStyle name="Comma 20 3 3 2 4 2" xfId="27207" xr:uid="{00000000-0005-0000-0000-0000EC0E0000}"/>
    <cellStyle name="Comma 20 3 3 2 5" xfId="18759" xr:uid="{00000000-0005-0000-0000-0000ED0E0000}"/>
    <cellStyle name="Comma 20 3 3 3" xfId="2873" xr:uid="{00000000-0005-0000-0000-0000EE0E0000}"/>
    <cellStyle name="Comma 20 3 3 3 2" xfId="7099" xr:uid="{00000000-0005-0000-0000-0000EF0E0000}"/>
    <cellStyle name="Comma 20 3 3 3 2 2" xfId="15547" xr:uid="{00000000-0005-0000-0000-0000F00E0000}"/>
    <cellStyle name="Comma 20 3 3 3 2 2 2" xfId="32487" xr:uid="{00000000-0005-0000-0000-0000F10E0000}"/>
    <cellStyle name="Comma 20 3 3 3 2 3" xfId="24039" xr:uid="{00000000-0005-0000-0000-0000F20E0000}"/>
    <cellStyle name="Comma 20 3 3 3 3" xfId="11323" xr:uid="{00000000-0005-0000-0000-0000F30E0000}"/>
    <cellStyle name="Comma 20 3 3 3 3 2" xfId="28263" xr:uid="{00000000-0005-0000-0000-0000F40E0000}"/>
    <cellStyle name="Comma 20 3 3 3 4" xfId="19815" xr:uid="{00000000-0005-0000-0000-0000F50E0000}"/>
    <cellStyle name="Comma 20 3 3 4" xfId="4987" xr:uid="{00000000-0005-0000-0000-0000F60E0000}"/>
    <cellStyle name="Comma 20 3 3 4 2" xfId="13435" xr:uid="{00000000-0005-0000-0000-0000F70E0000}"/>
    <cellStyle name="Comma 20 3 3 4 2 2" xfId="30375" xr:uid="{00000000-0005-0000-0000-0000F80E0000}"/>
    <cellStyle name="Comma 20 3 3 4 3" xfId="21927" xr:uid="{00000000-0005-0000-0000-0000F90E0000}"/>
    <cellStyle name="Comma 20 3 3 5" xfId="9211" xr:uid="{00000000-0005-0000-0000-0000FA0E0000}"/>
    <cellStyle name="Comma 20 3 3 5 2" xfId="26151" xr:uid="{00000000-0005-0000-0000-0000FB0E0000}"/>
    <cellStyle name="Comma 20 3 3 6" xfId="17703" xr:uid="{00000000-0005-0000-0000-0000FC0E0000}"/>
    <cellStyle name="Comma 20 3 4" xfId="1107" xr:uid="{00000000-0005-0000-0000-0000FD0E0000}"/>
    <cellStyle name="Comma 20 3 4 2" xfId="2169" xr:uid="{00000000-0005-0000-0000-0000FE0E0000}"/>
    <cellStyle name="Comma 20 3 4 2 2" xfId="4281" xr:uid="{00000000-0005-0000-0000-0000FF0E0000}"/>
    <cellStyle name="Comma 20 3 4 2 2 2" xfId="8507" xr:uid="{00000000-0005-0000-0000-0000000F0000}"/>
    <cellStyle name="Comma 20 3 4 2 2 2 2" xfId="16955" xr:uid="{00000000-0005-0000-0000-0000010F0000}"/>
    <cellStyle name="Comma 20 3 4 2 2 2 2 2" xfId="33895" xr:uid="{00000000-0005-0000-0000-0000020F0000}"/>
    <cellStyle name="Comma 20 3 4 2 2 2 3" xfId="25447" xr:uid="{00000000-0005-0000-0000-0000030F0000}"/>
    <cellStyle name="Comma 20 3 4 2 2 3" xfId="12731" xr:uid="{00000000-0005-0000-0000-0000040F0000}"/>
    <cellStyle name="Comma 20 3 4 2 2 3 2" xfId="29671" xr:uid="{00000000-0005-0000-0000-0000050F0000}"/>
    <cellStyle name="Comma 20 3 4 2 2 4" xfId="21223" xr:uid="{00000000-0005-0000-0000-0000060F0000}"/>
    <cellStyle name="Comma 20 3 4 2 3" xfId="6395" xr:uid="{00000000-0005-0000-0000-0000070F0000}"/>
    <cellStyle name="Comma 20 3 4 2 3 2" xfId="14843" xr:uid="{00000000-0005-0000-0000-0000080F0000}"/>
    <cellStyle name="Comma 20 3 4 2 3 2 2" xfId="31783" xr:uid="{00000000-0005-0000-0000-0000090F0000}"/>
    <cellStyle name="Comma 20 3 4 2 3 3" xfId="23335" xr:uid="{00000000-0005-0000-0000-00000A0F0000}"/>
    <cellStyle name="Comma 20 3 4 2 4" xfId="10619" xr:uid="{00000000-0005-0000-0000-00000B0F0000}"/>
    <cellStyle name="Comma 20 3 4 2 4 2" xfId="27559" xr:uid="{00000000-0005-0000-0000-00000C0F0000}"/>
    <cellStyle name="Comma 20 3 4 2 5" xfId="19111" xr:uid="{00000000-0005-0000-0000-00000D0F0000}"/>
    <cellStyle name="Comma 20 3 4 3" xfId="3225" xr:uid="{00000000-0005-0000-0000-00000E0F0000}"/>
    <cellStyle name="Comma 20 3 4 3 2" xfId="7451" xr:uid="{00000000-0005-0000-0000-00000F0F0000}"/>
    <cellStyle name="Comma 20 3 4 3 2 2" xfId="15899" xr:uid="{00000000-0005-0000-0000-0000100F0000}"/>
    <cellStyle name="Comma 20 3 4 3 2 2 2" xfId="32839" xr:uid="{00000000-0005-0000-0000-0000110F0000}"/>
    <cellStyle name="Comma 20 3 4 3 2 3" xfId="24391" xr:uid="{00000000-0005-0000-0000-0000120F0000}"/>
    <cellStyle name="Comma 20 3 4 3 3" xfId="11675" xr:uid="{00000000-0005-0000-0000-0000130F0000}"/>
    <cellStyle name="Comma 20 3 4 3 3 2" xfId="28615" xr:uid="{00000000-0005-0000-0000-0000140F0000}"/>
    <cellStyle name="Comma 20 3 4 3 4" xfId="20167" xr:uid="{00000000-0005-0000-0000-0000150F0000}"/>
    <cellStyle name="Comma 20 3 4 4" xfId="5339" xr:uid="{00000000-0005-0000-0000-0000160F0000}"/>
    <cellStyle name="Comma 20 3 4 4 2" xfId="13787" xr:uid="{00000000-0005-0000-0000-0000170F0000}"/>
    <cellStyle name="Comma 20 3 4 4 2 2" xfId="30727" xr:uid="{00000000-0005-0000-0000-0000180F0000}"/>
    <cellStyle name="Comma 20 3 4 4 3" xfId="22279" xr:uid="{00000000-0005-0000-0000-0000190F0000}"/>
    <cellStyle name="Comma 20 3 4 5" xfId="9563" xr:uid="{00000000-0005-0000-0000-00001A0F0000}"/>
    <cellStyle name="Comma 20 3 4 5 2" xfId="26503" xr:uid="{00000000-0005-0000-0000-00001B0F0000}"/>
    <cellStyle name="Comma 20 3 4 6" xfId="18055" xr:uid="{00000000-0005-0000-0000-00001C0F0000}"/>
    <cellStyle name="Comma 20 3 5" xfId="1289" xr:uid="{00000000-0005-0000-0000-00001D0F0000}"/>
    <cellStyle name="Comma 20 3 5 2" xfId="2345" xr:uid="{00000000-0005-0000-0000-00001E0F0000}"/>
    <cellStyle name="Comma 20 3 5 2 2" xfId="4457" xr:uid="{00000000-0005-0000-0000-00001F0F0000}"/>
    <cellStyle name="Comma 20 3 5 2 2 2" xfId="8683" xr:uid="{00000000-0005-0000-0000-0000200F0000}"/>
    <cellStyle name="Comma 20 3 5 2 2 2 2" xfId="17131" xr:uid="{00000000-0005-0000-0000-0000210F0000}"/>
    <cellStyle name="Comma 20 3 5 2 2 2 2 2" xfId="34071" xr:uid="{00000000-0005-0000-0000-0000220F0000}"/>
    <cellStyle name="Comma 20 3 5 2 2 2 3" xfId="25623" xr:uid="{00000000-0005-0000-0000-0000230F0000}"/>
    <cellStyle name="Comma 20 3 5 2 2 3" xfId="12907" xr:uid="{00000000-0005-0000-0000-0000240F0000}"/>
    <cellStyle name="Comma 20 3 5 2 2 3 2" xfId="29847" xr:uid="{00000000-0005-0000-0000-0000250F0000}"/>
    <cellStyle name="Comma 20 3 5 2 2 4" xfId="21399" xr:uid="{00000000-0005-0000-0000-0000260F0000}"/>
    <cellStyle name="Comma 20 3 5 2 3" xfId="6571" xr:uid="{00000000-0005-0000-0000-0000270F0000}"/>
    <cellStyle name="Comma 20 3 5 2 3 2" xfId="15019" xr:uid="{00000000-0005-0000-0000-0000280F0000}"/>
    <cellStyle name="Comma 20 3 5 2 3 2 2" xfId="31959" xr:uid="{00000000-0005-0000-0000-0000290F0000}"/>
    <cellStyle name="Comma 20 3 5 2 3 3" xfId="23511" xr:uid="{00000000-0005-0000-0000-00002A0F0000}"/>
    <cellStyle name="Comma 20 3 5 2 4" xfId="10795" xr:uid="{00000000-0005-0000-0000-00002B0F0000}"/>
    <cellStyle name="Comma 20 3 5 2 4 2" xfId="27735" xr:uid="{00000000-0005-0000-0000-00002C0F0000}"/>
    <cellStyle name="Comma 20 3 5 2 5" xfId="19287" xr:uid="{00000000-0005-0000-0000-00002D0F0000}"/>
    <cellStyle name="Comma 20 3 5 3" xfId="3401" xr:uid="{00000000-0005-0000-0000-00002E0F0000}"/>
    <cellStyle name="Comma 20 3 5 3 2" xfId="7627" xr:uid="{00000000-0005-0000-0000-00002F0F0000}"/>
    <cellStyle name="Comma 20 3 5 3 2 2" xfId="16075" xr:uid="{00000000-0005-0000-0000-0000300F0000}"/>
    <cellStyle name="Comma 20 3 5 3 2 2 2" xfId="33015" xr:uid="{00000000-0005-0000-0000-0000310F0000}"/>
    <cellStyle name="Comma 20 3 5 3 2 3" xfId="24567" xr:uid="{00000000-0005-0000-0000-0000320F0000}"/>
    <cellStyle name="Comma 20 3 5 3 3" xfId="11851" xr:uid="{00000000-0005-0000-0000-0000330F0000}"/>
    <cellStyle name="Comma 20 3 5 3 3 2" xfId="28791" xr:uid="{00000000-0005-0000-0000-0000340F0000}"/>
    <cellStyle name="Comma 20 3 5 3 4" xfId="20343" xr:uid="{00000000-0005-0000-0000-0000350F0000}"/>
    <cellStyle name="Comma 20 3 5 4" xfId="5515" xr:uid="{00000000-0005-0000-0000-0000360F0000}"/>
    <cellStyle name="Comma 20 3 5 4 2" xfId="13963" xr:uid="{00000000-0005-0000-0000-0000370F0000}"/>
    <cellStyle name="Comma 20 3 5 4 2 2" xfId="30903" xr:uid="{00000000-0005-0000-0000-0000380F0000}"/>
    <cellStyle name="Comma 20 3 5 4 3" xfId="22455" xr:uid="{00000000-0005-0000-0000-0000390F0000}"/>
    <cellStyle name="Comma 20 3 5 5" xfId="9739" xr:uid="{00000000-0005-0000-0000-00003A0F0000}"/>
    <cellStyle name="Comma 20 3 5 5 2" xfId="26679" xr:uid="{00000000-0005-0000-0000-00003B0F0000}"/>
    <cellStyle name="Comma 20 3 5 6" xfId="18231" xr:uid="{00000000-0005-0000-0000-00003C0F0000}"/>
    <cellStyle name="Comma 20 3 6" xfId="1465" xr:uid="{00000000-0005-0000-0000-00003D0F0000}"/>
    <cellStyle name="Comma 20 3 6 2" xfId="3577" xr:uid="{00000000-0005-0000-0000-00003E0F0000}"/>
    <cellStyle name="Comma 20 3 6 2 2" xfId="7803" xr:uid="{00000000-0005-0000-0000-00003F0F0000}"/>
    <cellStyle name="Comma 20 3 6 2 2 2" xfId="16251" xr:uid="{00000000-0005-0000-0000-0000400F0000}"/>
    <cellStyle name="Comma 20 3 6 2 2 2 2" xfId="33191" xr:uid="{00000000-0005-0000-0000-0000410F0000}"/>
    <cellStyle name="Comma 20 3 6 2 2 3" xfId="24743" xr:uid="{00000000-0005-0000-0000-0000420F0000}"/>
    <cellStyle name="Comma 20 3 6 2 3" xfId="12027" xr:uid="{00000000-0005-0000-0000-0000430F0000}"/>
    <cellStyle name="Comma 20 3 6 2 3 2" xfId="28967" xr:uid="{00000000-0005-0000-0000-0000440F0000}"/>
    <cellStyle name="Comma 20 3 6 2 4" xfId="20519" xr:uid="{00000000-0005-0000-0000-0000450F0000}"/>
    <cellStyle name="Comma 20 3 6 3" xfId="5691" xr:uid="{00000000-0005-0000-0000-0000460F0000}"/>
    <cellStyle name="Comma 20 3 6 3 2" xfId="14139" xr:uid="{00000000-0005-0000-0000-0000470F0000}"/>
    <cellStyle name="Comma 20 3 6 3 2 2" xfId="31079" xr:uid="{00000000-0005-0000-0000-0000480F0000}"/>
    <cellStyle name="Comma 20 3 6 3 3" xfId="22631" xr:uid="{00000000-0005-0000-0000-0000490F0000}"/>
    <cellStyle name="Comma 20 3 6 4" xfId="9915" xr:uid="{00000000-0005-0000-0000-00004A0F0000}"/>
    <cellStyle name="Comma 20 3 6 4 2" xfId="26855" xr:uid="{00000000-0005-0000-0000-00004B0F0000}"/>
    <cellStyle name="Comma 20 3 6 5" xfId="18407" xr:uid="{00000000-0005-0000-0000-00004C0F0000}"/>
    <cellStyle name="Comma 20 3 7" xfId="2521" xr:uid="{00000000-0005-0000-0000-00004D0F0000}"/>
    <cellStyle name="Comma 20 3 7 2" xfId="6747" xr:uid="{00000000-0005-0000-0000-00004E0F0000}"/>
    <cellStyle name="Comma 20 3 7 2 2" xfId="15195" xr:uid="{00000000-0005-0000-0000-00004F0F0000}"/>
    <cellStyle name="Comma 20 3 7 2 2 2" xfId="32135" xr:uid="{00000000-0005-0000-0000-0000500F0000}"/>
    <cellStyle name="Comma 20 3 7 2 3" xfId="23687" xr:uid="{00000000-0005-0000-0000-0000510F0000}"/>
    <cellStyle name="Comma 20 3 7 3" xfId="10971" xr:uid="{00000000-0005-0000-0000-0000520F0000}"/>
    <cellStyle name="Comma 20 3 7 3 2" xfId="27911" xr:uid="{00000000-0005-0000-0000-0000530F0000}"/>
    <cellStyle name="Comma 20 3 7 4" xfId="19463" xr:uid="{00000000-0005-0000-0000-0000540F0000}"/>
    <cellStyle name="Comma 20 3 8" xfId="4634" xr:uid="{00000000-0005-0000-0000-0000550F0000}"/>
    <cellStyle name="Comma 20 3 8 2" xfId="13083" xr:uid="{00000000-0005-0000-0000-0000560F0000}"/>
    <cellStyle name="Comma 20 3 8 2 2" xfId="30023" xr:uid="{00000000-0005-0000-0000-0000570F0000}"/>
    <cellStyle name="Comma 20 3 8 3" xfId="21575" xr:uid="{00000000-0005-0000-0000-0000580F0000}"/>
    <cellStyle name="Comma 20 3 9" xfId="8859" xr:uid="{00000000-0005-0000-0000-0000590F0000}"/>
    <cellStyle name="Comma 20 3 9 2" xfId="25799" xr:uid="{00000000-0005-0000-0000-00005A0F0000}"/>
    <cellStyle name="Comma 20 4" xfId="576" xr:uid="{00000000-0005-0000-0000-00005B0F0000}"/>
    <cellStyle name="Comma 20 4 2" xfId="929" xr:uid="{00000000-0005-0000-0000-00005C0F0000}"/>
    <cellStyle name="Comma 20 4 2 2" xfId="1991" xr:uid="{00000000-0005-0000-0000-00005D0F0000}"/>
    <cellStyle name="Comma 20 4 2 2 2" xfId="4103" xr:uid="{00000000-0005-0000-0000-00005E0F0000}"/>
    <cellStyle name="Comma 20 4 2 2 2 2" xfId="8329" xr:uid="{00000000-0005-0000-0000-00005F0F0000}"/>
    <cellStyle name="Comma 20 4 2 2 2 2 2" xfId="16777" xr:uid="{00000000-0005-0000-0000-0000600F0000}"/>
    <cellStyle name="Comma 20 4 2 2 2 2 2 2" xfId="33717" xr:uid="{00000000-0005-0000-0000-0000610F0000}"/>
    <cellStyle name="Comma 20 4 2 2 2 2 3" xfId="25269" xr:uid="{00000000-0005-0000-0000-0000620F0000}"/>
    <cellStyle name="Comma 20 4 2 2 2 3" xfId="12553" xr:uid="{00000000-0005-0000-0000-0000630F0000}"/>
    <cellStyle name="Comma 20 4 2 2 2 3 2" xfId="29493" xr:uid="{00000000-0005-0000-0000-0000640F0000}"/>
    <cellStyle name="Comma 20 4 2 2 2 4" xfId="21045" xr:uid="{00000000-0005-0000-0000-0000650F0000}"/>
    <cellStyle name="Comma 20 4 2 2 3" xfId="6217" xr:uid="{00000000-0005-0000-0000-0000660F0000}"/>
    <cellStyle name="Comma 20 4 2 2 3 2" xfId="14665" xr:uid="{00000000-0005-0000-0000-0000670F0000}"/>
    <cellStyle name="Comma 20 4 2 2 3 2 2" xfId="31605" xr:uid="{00000000-0005-0000-0000-0000680F0000}"/>
    <cellStyle name="Comma 20 4 2 2 3 3" xfId="23157" xr:uid="{00000000-0005-0000-0000-0000690F0000}"/>
    <cellStyle name="Comma 20 4 2 2 4" xfId="10441" xr:uid="{00000000-0005-0000-0000-00006A0F0000}"/>
    <cellStyle name="Comma 20 4 2 2 4 2" xfId="27381" xr:uid="{00000000-0005-0000-0000-00006B0F0000}"/>
    <cellStyle name="Comma 20 4 2 2 5" xfId="18933" xr:uid="{00000000-0005-0000-0000-00006C0F0000}"/>
    <cellStyle name="Comma 20 4 2 3" xfId="3047" xr:uid="{00000000-0005-0000-0000-00006D0F0000}"/>
    <cellStyle name="Comma 20 4 2 3 2" xfId="7273" xr:uid="{00000000-0005-0000-0000-00006E0F0000}"/>
    <cellStyle name="Comma 20 4 2 3 2 2" xfId="15721" xr:uid="{00000000-0005-0000-0000-00006F0F0000}"/>
    <cellStyle name="Comma 20 4 2 3 2 2 2" xfId="32661" xr:uid="{00000000-0005-0000-0000-0000700F0000}"/>
    <cellStyle name="Comma 20 4 2 3 2 3" xfId="24213" xr:uid="{00000000-0005-0000-0000-0000710F0000}"/>
    <cellStyle name="Comma 20 4 2 3 3" xfId="11497" xr:uid="{00000000-0005-0000-0000-0000720F0000}"/>
    <cellStyle name="Comma 20 4 2 3 3 2" xfId="28437" xr:uid="{00000000-0005-0000-0000-0000730F0000}"/>
    <cellStyle name="Comma 20 4 2 3 4" xfId="19989" xr:uid="{00000000-0005-0000-0000-0000740F0000}"/>
    <cellStyle name="Comma 20 4 2 4" xfId="5161" xr:uid="{00000000-0005-0000-0000-0000750F0000}"/>
    <cellStyle name="Comma 20 4 2 4 2" xfId="13609" xr:uid="{00000000-0005-0000-0000-0000760F0000}"/>
    <cellStyle name="Comma 20 4 2 4 2 2" xfId="30549" xr:uid="{00000000-0005-0000-0000-0000770F0000}"/>
    <cellStyle name="Comma 20 4 2 4 3" xfId="22101" xr:uid="{00000000-0005-0000-0000-0000780F0000}"/>
    <cellStyle name="Comma 20 4 2 5" xfId="9385" xr:uid="{00000000-0005-0000-0000-0000790F0000}"/>
    <cellStyle name="Comma 20 4 2 5 2" xfId="26325" xr:uid="{00000000-0005-0000-0000-00007A0F0000}"/>
    <cellStyle name="Comma 20 4 2 6" xfId="17877" xr:uid="{00000000-0005-0000-0000-00007B0F0000}"/>
    <cellStyle name="Comma 20 4 3" xfId="1639" xr:uid="{00000000-0005-0000-0000-00007C0F0000}"/>
    <cellStyle name="Comma 20 4 3 2" xfId="3751" xr:uid="{00000000-0005-0000-0000-00007D0F0000}"/>
    <cellStyle name="Comma 20 4 3 2 2" xfId="7977" xr:uid="{00000000-0005-0000-0000-00007E0F0000}"/>
    <cellStyle name="Comma 20 4 3 2 2 2" xfId="16425" xr:uid="{00000000-0005-0000-0000-00007F0F0000}"/>
    <cellStyle name="Comma 20 4 3 2 2 2 2" xfId="33365" xr:uid="{00000000-0005-0000-0000-0000800F0000}"/>
    <cellStyle name="Comma 20 4 3 2 2 3" xfId="24917" xr:uid="{00000000-0005-0000-0000-0000810F0000}"/>
    <cellStyle name="Comma 20 4 3 2 3" xfId="12201" xr:uid="{00000000-0005-0000-0000-0000820F0000}"/>
    <cellStyle name="Comma 20 4 3 2 3 2" xfId="29141" xr:uid="{00000000-0005-0000-0000-0000830F0000}"/>
    <cellStyle name="Comma 20 4 3 2 4" xfId="20693" xr:uid="{00000000-0005-0000-0000-0000840F0000}"/>
    <cellStyle name="Comma 20 4 3 3" xfId="5865" xr:uid="{00000000-0005-0000-0000-0000850F0000}"/>
    <cellStyle name="Comma 20 4 3 3 2" xfId="14313" xr:uid="{00000000-0005-0000-0000-0000860F0000}"/>
    <cellStyle name="Comma 20 4 3 3 2 2" xfId="31253" xr:uid="{00000000-0005-0000-0000-0000870F0000}"/>
    <cellStyle name="Comma 20 4 3 3 3" xfId="22805" xr:uid="{00000000-0005-0000-0000-0000880F0000}"/>
    <cellStyle name="Comma 20 4 3 4" xfId="10089" xr:uid="{00000000-0005-0000-0000-0000890F0000}"/>
    <cellStyle name="Comma 20 4 3 4 2" xfId="27029" xr:uid="{00000000-0005-0000-0000-00008A0F0000}"/>
    <cellStyle name="Comma 20 4 3 5" xfId="18581" xr:uid="{00000000-0005-0000-0000-00008B0F0000}"/>
    <cellStyle name="Comma 20 4 4" xfId="2695" xr:uid="{00000000-0005-0000-0000-00008C0F0000}"/>
    <cellStyle name="Comma 20 4 4 2" xfId="6921" xr:uid="{00000000-0005-0000-0000-00008D0F0000}"/>
    <cellStyle name="Comma 20 4 4 2 2" xfId="15369" xr:uid="{00000000-0005-0000-0000-00008E0F0000}"/>
    <cellStyle name="Comma 20 4 4 2 2 2" xfId="32309" xr:uid="{00000000-0005-0000-0000-00008F0F0000}"/>
    <cellStyle name="Comma 20 4 4 2 3" xfId="23861" xr:uid="{00000000-0005-0000-0000-0000900F0000}"/>
    <cellStyle name="Comma 20 4 4 3" xfId="11145" xr:uid="{00000000-0005-0000-0000-0000910F0000}"/>
    <cellStyle name="Comma 20 4 4 3 2" xfId="28085" xr:uid="{00000000-0005-0000-0000-0000920F0000}"/>
    <cellStyle name="Comma 20 4 4 4" xfId="19637" xr:uid="{00000000-0005-0000-0000-0000930F0000}"/>
    <cellStyle name="Comma 20 4 5" xfId="4809" xr:uid="{00000000-0005-0000-0000-0000940F0000}"/>
    <cellStyle name="Comma 20 4 5 2" xfId="13257" xr:uid="{00000000-0005-0000-0000-0000950F0000}"/>
    <cellStyle name="Comma 20 4 5 2 2" xfId="30197" xr:uid="{00000000-0005-0000-0000-0000960F0000}"/>
    <cellStyle name="Comma 20 4 5 3" xfId="21749" xr:uid="{00000000-0005-0000-0000-0000970F0000}"/>
    <cellStyle name="Comma 20 4 6" xfId="9033" xr:uid="{00000000-0005-0000-0000-0000980F0000}"/>
    <cellStyle name="Comma 20 4 6 2" xfId="25973" xr:uid="{00000000-0005-0000-0000-0000990F0000}"/>
    <cellStyle name="Comma 20 4 7" xfId="17525" xr:uid="{00000000-0005-0000-0000-00009A0F0000}"/>
    <cellStyle name="Comma 20 5" xfId="753" xr:uid="{00000000-0005-0000-0000-00009B0F0000}"/>
    <cellStyle name="Comma 20 5 2" xfId="1815" xr:uid="{00000000-0005-0000-0000-00009C0F0000}"/>
    <cellStyle name="Comma 20 5 2 2" xfId="3927" xr:uid="{00000000-0005-0000-0000-00009D0F0000}"/>
    <cellStyle name="Comma 20 5 2 2 2" xfId="8153" xr:uid="{00000000-0005-0000-0000-00009E0F0000}"/>
    <cellStyle name="Comma 20 5 2 2 2 2" xfId="16601" xr:uid="{00000000-0005-0000-0000-00009F0F0000}"/>
    <cellStyle name="Comma 20 5 2 2 2 2 2" xfId="33541" xr:uid="{00000000-0005-0000-0000-0000A00F0000}"/>
    <cellStyle name="Comma 20 5 2 2 2 3" xfId="25093" xr:uid="{00000000-0005-0000-0000-0000A10F0000}"/>
    <cellStyle name="Comma 20 5 2 2 3" xfId="12377" xr:uid="{00000000-0005-0000-0000-0000A20F0000}"/>
    <cellStyle name="Comma 20 5 2 2 3 2" xfId="29317" xr:uid="{00000000-0005-0000-0000-0000A30F0000}"/>
    <cellStyle name="Comma 20 5 2 2 4" xfId="20869" xr:uid="{00000000-0005-0000-0000-0000A40F0000}"/>
    <cellStyle name="Comma 20 5 2 3" xfId="6041" xr:uid="{00000000-0005-0000-0000-0000A50F0000}"/>
    <cellStyle name="Comma 20 5 2 3 2" xfId="14489" xr:uid="{00000000-0005-0000-0000-0000A60F0000}"/>
    <cellStyle name="Comma 20 5 2 3 2 2" xfId="31429" xr:uid="{00000000-0005-0000-0000-0000A70F0000}"/>
    <cellStyle name="Comma 20 5 2 3 3" xfId="22981" xr:uid="{00000000-0005-0000-0000-0000A80F0000}"/>
    <cellStyle name="Comma 20 5 2 4" xfId="10265" xr:uid="{00000000-0005-0000-0000-0000A90F0000}"/>
    <cellStyle name="Comma 20 5 2 4 2" xfId="27205" xr:uid="{00000000-0005-0000-0000-0000AA0F0000}"/>
    <cellStyle name="Comma 20 5 2 5" xfId="18757" xr:uid="{00000000-0005-0000-0000-0000AB0F0000}"/>
    <cellStyle name="Comma 20 5 3" xfId="2871" xr:uid="{00000000-0005-0000-0000-0000AC0F0000}"/>
    <cellStyle name="Comma 20 5 3 2" xfId="7097" xr:uid="{00000000-0005-0000-0000-0000AD0F0000}"/>
    <cellStyle name="Comma 20 5 3 2 2" xfId="15545" xr:uid="{00000000-0005-0000-0000-0000AE0F0000}"/>
    <cellStyle name="Comma 20 5 3 2 2 2" xfId="32485" xr:uid="{00000000-0005-0000-0000-0000AF0F0000}"/>
    <cellStyle name="Comma 20 5 3 2 3" xfId="24037" xr:uid="{00000000-0005-0000-0000-0000B00F0000}"/>
    <cellStyle name="Comma 20 5 3 3" xfId="11321" xr:uid="{00000000-0005-0000-0000-0000B10F0000}"/>
    <cellStyle name="Comma 20 5 3 3 2" xfId="28261" xr:uid="{00000000-0005-0000-0000-0000B20F0000}"/>
    <cellStyle name="Comma 20 5 3 4" xfId="19813" xr:uid="{00000000-0005-0000-0000-0000B30F0000}"/>
    <cellStyle name="Comma 20 5 4" xfId="4985" xr:uid="{00000000-0005-0000-0000-0000B40F0000}"/>
    <cellStyle name="Comma 20 5 4 2" xfId="13433" xr:uid="{00000000-0005-0000-0000-0000B50F0000}"/>
    <cellStyle name="Comma 20 5 4 2 2" xfId="30373" xr:uid="{00000000-0005-0000-0000-0000B60F0000}"/>
    <cellStyle name="Comma 20 5 4 3" xfId="21925" xr:uid="{00000000-0005-0000-0000-0000B70F0000}"/>
    <cellStyle name="Comma 20 5 5" xfId="9209" xr:uid="{00000000-0005-0000-0000-0000B80F0000}"/>
    <cellStyle name="Comma 20 5 5 2" xfId="26149" xr:uid="{00000000-0005-0000-0000-0000B90F0000}"/>
    <cellStyle name="Comma 20 5 6" xfId="17701" xr:uid="{00000000-0005-0000-0000-0000BA0F0000}"/>
    <cellStyle name="Comma 20 6" xfId="1105" xr:uid="{00000000-0005-0000-0000-0000BB0F0000}"/>
    <cellStyle name="Comma 20 6 2" xfId="2167" xr:uid="{00000000-0005-0000-0000-0000BC0F0000}"/>
    <cellStyle name="Comma 20 6 2 2" xfId="4279" xr:uid="{00000000-0005-0000-0000-0000BD0F0000}"/>
    <cellStyle name="Comma 20 6 2 2 2" xfId="8505" xr:uid="{00000000-0005-0000-0000-0000BE0F0000}"/>
    <cellStyle name="Comma 20 6 2 2 2 2" xfId="16953" xr:uid="{00000000-0005-0000-0000-0000BF0F0000}"/>
    <cellStyle name="Comma 20 6 2 2 2 2 2" xfId="33893" xr:uid="{00000000-0005-0000-0000-0000C00F0000}"/>
    <cellStyle name="Comma 20 6 2 2 2 3" xfId="25445" xr:uid="{00000000-0005-0000-0000-0000C10F0000}"/>
    <cellStyle name="Comma 20 6 2 2 3" xfId="12729" xr:uid="{00000000-0005-0000-0000-0000C20F0000}"/>
    <cellStyle name="Comma 20 6 2 2 3 2" xfId="29669" xr:uid="{00000000-0005-0000-0000-0000C30F0000}"/>
    <cellStyle name="Comma 20 6 2 2 4" xfId="21221" xr:uid="{00000000-0005-0000-0000-0000C40F0000}"/>
    <cellStyle name="Comma 20 6 2 3" xfId="6393" xr:uid="{00000000-0005-0000-0000-0000C50F0000}"/>
    <cellStyle name="Comma 20 6 2 3 2" xfId="14841" xr:uid="{00000000-0005-0000-0000-0000C60F0000}"/>
    <cellStyle name="Comma 20 6 2 3 2 2" xfId="31781" xr:uid="{00000000-0005-0000-0000-0000C70F0000}"/>
    <cellStyle name="Comma 20 6 2 3 3" xfId="23333" xr:uid="{00000000-0005-0000-0000-0000C80F0000}"/>
    <cellStyle name="Comma 20 6 2 4" xfId="10617" xr:uid="{00000000-0005-0000-0000-0000C90F0000}"/>
    <cellStyle name="Comma 20 6 2 4 2" xfId="27557" xr:uid="{00000000-0005-0000-0000-0000CA0F0000}"/>
    <cellStyle name="Comma 20 6 2 5" xfId="19109" xr:uid="{00000000-0005-0000-0000-0000CB0F0000}"/>
    <cellStyle name="Comma 20 6 3" xfId="3223" xr:uid="{00000000-0005-0000-0000-0000CC0F0000}"/>
    <cellStyle name="Comma 20 6 3 2" xfId="7449" xr:uid="{00000000-0005-0000-0000-0000CD0F0000}"/>
    <cellStyle name="Comma 20 6 3 2 2" xfId="15897" xr:uid="{00000000-0005-0000-0000-0000CE0F0000}"/>
    <cellStyle name="Comma 20 6 3 2 2 2" xfId="32837" xr:uid="{00000000-0005-0000-0000-0000CF0F0000}"/>
    <cellStyle name="Comma 20 6 3 2 3" xfId="24389" xr:uid="{00000000-0005-0000-0000-0000D00F0000}"/>
    <cellStyle name="Comma 20 6 3 3" xfId="11673" xr:uid="{00000000-0005-0000-0000-0000D10F0000}"/>
    <cellStyle name="Comma 20 6 3 3 2" xfId="28613" xr:uid="{00000000-0005-0000-0000-0000D20F0000}"/>
    <cellStyle name="Comma 20 6 3 4" xfId="20165" xr:uid="{00000000-0005-0000-0000-0000D30F0000}"/>
    <cellStyle name="Comma 20 6 4" xfId="5337" xr:uid="{00000000-0005-0000-0000-0000D40F0000}"/>
    <cellStyle name="Comma 20 6 4 2" xfId="13785" xr:uid="{00000000-0005-0000-0000-0000D50F0000}"/>
    <cellStyle name="Comma 20 6 4 2 2" xfId="30725" xr:uid="{00000000-0005-0000-0000-0000D60F0000}"/>
    <cellStyle name="Comma 20 6 4 3" xfId="22277" xr:uid="{00000000-0005-0000-0000-0000D70F0000}"/>
    <cellStyle name="Comma 20 6 5" xfId="9561" xr:uid="{00000000-0005-0000-0000-0000D80F0000}"/>
    <cellStyle name="Comma 20 6 5 2" xfId="26501" xr:uid="{00000000-0005-0000-0000-0000D90F0000}"/>
    <cellStyle name="Comma 20 6 6" xfId="18053" xr:uid="{00000000-0005-0000-0000-0000DA0F0000}"/>
    <cellStyle name="Comma 20 7" xfId="1287" xr:uid="{00000000-0005-0000-0000-0000DB0F0000}"/>
    <cellStyle name="Comma 20 7 2" xfId="2343" xr:uid="{00000000-0005-0000-0000-0000DC0F0000}"/>
    <cellStyle name="Comma 20 7 2 2" xfId="4455" xr:uid="{00000000-0005-0000-0000-0000DD0F0000}"/>
    <cellStyle name="Comma 20 7 2 2 2" xfId="8681" xr:uid="{00000000-0005-0000-0000-0000DE0F0000}"/>
    <cellStyle name="Comma 20 7 2 2 2 2" xfId="17129" xr:uid="{00000000-0005-0000-0000-0000DF0F0000}"/>
    <cellStyle name="Comma 20 7 2 2 2 2 2" xfId="34069" xr:uid="{00000000-0005-0000-0000-0000E00F0000}"/>
    <cellStyle name="Comma 20 7 2 2 2 3" xfId="25621" xr:uid="{00000000-0005-0000-0000-0000E10F0000}"/>
    <cellStyle name="Comma 20 7 2 2 3" xfId="12905" xr:uid="{00000000-0005-0000-0000-0000E20F0000}"/>
    <cellStyle name="Comma 20 7 2 2 3 2" xfId="29845" xr:uid="{00000000-0005-0000-0000-0000E30F0000}"/>
    <cellStyle name="Comma 20 7 2 2 4" xfId="21397" xr:uid="{00000000-0005-0000-0000-0000E40F0000}"/>
    <cellStyle name="Comma 20 7 2 3" xfId="6569" xr:uid="{00000000-0005-0000-0000-0000E50F0000}"/>
    <cellStyle name="Comma 20 7 2 3 2" xfId="15017" xr:uid="{00000000-0005-0000-0000-0000E60F0000}"/>
    <cellStyle name="Comma 20 7 2 3 2 2" xfId="31957" xr:uid="{00000000-0005-0000-0000-0000E70F0000}"/>
    <cellStyle name="Comma 20 7 2 3 3" xfId="23509" xr:uid="{00000000-0005-0000-0000-0000E80F0000}"/>
    <cellStyle name="Comma 20 7 2 4" xfId="10793" xr:uid="{00000000-0005-0000-0000-0000E90F0000}"/>
    <cellStyle name="Comma 20 7 2 4 2" xfId="27733" xr:uid="{00000000-0005-0000-0000-0000EA0F0000}"/>
    <cellStyle name="Comma 20 7 2 5" xfId="19285" xr:uid="{00000000-0005-0000-0000-0000EB0F0000}"/>
    <cellStyle name="Comma 20 7 3" xfId="3399" xr:uid="{00000000-0005-0000-0000-0000EC0F0000}"/>
    <cellStyle name="Comma 20 7 3 2" xfId="7625" xr:uid="{00000000-0005-0000-0000-0000ED0F0000}"/>
    <cellStyle name="Comma 20 7 3 2 2" xfId="16073" xr:uid="{00000000-0005-0000-0000-0000EE0F0000}"/>
    <cellStyle name="Comma 20 7 3 2 2 2" xfId="33013" xr:uid="{00000000-0005-0000-0000-0000EF0F0000}"/>
    <cellStyle name="Comma 20 7 3 2 3" xfId="24565" xr:uid="{00000000-0005-0000-0000-0000F00F0000}"/>
    <cellStyle name="Comma 20 7 3 3" xfId="11849" xr:uid="{00000000-0005-0000-0000-0000F10F0000}"/>
    <cellStyle name="Comma 20 7 3 3 2" xfId="28789" xr:uid="{00000000-0005-0000-0000-0000F20F0000}"/>
    <cellStyle name="Comma 20 7 3 4" xfId="20341" xr:uid="{00000000-0005-0000-0000-0000F30F0000}"/>
    <cellStyle name="Comma 20 7 4" xfId="5513" xr:uid="{00000000-0005-0000-0000-0000F40F0000}"/>
    <cellStyle name="Comma 20 7 4 2" xfId="13961" xr:uid="{00000000-0005-0000-0000-0000F50F0000}"/>
    <cellStyle name="Comma 20 7 4 2 2" xfId="30901" xr:uid="{00000000-0005-0000-0000-0000F60F0000}"/>
    <cellStyle name="Comma 20 7 4 3" xfId="22453" xr:uid="{00000000-0005-0000-0000-0000F70F0000}"/>
    <cellStyle name="Comma 20 7 5" xfId="9737" xr:uid="{00000000-0005-0000-0000-0000F80F0000}"/>
    <cellStyle name="Comma 20 7 5 2" xfId="26677" xr:uid="{00000000-0005-0000-0000-0000F90F0000}"/>
    <cellStyle name="Comma 20 7 6" xfId="18229" xr:uid="{00000000-0005-0000-0000-0000FA0F0000}"/>
    <cellStyle name="Comma 20 8" xfId="1463" xr:uid="{00000000-0005-0000-0000-0000FB0F0000}"/>
    <cellStyle name="Comma 20 8 2" xfId="3575" xr:uid="{00000000-0005-0000-0000-0000FC0F0000}"/>
    <cellStyle name="Comma 20 8 2 2" xfId="7801" xr:uid="{00000000-0005-0000-0000-0000FD0F0000}"/>
    <cellStyle name="Comma 20 8 2 2 2" xfId="16249" xr:uid="{00000000-0005-0000-0000-0000FE0F0000}"/>
    <cellStyle name="Comma 20 8 2 2 2 2" xfId="33189" xr:uid="{00000000-0005-0000-0000-0000FF0F0000}"/>
    <cellStyle name="Comma 20 8 2 2 3" xfId="24741" xr:uid="{00000000-0005-0000-0000-000000100000}"/>
    <cellStyle name="Comma 20 8 2 3" xfId="12025" xr:uid="{00000000-0005-0000-0000-000001100000}"/>
    <cellStyle name="Comma 20 8 2 3 2" xfId="28965" xr:uid="{00000000-0005-0000-0000-000002100000}"/>
    <cellStyle name="Comma 20 8 2 4" xfId="20517" xr:uid="{00000000-0005-0000-0000-000003100000}"/>
    <cellStyle name="Comma 20 8 3" xfId="5689" xr:uid="{00000000-0005-0000-0000-000004100000}"/>
    <cellStyle name="Comma 20 8 3 2" xfId="14137" xr:uid="{00000000-0005-0000-0000-000005100000}"/>
    <cellStyle name="Comma 20 8 3 2 2" xfId="31077" xr:uid="{00000000-0005-0000-0000-000006100000}"/>
    <cellStyle name="Comma 20 8 3 3" xfId="22629" xr:uid="{00000000-0005-0000-0000-000007100000}"/>
    <cellStyle name="Comma 20 8 4" xfId="9913" xr:uid="{00000000-0005-0000-0000-000008100000}"/>
    <cellStyle name="Comma 20 8 4 2" xfId="26853" xr:uid="{00000000-0005-0000-0000-000009100000}"/>
    <cellStyle name="Comma 20 8 5" xfId="18405" xr:uid="{00000000-0005-0000-0000-00000A100000}"/>
    <cellStyle name="Comma 20 9" xfId="2519" xr:uid="{00000000-0005-0000-0000-00000B100000}"/>
    <cellStyle name="Comma 20 9 2" xfId="6745" xr:uid="{00000000-0005-0000-0000-00000C100000}"/>
    <cellStyle name="Comma 20 9 2 2" xfId="15193" xr:uid="{00000000-0005-0000-0000-00000D100000}"/>
    <cellStyle name="Comma 20 9 2 2 2" xfId="32133" xr:uid="{00000000-0005-0000-0000-00000E100000}"/>
    <cellStyle name="Comma 20 9 2 3" xfId="23685" xr:uid="{00000000-0005-0000-0000-00000F100000}"/>
    <cellStyle name="Comma 20 9 3" xfId="10969" xr:uid="{00000000-0005-0000-0000-000010100000}"/>
    <cellStyle name="Comma 20 9 3 2" xfId="27909" xr:uid="{00000000-0005-0000-0000-000011100000}"/>
    <cellStyle name="Comma 20 9 4" xfId="19461" xr:uid="{00000000-0005-0000-0000-000012100000}"/>
    <cellStyle name="Comma 21" xfId="99" xr:uid="{00000000-0005-0000-0000-000013100000}"/>
    <cellStyle name="Comma 22" xfId="100" xr:uid="{00000000-0005-0000-0000-000014100000}"/>
    <cellStyle name="Comma 23" xfId="101" xr:uid="{00000000-0005-0000-0000-000015100000}"/>
    <cellStyle name="Comma 24" xfId="102" xr:uid="{00000000-0005-0000-0000-000016100000}"/>
    <cellStyle name="Comma 25" xfId="103" xr:uid="{00000000-0005-0000-0000-000017100000}"/>
    <cellStyle name="Comma 26" xfId="104" xr:uid="{00000000-0005-0000-0000-000018100000}"/>
    <cellStyle name="Comma 27" xfId="105" xr:uid="{00000000-0005-0000-0000-000019100000}"/>
    <cellStyle name="Comma 28" xfId="106" xr:uid="{00000000-0005-0000-0000-00001A100000}"/>
    <cellStyle name="Comma 28 2" xfId="17317" xr:uid="{00000000-0005-0000-0000-00001B100000}"/>
    <cellStyle name="Comma 29" xfId="107" xr:uid="{00000000-0005-0000-0000-00001C100000}"/>
    <cellStyle name="Comma 29 2" xfId="17318" xr:uid="{00000000-0005-0000-0000-00001D100000}"/>
    <cellStyle name="Comma 3" xfId="108" xr:uid="{00000000-0005-0000-0000-00001E100000}"/>
    <cellStyle name="Comma 3 2" xfId="109" xr:uid="{00000000-0005-0000-0000-00001F100000}"/>
    <cellStyle name="Comma 3 2 2" xfId="110" xr:uid="{00000000-0005-0000-0000-000020100000}"/>
    <cellStyle name="Comma 3 2 2 2" xfId="111" xr:uid="{00000000-0005-0000-0000-000021100000}"/>
    <cellStyle name="Comma 3 2 2 2 2" xfId="17322" xr:uid="{00000000-0005-0000-0000-000022100000}"/>
    <cellStyle name="Comma 3 2 2 3" xfId="112" xr:uid="{00000000-0005-0000-0000-000023100000}"/>
    <cellStyle name="Comma 3 2 2 4" xfId="17321" xr:uid="{00000000-0005-0000-0000-000024100000}"/>
    <cellStyle name="Comma 3 2 3" xfId="113" xr:uid="{00000000-0005-0000-0000-000025100000}"/>
    <cellStyle name="Comma 3 2 3 2" xfId="17323" xr:uid="{00000000-0005-0000-0000-000026100000}"/>
    <cellStyle name="Comma 3 2 4" xfId="114" xr:uid="{00000000-0005-0000-0000-000027100000}"/>
    <cellStyle name="Comma 3 2 4 2" xfId="17324" xr:uid="{00000000-0005-0000-0000-000028100000}"/>
    <cellStyle name="Comma 3 2 5" xfId="115" xr:uid="{00000000-0005-0000-0000-000029100000}"/>
    <cellStyle name="Comma 3 2 6" xfId="17320" xr:uid="{00000000-0005-0000-0000-00002A100000}"/>
    <cellStyle name="Comma 3 3" xfId="116" xr:uid="{00000000-0005-0000-0000-00002B100000}"/>
    <cellStyle name="Comma 3 3 2" xfId="117" xr:uid="{00000000-0005-0000-0000-00002C100000}"/>
    <cellStyle name="Comma 3 3 2 2" xfId="17326" xr:uid="{00000000-0005-0000-0000-00002D100000}"/>
    <cellStyle name="Comma 3 3 3" xfId="118" xr:uid="{00000000-0005-0000-0000-00002E100000}"/>
    <cellStyle name="Comma 3 3 4" xfId="17325" xr:uid="{00000000-0005-0000-0000-00002F100000}"/>
    <cellStyle name="Comma 3 4" xfId="119" xr:uid="{00000000-0005-0000-0000-000030100000}"/>
    <cellStyle name="Comma 3 4 2" xfId="17327" xr:uid="{00000000-0005-0000-0000-000031100000}"/>
    <cellStyle name="Comma 3 5" xfId="120" xr:uid="{00000000-0005-0000-0000-000032100000}"/>
    <cellStyle name="Comma 3 6" xfId="17319" xr:uid="{00000000-0005-0000-0000-000033100000}"/>
    <cellStyle name="Comma 30" xfId="121" xr:uid="{00000000-0005-0000-0000-000034100000}"/>
    <cellStyle name="Comma 31" xfId="122" xr:uid="{00000000-0005-0000-0000-000035100000}"/>
    <cellStyle name="Comma 32" xfId="123" xr:uid="{00000000-0005-0000-0000-000036100000}"/>
    <cellStyle name="Comma 33" xfId="124" xr:uid="{00000000-0005-0000-0000-000037100000}"/>
    <cellStyle name="Comma 33 10" xfId="8860" xr:uid="{00000000-0005-0000-0000-000038100000}"/>
    <cellStyle name="Comma 33 10 2" xfId="25800" xr:uid="{00000000-0005-0000-0000-000039100000}"/>
    <cellStyle name="Comma 33 11" xfId="17328" xr:uid="{00000000-0005-0000-0000-00003A100000}"/>
    <cellStyle name="Comma 33 2" xfId="125" xr:uid="{00000000-0005-0000-0000-00003B100000}"/>
    <cellStyle name="Comma 33 2 10" xfId="17329" xr:uid="{00000000-0005-0000-0000-00003C100000}"/>
    <cellStyle name="Comma 33 2 2" xfId="580" xr:uid="{00000000-0005-0000-0000-00003D100000}"/>
    <cellStyle name="Comma 33 2 2 2" xfId="933" xr:uid="{00000000-0005-0000-0000-00003E100000}"/>
    <cellStyle name="Comma 33 2 2 2 2" xfId="1995" xr:uid="{00000000-0005-0000-0000-00003F100000}"/>
    <cellStyle name="Comma 33 2 2 2 2 2" xfId="4107" xr:uid="{00000000-0005-0000-0000-000040100000}"/>
    <cellStyle name="Comma 33 2 2 2 2 2 2" xfId="8333" xr:uid="{00000000-0005-0000-0000-000041100000}"/>
    <cellStyle name="Comma 33 2 2 2 2 2 2 2" xfId="16781" xr:uid="{00000000-0005-0000-0000-000042100000}"/>
    <cellStyle name="Comma 33 2 2 2 2 2 2 2 2" xfId="33721" xr:uid="{00000000-0005-0000-0000-000043100000}"/>
    <cellStyle name="Comma 33 2 2 2 2 2 2 3" xfId="25273" xr:uid="{00000000-0005-0000-0000-000044100000}"/>
    <cellStyle name="Comma 33 2 2 2 2 2 3" xfId="12557" xr:uid="{00000000-0005-0000-0000-000045100000}"/>
    <cellStyle name="Comma 33 2 2 2 2 2 3 2" xfId="29497" xr:uid="{00000000-0005-0000-0000-000046100000}"/>
    <cellStyle name="Comma 33 2 2 2 2 2 4" xfId="21049" xr:uid="{00000000-0005-0000-0000-000047100000}"/>
    <cellStyle name="Comma 33 2 2 2 2 3" xfId="6221" xr:uid="{00000000-0005-0000-0000-000048100000}"/>
    <cellStyle name="Comma 33 2 2 2 2 3 2" xfId="14669" xr:uid="{00000000-0005-0000-0000-000049100000}"/>
    <cellStyle name="Comma 33 2 2 2 2 3 2 2" xfId="31609" xr:uid="{00000000-0005-0000-0000-00004A100000}"/>
    <cellStyle name="Comma 33 2 2 2 2 3 3" xfId="23161" xr:uid="{00000000-0005-0000-0000-00004B100000}"/>
    <cellStyle name="Comma 33 2 2 2 2 4" xfId="10445" xr:uid="{00000000-0005-0000-0000-00004C100000}"/>
    <cellStyle name="Comma 33 2 2 2 2 4 2" xfId="27385" xr:uid="{00000000-0005-0000-0000-00004D100000}"/>
    <cellStyle name="Comma 33 2 2 2 2 5" xfId="18937" xr:uid="{00000000-0005-0000-0000-00004E100000}"/>
    <cellStyle name="Comma 33 2 2 2 3" xfId="3051" xr:uid="{00000000-0005-0000-0000-00004F100000}"/>
    <cellStyle name="Comma 33 2 2 2 3 2" xfId="7277" xr:uid="{00000000-0005-0000-0000-000050100000}"/>
    <cellStyle name="Comma 33 2 2 2 3 2 2" xfId="15725" xr:uid="{00000000-0005-0000-0000-000051100000}"/>
    <cellStyle name="Comma 33 2 2 2 3 2 2 2" xfId="32665" xr:uid="{00000000-0005-0000-0000-000052100000}"/>
    <cellStyle name="Comma 33 2 2 2 3 2 3" xfId="24217" xr:uid="{00000000-0005-0000-0000-000053100000}"/>
    <cellStyle name="Comma 33 2 2 2 3 3" xfId="11501" xr:uid="{00000000-0005-0000-0000-000054100000}"/>
    <cellStyle name="Comma 33 2 2 2 3 3 2" xfId="28441" xr:uid="{00000000-0005-0000-0000-000055100000}"/>
    <cellStyle name="Comma 33 2 2 2 3 4" xfId="19993" xr:uid="{00000000-0005-0000-0000-000056100000}"/>
    <cellStyle name="Comma 33 2 2 2 4" xfId="5165" xr:uid="{00000000-0005-0000-0000-000057100000}"/>
    <cellStyle name="Comma 33 2 2 2 4 2" xfId="13613" xr:uid="{00000000-0005-0000-0000-000058100000}"/>
    <cellStyle name="Comma 33 2 2 2 4 2 2" xfId="30553" xr:uid="{00000000-0005-0000-0000-000059100000}"/>
    <cellStyle name="Comma 33 2 2 2 4 3" xfId="22105" xr:uid="{00000000-0005-0000-0000-00005A100000}"/>
    <cellStyle name="Comma 33 2 2 2 5" xfId="9389" xr:uid="{00000000-0005-0000-0000-00005B100000}"/>
    <cellStyle name="Comma 33 2 2 2 5 2" xfId="26329" xr:uid="{00000000-0005-0000-0000-00005C100000}"/>
    <cellStyle name="Comma 33 2 2 2 6" xfId="17881" xr:uid="{00000000-0005-0000-0000-00005D100000}"/>
    <cellStyle name="Comma 33 2 2 3" xfId="1643" xr:uid="{00000000-0005-0000-0000-00005E100000}"/>
    <cellStyle name="Comma 33 2 2 3 2" xfId="3755" xr:uid="{00000000-0005-0000-0000-00005F100000}"/>
    <cellStyle name="Comma 33 2 2 3 2 2" xfId="7981" xr:uid="{00000000-0005-0000-0000-000060100000}"/>
    <cellStyle name="Comma 33 2 2 3 2 2 2" xfId="16429" xr:uid="{00000000-0005-0000-0000-000061100000}"/>
    <cellStyle name="Comma 33 2 2 3 2 2 2 2" xfId="33369" xr:uid="{00000000-0005-0000-0000-000062100000}"/>
    <cellStyle name="Comma 33 2 2 3 2 2 3" xfId="24921" xr:uid="{00000000-0005-0000-0000-000063100000}"/>
    <cellStyle name="Comma 33 2 2 3 2 3" xfId="12205" xr:uid="{00000000-0005-0000-0000-000064100000}"/>
    <cellStyle name="Comma 33 2 2 3 2 3 2" xfId="29145" xr:uid="{00000000-0005-0000-0000-000065100000}"/>
    <cellStyle name="Comma 33 2 2 3 2 4" xfId="20697" xr:uid="{00000000-0005-0000-0000-000066100000}"/>
    <cellStyle name="Comma 33 2 2 3 3" xfId="5869" xr:uid="{00000000-0005-0000-0000-000067100000}"/>
    <cellStyle name="Comma 33 2 2 3 3 2" xfId="14317" xr:uid="{00000000-0005-0000-0000-000068100000}"/>
    <cellStyle name="Comma 33 2 2 3 3 2 2" xfId="31257" xr:uid="{00000000-0005-0000-0000-000069100000}"/>
    <cellStyle name="Comma 33 2 2 3 3 3" xfId="22809" xr:uid="{00000000-0005-0000-0000-00006A100000}"/>
    <cellStyle name="Comma 33 2 2 3 4" xfId="10093" xr:uid="{00000000-0005-0000-0000-00006B100000}"/>
    <cellStyle name="Comma 33 2 2 3 4 2" xfId="27033" xr:uid="{00000000-0005-0000-0000-00006C100000}"/>
    <cellStyle name="Comma 33 2 2 3 5" xfId="18585" xr:uid="{00000000-0005-0000-0000-00006D100000}"/>
    <cellStyle name="Comma 33 2 2 4" xfId="2699" xr:uid="{00000000-0005-0000-0000-00006E100000}"/>
    <cellStyle name="Comma 33 2 2 4 2" xfId="6925" xr:uid="{00000000-0005-0000-0000-00006F100000}"/>
    <cellStyle name="Comma 33 2 2 4 2 2" xfId="15373" xr:uid="{00000000-0005-0000-0000-000070100000}"/>
    <cellStyle name="Comma 33 2 2 4 2 2 2" xfId="32313" xr:uid="{00000000-0005-0000-0000-000071100000}"/>
    <cellStyle name="Comma 33 2 2 4 2 3" xfId="23865" xr:uid="{00000000-0005-0000-0000-000072100000}"/>
    <cellStyle name="Comma 33 2 2 4 3" xfId="11149" xr:uid="{00000000-0005-0000-0000-000073100000}"/>
    <cellStyle name="Comma 33 2 2 4 3 2" xfId="28089" xr:uid="{00000000-0005-0000-0000-000074100000}"/>
    <cellStyle name="Comma 33 2 2 4 4" xfId="19641" xr:uid="{00000000-0005-0000-0000-000075100000}"/>
    <cellStyle name="Comma 33 2 2 5" xfId="4813" xr:uid="{00000000-0005-0000-0000-000076100000}"/>
    <cellStyle name="Comma 33 2 2 5 2" xfId="13261" xr:uid="{00000000-0005-0000-0000-000077100000}"/>
    <cellStyle name="Comma 33 2 2 5 2 2" xfId="30201" xr:uid="{00000000-0005-0000-0000-000078100000}"/>
    <cellStyle name="Comma 33 2 2 5 3" xfId="21753" xr:uid="{00000000-0005-0000-0000-000079100000}"/>
    <cellStyle name="Comma 33 2 2 6" xfId="9037" xr:uid="{00000000-0005-0000-0000-00007A100000}"/>
    <cellStyle name="Comma 33 2 2 6 2" xfId="25977" xr:uid="{00000000-0005-0000-0000-00007B100000}"/>
    <cellStyle name="Comma 33 2 2 7" xfId="17529" xr:uid="{00000000-0005-0000-0000-00007C100000}"/>
    <cellStyle name="Comma 33 2 3" xfId="757" xr:uid="{00000000-0005-0000-0000-00007D100000}"/>
    <cellStyle name="Comma 33 2 3 2" xfId="1819" xr:uid="{00000000-0005-0000-0000-00007E100000}"/>
    <cellStyle name="Comma 33 2 3 2 2" xfId="3931" xr:uid="{00000000-0005-0000-0000-00007F100000}"/>
    <cellStyle name="Comma 33 2 3 2 2 2" xfId="8157" xr:uid="{00000000-0005-0000-0000-000080100000}"/>
    <cellStyle name="Comma 33 2 3 2 2 2 2" xfId="16605" xr:uid="{00000000-0005-0000-0000-000081100000}"/>
    <cellStyle name="Comma 33 2 3 2 2 2 2 2" xfId="33545" xr:uid="{00000000-0005-0000-0000-000082100000}"/>
    <cellStyle name="Comma 33 2 3 2 2 2 3" xfId="25097" xr:uid="{00000000-0005-0000-0000-000083100000}"/>
    <cellStyle name="Comma 33 2 3 2 2 3" xfId="12381" xr:uid="{00000000-0005-0000-0000-000084100000}"/>
    <cellStyle name="Comma 33 2 3 2 2 3 2" xfId="29321" xr:uid="{00000000-0005-0000-0000-000085100000}"/>
    <cellStyle name="Comma 33 2 3 2 2 4" xfId="20873" xr:uid="{00000000-0005-0000-0000-000086100000}"/>
    <cellStyle name="Comma 33 2 3 2 3" xfId="6045" xr:uid="{00000000-0005-0000-0000-000087100000}"/>
    <cellStyle name="Comma 33 2 3 2 3 2" xfId="14493" xr:uid="{00000000-0005-0000-0000-000088100000}"/>
    <cellStyle name="Comma 33 2 3 2 3 2 2" xfId="31433" xr:uid="{00000000-0005-0000-0000-000089100000}"/>
    <cellStyle name="Comma 33 2 3 2 3 3" xfId="22985" xr:uid="{00000000-0005-0000-0000-00008A100000}"/>
    <cellStyle name="Comma 33 2 3 2 4" xfId="10269" xr:uid="{00000000-0005-0000-0000-00008B100000}"/>
    <cellStyle name="Comma 33 2 3 2 4 2" xfId="27209" xr:uid="{00000000-0005-0000-0000-00008C100000}"/>
    <cellStyle name="Comma 33 2 3 2 5" xfId="18761" xr:uid="{00000000-0005-0000-0000-00008D100000}"/>
    <cellStyle name="Comma 33 2 3 3" xfId="2875" xr:uid="{00000000-0005-0000-0000-00008E100000}"/>
    <cellStyle name="Comma 33 2 3 3 2" xfId="7101" xr:uid="{00000000-0005-0000-0000-00008F100000}"/>
    <cellStyle name="Comma 33 2 3 3 2 2" xfId="15549" xr:uid="{00000000-0005-0000-0000-000090100000}"/>
    <cellStyle name="Comma 33 2 3 3 2 2 2" xfId="32489" xr:uid="{00000000-0005-0000-0000-000091100000}"/>
    <cellStyle name="Comma 33 2 3 3 2 3" xfId="24041" xr:uid="{00000000-0005-0000-0000-000092100000}"/>
    <cellStyle name="Comma 33 2 3 3 3" xfId="11325" xr:uid="{00000000-0005-0000-0000-000093100000}"/>
    <cellStyle name="Comma 33 2 3 3 3 2" xfId="28265" xr:uid="{00000000-0005-0000-0000-000094100000}"/>
    <cellStyle name="Comma 33 2 3 3 4" xfId="19817" xr:uid="{00000000-0005-0000-0000-000095100000}"/>
    <cellStyle name="Comma 33 2 3 4" xfId="4989" xr:uid="{00000000-0005-0000-0000-000096100000}"/>
    <cellStyle name="Comma 33 2 3 4 2" xfId="13437" xr:uid="{00000000-0005-0000-0000-000097100000}"/>
    <cellStyle name="Comma 33 2 3 4 2 2" xfId="30377" xr:uid="{00000000-0005-0000-0000-000098100000}"/>
    <cellStyle name="Comma 33 2 3 4 3" xfId="21929" xr:uid="{00000000-0005-0000-0000-000099100000}"/>
    <cellStyle name="Comma 33 2 3 5" xfId="9213" xr:uid="{00000000-0005-0000-0000-00009A100000}"/>
    <cellStyle name="Comma 33 2 3 5 2" xfId="26153" xr:uid="{00000000-0005-0000-0000-00009B100000}"/>
    <cellStyle name="Comma 33 2 3 6" xfId="17705" xr:uid="{00000000-0005-0000-0000-00009C100000}"/>
    <cellStyle name="Comma 33 2 4" xfId="1109" xr:uid="{00000000-0005-0000-0000-00009D100000}"/>
    <cellStyle name="Comma 33 2 4 2" xfId="2171" xr:uid="{00000000-0005-0000-0000-00009E100000}"/>
    <cellStyle name="Comma 33 2 4 2 2" xfId="4283" xr:uid="{00000000-0005-0000-0000-00009F100000}"/>
    <cellStyle name="Comma 33 2 4 2 2 2" xfId="8509" xr:uid="{00000000-0005-0000-0000-0000A0100000}"/>
    <cellStyle name="Comma 33 2 4 2 2 2 2" xfId="16957" xr:uid="{00000000-0005-0000-0000-0000A1100000}"/>
    <cellStyle name="Comma 33 2 4 2 2 2 2 2" xfId="33897" xr:uid="{00000000-0005-0000-0000-0000A2100000}"/>
    <cellStyle name="Comma 33 2 4 2 2 2 3" xfId="25449" xr:uid="{00000000-0005-0000-0000-0000A3100000}"/>
    <cellStyle name="Comma 33 2 4 2 2 3" xfId="12733" xr:uid="{00000000-0005-0000-0000-0000A4100000}"/>
    <cellStyle name="Comma 33 2 4 2 2 3 2" xfId="29673" xr:uid="{00000000-0005-0000-0000-0000A5100000}"/>
    <cellStyle name="Comma 33 2 4 2 2 4" xfId="21225" xr:uid="{00000000-0005-0000-0000-0000A6100000}"/>
    <cellStyle name="Comma 33 2 4 2 3" xfId="6397" xr:uid="{00000000-0005-0000-0000-0000A7100000}"/>
    <cellStyle name="Comma 33 2 4 2 3 2" xfId="14845" xr:uid="{00000000-0005-0000-0000-0000A8100000}"/>
    <cellStyle name="Comma 33 2 4 2 3 2 2" xfId="31785" xr:uid="{00000000-0005-0000-0000-0000A9100000}"/>
    <cellStyle name="Comma 33 2 4 2 3 3" xfId="23337" xr:uid="{00000000-0005-0000-0000-0000AA100000}"/>
    <cellStyle name="Comma 33 2 4 2 4" xfId="10621" xr:uid="{00000000-0005-0000-0000-0000AB100000}"/>
    <cellStyle name="Comma 33 2 4 2 4 2" xfId="27561" xr:uid="{00000000-0005-0000-0000-0000AC100000}"/>
    <cellStyle name="Comma 33 2 4 2 5" xfId="19113" xr:uid="{00000000-0005-0000-0000-0000AD100000}"/>
    <cellStyle name="Comma 33 2 4 3" xfId="3227" xr:uid="{00000000-0005-0000-0000-0000AE100000}"/>
    <cellStyle name="Comma 33 2 4 3 2" xfId="7453" xr:uid="{00000000-0005-0000-0000-0000AF100000}"/>
    <cellStyle name="Comma 33 2 4 3 2 2" xfId="15901" xr:uid="{00000000-0005-0000-0000-0000B0100000}"/>
    <cellStyle name="Comma 33 2 4 3 2 2 2" xfId="32841" xr:uid="{00000000-0005-0000-0000-0000B1100000}"/>
    <cellStyle name="Comma 33 2 4 3 2 3" xfId="24393" xr:uid="{00000000-0005-0000-0000-0000B2100000}"/>
    <cellStyle name="Comma 33 2 4 3 3" xfId="11677" xr:uid="{00000000-0005-0000-0000-0000B3100000}"/>
    <cellStyle name="Comma 33 2 4 3 3 2" xfId="28617" xr:uid="{00000000-0005-0000-0000-0000B4100000}"/>
    <cellStyle name="Comma 33 2 4 3 4" xfId="20169" xr:uid="{00000000-0005-0000-0000-0000B5100000}"/>
    <cellStyle name="Comma 33 2 4 4" xfId="5341" xr:uid="{00000000-0005-0000-0000-0000B6100000}"/>
    <cellStyle name="Comma 33 2 4 4 2" xfId="13789" xr:uid="{00000000-0005-0000-0000-0000B7100000}"/>
    <cellStyle name="Comma 33 2 4 4 2 2" xfId="30729" xr:uid="{00000000-0005-0000-0000-0000B8100000}"/>
    <cellStyle name="Comma 33 2 4 4 3" xfId="22281" xr:uid="{00000000-0005-0000-0000-0000B9100000}"/>
    <cellStyle name="Comma 33 2 4 5" xfId="9565" xr:uid="{00000000-0005-0000-0000-0000BA100000}"/>
    <cellStyle name="Comma 33 2 4 5 2" xfId="26505" xr:uid="{00000000-0005-0000-0000-0000BB100000}"/>
    <cellStyle name="Comma 33 2 4 6" xfId="18057" xr:uid="{00000000-0005-0000-0000-0000BC100000}"/>
    <cellStyle name="Comma 33 2 5" xfId="1291" xr:uid="{00000000-0005-0000-0000-0000BD100000}"/>
    <cellStyle name="Comma 33 2 5 2" xfId="2347" xr:uid="{00000000-0005-0000-0000-0000BE100000}"/>
    <cellStyle name="Comma 33 2 5 2 2" xfId="4459" xr:uid="{00000000-0005-0000-0000-0000BF100000}"/>
    <cellStyle name="Comma 33 2 5 2 2 2" xfId="8685" xr:uid="{00000000-0005-0000-0000-0000C0100000}"/>
    <cellStyle name="Comma 33 2 5 2 2 2 2" xfId="17133" xr:uid="{00000000-0005-0000-0000-0000C1100000}"/>
    <cellStyle name="Comma 33 2 5 2 2 2 2 2" xfId="34073" xr:uid="{00000000-0005-0000-0000-0000C2100000}"/>
    <cellStyle name="Comma 33 2 5 2 2 2 3" xfId="25625" xr:uid="{00000000-0005-0000-0000-0000C3100000}"/>
    <cellStyle name="Comma 33 2 5 2 2 3" xfId="12909" xr:uid="{00000000-0005-0000-0000-0000C4100000}"/>
    <cellStyle name="Comma 33 2 5 2 2 3 2" xfId="29849" xr:uid="{00000000-0005-0000-0000-0000C5100000}"/>
    <cellStyle name="Comma 33 2 5 2 2 4" xfId="21401" xr:uid="{00000000-0005-0000-0000-0000C6100000}"/>
    <cellStyle name="Comma 33 2 5 2 3" xfId="6573" xr:uid="{00000000-0005-0000-0000-0000C7100000}"/>
    <cellStyle name="Comma 33 2 5 2 3 2" xfId="15021" xr:uid="{00000000-0005-0000-0000-0000C8100000}"/>
    <cellStyle name="Comma 33 2 5 2 3 2 2" xfId="31961" xr:uid="{00000000-0005-0000-0000-0000C9100000}"/>
    <cellStyle name="Comma 33 2 5 2 3 3" xfId="23513" xr:uid="{00000000-0005-0000-0000-0000CA100000}"/>
    <cellStyle name="Comma 33 2 5 2 4" xfId="10797" xr:uid="{00000000-0005-0000-0000-0000CB100000}"/>
    <cellStyle name="Comma 33 2 5 2 4 2" xfId="27737" xr:uid="{00000000-0005-0000-0000-0000CC100000}"/>
    <cellStyle name="Comma 33 2 5 2 5" xfId="19289" xr:uid="{00000000-0005-0000-0000-0000CD100000}"/>
    <cellStyle name="Comma 33 2 5 3" xfId="3403" xr:uid="{00000000-0005-0000-0000-0000CE100000}"/>
    <cellStyle name="Comma 33 2 5 3 2" xfId="7629" xr:uid="{00000000-0005-0000-0000-0000CF100000}"/>
    <cellStyle name="Comma 33 2 5 3 2 2" xfId="16077" xr:uid="{00000000-0005-0000-0000-0000D0100000}"/>
    <cellStyle name="Comma 33 2 5 3 2 2 2" xfId="33017" xr:uid="{00000000-0005-0000-0000-0000D1100000}"/>
    <cellStyle name="Comma 33 2 5 3 2 3" xfId="24569" xr:uid="{00000000-0005-0000-0000-0000D2100000}"/>
    <cellStyle name="Comma 33 2 5 3 3" xfId="11853" xr:uid="{00000000-0005-0000-0000-0000D3100000}"/>
    <cellStyle name="Comma 33 2 5 3 3 2" xfId="28793" xr:uid="{00000000-0005-0000-0000-0000D4100000}"/>
    <cellStyle name="Comma 33 2 5 3 4" xfId="20345" xr:uid="{00000000-0005-0000-0000-0000D5100000}"/>
    <cellStyle name="Comma 33 2 5 4" xfId="5517" xr:uid="{00000000-0005-0000-0000-0000D6100000}"/>
    <cellStyle name="Comma 33 2 5 4 2" xfId="13965" xr:uid="{00000000-0005-0000-0000-0000D7100000}"/>
    <cellStyle name="Comma 33 2 5 4 2 2" xfId="30905" xr:uid="{00000000-0005-0000-0000-0000D8100000}"/>
    <cellStyle name="Comma 33 2 5 4 3" xfId="22457" xr:uid="{00000000-0005-0000-0000-0000D9100000}"/>
    <cellStyle name="Comma 33 2 5 5" xfId="9741" xr:uid="{00000000-0005-0000-0000-0000DA100000}"/>
    <cellStyle name="Comma 33 2 5 5 2" xfId="26681" xr:uid="{00000000-0005-0000-0000-0000DB100000}"/>
    <cellStyle name="Comma 33 2 5 6" xfId="18233" xr:uid="{00000000-0005-0000-0000-0000DC100000}"/>
    <cellStyle name="Comma 33 2 6" xfId="1467" xr:uid="{00000000-0005-0000-0000-0000DD100000}"/>
    <cellStyle name="Comma 33 2 6 2" xfId="3579" xr:uid="{00000000-0005-0000-0000-0000DE100000}"/>
    <cellStyle name="Comma 33 2 6 2 2" xfId="7805" xr:uid="{00000000-0005-0000-0000-0000DF100000}"/>
    <cellStyle name="Comma 33 2 6 2 2 2" xfId="16253" xr:uid="{00000000-0005-0000-0000-0000E0100000}"/>
    <cellStyle name="Comma 33 2 6 2 2 2 2" xfId="33193" xr:uid="{00000000-0005-0000-0000-0000E1100000}"/>
    <cellStyle name="Comma 33 2 6 2 2 3" xfId="24745" xr:uid="{00000000-0005-0000-0000-0000E2100000}"/>
    <cellStyle name="Comma 33 2 6 2 3" xfId="12029" xr:uid="{00000000-0005-0000-0000-0000E3100000}"/>
    <cellStyle name="Comma 33 2 6 2 3 2" xfId="28969" xr:uid="{00000000-0005-0000-0000-0000E4100000}"/>
    <cellStyle name="Comma 33 2 6 2 4" xfId="20521" xr:uid="{00000000-0005-0000-0000-0000E5100000}"/>
    <cellStyle name="Comma 33 2 6 3" xfId="5693" xr:uid="{00000000-0005-0000-0000-0000E6100000}"/>
    <cellStyle name="Comma 33 2 6 3 2" xfId="14141" xr:uid="{00000000-0005-0000-0000-0000E7100000}"/>
    <cellStyle name="Comma 33 2 6 3 2 2" xfId="31081" xr:uid="{00000000-0005-0000-0000-0000E8100000}"/>
    <cellStyle name="Comma 33 2 6 3 3" xfId="22633" xr:uid="{00000000-0005-0000-0000-0000E9100000}"/>
    <cellStyle name="Comma 33 2 6 4" xfId="9917" xr:uid="{00000000-0005-0000-0000-0000EA100000}"/>
    <cellStyle name="Comma 33 2 6 4 2" xfId="26857" xr:uid="{00000000-0005-0000-0000-0000EB100000}"/>
    <cellStyle name="Comma 33 2 6 5" xfId="18409" xr:uid="{00000000-0005-0000-0000-0000EC100000}"/>
    <cellStyle name="Comma 33 2 7" xfId="2523" xr:uid="{00000000-0005-0000-0000-0000ED100000}"/>
    <cellStyle name="Comma 33 2 7 2" xfId="6749" xr:uid="{00000000-0005-0000-0000-0000EE100000}"/>
    <cellStyle name="Comma 33 2 7 2 2" xfId="15197" xr:uid="{00000000-0005-0000-0000-0000EF100000}"/>
    <cellStyle name="Comma 33 2 7 2 2 2" xfId="32137" xr:uid="{00000000-0005-0000-0000-0000F0100000}"/>
    <cellStyle name="Comma 33 2 7 2 3" xfId="23689" xr:uid="{00000000-0005-0000-0000-0000F1100000}"/>
    <cellStyle name="Comma 33 2 7 3" xfId="10973" xr:uid="{00000000-0005-0000-0000-0000F2100000}"/>
    <cellStyle name="Comma 33 2 7 3 2" xfId="27913" xr:uid="{00000000-0005-0000-0000-0000F3100000}"/>
    <cellStyle name="Comma 33 2 7 4" xfId="19465" xr:uid="{00000000-0005-0000-0000-0000F4100000}"/>
    <cellStyle name="Comma 33 2 8" xfId="4636" xr:uid="{00000000-0005-0000-0000-0000F5100000}"/>
    <cellStyle name="Comma 33 2 8 2" xfId="13085" xr:uid="{00000000-0005-0000-0000-0000F6100000}"/>
    <cellStyle name="Comma 33 2 8 2 2" xfId="30025" xr:uid="{00000000-0005-0000-0000-0000F7100000}"/>
    <cellStyle name="Comma 33 2 8 3" xfId="21577" xr:uid="{00000000-0005-0000-0000-0000F8100000}"/>
    <cellStyle name="Comma 33 2 9" xfId="8861" xr:uid="{00000000-0005-0000-0000-0000F9100000}"/>
    <cellStyle name="Comma 33 2 9 2" xfId="25801" xr:uid="{00000000-0005-0000-0000-0000FA100000}"/>
    <cellStyle name="Comma 33 3" xfId="579" xr:uid="{00000000-0005-0000-0000-0000FB100000}"/>
    <cellStyle name="Comma 33 3 2" xfId="932" xr:uid="{00000000-0005-0000-0000-0000FC100000}"/>
    <cellStyle name="Comma 33 3 2 2" xfId="1994" xr:uid="{00000000-0005-0000-0000-0000FD100000}"/>
    <cellStyle name="Comma 33 3 2 2 2" xfId="4106" xr:uid="{00000000-0005-0000-0000-0000FE100000}"/>
    <cellStyle name="Comma 33 3 2 2 2 2" xfId="8332" xr:uid="{00000000-0005-0000-0000-0000FF100000}"/>
    <cellStyle name="Comma 33 3 2 2 2 2 2" xfId="16780" xr:uid="{00000000-0005-0000-0000-000000110000}"/>
    <cellStyle name="Comma 33 3 2 2 2 2 2 2" xfId="33720" xr:uid="{00000000-0005-0000-0000-000001110000}"/>
    <cellStyle name="Comma 33 3 2 2 2 2 3" xfId="25272" xr:uid="{00000000-0005-0000-0000-000002110000}"/>
    <cellStyle name="Comma 33 3 2 2 2 3" xfId="12556" xr:uid="{00000000-0005-0000-0000-000003110000}"/>
    <cellStyle name="Comma 33 3 2 2 2 3 2" xfId="29496" xr:uid="{00000000-0005-0000-0000-000004110000}"/>
    <cellStyle name="Comma 33 3 2 2 2 4" xfId="21048" xr:uid="{00000000-0005-0000-0000-000005110000}"/>
    <cellStyle name="Comma 33 3 2 2 3" xfId="6220" xr:uid="{00000000-0005-0000-0000-000006110000}"/>
    <cellStyle name="Comma 33 3 2 2 3 2" xfId="14668" xr:uid="{00000000-0005-0000-0000-000007110000}"/>
    <cellStyle name="Comma 33 3 2 2 3 2 2" xfId="31608" xr:uid="{00000000-0005-0000-0000-000008110000}"/>
    <cellStyle name="Comma 33 3 2 2 3 3" xfId="23160" xr:uid="{00000000-0005-0000-0000-000009110000}"/>
    <cellStyle name="Comma 33 3 2 2 4" xfId="10444" xr:uid="{00000000-0005-0000-0000-00000A110000}"/>
    <cellStyle name="Comma 33 3 2 2 4 2" xfId="27384" xr:uid="{00000000-0005-0000-0000-00000B110000}"/>
    <cellStyle name="Comma 33 3 2 2 5" xfId="18936" xr:uid="{00000000-0005-0000-0000-00000C110000}"/>
    <cellStyle name="Comma 33 3 2 3" xfId="3050" xr:uid="{00000000-0005-0000-0000-00000D110000}"/>
    <cellStyle name="Comma 33 3 2 3 2" xfId="7276" xr:uid="{00000000-0005-0000-0000-00000E110000}"/>
    <cellStyle name="Comma 33 3 2 3 2 2" xfId="15724" xr:uid="{00000000-0005-0000-0000-00000F110000}"/>
    <cellStyle name="Comma 33 3 2 3 2 2 2" xfId="32664" xr:uid="{00000000-0005-0000-0000-000010110000}"/>
    <cellStyle name="Comma 33 3 2 3 2 3" xfId="24216" xr:uid="{00000000-0005-0000-0000-000011110000}"/>
    <cellStyle name="Comma 33 3 2 3 3" xfId="11500" xr:uid="{00000000-0005-0000-0000-000012110000}"/>
    <cellStyle name="Comma 33 3 2 3 3 2" xfId="28440" xr:uid="{00000000-0005-0000-0000-000013110000}"/>
    <cellStyle name="Comma 33 3 2 3 4" xfId="19992" xr:uid="{00000000-0005-0000-0000-000014110000}"/>
    <cellStyle name="Comma 33 3 2 4" xfId="5164" xr:uid="{00000000-0005-0000-0000-000015110000}"/>
    <cellStyle name="Comma 33 3 2 4 2" xfId="13612" xr:uid="{00000000-0005-0000-0000-000016110000}"/>
    <cellStyle name="Comma 33 3 2 4 2 2" xfId="30552" xr:uid="{00000000-0005-0000-0000-000017110000}"/>
    <cellStyle name="Comma 33 3 2 4 3" xfId="22104" xr:uid="{00000000-0005-0000-0000-000018110000}"/>
    <cellStyle name="Comma 33 3 2 5" xfId="9388" xr:uid="{00000000-0005-0000-0000-000019110000}"/>
    <cellStyle name="Comma 33 3 2 5 2" xfId="26328" xr:uid="{00000000-0005-0000-0000-00001A110000}"/>
    <cellStyle name="Comma 33 3 2 6" xfId="17880" xr:uid="{00000000-0005-0000-0000-00001B110000}"/>
    <cellStyle name="Comma 33 3 3" xfId="1642" xr:uid="{00000000-0005-0000-0000-00001C110000}"/>
    <cellStyle name="Comma 33 3 3 2" xfId="3754" xr:uid="{00000000-0005-0000-0000-00001D110000}"/>
    <cellStyle name="Comma 33 3 3 2 2" xfId="7980" xr:uid="{00000000-0005-0000-0000-00001E110000}"/>
    <cellStyle name="Comma 33 3 3 2 2 2" xfId="16428" xr:uid="{00000000-0005-0000-0000-00001F110000}"/>
    <cellStyle name="Comma 33 3 3 2 2 2 2" xfId="33368" xr:uid="{00000000-0005-0000-0000-000020110000}"/>
    <cellStyle name="Comma 33 3 3 2 2 3" xfId="24920" xr:uid="{00000000-0005-0000-0000-000021110000}"/>
    <cellStyle name="Comma 33 3 3 2 3" xfId="12204" xr:uid="{00000000-0005-0000-0000-000022110000}"/>
    <cellStyle name="Comma 33 3 3 2 3 2" xfId="29144" xr:uid="{00000000-0005-0000-0000-000023110000}"/>
    <cellStyle name="Comma 33 3 3 2 4" xfId="20696" xr:uid="{00000000-0005-0000-0000-000024110000}"/>
    <cellStyle name="Comma 33 3 3 3" xfId="5868" xr:uid="{00000000-0005-0000-0000-000025110000}"/>
    <cellStyle name="Comma 33 3 3 3 2" xfId="14316" xr:uid="{00000000-0005-0000-0000-000026110000}"/>
    <cellStyle name="Comma 33 3 3 3 2 2" xfId="31256" xr:uid="{00000000-0005-0000-0000-000027110000}"/>
    <cellStyle name="Comma 33 3 3 3 3" xfId="22808" xr:uid="{00000000-0005-0000-0000-000028110000}"/>
    <cellStyle name="Comma 33 3 3 4" xfId="10092" xr:uid="{00000000-0005-0000-0000-000029110000}"/>
    <cellStyle name="Comma 33 3 3 4 2" xfId="27032" xr:uid="{00000000-0005-0000-0000-00002A110000}"/>
    <cellStyle name="Comma 33 3 3 5" xfId="18584" xr:uid="{00000000-0005-0000-0000-00002B110000}"/>
    <cellStyle name="Comma 33 3 4" xfId="2698" xr:uid="{00000000-0005-0000-0000-00002C110000}"/>
    <cellStyle name="Comma 33 3 4 2" xfId="6924" xr:uid="{00000000-0005-0000-0000-00002D110000}"/>
    <cellStyle name="Comma 33 3 4 2 2" xfId="15372" xr:uid="{00000000-0005-0000-0000-00002E110000}"/>
    <cellStyle name="Comma 33 3 4 2 2 2" xfId="32312" xr:uid="{00000000-0005-0000-0000-00002F110000}"/>
    <cellStyle name="Comma 33 3 4 2 3" xfId="23864" xr:uid="{00000000-0005-0000-0000-000030110000}"/>
    <cellStyle name="Comma 33 3 4 3" xfId="11148" xr:uid="{00000000-0005-0000-0000-000031110000}"/>
    <cellStyle name="Comma 33 3 4 3 2" xfId="28088" xr:uid="{00000000-0005-0000-0000-000032110000}"/>
    <cellStyle name="Comma 33 3 4 4" xfId="19640" xr:uid="{00000000-0005-0000-0000-000033110000}"/>
    <cellStyle name="Comma 33 3 5" xfId="4812" xr:uid="{00000000-0005-0000-0000-000034110000}"/>
    <cellStyle name="Comma 33 3 5 2" xfId="13260" xr:uid="{00000000-0005-0000-0000-000035110000}"/>
    <cellStyle name="Comma 33 3 5 2 2" xfId="30200" xr:uid="{00000000-0005-0000-0000-000036110000}"/>
    <cellStyle name="Comma 33 3 5 3" xfId="21752" xr:uid="{00000000-0005-0000-0000-000037110000}"/>
    <cellStyle name="Comma 33 3 6" xfId="9036" xr:uid="{00000000-0005-0000-0000-000038110000}"/>
    <cellStyle name="Comma 33 3 6 2" xfId="25976" xr:uid="{00000000-0005-0000-0000-000039110000}"/>
    <cellStyle name="Comma 33 3 7" xfId="17528" xr:uid="{00000000-0005-0000-0000-00003A110000}"/>
    <cellStyle name="Comma 33 4" xfId="756" xr:uid="{00000000-0005-0000-0000-00003B110000}"/>
    <cellStyle name="Comma 33 4 2" xfId="1818" xr:uid="{00000000-0005-0000-0000-00003C110000}"/>
    <cellStyle name="Comma 33 4 2 2" xfId="3930" xr:uid="{00000000-0005-0000-0000-00003D110000}"/>
    <cellStyle name="Comma 33 4 2 2 2" xfId="8156" xr:uid="{00000000-0005-0000-0000-00003E110000}"/>
    <cellStyle name="Comma 33 4 2 2 2 2" xfId="16604" xr:uid="{00000000-0005-0000-0000-00003F110000}"/>
    <cellStyle name="Comma 33 4 2 2 2 2 2" xfId="33544" xr:uid="{00000000-0005-0000-0000-000040110000}"/>
    <cellStyle name="Comma 33 4 2 2 2 3" xfId="25096" xr:uid="{00000000-0005-0000-0000-000041110000}"/>
    <cellStyle name="Comma 33 4 2 2 3" xfId="12380" xr:uid="{00000000-0005-0000-0000-000042110000}"/>
    <cellStyle name="Comma 33 4 2 2 3 2" xfId="29320" xr:uid="{00000000-0005-0000-0000-000043110000}"/>
    <cellStyle name="Comma 33 4 2 2 4" xfId="20872" xr:uid="{00000000-0005-0000-0000-000044110000}"/>
    <cellStyle name="Comma 33 4 2 3" xfId="6044" xr:uid="{00000000-0005-0000-0000-000045110000}"/>
    <cellStyle name="Comma 33 4 2 3 2" xfId="14492" xr:uid="{00000000-0005-0000-0000-000046110000}"/>
    <cellStyle name="Comma 33 4 2 3 2 2" xfId="31432" xr:uid="{00000000-0005-0000-0000-000047110000}"/>
    <cellStyle name="Comma 33 4 2 3 3" xfId="22984" xr:uid="{00000000-0005-0000-0000-000048110000}"/>
    <cellStyle name="Comma 33 4 2 4" xfId="10268" xr:uid="{00000000-0005-0000-0000-000049110000}"/>
    <cellStyle name="Comma 33 4 2 4 2" xfId="27208" xr:uid="{00000000-0005-0000-0000-00004A110000}"/>
    <cellStyle name="Comma 33 4 2 5" xfId="18760" xr:uid="{00000000-0005-0000-0000-00004B110000}"/>
    <cellStyle name="Comma 33 4 3" xfId="2874" xr:uid="{00000000-0005-0000-0000-00004C110000}"/>
    <cellStyle name="Comma 33 4 3 2" xfId="7100" xr:uid="{00000000-0005-0000-0000-00004D110000}"/>
    <cellStyle name="Comma 33 4 3 2 2" xfId="15548" xr:uid="{00000000-0005-0000-0000-00004E110000}"/>
    <cellStyle name="Comma 33 4 3 2 2 2" xfId="32488" xr:uid="{00000000-0005-0000-0000-00004F110000}"/>
    <cellStyle name="Comma 33 4 3 2 3" xfId="24040" xr:uid="{00000000-0005-0000-0000-000050110000}"/>
    <cellStyle name="Comma 33 4 3 3" xfId="11324" xr:uid="{00000000-0005-0000-0000-000051110000}"/>
    <cellStyle name="Comma 33 4 3 3 2" xfId="28264" xr:uid="{00000000-0005-0000-0000-000052110000}"/>
    <cellStyle name="Comma 33 4 3 4" xfId="19816" xr:uid="{00000000-0005-0000-0000-000053110000}"/>
    <cellStyle name="Comma 33 4 4" xfId="4988" xr:uid="{00000000-0005-0000-0000-000054110000}"/>
    <cellStyle name="Comma 33 4 4 2" xfId="13436" xr:uid="{00000000-0005-0000-0000-000055110000}"/>
    <cellStyle name="Comma 33 4 4 2 2" xfId="30376" xr:uid="{00000000-0005-0000-0000-000056110000}"/>
    <cellStyle name="Comma 33 4 4 3" xfId="21928" xr:uid="{00000000-0005-0000-0000-000057110000}"/>
    <cellStyle name="Comma 33 4 5" xfId="9212" xr:uid="{00000000-0005-0000-0000-000058110000}"/>
    <cellStyle name="Comma 33 4 5 2" xfId="26152" xr:uid="{00000000-0005-0000-0000-000059110000}"/>
    <cellStyle name="Comma 33 4 6" xfId="17704" xr:uid="{00000000-0005-0000-0000-00005A110000}"/>
    <cellStyle name="Comma 33 5" xfId="1108" xr:uid="{00000000-0005-0000-0000-00005B110000}"/>
    <cellStyle name="Comma 33 5 2" xfId="2170" xr:uid="{00000000-0005-0000-0000-00005C110000}"/>
    <cellStyle name="Comma 33 5 2 2" xfId="4282" xr:uid="{00000000-0005-0000-0000-00005D110000}"/>
    <cellStyle name="Comma 33 5 2 2 2" xfId="8508" xr:uid="{00000000-0005-0000-0000-00005E110000}"/>
    <cellStyle name="Comma 33 5 2 2 2 2" xfId="16956" xr:uid="{00000000-0005-0000-0000-00005F110000}"/>
    <cellStyle name="Comma 33 5 2 2 2 2 2" xfId="33896" xr:uid="{00000000-0005-0000-0000-000060110000}"/>
    <cellStyle name="Comma 33 5 2 2 2 3" xfId="25448" xr:uid="{00000000-0005-0000-0000-000061110000}"/>
    <cellStyle name="Comma 33 5 2 2 3" xfId="12732" xr:uid="{00000000-0005-0000-0000-000062110000}"/>
    <cellStyle name="Comma 33 5 2 2 3 2" xfId="29672" xr:uid="{00000000-0005-0000-0000-000063110000}"/>
    <cellStyle name="Comma 33 5 2 2 4" xfId="21224" xr:uid="{00000000-0005-0000-0000-000064110000}"/>
    <cellStyle name="Comma 33 5 2 3" xfId="6396" xr:uid="{00000000-0005-0000-0000-000065110000}"/>
    <cellStyle name="Comma 33 5 2 3 2" xfId="14844" xr:uid="{00000000-0005-0000-0000-000066110000}"/>
    <cellStyle name="Comma 33 5 2 3 2 2" xfId="31784" xr:uid="{00000000-0005-0000-0000-000067110000}"/>
    <cellStyle name="Comma 33 5 2 3 3" xfId="23336" xr:uid="{00000000-0005-0000-0000-000068110000}"/>
    <cellStyle name="Comma 33 5 2 4" xfId="10620" xr:uid="{00000000-0005-0000-0000-000069110000}"/>
    <cellStyle name="Comma 33 5 2 4 2" xfId="27560" xr:uid="{00000000-0005-0000-0000-00006A110000}"/>
    <cellStyle name="Comma 33 5 2 5" xfId="19112" xr:uid="{00000000-0005-0000-0000-00006B110000}"/>
    <cellStyle name="Comma 33 5 3" xfId="3226" xr:uid="{00000000-0005-0000-0000-00006C110000}"/>
    <cellStyle name="Comma 33 5 3 2" xfId="7452" xr:uid="{00000000-0005-0000-0000-00006D110000}"/>
    <cellStyle name="Comma 33 5 3 2 2" xfId="15900" xr:uid="{00000000-0005-0000-0000-00006E110000}"/>
    <cellStyle name="Comma 33 5 3 2 2 2" xfId="32840" xr:uid="{00000000-0005-0000-0000-00006F110000}"/>
    <cellStyle name="Comma 33 5 3 2 3" xfId="24392" xr:uid="{00000000-0005-0000-0000-000070110000}"/>
    <cellStyle name="Comma 33 5 3 3" xfId="11676" xr:uid="{00000000-0005-0000-0000-000071110000}"/>
    <cellStyle name="Comma 33 5 3 3 2" xfId="28616" xr:uid="{00000000-0005-0000-0000-000072110000}"/>
    <cellStyle name="Comma 33 5 3 4" xfId="20168" xr:uid="{00000000-0005-0000-0000-000073110000}"/>
    <cellStyle name="Comma 33 5 4" xfId="5340" xr:uid="{00000000-0005-0000-0000-000074110000}"/>
    <cellStyle name="Comma 33 5 4 2" xfId="13788" xr:uid="{00000000-0005-0000-0000-000075110000}"/>
    <cellStyle name="Comma 33 5 4 2 2" xfId="30728" xr:uid="{00000000-0005-0000-0000-000076110000}"/>
    <cellStyle name="Comma 33 5 4 3" xfId="22280" xr:uid="{00000000-0005-0000-0000-000077110000}"/>
    <cellStyle name="Comma 33 5 5" xfId="9564" xr:uid="{00000000-0005-0000-0000-000078110000}"/>
    <cellStyle name="Comma 33 5 5 2" xfId="26504" xr:uid="{00000000-0005-0000-0000-000079110000}"/>
    <cellStyle name="Comma 33 5 6" xfId="18056" xr:uid="{00000000-0005-0000-0000-00007A110000}"/>
    <cellStyle name="Comma 33 6" xfId="1290" xr:uid="{00000000-0005-0000-0000-00007B110000}"/>
    <cellStyle name="Comma 33 6 2" xfId="2346" xr:uid="{00000000-0005-0000-0000-00007C110000}"/>
    <cellStyle name="Comma 33 6 2 2" xfId="4458" xr:uid="{00000000-0005-0000-0000-00007D110000}"/>
    <cellStyle name="Comma 33 6 2 2 2" xfId="8684" xr:uid="{00000000-0005-0000-0000-00007E110000}"/>
    <cellStyle name="Comma 33 6 2 2 2 2" xfId="17132" xr:uid="{00000000-0005-0000-0000-00007F110000}"/>
    <cellStyle name="Comma 33 6 2 2 2 2 2" xfId="34072" xr:uid="{00000000-0005-0000-0000-000080110000}"/>
    <cellStyle name="Comma 33 6 2 2 2 3" xfId="25624" xr:uid="{00000000-0005-0000-0000-000081110000}"/>
    <cellStyle name="Comma 33 6 2 2 3" xfId="12908" xr:uid="{00000000-0005-0000-0000-000082110000}"/>
    <cellStyle name="Comma 33 6 2 2 3 2" xfId="29848" xr:uid="{00000000-0005-0000-0000-000083110000}"/>
    <cellStyle name="Comma 33 6 2 2 4" xfId="21400" xr:uid="{00000000-0005-0000-0000-000084110000}"/>
    <cellStyle name="Comma 33 6 2 3" xfId="6572" xr:uid="{00000000-0005-0000-0000-000085110000}"/>
    <cellStyle name="Comma 33 6 2 3 2" xfId="15020" xr:uid="{00000000-0005-0000-0000-000086110000}"/>
    <cellStyle name="Comma 33 6 2 3 2 2" xfId="31960" xr:uid="{00000000-0005-0000-0000-000087110000}"/>
    <cellStyle name="Comma 33 6 2 3 3" xfId="23512" xr:uid="{00000000-0005-0000-0000-000088110000}"/>
    <cellStyle name="Comma 33 6 2 4" xfId="10796" xr:uid="{00000000-0005-0000-0000-000089110000}"/>
    <cellStyle name="Comma 33 6 2 4 2" xfId="27736" xr:uid="{00000000-0005-0000-0000-00008A110000}"/>
    <cellStyle name="Comma 33 6 2 5" xfId="19288" xr:uid="{00000000-0005-0000-0000-00008B110000}"/>
    <cellStyle name="Comma 33 6 3" xfId="3402" xr:uid="{00000000-0005-0000-0000-00008C110000}"/>
    <cellStyle name="Comma 33 6 3 2" xfId="7628" xr:uid="{00000000-0005-0000-0000-00008D110000}"/>
    <cellStyle name="Comma 33 6 3 2 2" xfId="16076" xr:uid="{00000000-0005-0000-0000-00008E110000}"/>
    <cellStyle name="Comma 33 6 3 2 2 2" xfId="33016" xr:uid="{00000000-0005-0000-0000-00008F110000}"/>
    <cellStyle name="Comma 33 6 3 2 3" xfId="24568" xr:uid="{00000000-0005-0000-0000-000090110000}"/>
    <cellStyle name="Comma 33 6 3 3" xfId="11852" xr:uid="{00000000-0005-0000-0000-000091110000}"/>
    <cellStyle name="Comma 33 6 3 3 2" xfId="28792" xr:uid="{00000000-0005-0000-0000-000092110000}"/>
    <cellStyle name="Comma 33 6 3 4" xfId="20344" xr:uid="{00000000-0005-0000-0000-000093110000}"/>
    <cellStyle name="Comma 33 6 4" xfId="5516" xr:uid="{00000000-0005-0000-0000-000094110000}"/>
    <cellStyle name="Comma 33 6 4 2" xfId="13964" xr:uid="{00000000-0005-0000-0000-000095110000}"/>
    <cellStyle name="Comma 33 6 4 2 2" xfId="30904" xr:uid="{00000000-0005-0000-0000-000096110000}"/>
    <cellStyle name="Comma 33 6 4 3" xfId="22456" xr:uid="{00000000-0005-0000-0000-000097110000}"/>
    <cellStyle name="Comma 33 6 5" xfId="9740" xr:uid="{00000000-0005-0000-0000-000098110000}"/>
    <cellStyle name="Comma 33 6 5 2" xfId="26680" xr:uid="{00000000-0005-0000-0000-000099110000}"/>
    <cellStyle name="Comma 33 6 6" xfId="18232" xr:uid="{00000000-0005-0000-0000-00009A110000}"/>
    <cellStyle name="Comma 33 7" xfId="1466" xr:uid="{00000000-0005-0000-0000-00009B110000}"/>
    <cellStyle name="Comma 33 7 2" xfId="3578" xr:uid="{00000000-0005-0000-0000-00009C110000}"/>
    <cellStyle name="Comma 33 7 2 2" xfId="7804" xr:uid="{00000000-0005-0000-0000-00009D110000}"/>
    <cellStyle name="Comma 33 7 2 2 2" xfId="16252" xr:uid="{00000000-0005-0000-0000-00009E110000}"/>
    <cellStyle name="Comma 33 7 2 2 2 2" xfId="33192" xr:uid="{00000000-0005-0000-0000-00009F110000}"/>
    <cellStyle name="Comma 33 7 2 2 3" xfId="24744" xr:uid="{00000000-0005-0000-0000-0000A0110000}"/>
    <cellStyle name="Comma 33 7 2 3" xfId="12028" xr:uid="{00000000-0005-0000-0000-0000A1110000}"/>
    <cellStyle name="Comma 33 7 2 3 2" xfId="28968" xr:uid="{00000000-0005-0000-0000-0000A2110000}"/>
    <cellStyle name="Comma 33 7 2 4" xfId="20520" xr:uid="{00000000-0005-0000-0000-0000A3110000}"/>
    <cellStyle name="Comma 33 7 3" xfId="5692" xr:uid="{00000000-0005-0000-0000-0000A4110000}"/>
    <cellStyle name="Comma 33 7 3 2" xfId="14140" xr:uid="{00000000-0005-0000-0000-0000A5110000}"/>
    <cellStyle name="Comma 33 7 3 2 2" xfId="31080" xr:uid="{00000000-0005-0000-0000-0000A6110000}"/>
    <cellStyle name="Comma 33 7 3 3" xfId="22632" xr:uid="{00000000-0005-0000-0000-0000A7110000}"/>
    <cellStyle name="Comma 33 7 4" xfId="9916" xr:uid="{00000000-0005-0000-0000-0000A8110000}"/>
    <cellStyle name="Comma 33 7 4 2" xfId="26856" xr:uid="{00000000-0005-0000-0000-0000A9110000}"/>
    <cellStyle name="Comma 33 7 5" xfId="18408" xr:uid="{00000000-0005-0000-0000-0000AA110000}"/>
    <cellStyle name="Comma 33 8" xfId="2522" xr:uid="{00000000-0005-0000-0000-0000AB110000}"/>
    <cellStyle name="Comma 33 8 2" xfId="6748" xr:uid="{00000000-0005-0000-0000-0000AC110000}"/>
    <cellStyle name="Comma 33 8 2 2" xfId="15196" xr:uid="{00000000-0005-0000-0000-0000AD110000}"/>
    <cellStyle name="Comma 33 8 2 2 2" xfId="32136" xr:uid="{00000000-0005-0000-0000-0000AE110000}"/>
    <cellStyle name="Comma 33 8 2 3" xfId="23688" xr:uid="{00000000-0005-0000-0000-0000AF110000}"/>
    <cellStyle name="Comma 33 8 3" xfId="10972" xr:uid="{00000000-0005-0000-0000-0000B0110000}"/>
    <cellStyle name="Comma 33 8 3 2" xfId="27912" xr:uid="{00000000-0005-0000-0000-0000B1110000}"/>
    <cellStyle name="Comma 33 8 4" xfId="19464" xr:uid="{00000000-0005-0000-0000-0000B2110000}"/>
    <cellStyle name="Comma 33 9" xfId="4635" xr:uid="{00000000-0005-0000-0000-0000B3110000}"/>
    <cellStyle name="Comma 33 9 2" xfId="13084" xr:uid="{00000000-0005-0000-0000-0000B4110000}"/>
    <cellStyle name="Comma 33 9 2 2" xfId="30024" xr:uid="{00000000-0005-0000-0000-0000B5110000}"/>
    <cellStyle name="Comma 33 9 3" xfId="21576" xr:uid="{00000000-0005-0000-0000-0000B6110000}"/>
    <cellStyle name="Comma 34" xfId="126" xr:uid="{00000000-0005-0000-0000-0000B7110000}"/>
    <cellStyle name="Comma 34 10" xfId="8862" xr:uid="{00000000-0005-0000-0000-0000B8110000}"/>
    <cellStyle name="Comma 34 10 2" xfId="25802" xr:uid="{00000000-0005-0000-0000-0000B9110000}"/>
    <cellStyle name="Comma 34 11" xfId="17330" xr:uid="{00000000-0005-0000-0000-0000BA110000}"/>
    <cellStyle name="Comma 34 2" xfId="127" xr:uid="{00000000-0005-0000-0000-0000BB110000}"/>
    <cellStyle name="Comma 34 2 10" xfId="17331" xr:uid="{00000000-0005-0000-0000-0000BC110000}"/>
    <cellStyle name="Comma 34 2 2" xfId="582" xr:uid="{00000000-0005-0000-0000-0000BD110000}"/>
    <cellStyle name="Comma 34 2 2 2" xfId="935" xr:uid="{00000000-0005-0000-0000-0000BE110000}"/>
    <cellStyle name="Comma 34 2 2 2 2" xfId="1997" xr:uid="{00000000-0005-0000-0000-0000BF110000}"/>
    <cellStyle name="Comma 34 2 2 2 2 2" xfId="4109" xr:uid="{00000000-0005-0000-0000-0000C0110000}"/>
    <cellStyle name="Comma 34 2 2 2 2 2 2" xfId="8335" xr:uid="{00000000-0005-0000-0000-0000C1110000}"/>
    <cellStyle name="Comma 34 2 2 2 2 2 2 2" xfId="16783" xr:uid="{00000000-0005-0000-0000-0000C2110000}"/>
    <cellStyle name="Comma 34 2 2 2 2 2 2 2 2" xfId="33723" xr:uid="{00000000-0005-0000-0000-0000C3110000}"/>
    <cellStyle name="Comma 34 2 2 2 2 2 2 3" xfId="25275" xr:uid="{00000000-0005-0000-0000-0000C4110000}"/>
    <cellStyle name="Comma 34 2 2 2 2 2 3" xfId="12559" xr:uid="{00000000-0005-0000-0000-0000C5110000}"/>
    <cellStyle name="Comma 34 2 2 2 2 2 3 2" xfId="29499" xr:uid="{00000000-0005-0000-0000-0000C6110000}"/>
    <cellStyle name="Comma 34 2 2 2 2 2 4" xfId="21051" xr:uid="{00000000-0005-0000-0000-0000C7110000}"/>
    <cellStyle name="Comma 34 2 2 2 2 3" xfId="6223" xr:uid="{00000000-0005-0000-0000-0000C8110000}"/>
    <cellStyle name="Comma 34 2 2 2 2 3 2" xfId="14671" xr:uid="{00000000-0005-0000-0000-0000C9110000}"/>
    <cellStyle name="Comma 34 2 2 2 2 3 2 2" xfId="31611" xr:uid="{00000000-0005-0000-0000-0000CA110000}"/>
    <cellStyle name="Comma 34 2 2 2 2 3 3" xfId="23163" xr:uid="{00000000-0005-0000-0000-0000CB110000}"/>
    <cellStyle name="Comma 34 2 2 2 2 4" xfId="10447" xr:uid="{00000000-0005-0000-0000-0000CC110000}"/>
    <cellStyle name="Comma 34 2 2 2 2 4 2" xfId="27387" xr:uid="{00000000-0005-0000-0000-0000CD110000}"/>
    <cellStyle name="Comma 34 2 2 2 2 5" xfId="18939" xr:uid="{00000000-0005-0000-0000-0000CE110000}"/>
    <cellStyle name="Comma 34 2 2 2 3" xfId="3053" xr:uid="{00000000-0005-0000-0000-0000CF110000}"/>
    <cellStyle name="Comma 34 2 2 2 3 2" xfId="7279" xr:uid="{00000000-0005-0000-0000-0000D0110000}"/>
    <cellStyle name="Comma 34 2 2 2 3 2 2" xfId="15727" xr:uid="{00000000-0005-0000-0000-0000D1110000}"/>
    <cellStyle name="Comma 34 2 2 2 3 2 2 2" xfId="32667" xr:uid="{00000000-0005-0000-0000-0000D2110000}"/>
    <cellStyle name="Comma 34 2 2 2 3 2 3" xfId="24219" xr:uid="{00000000-0005-0000-0000-0000D3110000}"/>
    <cellStyle name="Comma 34 2 2 2 3 3" xfId="11503" xr:uid="{00000000-0005-0000-0000-0000D4110000}"/>
    <cellStyle name="Comma 34 2 2 2 3 3 2" xfId="28443" xr:uid="{00000000-0005-0000-0000-0000D5110000}"/>
    <cellStyle name="Comma 34 2 2 2 3 4" xfId="19995" xr:uid="{00000000-0005-0000-0000-0000D6110000}"/>
    <cellStyle name="Comma 34 2 2 2 4" xfId="5167" xr:uid="{00000000-0005-0000-0000-0000D7110000}"/>
    <cellStyle name="Comma 34 2 2 2 4 2" xfId="13615" xr:uid="{00000000-0005-0000-0000-0000D8110000}"/>
    <cellStyle name="Comma 34 2 2 2 4 2 2" xfId="30555" xr:uid="{00000000-0005-0000-0000-0000D9110000}"/>
    <cellStyle name="Comma 34 2 2 2 4 3" xfId="22107" xr:uid="{00000000-0005-0000-0000-0000DA110000}"/>
    <cellStyle name="Comma 34 2 2 2 5" xfId="9391" xr:uid="{00000000-0005-0000-0000-0000DB110000}"/>
    <cellStyle name="Comma 34 2 2 2 5 2" xfId="26331" xr:uid="{00000000-0005-0000-0000-0000DC110000}"/>
    <cellStyle name="Comma 34 2 2 2 6" xfId="17883" xr:uid="{00000000-0005-0000-0000-0000DD110000}"/>
    <cellStyle name="Comma 34 2 2 3" xfId="1645" xr:uid="{00000000-0005-0000-0000-0000DE110000}"/>
    <cellStyle name="Comma 34 2 2 3 2" xfId="3757" xr:uid="{00000000-0005-0000-0000-0000DF110000}"/>
    <cellStyle name="Comma 34 2 2 3 2 2" xfId="7983" xr:uid="{00000000-0005-0000-0000-0000E0110000}"/>
    <cellStyle name="Comma 34 2 2 3 2 2 2" xfId="16431" xr:uid="{00000000-0005-0000-0000-0000E1110000}"/>
    <cellStyle name="Comma 34 2 2 3 2 2 2 2" xfId="33371" xr:uid="{00000000-0005-0000-0000-0000E2110000}"/>
    <cellStyle name="Comma 34 2 2 3 2 2 3" xfId="24923" xr:uid="{00000000-0005-0000-0000-0000E3110000}"/>
    <cellStyle name="Comma 34 2 2 3 2 3" xfId="12207" xr:uid="{00000000-0005-0000-0000-0000E4110000}"/>
    <cellStyle name="Comma 34 2 2 3 2 3 2" xfId="29147" xr:uid="{00000000-0005-0000-0000-0000E5110000}"/>
    <cellStyle name="Comma 34 2 2 3 2 4" xfId="20699" xr:uid="{00000000-0005-0000-0000-0000E6110000}"/>
    <cellStyle name="Comma 34 2 2 3 3" xfId="5871" xr:uid="{00000000-0005-0000-0000-0000E7110000}"/>
    <cellStyle name="Comma 34 2 2 3 3 2" xfId="14319" xr:uid="{00000000-0005-0000-0000-0000E8110000}"/>
    <cellStyle name="Comma 34 2 2 3 3 2 2" xfId="31259" xr:uid="{00000000-0005-0000-0000-0000E9110000}"/>
    <cellStyle name="Comma 34 2 2 3 3 3" xfId="22811" xr:uid="{00000000-0005-0000-0000-0000EA110000}"/>
    <cellStyle name="Comma 34 2 2 3 4" xfId="10095" xr:uid="{00000000-0005-0000-0000-0000EB110000}"/>
    <cellStyle name="Comma 34 2 2 3 4 2" xfId="27035" xr:uid="{00000000-0005-0000-0000-0000EC110000}"/>
    <cellStyle name="Comma 34 2 2 3 5" xfId="18587" xr:uid="{00000000-0005-0000-0000-0000ED110000}"/>
    <cellStyle name="Comma 34 2 2 4" xfId="2701" xr:uid="{00000000-0005-0000-0000-0000EE110000}"/>
    <cellStyle name="Comma 34 2 2 4 2" xfId="6927" xr:uid="{00000000-0005-0000-0000-0000EF110000}"/>
    <cellStyle name="Comma 34 2 2 4 2 2" xfId="15375" xr:uid="{00000000-0005-0000-0000-0000F0110000}"/>
    <cellStyle name="Comma 34 2 2 4 2 2 2" xfId="32315" xr:uid="{00000000-0005-0000-0000-0000F1110000}"/>
    <cellStyle name="Comma 34 2 2 4 2 3" xfId="23867" xr:uid="{00000000-0005-0000-0000-0000F2110000}"/>
    <cellStyle name="Comma 34 2 2 4 3" xfId="11151" xr:uid="{00000000-0005-0000-0000-0000F3110000}"/>
    <cellStyle name="Comma 34 2 2 4 3 2" xfId="28091" xr:uid="{00000000-0005-0000-0000-0000F4110000}"/>
    <cellStyle name="Comma 34 2 2 4 4" xfId="19643" xr:uid="{00000000-0005-0000-0000-0000F5110000}"/>
    <cellStyle name="Comma 34 2 2 5" xfId="4815" xr:uid="{00000000-0005-0000-0000-0000F6110000}"/>
    <cellStyle name="Comma 34 2 2 5 2" xfId="13263" xr:uid="{00000000-0005-0000-0000-0000F7110000}"/>
    <cellStyle name="Comma 34 2 2 5 2 2" xfId="30203" xr:uid="{00000000-0005-0000-0000-0000F8110000}"/>
    <cellStyle name="Comma 34 2 2 5 3" xfId="21755" xr:uid="{00000000-0005-0000-0000-0000F9110000}"/>
    <cellStyle name="Comma 34 2 2 6" xfId="9039" xr:uid="{00000000-0005-0000-0000-0000FA110000}"/>
    <cellStyle name="Comma 34 2 2 6 2" xfId="25979" xr:uid="{00000000-0005-0000-0000-0000FB110000}"/>
    <cellStyle name="Comma 34 2 2 7" xfId="17531" xr:uid="{00000000-0005-0000-0000-0000FC110000}"/>
    <cellStyle name="Comma 34 2 3" xfId="759" xr:uid="{00000000-0005-0000-0000-0000FD110000}"/>
    <cellStyle name="Comma 34 2 3 2" xfId="1821" xr:uid="{00000000-0005-0000-0000-0000FE110000}"/>
    <cellStyle name="Comma 34 2 3 2 2" xfId="3933" xr:uid="{00000000-0005-0000-0000-0000FF110000}"/>
    <cellStyle name="Comma 34 2 3 2 2 2" xfId="8159" xr:uid="{00000000-0005-0000-0000-000000120000}"/>
    <cellStyle name="Comma 34 2 3 2 2 2 2" xfId="16607" xr:uid="{00000000-0005-0000-0000-000001120000}"/>
    <cellStyle name="Comma 34 2 3 2 2 2 2 2" xfId="33547" xr:uid="{00000000-0005-0000-0000-000002120000}"/>
    <cellStyle name="Comma 34 2 3 2 2 2 3" xfId="25099" xr:uid="{00000000-0005-0000-0000-000003120000}"/>
    <cellStyle name="Comma 34 2 3 2 2 3" xfId="12383" xr:uid="{00000000-0005-0000-0000-000004120000}"/>
    <cellStyle name="Comma 34 2 3 2 2 3 2" xfId="29323" xr:uid="{00000000-0005-0000-0000-000005120000}"/>
    <cellStyle name="Comma 34 2 3 2 2 4" xfId="20875" xr:uid="{00000000-0005-0000-0000-000006120000}"/>
    <cellStyle name="Comma 34 2 3 2 3" xfId="6047" xr:uid="{00000000-0005-0000-0000-000007120000}"/>
    <cellStyle name="Comma 34 2 3 2 3 2" xfId="14495" xr:uid="{00000000-0005-0000-0000-000008120000}"/>
    <cellStyle name="Comma 34 2 3 2 3 2 2" xfId="31435" xr:uid="{00000000-0005-0000-0000-000009120000}"/>
    <cellStyle name="Comma 34 2 3 2 3 3" xfId="22987" xr:uid="{00000000-0005-0000-0000-00000A120000}"/>
    <cellStyle name="Comma 34 2 3 2 4" xfId="10271" xr:uid="{00000000-0005-0000-0000-00000B120000}"/>
    <cellStyle name="Comma 34 2 3 2 4 2" xfId="27211" xr:uid="{00000000-0005-0000-0000-00000C120000}"/>
    <cellStyle name="Comma 34 2 3 2 5" xfId="18763" xr:uid="{00000000-0005-0000-0000-00000D120000}"/>
    <cellStyle name="Comma 34 2 3 3" xfId="2877" xr:uid="{00000000-0005-0000-0000-00000E120000}"/>
    <cellStyle name="Comma 34 2 3 3 2" xfId="7103" xr:uid="{00000000-0005-0000-0000-00000F120000}"/>
    <cellStyle name="Comma 34 2 3 3 2 2" xfId="15551" xr:uid="{00000000-0005-0000-0000-000010120000}"/>
    <cellStyle name="Comma 34 2 3 3 2 2 2" xfId="32491" xr:uid="{00000000-0005-0000-0000-000011120000}"/>
    <cellStyle name="Comma 34 2 3 3 2 3" xfId="24043" xr:uid="{00000000-0005-0000-0000-000012120000}"/>
    <cellStyle name="Comma 34 2 3 3 3" xfId="11327" xr:uid="{00000000-0005-0000-0000-000013120000}"/>
    <cellStyle name="Comma 34 2 3 3 3 2" xfId="28267" xr:uid="{00000000-0005-0000-0000-000014120000}"/>
    <cellStyle name="Comma 34 2 3 3 4" xfId="19819" xr:uid="{00000000-0005-0000-0000-000015120000}"/>
    <cellStyle name="Comma 34 2 3 4" xfId="4991" xr:uid="{00000000-0005-0000-0000-000016120000}"/>
    <cellStyle name="Comma 34 2 3 4 2" xfId="13439" xr:uid="{00000000-0005-0000-0000-000017120000}"/>
    <cellStyle name="Comma 34 2 3 4 2 2" xfId="30379" xr:uid="{00000000-0005-0000-0000-000018120000}"/>
    <cellStyle name="Comma 34 2 3 4 3" xfId="21931" xr:uid="{00000000-0005-0000-0000-000019120000}"/>
    <cellStyle name="Comma 34 2 3 5" xfId="9215" xr:uid="{00000000-0005-0000-0000-00001A120000}"/>
    <cellStyle name="Comma 34 2 3 5 2" xfId="26155" xr:uid="{00000000-0005-0000-0000-00001B120000}"/>
    <cellStyle name="Comma 34 2 3 6" xfId="17707" xr:uid="{00000000-0005-0000-0000-00001C120000}"/>
    <cellStyle name="Comma 34 2 4" xfId="1111" xr:uid="{00000000-0005-0000-0000-00001D120000}"/>
    <cellStyle name="Comma 34 2 4 2" xfId="2173" xr:uid="{00000000-0005-0000-0000-00001E120000}"/>
    <cellStyle name="Comma 34 2 4 2 2" xfId="4285" xr:uid="{00000000-0005-0000-0000-00001F120000}"/>
    <cellStyle name="Comma 34 2 4 2 2 2" xfId="8511" xr:uid="{00000000-0005-0000-0000-000020120000}"/>
    <cellStyle name="Comma 34 2 4 2 2 2 2" xfId="16959" xr:uid="{00000000-0005-0000-0000-000021120000}"/>
    <cellStyle name="Comma 34 2 4 2 2 2 2 2" xfId="33899" xr:uid="{00000000-0005-0000-0000-000022120000}"/>
    <cellStyle name="Comma 34 2 4 2 2 2 3" xfId="25451" xr:uid="{00000000-0005-0000-0000-000023120000}"/>
    <cellStyle name="Comma 34 2 4 2 2 3" xfId="12735" xr:uid="{00000000-0005-0000-0000-000024120000}"/>
    <cellStyle name="Comma 34 2 4 2 2 3 2" xfId="29675" xr:uid="{00000000-0005-0000-0000-000025120000}"/>
    <cellStyle name="Comma 34 2 4 2 2 4" xfId="21227" xr:uid="{00000000-0005-0000-0000-000026120000}"/>
    <cellStyle name="Comma 34 2 4 2 3" xfId="6399" xr:uid="{00000000-0005-0000-0000-000027120000}"/>
    <cellStyle name="Comma 34 2 4 2 3 2" xfId="14847" xr:uid="{00000000-0005-0000-0000-000028120000}"/>
    <cellStyle name="Comma 34 2 4 2 3 2 2" xfId="31787" xr:uid="{00000000-0005-0000-0000-000029120000}"/>
    <cellStyle name="Comma 34 2 4 2 3 3" xfId="23339" xr:uid="{00000000-0005-0000-0000-00002A120000}"/>
    <cellStyle name="Comma 34 2 4 2 4" xfId="10623" xr:uid="{00000000-0005-0000-0000-00002B120000}"/>
    <cellStyle name="Comma 34 2 4 2 4 2" xfId="27563" xr:uid="{00000000-0005-0000-0000-00002C120000}"/>
    <cellStyle name="Comma 34 2 4 2 5" xfId="19115" xr:uid="{00000000-0005-0000-0000-00002D120000}"/>
    <cellStyle name="Comma 34 2 4 3" xfId="3229" xr:uid="{00000000-0005-0000-0000-00002E120000}"/>
    <cellStyle name="Comma 34 2 4 3 2" xfId="7455" xr:uid="{00000000-0005-0000-0000-00002F120000}"/>
    <cellStyle name="Comma 34 2 4 3 2 2" xfId="15903" xr:uid="{00000000-0005-0000-0000-000030120000}"/>
    <cellStyle name="Comma 34 2 4 3 2 2 2" xfId="32843" xr:uid="{00000000-0005-0000-0000-000031120000}"/>
    <cellStyle name="Comma 34 2 4 3 2 3" xfId="24395" xr:uid="{00000000-0005-0000-0000-000032120000}"/>
    <cellStyle name="Comma 34 2 4 3 3" xfId="11679" xr:uid="{00000000-0005-0000-0000-000033120000}"/>
    <cellStyle name="Comma 34 2 4 3 3 2" xfId="28619" xr:uid="{00000000-0005-0000-0000-000034120000}"/>
    <cellStyle name="Comma 34 2 4 3 4" xfId="20171" xr:uid="{00000000-0005-0000-0000-000035120000}"/>
    <cellStyle name="Comma 34 2 4 4" xfId="5343" xr:uid="{00000000-0005-0000-0000-000036120000}"/>
    <cellStyle name="Comma 34 2 4 4 2" xfId="13791" xr:uid="{00000000-0005-0000-0000-000037120000}"/>
    <cellStyle name="Comma 34 2 4 4 2 2" xfId="30731" xr:uid="{00000000-0005-0000-0000-000038120000}"/>
    <cellStyle name="Comma 34 2 4 4 3" xfId="22283" xr:uid="{00000000-0005-0000-0000-000039120000}"/>
    <cellStyle name="Comma 34 2 4 5" xfId="9567" xr:uid="{00000000-0005-0000-0000-00003A120000}"/>
    <cellStyle name="Comma 34 2 4 5 2" xfId="26507" xr:uid="{00000000-0005-0000-0000-00003B120000}"/>
    <cellStyle name="Comma 34 2 4 6" xfId="18059" xr:uid="{00000000-0005-0000-0000-00003C120000}"/>
    <cellStyle name="Comma 34 2 5" xfId="1293" xr:uid="{00000000-0005-0000-0000-00003D120000}"/>
    <cellStyle name="Comma 34 2 5 2" xfId="2349" xr:uid="{00000000-0005-0000-0000-00003E120000}"/>
    <cellStyle name="Comma 34 2 5 2 2" xfId="4461" xr:uid="{00000000-0005-0000-0000-00003F120000}"/>
    <cellStyle name="Comma 34 2 5 2 2 2" xfId="8687" xr:uid="{00000000-0005-0000-0000-000040120000}"/>
    <cellStyle name="Comma 34 2 5 2 2 2 2" xfId="17135" xr:uid="{00000000-0005-0000-0000-000041120000}"/>
    <cellStyle name="Comma 34 2 5 2 2 2 2 2" xfId="34075" xr:uid="{00000000-0005-0000-0000-000042120000}"/>
    <cellStyle name="Comma 34 2 5 2 2 2 3" xfId="25627" xr:uid="{00000000-0005-0000-0000-000043120000}"/>
    <cellStyle name="Comma 34 2 5 2 2 3" xfId="12911" xr:uid="{00000000-0005-0000-0000-000044120000}"/>
    <cellStyle name="Comma 34 2 5 2 2 3 2" xfId="29851" xr:uid="{00000000-0005-0000-0000-000045120000}"/>
    <cellStyle name="Comma 34 2 5 2 2 4" xfId="21403" xr:uid="{00000000-0005-0000-0000-000046120000}"/>
    <cellStyle name="Comma 34 2 5 2 3" xfId="6575" xr:uid="{00000000-0005-0000-0000-000047120000}"/>
    <cellStyle name="Comma 34 2 5 2 3 2" xfId="15023" xr:uid="{00000000-0005-0000-0000-000048120000}"/>
    <cellStyle name="Comma 34 2 5 2 3 2 2" xfId="31963" xr:uid="{00000000-0005-0000-0000-000049120000}"/>
    <cellStyle name="Comma 34 2 5 2 3 3" xfId="23515" xr:uid="{00000000-0005-0000-0000-00004A120000}"/>
    <cellStyle name="Comma 34 2 5 2 4" xfId="10799" xr:uid="{00000000-0005-0000-0000-00004B120000}"/>
    <cellStyle name="Comma 34 2 5 2 4 2" xfId="27739" xr:uid="{00000000-0005-0000-0000-00004C120000}"/>
    <cellStyle name="Comma 34 2 5 2 5" xfId="19291" xr:uid="{00000000-0005-0000-0000-00004D120000}"/>
    <cellStyle name="Comma 34 2 5 3" xfId="3405" xr:uid="{00000000-0005-0000-0000-00004E120000}"/>
    <cellStyle name="Comma 34 2 5 3 2" xfId="7631" xr:uid="{00000000-0005-0000-0000-00004F120000}"/>
    <cellStyle name="Comma 34 2 5 3 2 2" xfId="16079" xr:uid="{00000000-0005-0000-0000-000050120000}"/>
    <cellStyle name="Comma 34 2 5 3 2 2 2" xfId="33019" xr:uid="{00000000-0005-0000-0000-000051120000}"/>
    <cellStyle name="Comma 34 2 5 3 2 3" xfId="24571" xr:uid="{00000000-0005-0000-0000-000052120000}"/>
    <cellStyle name="Comma 34 2 5 3 3" xfId="11855" xr:uid="{00000000-0005-0000-0000-000053120000}"/>
    <cellStyle name="Comma 34 2 5 3 3 2" xfId="28795" xr:uid="{00000000-0005-0000-0000-000054120000}"/>
    <cellStyle name="Comma 34 2 5 3 4" xfId="20347" xr:uid="{00000000-0005-0000-0000-000055120000}"/>
    <cellStyle name="Comma 34 2 5 4" xfId="5519" xr:uid="{00000000-0005-0000-0000-000056120000}"/>
    <cellStyle name="Comma 34 2 5 4 2" xfId="13967" xr:uid="{00000000-0005-0000-0000-000057120000}"/>
    <cellStyle name="Comma 34 2 5 4 2 2" xfId="30907" xr:uid="{00000000-0005-0000-0000-000058120000}"/>
    <cellStyle name="Comma 34 2 5 4 3" xfId="22459" xr:uid="{00000000-0005-0000-0000-000059120000}"/>
    <cellStyle name="Comma 34 2 5 5" xfId="9743" xr:uid="{00000000-0005-0000-0000-00005A120000}"/>
    <cellStyle name="Comma 34 2 5 5 2" xfId="26683" xr:uid="{00000000-0005-0000-0000-00005B120000}"/>
    <cellStyle name="Comma 34 2 5 6" xfId="18235" xr:uid="{00000000-0005-0000-0000-00005C120000}"/>
    <cellStyle name="Comma 34 2 6" xfId="1469" xr:uid="{00000000-0005-0000-0000-00005D120000}"/>
    <cellStyle name="Comma 34 2 6 2" xfId="3581" xr:uid="{00000000-0005-0000-0000-00005E120000}"/>
    <cellStyle name="Comma 34 2 6 2 2" xfId="7807" xr:uid="{00000000-0005-0000-0000-00005F120000}"/>
    <cellStyle name="Comma 34 2 6 2 2 2" xfId="16255" xr:uid="{00000000-0005-0000-0000-000060120000}"/>
    <cellStyle name="Comma 34 2 6 2 2 2 2" xfId="33195" xr:uid="{00000000-0005-0000-0000-000061120000}"/>
    <cellStyle name="Comma 34 2 6 2 2 3" xfId="24747" xr:uid="{00000000-0005-0000-0000-000062120000}"/>
    <cellStyle name="Comma 34 2 6 2 3" xfId="12031" xr:uid="{00000000-0005-0000-0000-000063120000}"/>
    <cellStyle name="Comma 34 2 6 2 3 2" xfId="28971" xr:uid="{00000000-0005-0000-0000-000064120000}"/>
    <cellStyle name="Comma 34 2 6 2 4" xfId="20523" xr:uid="{00000000-0005-0000-0000-000065120000}"/>
    <cellStyle name="Comma 34 2 6 3" xfId="5695" xr:uid="{00000000-0005-0000-0000-000066120000}"/>
    <cellStyle name="Comma 34 2 6 3 2" xfId="14143" xr:uid="{00000000-0005-0000-0000-000067120000}"/>
    <cellStyle name="Comma 34 2 6 3 2 2" xfId="31083" xr:uid="{00000000-0005-0000-0000-000068120000}"/>
    <cellStyle name="Comma 34 2 6 3 3" xfId="22635" xr:uid="{00000000-0005-0000-0000-000069120000}"/>
    <cellStyle name="Comma 34 2 6 4" xfId="9919" xr:uid="{00000000-0005-0000-0000-00006A120000}"/>
    <cellStyle name="Comma 34 2 6 4 2" xfId="26859" xr:uid="{00000000-0005-0000-0000-00006B120000}"/>
    <cellStyle name="Comma 34 2 6 5" xfId="18411" xr:uid="{00000000-0005-0000-0000-00006C120000}"/>
    <cellStyle name="Comma 34 2 7" xfId="2525" xr:uid="{00000000-0005-0000-0000-00006D120000}"/>
    <cellStyle name="Comma 34 2 7 2" xfId="6751" xr:uid="{00000000-0005-0000-0000-00006E120000}"/>
    <cellStyle name="Comma 34 2 7 2 2" xfId="15199" xr:uid="{00000000-0005-0000-0000-00006F120000}"/>
    <cellStyle name="Comma 34 2 7 2 2 2" xfId="32139" xr:uid="{00000000-0005-0000-0000-000070120000}"/>
    <cellStyle name="Comma 34 2 7 2 3" xfId="23691" xr:uid="{00000000-0005-0000-0000-000071120000}"/>
    <cellStyle name="Comma 34 2 7 3" xfId="10975" xr:uid="{00000000-0005-0000-0000-000072120000}"/>
    <cellStyle name="Comma 34 2 7 3 2" xfId="27915" xr:uid="{00000000-0005-0000-0000-000073120000}"/>
    <cellStyle name="Comma 34 2 7 4" xfId="19467" xr:uid="{00000000-0005-0000-0000-000074120000}"/>
    <cellStyle name="Comma 34 2 8" xfId="4638" xr:uid="{00000000-0005-0000-0000-000075120000}"/>
    <cellStyle name="Comma 34 2 8 2" xfId="13087" xr:uid="{00000000-0005-0000-0000-000076120000}"/>
    <cellStyle name="Comma 34 2 8 2 2" xfId="30027" xr:uid="{00000000-0005-0000-0000-000077120000}"/>
    <cellStyle name="Comma 34 2 8 3" xfId="21579" xr:uid="{00000000-0005-0000-0000-000078120000}"/>
    <cellStyle name="Comma 34 2 9" xfId="8863" xr:uid="{00000000-0005-0000-0000-000079120000}"/>
    <cellStyle name="Comma 34 2 9 2" xfId="25803" xr:uid="{00000000-0005-0000-0000-00007A120000}"/>
    <cellStyle name="Comma 34 3" xfId="581" xr:uid="{00000000-0005-0000-0000-00007B120000}"/>
    <cellStyle name="Comma 34 3 2" xfId="934" xr:uid="{00000000-0005-0000-0000-00007C120000}"/>
    <cellStyle name="Comma 34 3 2 2" xfId="1996" xr:uid="{00000000-0005-0000-0000-00007D120000}"/>
    <cellStyle name="Comma 34 3 2 2 2" xfId="4108" xr:uid="{00000000-0005-0000-0000-00007E120000}"/>
    <cellStyle name="Comma 34 3 2 2 2 2" xfId="8334" xr:uid="{00000000-0005-0000-0000-00007F120000}"/>
    <cellStyle name="Comma 34 3 2 2 2 2 2" xfId="16782" xr:uid="{00000000-0005-0000-0000-000080120000}"/>
    <cellStyle name="Comma 34 3 2 2 2 2 2 2" xfId="33722" xr:uid="{00000000-0005-0000-0000-000081120000}"/>
    <cellStyle name="Comma 34 3 2 2 2 2 3" xfId="25274" xr:uid="{00000000-0005-0000-0000-000082120000}"/>
    <cellStyle name="Comma 34 3 2 2 2 3" xfId="12558" xr:uid="{00000000-0005-0000-0000-000083120000}"/>
    <cellStyle name="Comma 34 3 2 2 2 3 2" xfId="29498" xr:uid="{00000000-0005-0000-0000-000084120000}"/>
    <cellStyle name="Comma 34 3 2 2 2 4" xfId="21050" xr:uid="{00000000-0005-0000-0000-000085120000}"/>
    <cellStyle name="Comma 34 3 2 2 3" xfId="6222" xr:uid="{00000000-0005-0000-0000-000086120000}"/>
    <cellStyle name="Comma 34 3 2 2 3 2" xfId="14670" xr:uid="{00000000-0005-0000-0000-000087120000}"/>
    <cellStyle name="Comma 34 3 2 2 3 2 2" xfId="31610" xr:uid="{00000000-0005-0000-0000-000088120000}"/>
    <cellStyle name="Comma 34 3 2 2 3 3" xfId="23162" xr:uid="{00000000-0005-0000-0000-000089120000}"/>
    <cellStyle name="Comma 34 3 2 2 4" xfId="10446" xr:uid="{00000000-0005-0000-0000-00008A120000}"/>
    <cellStyle name="Comma 34 3 2 2 4 2" xfId="27386" xr:uid="{00000000-0005-0000-0000-00008B120000}"/>
    <cellStyle name="Comma 34 3 2 2 5" xfId="18938" xr:uid="{00000000-0005-0000-0000-00008C120000}"/>
    <cellStyle name="Comma 34 3 2 3" xfId="3052" xr:uid="{00000000-0005-0000-0000-00008D120000}"/>
    <cellStyle name="Comma 34 3 2 3 2" xfId="7278" xr:uid="{00000000-0005-0000-0000-00008E120000}"/>
    <cellStyle name="Comma 34 3 2 3 2 2" xfId="15726" xr:uid="{00000000-0005-0000-0000-00008F120000}"/>
    <cellStyle name="Comma 34 3 2 3 2 2 2" xfId="32666" xr:uid="{00000000-0005-0000-0000-000090120000}"/>
    <cellStyle name="Comma 34 3 2 3 2 3" xfId="24218" xr:uid="{00000000-0005-0000-0000-000091120000}"/>
    <cellStyle name="Comma 34 3 2 3 3" xfId="11502" xr:uid="{00000000-0005-0000-0000-000092120000}"/>
    <cellStyle name="Comma 34 3 2 3 3 2" xfId="28442" xr:uid="{00000000-0005-0000-0000-000093120000}"/>
    <cellStyle name="Comma 34 3 2 3 4" xfId="19994" xr:uid="{00000000-0005-0000-0000-000094120000}"/>
    <cellStyle name="Comma 34 3 2 4" xfId="5166" xr:uid="{00000000-0005-0000-0000-000095120000}"/>
    <cellStyle name="Comma 34 3 2 4 2" xfId="13614" xr:uid="{00000000-0005-0000-0000-000096120000}"/>
    <cellStyle name="Comma 34 3 2 4 2 2" xfId="30554" xr:uid="{00000000-0005-0000-0000-000097120000}"/>
    <cellStyle name="Comma 34 3 2 4 3" xfId="22106" xr:uid="{00000000-0005-0000-0000-000098120000}"/>
    <cellStyle name="Comma 34 3 2 5" xfId="9390" xr:uid="{00000000-0005-0000-0000-000099120000}"/>
    <cellStyle name="Comma 34 3 2 5 2" xfId="26330" xr:uid="{00000000-0005-0000-0000-00009A120000}"/>
    <cellStyle name="Comma 34 3 2 6" xfId="17882" xr:uid="{00000000-0005-0000-0000-00009B120000}"/>
    <cellStyle name="Comma 34 3 3" xfId="1644" xr:uid="{00000000-0005-0000-0000-00009C120000}"/>
    <cellStyle name="Comma 34 3 3 2" xfId="3756" xr:uid="{00000000-0005-0000-0000-00009D120000}"/>
    <cellStyle name="Comma 34 3 3 2 2" xfId="7982" xr:uid="{00000000-0005-0000-0000-00009E120000}"/>
    <cellStyle name="Comma 34 3 3 2 2 2" xfId="16430" xr:uid="{00000000-0005-0000-0000-00009F120000}"/>
    <cellStyle name="Comma 34 3 3 2 2 2 2" xfId="33370" xr:uid="{00000000-0005-0000-0000-0000A0120000}"/>
    <cellStyle name="Comma 34 3 3 2 2 3" xfId="24922" xr:uid="{00000000-0005-0000-0000-0000A1120000}"/>
    <cellStyle name="Comma 34 3 3 2 3" xfId="12206" xr:uid="{00000000-0005-0000-0000-0000A2120000}"/>
    <cellStyle name="Comma 34 3 3 2 3 2" xfId="29146" xr:uid="{00000000-0005-0000-0000-0000A3120000}"/>
    <cellStyle name="Comma 34 3 3 2 4" xfId="20698" xr:uid="{00000000-0005-0000-0000-0000A4120000}"/>
    <cellStyle name="Comma 34 3 3 3" xfId="5870" xr:uid="{00000000-0005-0000-0000-0000A5120000}"/>
    <cellStyle name="Comma 34 3 3 3 2" xfId="14318" xr:uid="{00000000-0005-0000-0000-0000A6120000}"/>
    <cellStyle name="Comma 34 3 3 3 2 2" xfId="31258" xr:uid="{00000000-0005-0000-0000-0000A7120000}"/>
    <cellStyle name="Comma 34 3 3 3 3" xfId="22810" xr:uid="{00000000-0005-0000-0000-0000A8120000}"/>
    <cellStyle name="Comma 34 3 3 4" xfId="10094" xr:uid="{00000000-0005-0000-0000-0000A9120000}"/>
    <cellStyle name="Comma 34 3 3 4 2" xfId="27034" xr:uid="{00000000-0005-0000-0000-0000AA120000}"/>
    <cellStyle name="Comma 34 3 3 5" xfId="18586" xr:uid="{00000000-0005-0000-0000-0000AB120000}"/>
    <cellStyle name="Comma 34 3 4" xfId="2700" xr:uid="{00000000-0005-0000-0000-0000AC120000}"/>
    <cellStyle name="Comma 34 3 4 2" xfId="6926" xr:uid="{00000000-0005-0000-0000-0000AD120000}"/>
    <cellStyle name="Comma 34 3 4 2 2" xfId="15374" xr:uid="{00000000-0005-0000-0000-0000AE120000}"/>
    <cellStyle name="Comma 34 3 4 2 2 2" xfId="32314" xr:uid="{00000000-0005-0000-0000-0000AF120000}"/>
    <cellStyle name="Comma 34 3 4 2 3" xfId="23866" xr:uid="{00000000-0005-0000-0000-0000B0120000}"/>
    <cellStyle name="Comma 34 3 4 3" xfId="11150" xr:uid="{00000000-0005-0000-0000-0000B1120000}"/>
    <cellStyle name="Comma 34 3 4 3 2" xfId="28090" xr:uid="{00000000-0005-0000-0000-0000B2120000}"/>
    <cellStyle name="Comma 34 3 4 4" xfId="19642" xr:uid="{00000000-0005-0000-0000-0000B3120000}"/>
    <cellStyle name="Comma 34 3 5" xfId="4814" xr:uid="{00000000-0005-0000-0000-0000B4120000}"/>
    <cellStyle name="Comma 34 3 5 2" xfId="13262" xr:uid="{00000000-0005-0000-0000-0000B5120000}"/>
    <cellStyle name="Comma 34 3 5 2 2" xfId="30202" xr:uid="{00000000-0005-0000-0000-0000B6120000}"/>
    <cellStyle name="Comma 34 3 5 3" xfId="21754" xr:uid="{00000000-0005-0000-0000-0000B7120000}"/>
    <cellStyle name="Comma 34 3 6" xfId="9038" xr:uid="{00000000-0005-0000-0000-0000B8120000}"/>
    <cellStyle name="Comma 34 3 6 2" xfId="25978" xr:uid="{00000000-0005-0000-0000-0000B9120000}"/>
    <cellStyle name="Comma 34 3 7" xfId="17530" xr:uid="{00000000-0005-0000-0000-0000BA120000}"/>
    <cellStyle name="Comma 34 4" xfId="758" xr:uid="{00000000-0005-0000-0000-0000BB120000}"/>
    <cellStyle name="Comma 34 4 2" xfId="1820" xr:uid="{00000000-0005-0000-0000-0000BC120000}"/>
    <cellStyle name="Comma 34 4 2 2" xfId="3932" xr:uid="{00000000-0005-0000-0000-0000BD120000}"/>
    <cellStyle name="Comma 34 4 2 2 2" xfId="8158" xr:uid="{00000000-0005-0000-0000-0000BE120000}"/>
    <cellStyle name="Comma 34 4 2 2 2 2" xfId="16606" xr:uid="{00000000-0005-0000-0000-0000BF120000}"/>
    <cellStyle name="Comma 34 4 2 2 2 2 2" xfId="33546" xr:uid="{00000000-0005-0000-0000-0000C0120000}"/>
    <cellStyle name="Comma 34 4 2 2 2 3" xfId="25098" xr:uid="{00000000-0005-0000-0000-0000C1120000}"/>
    <cellStyle name="Comma 34 4 2 2 3" xfId="12382" xr:uid="{00000000-0005-0000-0000-0000C2120000}"/>
    <cellStyle name="Comma 34 4 2 2 3 2" xfId="29322" xr:uid="{00000000-0005-0000-0000-0000C3120000}"/>
    <cellStyle name="Comma 34 4 2 2 4" xfId="20874" xr:uid="{00000000-0005-0000-0000-0000C4120000}"/>
    <cellStyle name="Comma 34 4 2 3" xfId="6046" xr:uid="{00000000-0005-0000-0000-0000C5120000}"/>
    <cellStyle name="Comma 34 4 2 3 2" xfId="14494" xr:uid="{00000000-0005-0000-0000-0000C6120000}"/>
    <cellStyle name="Comma 34 4 2 3 2 2" xfId="31434" xr:uid="{00000000-0005-0000-0000-0000C7120000}"/>
    <cellStyle name="Comma 34 4 2 3 3" xfId="22986" xr:uid="{00000000-0005-0000-0000-0000C8120000}"/>
    <cellStyle name="Comma 34 4 2 4" xfId="10270" xr:uid="{00000000-0005-0000-0000-0000C9120000}"/>
    <cellStyle name="Comma 34 4 2 4 2" xfId="27210" xr:uid="{00000000-0005-0000-0000-0000CA120000}"/>
    <cellStyle name="Comma 34 4 2 5" xfId="18762" xr:uid="{00000000-0005-0000-0000-0000CB120000}"/>
    <cellStyle name="Comma 34 4 3" xfId="2876" xr:uid="{00000000-0005-0000-0000-0000CC120000}"/>
    <cellStyle name="Comma 34 4 3 2" xfId="7102" xr:uid="{00000000-0005-0000-0000-0000CD120000}"/>
    <cellStyle name="Comma 34 4 3 2 2" xfId="15550" xr:uid="{00000000-0005-0000-0000-0000CE120000}"/>
    <cellStyle name="Comma 34 4 3 2 2 2" xfId="32490" xr:uid="{00000000-0005-0000-0000-0000CF120000}"/>
    <cellStyle name="Comma 34 4 3 2 3" xfId="24042" xr:uid="{00000000-0005-0000-0000-0000D0120000}"/>
    <cellStyle name="Comma 34 4 3 3" xfId="11326" xr:uid="{00000000-0005-0000-0000-0000D1120000}"/>
    <cellStyle name="Comma 34 4 3 3 2" xfId="28266" xr:uid="{00000000-0005-0000-0000-0000D2120000}"/>
    <cellStyle name="Comma 34 4 3 4" xfId="19818" xr:uid="{00000000-0005-0000-0000-0000D3120000}"/>
    <cellStyle name="Comma 34 4 4" xfId="4990" xr:uid="{00000000-0005-0000-0000-0000D4120000}"/>
    <cellStyle name="Comma 34 4 4 2" xfId="13438" xr:uid="{00000000-0005-0000-0000-0000D5120000}"/>
    <cellStyle name="Comma 34 4 4 2 2" xfId="30378" xr:uid="{00000000-0005-0000-0000-0000D6120000}"/>
    <cellStyle name="Comma 34 4 4 3" xfId="21930" xr:uid="{00000000-0005-0000-0000-0000D7120000}"/>
    <cellStyle name="Comma 34 4 5" xfId="9214" xr:uid="{00000000-0005-0000-0000-0000D8120000}"/>
    <cellStyle name="Comma 34 4 5 2" xfId="26154" xr:uid="{00000000-0005-0000-0000-0000D9120000}"/>
    <cellStyle name="Comma 34 4 6" xfId="17706" xr:uid="{00000000-0005-0000-0000-0000DA120000}"/>
    <cellStyle name="Comma 34 5" xfId="1110" xr:uid="{00000000-0005-0000-0000-0000DB120000}"/>
    <cellStyle name="Comma 34 5 2" xfId="2172" xr:uid="{00000000-0005-0000-0000-0000DC120000}"/>
    <cellStyle name="Comma 34 5 2 2" xfId="4284" xr:uid="{00000000-0005-0000-0000-0000DD120000}"/>
    <cellStyle name="Comma 34 5 2 2 2" xfId="8510" xr:uid="{00000000-0005-0000-0000-0000DE120000}"/>
    <cellStyle name="Comma 34 5 2 2 2 2" xfId="16958" xr:uid="{00000000-0005-0000-0000-0000DF120000}"/>
    <cellStyle name="Comma 34 5 2 2 2 2 2" xfId="33898" xr:uid="{00000000-0005-0000-0000-0000E0120000}"/>
    <cellStyle name="Comma 34 5 2 2 2 3" xfId="25450" xr:uid="{00000000-0005-0000-0000-0000E1120000}"/>
    <cellStyle name="Comma 34 5 2 2 3" xfId="12734" xr:uid="{00000000-0005-0000-0000-0000E2120000}"/>
    <cellStyle name="Comma 34 5 2 2 3 2" xfId="29674" xr:uid="{00000000-0005-0000-0000-0000E3120000}"/>
    <cellStyle name="Comma 34 5 2 2 4" xfId="21226" xr:uid="{00000000-0005-0000-0000-0000E4120000}"/>
    <cellStyle name="Comma 34 5 2 3" xfId="6398" xr:uid="{00000000-0005-0000-0000-0000E5120000}"/>
    <cellStyle name="Comma 34 5 2 3 2" xfId="14846" xr:uid="{00000000-0005-0000-0000-0000E6120000}"/>
    <cellStyle name="Comma 34 5 2 3 2 2" xfId="31786" xr:uid="{00000000-0005-0000-0000-0000E7120000}"/>
    <cellStyle name="Comma 34 5 2 3 3" xfId="23338" xr:uid="{00000000-0005-0000-0000-0000E8120000}"/>
    <cellStyle name="Comma 34 5 2 4" xfId="10622" xr:uid="{00000000-0005-0000-0000-0000E9120000}"/>
    <cellStyle name="Comma 34 5 2 4 2" xfId="27562" xr:uid="{00000000-0005-0000-0000-0000EA120000}"/>
    <cellStyle name="Comma 34 5 2 5" xfId="19114" xr:uid="{00000000-0005-0000-0000-0000EB120000}"/>
    <cellStyle name="Comma 34 5 3" xfId="3228" xr:uid="{00000000-0005-0000-0000-0000EC120000}"/>
    <cellStyle name="Comma 34 5 3 2" xfId="7454" xr:uid="{00000000-0005-0000-0000-0000ED120000}"/>
    <cellStyle name="Comma 34 5 3 2 2" xfId="15902" xr:uid="{00000000-0005-0000-0000-0000EE120000}"/>
    <cellStyle name="Comma 34 5 3 2 2 2" xfId="32842" xr:uid="{00000000-0005-0000-0000-0000EF120000}"/>
    <cellStyle name="Comma 34 5 3 2 3" xfId="24394" xr:uid="{00000000-0005-0000-0000-0000F0120000}"/>
    <cellStyle name="Comma 34 5 3 3" xfId="11678" xr:uid="{00000000-0005-0000-0000-0000F1120000}"/>
    <cellStyle name="Comma 34 5 3 3 2" xfId="28618" xr:uid="{00000000-0005-0000-0000-0000F2120000}"/>
    <cellStyle name="Comma 34 5 3 4" xfId="20170" xr:uid="{00000000-0005-0000-0000-0000F3120000}"/>
    <cellStyle name="Comma 34 5 4" xfId="5342" xr:uid="{00000000-0005-0000-0000-0000F4120000}"/>
    <cellStyle name="Comma 34 5 4 2" xfId="13790" xr:uid="{00000000-0005-0000-0000-0000F5120000}"/>
    <cellStyle name="Comma 34 5 4 2 2" xfId="30730" xr:uid="{00000000-0005-0000-0000-0000F6120000}"/>
    <cellStyle name="Comma 34 5 4 3" xfId="22282" xr:uid="{00000000-0005-0000-0000-0000F7120000}"/>
    <cellStyle name="Comma 34 5 5" xfId="9566" xr:uid="{00000000-0005-0000-0000-0000F8120000}"/>
    <cellStyle name="Comma 34 5 5 2" xfId="26506" xr:uid="{00000000-0005-0000-0000-0000F9120000}"/>
    <cellStyle name="Comma 34 5 6" xfId="18058" xr:uid="{00000000-0005-0000-0000-0000FA120000}"/>
    <cellStyle name="Comma 34 6" xfId="1292" xr:uid="{00000000-0005-0000-0000-0000FB120000}"/>
    <cellStyle name="Comma 34 6 2" xfId="2348" xr:uid="{00000000-0005-0000-0000-0000FC120000}"/>
    <cellStyle name="Comma 34 6 2 2" xfId="4460" xr:uid="{00000000-0005-0000-0000-0000FD120000}"/>
    <cellStyle name="Comma 34 6 2 2 2" xfId="8686" xr:uid="{00000000-0005-0000-0000-0000FE120000}"/>
    <cellStyle name="Comma 34 6 2 2 2 2" xfId="17134" xr:uid="{00000000-0005-0000-0000-0000FF120000}"/>
    <cellStyle name="Comma 34 6 2 2 2 2 2" xfId="34074" xr:uid="{00000000-0005-0000-0000-000000130000}"/>
    <cellStyle name="Comma 34 6 2 2 2 3" xfId="25626" xr:uid="{00000000-0005-0000-0000-000001130000}"/>
    <cellStyle name="Comma 34 6 2 2 3" xfId="12910" xr:uid="{00000000-0005-0000-0000-000002130000}"/>
    <cellStyle name="Comma 34 6 2 2 3 2" xfId="29850" xr:uid="{00000000-0005-0000-0000-000003130000}"/>
    <cellStyle name="Comma 34 6 2 2 4" xfId="21402" xr:uid="{00000000-0005-0000-0000-000004130000}"/>
    <cellStyle name="Comma 34 6 2 3" xfId="6574" xr:uid="{00000000-0005-0000-0000-000005130000}"/>
    <cellStyle name="Comma 34 6 2 3 2" xfId="15022" xr:uid="{00000000-0005-0000-0000-000006130000}"/>
    <cellStyle name="Comma 34 6 2 3 2 2" xfId="31962" xr:uid="{00000000-0005-0000-0000-000007130000}"/>
    <cellStyle name="Comma 34 6 2 3 3" xfId="23514" xr:uid="{00000000-0005-0000-0000-000008130000}"/>
    <cellStyle name="Comma 34 6 2 4" xfId="10798" xr:uid="{00000000-0005-0000-0000-000009130000}"/>
    <cellStyle name="Comma 34 6 2 4 2" xfId="27738" xr:uid="{00000000-0005-0000-0000-00000A130000}"/>
    <cellStyle name="Comma 34 6 2 5" xfId="19290" xr:uid="{00000000-0005-0000-0000-00000B130000}"/>
    <cellStyle name="Comma 34 6 3" xfId="3404" xr:uid="{00000000-0005-0000-0000-00000C130000}"/>
    <cellStyle name="Comma 34 6 3 2" xfId="7630" xr:uid="{00000000-0005-0000-0000-00000D130000}"/>
    <cellStyle name="Comma 34 6 3 2 2" xfId="16078" xr:uid="{00000000-0005-0000-0000-00000E130000}"/>
    <cellStyle name="Comma 34 6 3 2 2 2" xfId="33018" xr:uid="{00000000-0005-0000-0000-00000F130000}"/>
    <cellStyle name="Comma 34 6 3 2 3" xfId="24570" xr:uid="{00000000-0005-0000-0000-000010130000}"/>
    <cellStyle name="Comma 34 6 3 3" xfId="11854" xr:uid="{00000000-0005-0000-0000-000011130000}"/>
    <cellStyle name="Comma 34 6 3 3 2" xfId="28794" xr:uid="{00000000-0005-0000-0000-000012130000}"/>
    <cellStyle name="Comma 34 6 3 4" xfId="20346" xr:uid="{00000000-0005-0000-0000-000013130000}"/>
    <cellStyle name="Comma 34 6 4" xfId="5518" xr:uid="{00000000-0005-0000-0000-000014130000}"/>
    <cellStyle name="Comma 34 6 4 2" xfId="13966" xr:uid="{00000000-0005-0000-0000-000015130000}"/>
    <cellStyle name="Comma 34 6 4 2 2" xfId="30906" xr:uid="{00000000-0005-0000-0000-000016130000}"/>
    <cellStyle name="Comma 34 6 4 3" xfId="22458" xr:uid="{00000000-0005-0000-0000-000017130000}"/>
    <cellStyle name="Comma 34 6 5" xfId="9742" xr:uid="{00000000-0005-0000-0000-000018130000}"/>
    <cellStyle name="Comma 34 6 5 2" xfId="26682" xr:uid="{00000000-0005-0000-0000-000019130000}"/>
    <cellStyle name="Comma 34 6 6" xfId="18234" xr:uid="{00000000-0005-0000-0000-00001A130000}"/>
    <cellStyle name="Comma 34 7" xfId="1468" xr:uid="{00000000-0005-0000-0000-00001B130000}"/>
    <cellStyle name="Comma 34 7 2" xfId="3580" xr:uid="{00000000-0005-0000-0000-00001C130000}"/>
    <cellStyle name="Comma 34 7 2 2" xfId="7806" xr:uid="{00000000-0005-0000-0000-00001D130000}"/>
    <cellStyle name="Comma 34 7 2 2 2" xfId="16254" xr:uid="{00000000-0005-0000-0000-00001E130000}"/>
    <cellStyle name="Comma 34 7 2 2 2 2" xfId="33194" xr:uid="{00000000-0005-0000-0000-00001F130000}"/>
    <cellStyle name="Comma 34 7 2 2 3" xfId="24746" xr:uid="{00000000-0005-0000-0000-000020130000}"/>
    <cellStyle name="Comma 34 7 2 3" xfId="12030" xr:uid="{00000000-0005-0000-0000-000021130000}"/>
    <cellStyle name="Comma 34 7 2 3 2" xfId="28970" xr:uid="{00000000-0005-0000-0000-000022130000}"/>
    <cellStyle name="Comma 34 7 2 4" xfId="20522" xr:uid="{00000000-0005-0000-0000-000023130000}"/>
    <cellStyle name="Comma 34 7 3" xfId="5694" xr:uid="{00000000-0005-0000-0000-000024130000}"/>
    <cellStyle name="Comma 34 7 3 2" xfId="14142" xr:uid="{00000000-0005-0000-0000-000025130000}"/>
    <cellStyle name="Comma 34 7 3 2 2" xfId="31082" xr:uid="{00000000-0005-0000-0000-000026130000}"/>
    <cellStyle name="Comma 34 7 3 3" xfId="22634" xr:uid="{00000000-0005-0000-0000-000027130000}"/>
    <cellStyle name="Comma 34 7 4" xfId="9918" xr:uid="{00000000-0005-0000-0000-000028130000}"/>
    <cellStyle name="Comma 34 7 4 2" xfId="26858" xr:uid="{00000000-0005-0000-0000-000029130000}"/>
    <cellStyle name="Comma 34 7 5" xfId="18410" xr:uid="{00000000-0005-0000-0000-00002A130000}"/>
    <cellStyle name="Comma 34 8" xfId="2524" xr:uid="{00000000-0005-0000-0000-00002B130000}"/>
    <cellStyle name="Comma 34 8 2" xfId="6750" xr:uid="{00000000-0005-0000-0000-00002C130000}"/>
    <cellStyle name="Comma 34 8 2 2" xfId="15198" xr:uid="{00000000-0005-0000-0000-00002D130000}"/>
    <cellStyle name="Comma 34 8 2 2 2" xfId="32138" xr:uid="{00000000-0005-0000-0000-00002E130000}"/>
    <cellStyle name="Comma 34 8 2 3" xfId="23690" xr:uid="{00000000-0005-0000-0000-00002F130000}"/>
    <cellStyle name="Comma 34 8 3" xfId="10974" xr:uid="{00000000-0005-0000-0000-000030130000}"/>
    <cellStyle name="Comma 34 8 3 2" xfId="27914" xr:uid="{00000000-0005-0000-0000-000031130000}"/>
    <cellStyle name="Comma 34 8 4" xfId="19466" xr:uid="{00000000-0005-0000-0000-000032130000}"/>
    <cellStyle name="Comma 34 9" xfId="4637" xr:uid="{00000000-0005-0000-0000-000033130000}"/>
    <cellStyle name="Comma 34 9 2" xfId="13086" xr:uid="{00000000-0005-0000-0000-000034130000}"/>
    <cellStyle name="Comma 34 9 2 2" xfId="30026" xr:uid="{00000000-0005-0000-0000-000035130000}"/>
    <cellStyle name="Comma 34 9 3" xfId="21578" xr:uid="{00000000-0005-0000-0000-000036130000}"/>
    <cellStyle name="Comma 35" xfId="128" xr:uid="{00000000-0005-0000-0000-000037130000}"/>
    <cellStyle name="Comma 35 10" xfId="17332" xr:uid="{00000000-0005-0000-0000-000038130000}"/>
    <cellStyle name="Comma 35 2" xfId="583" xr:uid="{00000000-0005-0000-0000-000039130000}"/>
    <cellStyle name="Comma 35 2 2" xfId="936" xr:uid="{00000000-0005-0000-0000-00003A130000}"/>
    <cellStyle name="Comma 35 2 2 2" xfId="1998" xr:uid="{00000000-0005-0000-0000-00003B130000}"/>
    <cellStyle name="Comma 35 2 2 2 2" xfId="4110" xr:uid="{00000000-0005-0000-0000-00003C130000}"/>
    <cellStyle name="Comma 35 2 2 2 2 2" xfId="8336" xr:uid="{00000000-0005-0000-0000-00003D130000}"/>
    <cellStyle name="Comma 35 2 2 2 2 2 2" xfId="16784" xr:uid="{00000000-0005-0000-0000-00003E130000}"/>
    <cellStyle name="Comma 35 2 2 2 2 2 2 2" xfId="33724" xr:uid="{00000000-0005-0000-0000-00003F130000}"/>
    <cellStyle name="Comma 35 2 2 2 2 2 3" xfId="25276" xr:uid="{00000000-0005-0000-0000-000040130000}"/>
    <cellStyle name="Comma 35 2 2 2 2 3" xfId="12560" xr:uid="{00000000-0005-0000-0000-000041130000}"/>
    <cellStyle name="Comma 35 2 2 2 2 3 2" xfId="29500" xr:uid="{00000000-0005-0000-0000-000042130000}"/>
    <cellStyle name="Comma 35 2 2 2 2 4" xfId="21052" xr:uid="{00000000-0005-0000-0000-000043130000}"/>
    <cellStyle name="Comma 35 2 2 2 3" xfId="6224" xr:uid="{00000000-0005-0000-0000-000044130000}"/>
    <cellStyle name="Comma 35 2 2 2 3 2" xfId="14672" xr:uid="{00000000-0005-0000-0000-000045130000}"/>
    <cellStyle name="Comma 35 2 2 2 3 2 2" xfId="31612" xr:uid="{00000000-0005-0000-0000-000046130000}"/>
    <cellStyle name="Comma 35 2 2 2 3 3" xfId="23164" xr:uid="{00000000-0005-0000-0000-000047130000}"/>
    <cellStyle name="Comma 35 2 2 2 4" xfId="10448" xr:uid="{00000000-0005-0000-0000-000048130000}"/>
    <cellStyle name="Comma 35 2 2 2 4 2" xfId="27388" xr:uid="{00000000-0005-0000-0000-000049130000}"/>
    <cellStyle name="Comma 35 2 2 2 5" xfId="18940" xr:uid="{00000000-0005-0000-0000-00004A130000}"/>
    <cellStyle name="Comma 35 2 2 3" xfId="3054" xr:uid="{00000000-0005-0000-0000-00004B130000}"/>
    <cellStyle name="Comma 35 2 2 3 2" xfId="7280" xr:uid="{00000000-0005-0000-0000-00004C130000}"/>
    <cellStyle name="Comma 35 2 2 3 2 2" xfId="15728" xr:uid="{00000000-0005-0000-0000-00004D130000}"/>
    <cellStyle name="Comma 35 2 2 3 2 2 2" xfId="32668" xr:uid="{00000000-0005-0000-0000-00004E130000}"/>
    <cellStyle name="Comma 35 2 2 3 2 3" xfId="24220" xr:uid="{00000000-0005-0000-0000-00004F130000}"/>
    <cellStyle name="Comma 35 2 2 3 3" xfId="11504" xr:uid="{00000000-0005-0000-0000-000050130000}"/>
    <cellStyle name="Comma 35 2 2 3 3 2" xfId="28444" xr:uid="{00000000-0005-0000-0000-000051130000}"/>
    <cellStyle name="Comma 35 2 2 3 4" xfId="19996" xr:uid="{00000000-0005-0000-0000-000052130000}"/>
    <cellStyle name="Comma 35 2 2 4" xfId="5168" xr:uid="{00000000-0005-0000-0000-000053130000}"/>
    <cellStyle name="Comma 35 2 2 4 2" xfId="13616" xr:uid="{00000000-0005-0000-0000-000054130000}"/>
    <cellStyle name="Comma 35 2 2 4 2 2" xfId="30556" xr:uid="{00000000-0005-0000-0000-000055130000}"/>
    <cellStyle name="Comma 35 2 2 4 3" xfId="22108" xr:uid="{00000000-0005-0000-0000-000056130000}"/>
    <cellStyle name="Comma 35 2 2 5" xfId="9392" xr:uid="{00000000-0005-0000-0000-000057130000}"/>
    <cellStyle name="Comma 35 2 2 5 2" xfId="26332" xr:uid="{00000000-0005-0000-0000-000058130000}"/>
    <cellStyle name="Comma 35 2 2 6" xfId="17884" xr:uid="{00000000-0005-0000-0000-000059130000}"/>
    <cellStyle name="Comma 35 2 3" xfId="1646" xr:uid="{00000000-0005-0000-0000-00005A130000}"/>
    <cellStyle name="Comma 35 2 3 2" xfId="3758" xr:uid="{00000000-0005-0000-0000-00005B130000}"/>
    <cellStyle name="Comma 35 2 3 2 2" xfId="7984" xr:uid="{00000000-0005-0000-0000-00005C130000}"/>
    <cellStyle name="Comma 35 2 3 2 2 2" xfId="16432" xr:uid="{00000000-0005-0000-0000-00005D130000}"/>
    <cellStyle name="Comma 35 2 3 2 2 2 2" xfId="33372" xr:uid="{00000000-0005-0000-0000-00005E130000}"/>
    <cellStyle name="Comma 35 2 3 2 2 3" xfId="24924" xr:uid="{00000000-0005-0000-0000-00005F130000}"/>
    <cellStyle name="Comma 35 2 3 2 3" xfId="12208" xr:uid="{00000000-0005-0000-0000-000060130000}"/>
    <cellStyle name="Comma 35 2 3 2 3 2" xfId="29148" xr:uid="{00000000-0005-0000-0000-000061130000}"/>
    <cellStyle name="Comma 35 2 3 2 4" xfId="20700" xr:uid="{00000000-0005-0000-0000-000062130000}"/>
    <cellStyle name="Comma 35 2 3 3" xfId="5872" xr:uid="{00000000-0005-0000-0000-000063130000}"/>
    <cellStyle name="Comma 35 2 3 3 2" xfId="14320" xr:uid="{00000000-0005-0000-0000-000064130000}"/>
    <cellStyle name="Comma 35 2 3 3 2 2" xfId="31260" xr:uid="{00000000-0005-0000-0000-000065130000}"/>
    <cellStyle name="Comma 35 2 3 3 3" xfId="22812" xr:uid="{00000000-0005-0000-0000-000066130000}"/>
    <cellStyle name="Comma 35 2 3 4" xfId="10096" xr:uid="{00000000-0005-0000-0000-000067130000}"/>
    <cellStyle name="Comma 35 2 3 4 2" xfId="27036" xr:uid="{00000000-0005-0000-0000-000068130000}"/>
    <cellStyle name="Comma 35 2 3 5" xfId="18588" xr:uid="{00000000-0005-0000-0000-000069130000}"/>
    <cellStyle name="Comma 35 2 4" xfId="2702" xr:uid="{00000000-0005-0000-0000-00006A130000}"/>
    <cellStyle name="Comma 35 2 4 2" xfId="6928" xr:uid="{00000000-0005-0000-0000-00006B130000}"/>
    <cellStyle name="Comma 35 2 4 2 2" xfId="15376" xr:uid="{00000000-0005-0000-0000-00006C130000}"/>
    <cellStyle name="Comma 35 2 4 2 2 2" xfId="32316" xr:uid="{00000000-0005-0000-0000-00006D130000}"/>
    <cellStyle name="Comma 35 2 4 2 3" xfId="23868" xr:uid="{00000000-0005-0000-0000-00006E130000}"/>
    <cellStyle name="Comma 35 2 4 3" xfId="11152" xr:uid="{00000000-0005-0000-0000-00006F130000}"/>
    <cellStyle name="Comma 35 2 4 3 2" xfId="28092" xr:uid="{00000000-0005-0000-0000-000070130000}"/>
    <cellStyle name="Comma 35 2 4 4" xfId="19644" xr:uid="{00000000-0005-0000-0000-000071130000}"/>
    <cellStyle name="Comma 35 2 5" xfId="4816" xr:uid="{00000000-0005-0000-0000-000072130000}"/>
    <cellStyle name="Comma 35 2 5 2" xfId="13264" xr:uid="{00000000-0005-0000-0000-000073130000}"/>
    <cellStyle name="Comma 35 2 5 2 2" xfId="30204" xr:uid="{00000000-0005-0000-0000-000074130000}"/>
    <cellStyle name="Comma 35 2 5 3" xfId="21756" xr:uid="{00000000-0005-0000-0000-000075130000}"/>
    <cellStyle name="Comma 35 2 6" xfId="9040" xr:uid="{00000000-0005-0000-0000-000076130000}"/>
    <cellStyle name="Comma 35 2 6 2" xfId="25980" xr:uid="{00000000-0005-0000-0000-000077130000}"/>
    <cellStyle name="Comma 35 2 7" xfId="17532" xr:uid="{00000000-0005-0000-0000-000078130000}"/>
    <cellStyle name="Comma 35 3" xfId="760" xr:uid="{00000000-0005-0000-0000-000079130000}"/>
    <cellStyle name="Comma 35 3 2" xfId="1822" xr:uid="{00000000-0005-0000-0000-00007A130000}"/>
    <cellStyle name="Comma 35 3 2 2" xfId="3934" xr:uid="{00000000-0005-0000-0000-00007B130000}"/>
    <cellStyle name="Comma 35 3 2 2 2" xfId="8160" xr:uid="{00000000-0005-0000-0000-00007C130000}"/>
    <cellStyle name="Comma 35 3 2 2 2 2" xfId="16608" xr:uid="{00000000-0005-0000-0000-00007D130000}"/>
    <cellStyle name="Comma 35 3 2 2 2 2 2" xfId="33548" xr:uid="{00000000-0005-0000-0000-00007E130000}"/>
    <cellStyle name="Comma 35 3 2 2 2 3" xfId="25100" xr:uid="{00000000-0005-0000-0000-00007F130000}"/>
    <cellStyle name="Comma 35 3 2 2 3" xfId="12384" xr:uid="{00000000-0005-0000-0000-000080130000}"/>
    <cellStyle name="Comma 35 3 2 2 3 2" xfId="29324" xr:uid="{00000000-0005-0000-0000-000081130000}"/>
    <cellStyle name="Comma 35 3 2 2 4" xfId="20876" xr:uid="{00000000-0005-0000-0000-000082130000}"/>
    <cellStyle name="Comma 35 3 2 3" xfId="6048" xr:uid="{00000000-0005-0000-0000-000083130000}"/>
    <cellStyle name="Comma 35 3 2 3 2" xfId="14496" xr:uid="{00000000-0005-0000-0000-000084130000}"/>
    <cellStyle name="Comma 35 3 2 3 2 2" xfId="31436" xr:uid="{00000000-0005-0000-0000-000085130000}"/>
    <cellStyle name="Comma 35 3 2 3 3" xfId="22988" xr:uid="{00000000-0005-0000-0000-000086130000}"/>
    <cellStyle name="Comma 35 3 2 4" xfId="10272" xr:uid="{00000000-0005-0000-0000-000087130000}"/>
    <cellStyle name="Comma 35 3 2 4 2" xfId="27212" xr:uid="{00000000-0005-0000-0000-000088130000}"/>
    <cellStyle name="Comma 35 3 2 5" xfId="18764" xr:uid="{00000000-0005-0000-0000-000089130000}"/>
    <cellStyle name="Comma 35 3 3" xfId="2878" xr:uid="{00000000-0005-0000-0000-00008A130000}"/>
    <cellStyle name="Comma 35 3 3 2" xfId="7104" xr:uid="{00000000-0005-0000-0000-00008B130000}"/>
    <cellStyle name="Comma 35 3 3 2 2" xfId="15552" xr:uid="{00000000-0005-0000-0000-00008C130000}"/>
    <cellStyle name="Comma 35 3 3 2 2 2" xfId="32492" xr:uid="{00000000-0005-0000-0000-00008D130000}"/>
    <cellStyle name="Comma 35 3 3 2 3" xfId="24044" xr:uid="{00000000-0005-0000-0000-00008E130000}"/>
    <cellStyle name="Comma 35 3 3 3" xfId="11328" xr:uid="{00000000-0005-0000-0000-00008F130000}"/>
    <cellStyle name="Comma 35 3 3 3 2" xfId="28268" xr:uid="{00000000-0005-0000-0000-000090130000}"/>
    <cellStyle name="Comma 35 3 3 4" xfId="19820" xr:uid="{00000000-0005-0000-0000-000091130000}"/>
    <cellStyle name="Comma 35 3 4" xfId="4992" xr:uid="{00000000-0005-0000-0000-000092130000}"/>
    <cellStyle name="Comma 35 3 4 2" xfId="13440" xr:uid="{00000000-0005-0000-0000-000093130000}"/>
    <cellStyle name="Comma 35 3 4 2 2" xfId="30380" xr:uid="{00000000-0005-0000-0000-000094130000}"/>
    <cellStyle name="Comma 35 3 4 3" xfId="21932" xr:uid="{00000000-0005-0000-0000-000095130000}"/>
    <cellStyle name="Comma 35 3 5" xfId="9216" xr:uid="{00000000-0005-0000-0000-000096130000}"/>
    <cellStyle name="Comma 35 3 5 2" xfId="26156" xr:uid="{00000000-0005-0000-0000-000097130000}"/>
    <cellStyle name="Comma 35 3 6" xfId="17708" xr:uid="{00000000-0005-0000-0000-000098130000}"/>
    <cellStyle name="Comma 35 4" xfId="1112" xr:uid="{00000000-0005-0000-0000-000099130000}"/>
    <cellStyle name="Comma 35 4 2" xfId="2174" xr:uid="{00000000-0005-0000-0000-00009A130000}"/>
    <cellStyle name="Comma 35 4 2 2" xfId="4286" xr:uid="{00000000-0005-0000-0000-00009B130000}"/>
    <cellStyle name="Comma 35 4 2 2 2" xfId="8512" xr:uid="{00000000-0005-0000-0000-00009C130000}"/>
    <cellStyle name="Comma 35 4 2 2 2 2" xfId="16960" xr:uid="{00000000-0005-0000-0000-00009D130000}"/>
    <cellStyle name="Comma 35 4 2 2 2 2 2" xfId="33900" xr:uid="{00000000-0005-0000-0000-00009E130000}"/>
    <cellStyle name="Comma 35 4 2 2 2 3" xfId="25452" xr:uid="{00000000-0005-0000-0000-00009F130000}"/>
    <cellStyle name="Comma 35 4 2 2 3" xfId="12736" xr:uid="{00000000-0005-0000-0000-0000A0130000}"/>
    <cellStyle name="Comma 35 4 2 2 3 2" xfId="29676" xr:uid="{00000000-0005-0000-0000-0000A1130000}"/>
    <cellStyle name="Comma 35 4 2 2 4" xfId="21228" xr:uid="{00000000-0005-0000-0000-0000A2130000}"/>
    <cellStyle name="Comma 35 4 2 3" xfId="6400" xr:uid="{00000000-0005-0000-0000-0000A3130000}"/>
    <cellStyle name="Comma 35 4 2 3 2" xfId="14848" xr:uid="{00000000-0005-0000-0000-0000A4130000}"/>
    <cellStyle name="Comma 35 4 2 3 2 2" xfId="31788" xr:uid="{00000000-0005-0000-0000-0000A5130000}"/>
    <cellStyle name="Comma 35 4 2 3 3" xfId="23340" xr:uid="{00000000-0005-0000-0000-0000A6130000}"/>
    <cellStyle name="Comma 35 4 2 4" xfId="10624" xr:uid="{00000000-0005-0000-0000-0000A7130000}"/>
    <cellStyle name="Comma 35 4 2 4 2" xfId="27564" xr:uid="{00000000-0005-0000-0000-0000A8130000}"/>
    <cellStyle name="Comma 35 4 2 5" xfId="19116" xr:uid="{00000000-0005-0000-0000-0000A9130000}"/>
    <cellStyle name="Comma 35 4 3" xfId="3230" xr:uid="{00000000-0005-0000-0000-0000AA130000}"/>
    <cellStyle name="Comma 35 4 3 2" xfId="7456" xr:uid="{00000000-0005-0000-0000-0000AB130000}"/>
    <cellStyle name="Comma 35 4 3 2 2" xfId="15904" xr:uid="{00000000-0005-0000-0000-0000AC130000}"/>
    <cellStyle name="Comma 35 4 3 2 2 2" xfId="32844" xr:uid="{00000000-0005-0000-0000-0000AD130000}"/>
    <cellStyle name="Comma 35 4 3 2 3" xfId="24396" xr:uid="{00000000-0005-0000-0000-0000AE130000}"/>
    <cellStyle name="Comma 35 4 3 3" xfId="11680" xr:uid="{00000000-0005-0000-0000-0000AF130000}"/>
    <cellStyle name="Comma 35 4 3 3 2" xfId="28620" xr:uid="{00000000-0005-0000-0000-0000B0130000}"/>
    <cellStyle name="Comma 35 4 3 4" xfId="20172" xr:uid="{00000000-0005-0000-0000-0000B1130000}"/>
    <cellStyle name="Comma 35 4 4" xfId="5344" xr:uid="{00000000-0005-0000-0000-0000B2130000}"/>
    <cellStyle name="Comma 35 4 4 2" xfId="13792" xr:uid="{00000000-0005-0000-0000-0000B3130000}"/>
    <cellStyle name="Comma 35 4 4 2 2" xfId="30732" xr:uid="{00000000-0005-0000-0000-0000B4130000}"/>
    <cellStyle name="Comma 35 4 4 3" xfId="22284" xr:uid="{00000000-0005-0000-0000-0000B5130000}"/>
    <cellStyle name="Comma 35 4 5" xfId="9568" xr:uid="{00000000-0005-0000-0000-0000B6130000}"/>
    <cellStyle name="Comma 35 4 5 2" xfId="26508" xr:uid="{00000000-0005-0000-0000-0000B7130000}"/>
    <cellStyle name="Comma 35 4 6" xfId="18060" xr:uid="{00000000-0005-0000-0000-0000B8130000}"/>
    <cellStyle name="Comma 35 5" xfId="1294" xr:uid="{00000000-0005-0000-0000-0000B9130000}"/>
    <cellStyle name="Comma 35 5 2" xfId="2350" xr:uid="{00000000-0005-0000-0000-0000BA130000}"/>
    <cellStyle name="Comma 35 5 2 2" xfId="4462" xr:uid="{00000000-0005-0000-0000-0000BB130000}"/>
    <cellStyle name="Comma 35 5 2 2 2" xfId="8688" xr:uid="{00000000-0005-0000-0000-0000BC130000}"/>
    <cellStyle name="Comma 35 5 2 2 2 2" xfId="17136" xr:uid="{00000000-0005-0000-0000-0000BD130000}"/>
    <cellStyle name="Comma 35 5 2 2 2 2 2" xfId="34076" xr:uid="{00000000-0005-0000-0000-0000BE130000}"/>
    <cellStyle name="Comma 35 5 2 2 2 3" xfId="25628" xr:uid="{00000000-0005-0000-0000-0000BF130000}"/>
    <cellStyle name="Comma 35 5 2 2 3" xfId="12912" xr:uid="{00000000-0005-0000-0000-0000C0130000}"/>
    <cellStyle name="Comma 35 5 2 2 3 2" xfId="29852" xr:uid="{00000000-0005-0000-0000-0000C1130000}"/>
    <cellStyle name="Comma 35 5 2 2 4" xfId="21404" xr:uid="{00000000-0005-0000-0000-0000C2130000}"/>
    <cellStyle name="Comma 35 5 2 3" xfId="6576" xr:uid="{00000000-0005-0000-0000-0000C3130000}"/>
    <cellStyle name="Comma 35 5 2 3 2" xfId="15024" xr:uid="{00000000-0005-0000-0000-0000C4130000}"/>
    <cellStyle name="Comma 35 5 2 3 2 2" xfId="31964" xr:uid="{00000000-0005-0000-0000-0000C5130000}"/>
    <cellStyle name="Comma 35 5 2 3 3" xfId="23516" xr:uid="{00000000-0005-0000-0000-0000C6130000}"/>
    <cellStyle name="Comma 35 5 2 4" xfId="10800" xr:uid="{00000000-0005-0000-0000-0000C7130000}"/>
    <cellStyle name="Comma 35 5 2 4 2" xfId="27740" xr:uid="{00000000-0005-0000-0000-0000C8130000}"/>
    <cellStyle name="Comma 35 5 2 5" xfId="19292" xr:uid="{00000000-0005-0000-0000-0000C9130000}"/>
    <cellStyle name="Comma 35 5 3" xfId="3406" xr:uid="{00000000-0005-0000-0000-0000CA130000}"/>
    <cellStyle name="Comma 35 5 3 2" xfId="7632" xr:uid="{00000000-0005-0000-0000-0000CB130000}"/>
    <cellStyle name="Comma 35 5 3 2 2" xfId="16080" xr:uid="{00000000-0005-0000-0000-0000CC130000}"/>
    <cellStyle name="Comma 35 5 3 2 2 2" xfId="33020" xr:uid="{00000000-0005-0000-0000-0000CD130000}"/>
    <cellStyle name="Comma 35 5 3 2 3" xfId="24572" xr:uid="{00000000-0005-0000-0000-0000CE130000}"/>
    <cellStyle name="Comma 35 5 3 3" xfId="11856" xr:uid="{00000000-0005-0000-0000-0000CF130000}"/>
    <cellStyle name="Comma 35 5 3 3 2" xfId="28796" xr:uid="{00000000-0005-0000-0000-0000D0130000}"/>
    <cellStyle name="Comma 35 5 3 4" xfId="20348" xr:uid="{00000000-0005-0000-0000-0000D1130000}"/>
    <cellStyle name="Comma 35 5 4" xfId="5520" xr:uid="{00000000-0005-0000-0000-0000D2130000}"/>
    <cellStyle name="Comma 35 5 4 2" xfId="13968" xr:uid="{00000000-0005-0000-0000-0000D3130000}"/>
    <cellStyle name="Comma 35 5 4 2 2" xfId="30908" xr:uid="{00000000-0005-0000-0000-0000D4130000}"/>
    <cellStyle name="Comma 35 5 4 3" xfId="22460" xr:uid="{00000000-0005-0000-0000-0000D5130000}"/>
    <cellStyle name="Comma 35 5 5" xfId="9744" xr:uid="{00000000-0005-0000-0000-0000D6130000}"/>
    <cellStyle name="Comma 35 5 5 2" xfId="26684" xr:uid="{00000000-0005-0000-0000-0000D7130000}"/>
    <cellStyle name="Comma 35 5 6" xfId="18236" xr:uid="{00000000-0005-0000-0000-0000D8130000}"/>
    <cellStyle name="Comma 35 6" xfId="1470" xr:uid="{00000000-0005-0000-0000-0000D9130000}"/>
    <cellStyle name="Comma 35 6 2" xfId="3582" xr:uid="{00000000-0005-0000-0000-0000DA130000}"/>
    <cellStyle name="Comma 35 6 2 2" xfId="7808" xr:uid="{00000000-0005-0000-0000-0000DB130000}"/>
    <cellStyle name="Comma 35 6 2 2 2" xfId="16256" xr:uid="{00000000-0005-0000-0000-0000DC130000}"/>
    <cellStyle name="Comma 35 6 2 2 2 2" xfId="33196" xr:uid="{00000000-0005-0000-0000-0000DD130000}"/>
    <cellStyle name="Comma 35 6 2 2 3" xfId="24748" xr:uid="{00000000-0005-0000-0000-0000DE130000}"/>
    <cellStyle name="Comma 35 6 2 3" xfId="12032" xr:uid="{00000000-0005-0000-0000-0000DF130000}"/>
    <cellStyle name="Comma 35 6 2 3 2" xfId="28972" xr:uid="{00000000-0005-0000-0000-0000E0130000}"/>
    <cellStyle name="Comma 35 6 2 4" xfId="20524" xr:uid="{00000000-0005-0000-0000-0000E1130000}"/>
    <cellStyle name="Comma 35 6 3" xfId="5696" xr:uid="{00000000-0005-0000-0000-0000E2130000}"/>
    <cellStyle name="Comma 35 6 3 2" xfId="14144" xr:uid="{00000000-0005-0000-0000-0000E3130000}"/>
    <cellStyle name="Comma 35 6 3 2 2" xfId="31084" xr:uid="{00000000-0005-0000-0000-0000E4130000}"/>
    <cellStyle name="Comma 35 6 3 3" xfId="22636" xr:uid="{00000000-0005-0000-0000-0000E5130000}"/>
    <cellStyle name="Comma 35 6 4" xfId="9920" xr:uid="{00000000-0005-0000-0000-0000E6130000}"/>
    <cellStyle name="Comma 35 6 4 2" xfId="26860" xr:uid="{00000000-0005-0000-0000-0000E7130000}"/>
    <cellStyle name="Comma 35 6 5" xfId="18412" xr:uid="{00000000-0005-0000-0000-0000E8130000}"/>
    <cellStyle name="Comma 35 7" xfId="2526" xr:uid="{00000000-0005-0000-0000-0000E9130000}"/>
    <cellStyle name="Comma 35 7 2" xfId="6752" xr:uid="{00000000-0005-0000-0000-0000EA130000}"/>
    <cellStyle name="Comma 35 7 2 2" xfId="15200" xr:uid="{00000000-0005-0000-0000-0000EB130000}"/>
    <cellStyle name="Comma 35 7 2 2 2" xfId="32140" xr:uid="{00000000-0005-0000-0000-0000EC130000}"/>
    <cellStyle name="Comma 35 7 2 3" xfId="23692" xr:uid="{00000000-0005-0000-0000-0000ED130000}"/>
    <cellStyle name="Comma 35 7 3" xfId="10976" xr:uid="{00000000-0005-0000-0000-0000EE130000}"/>
    <cellStyle name="Comma 35 7 3 2" xfId="27916" xr:uid="{00000000-0005-0000-0000-0000EF130000}"/>
    <cellStyle name="Comma 35 7 4" xfId="19468" xr:uid="{00000000-0005-0000-0000-0000F0130000}"/>
    <cellStyle name="Comma 35 8" xfId="4639" xr:uid="{00000000-0005-0000-0000-0000F1130000}"/>
    <cellStyle name="Comma 35 8 2" xfId="13088" xr:uid="{00000000-0005-0000-0000-0000F2130000}"/>
    <cellStyle name="Comma 35 8 2 2" xfId="30028" xr:uid="{00000000-0005-0000-0000-0000F3130000}"/>
    <cellStyle name="Comma 35 8 3" xfId="21580" xr:uid="{00000000-0005-0000-0000-0000F4130000}"/>
    <cellStyle name="Comma 35 9" xfId="8864" xr:uid="{00000000-0005-0000-0000-0000F5130000}"/>
    <cellStyle name="Comma 35 9 2" xfId="25804" xr:uid="{00000000-0005-0000-0000-0000F6130000}"/>
    <cellStyle name="Comma 36" xfId="129" xr:uid="{00000000-0005-0000-0000-0000F7130000}"/>
    <cellStyle name="Comma 36 10" xfId="17333" xr:uid="{00000000-0005-0000-0000-0000F8130000}"/>
    <cellStyle name="Comma 36 2" xfId="584" xr:uid="{00000000-0005-0000-0000-0000F9130000}"/>
    <cellStyle name="Comma 36 2 2" xfId="937" xr:uid="{00000000-0005-0000-0000-0000FA130000}"/>
    <cellStyle name="Comma 36 2 2 2" xfId="1999" xr:uid="{00000000-0005-0000-0000-0000FB130000}"/>
    <cellStyle name="Comma 36 2 2 2 2" xfId="4111" xr:uid="{00000000-0005-0000-0000-0000FC130000}"/>
    <cellStyle name="Comma 36 2 2 2 2 2" xfId="8337" xr:uid="{00000000-0005-0000-0000-0000FD130000}"/>
    <cellStyle name="Comma 36 2 2 2 2 2 2" xfId="16785" xr:uid="{00000000-0005-0000-0000-0000FE130000}"/>
    <cellStyle name="Comma 36 2 2 2 2 2 2 2" xfId="33725" xr:uid="{00000000-0005-0000-0000-0000FF130000}"/>
    <cellStyle name="Comma 36 2 2 2 2 2 3" xfId="25277" xr:uid="{00000000-0005-0000-0000-000000140000}"/>
    <cellStyle name="Comma 36 2 2 2 2 3" xfId="12561" xr:uid="{00000000-0005-0000-0000-000001140000}"/>
    <cellStyle name="Comma 36 2 2 2 2 3 2" xfId="29501" xr:uid="{00000000-0005-0000-0000-000002140000}"/>
    <cellStyle name="Comma 36 2 2 2 2 4" xfId="21053" xr:uid="{00000000-0005-0000-0000-000003140000}"/>
    <cellStyle name="Comma 36 2 2 2 3" xfId="6225" xr:uid="{00000000-0005-0000-0000-000004140000}"/>
    <cellStyle name="Comma 36 2 2 2 3 2" xfId="14673" xr:uid="{00000000-0005-0000-0000-000005140000}"/>
    <cellStyle name="Comma 36 2 2 2 3 2 2" xfId="31613" xr:uid="{00000000-0005-0000-0000-000006140000}"/>
    <cellStyle name="Comma 36 2 2 2 3 3" xfId="23165" xr:uid="{00000000-0005-0000-0000-000007140000}"/>
    <cellStyle name="Comma 36 2 2 2 4" xfId="10449" xr:uid="{00000000-0005-0000-0000-000008140000}"/>
    <cellStyle name="Comma 36 2 2 2 4 2" xfId="27389" xr:uid="{00000000-0005-0000-0000-000009140000}"/>
    <cellStyle name="Comma 36 2 2 2 5" xfId="18941" xr:uid="{00000000-0005-0000-0000-00000A140000}"/>
    <cellStyle name="Comma 36 2 2 3" xfId="3055" xr:uid="{00000000-0005-0000-0000-00000B140000}"/>
    <cellStyle name="Comma 36 2 2 3 2" xfId="7281" xr:uid="{00000000-0005-0000-0000-00000C140000}"/>
    <cellStyle name="Comma 36 2 2 3 2 2" xfId="15729" xr:uid="{00000000-0005-0000-0000-00000D140000}"/>
    <cellStyle name="Comma 36 2 2 3 2 2 2" xfId="32669" xr:uid="{00000000-0005-0000-0000-00000E140000}"/>
    <cellStyle name="Comma 36 2 2 3 2 3" xfId="24221" xr:uid="{00000000-0005-0000-0000-00000F140000}"/>
    <cellStyle name="Comma 36 2 2 3 3" xfId="11505" xr:uid="{00000000-0005-0000-0000-000010140000}"/>
    <cellStyle name="Comma 36 2 2 3 3 2" xfId="28445" xr:uid="{00000000-0005-0000-0000-000011140000}"/>
    <cellStyle name="Comma 36 2 2 3 4" xfId="19997" xr:uid="{00000000-0005-0000-0000-000012140000}"/>
    <cellStyle name="Comma 36 2 2 4" xfId="5169" xr:uid="{00000000-0005-0000-0000-000013140000}"/>
    <cellStyle name="Comma 36 2 2 4 2" xfId="13617" xr:uid="{00000000-0005-0000-0000-000014140000}"/>
    <cellStyle name="Comma 36 2 2 4 2 2" xfId="30557" xr:uid="{00000000-0005-0000-0000-000015140000}"/>
    <cellStyle name="Comma 36 2 2 4 3" xfId="22109" xr:uid="{00000000-0005-0000-0000-000016140000}"/>
    <cellStyle name="Comma 36 2 2 5" xfId="9393" xr:uid="{00000000-0005-0000-0000-000017140000}"/>
    <cellStyle name="Comma 36 2 2 5 2" xfId="26333" xr:uid="{00000000-0005-0000-0000-000018140000}"/>
    <cellStyle name="Comma 36 2 2 6" xfId="17885" xr:uid="{00000000-0005-0000-0000-000019140000}"/>
    <cellStyle name="Comma 36 2 3" xfId="1647" xr:uid="{00000000-0005-0000-0000-00001A140000}"/>
    <cellStyle name="Comma 36 2 3 2" xfId="3759" xr:uid="{00000000-0005-0000-0000-00001B140000}"/>
    <cellStyle name="Comma 36 2 3 2 2" xfId="7985" xr:uid="{00000000-0005-0000-0000-00001C140000}"/>
    <cellStyle name="Comma 36 2 3 2 2 2" xfId="16433" xr:uid="{00000000-0005-0000-0000-00001D140000}"/>
    <cellStyle name="Comma 36 2 3 2 2 2 2" xfId="33373" xr:uid="{00000000-0005-0000-0000-00001E140000}"/>
    <cellStyle name="Comma 36 2 3 2 2 3" xfId="24925" xr:uid="{00000000-0005-0000-0000-00001F140000}"/>
    <cellStyle name="Comma 36 2 3 2 3" xfId="12209" xr:uid="{00000000-0005-0000-0000-000020140000}"/>
    <cellStyle name="Comma 36 2 3 2 3 2" xfId="29149" xr:uid="{00000000-0005-0000-0000-000021140000}"/>
    <cellStyle name="Comma 36 2 3 2 4" xfId="20701" xr:uid="{00000000-0005-0000-0000-000022140000}"/>
    <cellStyle name="Comma 36 2 3 3" xfId="5873" xr:uid="{00000000-0005-0000-0000-000023140000}"/>
    <cellStyle name="Comma 36 2 3 3 2" xfId="14321" xr:uid="{00000000-0005-0000-0000-000024140000}"/>
    <cellStyle name="Comma 36 2 3 3 2 2" xfId="31261" xr:uid="{00000000-0005-0000-0000-000025140000}"/>
    <cellStyle name="Comma 36 2 3 3 3" xfId="22813" xr:uid="{00000000-0005-0000-0000-000026140000}"/>
    <cellStyle name="Comma 36 2 3 4" xfId="10097" xr:uid="{00000000-0005-0000-0000-000027140000}"/>
    <cellStyle name="Comma 36 2 3 4 2" xfId="27037" xr:uid="{00000000-0005-0000-0000-000028140000}"/>
    <cellStyle name="Comma 36 2 3 5" xfId="18589" xr:uid="{00000000-0005-0000-0000-000029140000}"/>
    <cellStyle name="Comma 36 2 4" xfId="2703" xr:uid="{00000000-0005-0000-0000-00002A140000}"/>
    <cellStyle name="Comma 36 2 4 2" xfId="6929" xr:uid="{00000000-0005-0000-0000-00002B140000}"/>
    <cellStyle name="Comma 36 2 4 2 2" xfId="15377" xr:uid="{00000000-0005-0000-0000-00002C140000}"/>
    <cellStyle name="Comma 36 2 4 2 2 2" xfId="32317" xr:uid="{00000000-0005-0000-0000-00002D140000}"/>
    <cellStyle name="Comma 36 2 4 2 3" xfId="23869" xr:uid="{00000000-0005-0000-0000-00002E140000}"/>
    <cellStyle name="Comma 36 2 4 3" xfId="11153" xr:uid="{00000000-0005-0000-0000-00002F140000}"/>
    <cellStyle name="Comma 36 2 4 3 2" xfId="28093" xr:uid="{00000000-0005-0000-0000-000030140000}"/>
    <cellStyle name="Comma 36 2 4 4" xfId="19645" xr:uid="{00000000-0005-0000-0000-000031140000}"/>
    <cellStyle name="Comma 36 2 5" xfId="4817" xr:uid="{00000000-0005-0000-0000-000032140000}"/>
    <cellStyle name="Comma 36 2 5 2" xfId="13265" xr:uid="{00000000-0005-0000-0000-000033140000}"/>
    <cellStyle name="Comma 36 2 5 2 2" xfId="30205" xr:uid="{00000000-0005-0000-0000-000034140000}"/>
    <cellStyle name="Comma 36 2 5 3" xfId="21757" xr:uid="{00000000-0005-0000-0000-000035140000}"/>
    <cellStyle name="Comma 36 2 6" xfId="9041" xr:uid="{00000000-0005-0000-0000-000036140000}"/>
    <cellStyle name="Comma 36 2 6 2" xfId="25981" xr:uid="{00000000-0005-0000-0000-000037140000}"/>
    <cellStyle name="Comma 36 2 7" xfId="17533" xr:uid="{00000000-0005-0000-0000-000038140000}"/>
    <cellStyle name="Comma 36 3" xfId="761" xr:uid="{00000000-0005-0000-0000-000039140000}"/>
    <cellStyle name="Comma 36 3 2" xfId="1823" xr:uid="{00000000-0005-0000-0000-00003A140000}"/>
    <cellStyle name="Comma 36 3 2 2" xfId="3935" xr:uid="{00000000-0005-0000-0000-00003B140000}"/>
    <cellStyle name="Comma 36 3 2 2 2" xfId="8161" xr:uid="{00000000-0005-0000-0000-00003C140000}"/>
    <cellStyle name="Comma 36 3 2 2 2 2" xfId="16609" xr:uid="{00000000-0005-0000-0000-00003D140000}"/>
    <cellStyle name="Comma 36 3 2 2 2 2 2" xfId="33549" xr:uid="{00000000-0005-0000-0000-00003E140000}"/>
    <cellStyle name="Comma 36 3 2 2 2 3" xfId="25101" xr:uid="{00000000-0005-0000-0000-00003F140000}"/>
    <cellStyle name="Comma 36 3 2 2 3" xfId="12385" xr:uid="{00000000-0005-0000-0000-000040140000}"/>
    <cellStyle name="Comma 36 3 2 2 3 2" xfId="29325" xr:uid="{00000000-0005-0000-0000-000041140000}"/>
    <cellStyle name="Comma 36 3 2 2 4" xfId="20877" xr:uid="{00000000-0005-0000-0000-000042140000}"/>
    <cellStyle name="Comma 36 3 2 3" xfId="6049" xr:uid="{00000000-0005-0000-0000-000043140000}"/>
    <cellStyle name="Comma 36 3 2 3 2" xfId="14497" xr:uid="{00000000-0005-0000-0000-000044140000}"/>
    <cellStyle name="Comma 36 3 2 3 2 2" xfId="31437" xr:uid="{00000000-0005-0000-0000-000045140000}"/>
    <cellStyle name="Comma 36 3 2 3 3" xfId="22989" xr:uid="{00000000-0005-0000-0000-000046140000}"/>
    <cellStyle name="Comma 36 3 2 4" xfId="10273" xr:uid="{00000000-0005-0000-0000-000047140000}"/>
    <cellStyle name="Comma 36 3 2 4 2" xfId="27213" xr:uid="{00000000-0005-0000-0000-000048140000}"/>
    <cellStyle name="Comma 36 3 2 5" xfId="18765" xr:uid="{00000000-0005-0000-0000-000049140000}"/>
    <cellStyle name="Comma 36 3 3" xfId="2879" xr:uid="{00000000-0005-0000-0000-00004A140000}"/>
    <cellStyle name="Comma 36 3 3 2" xfId="7105" xr:uid="{00000000-0005-0000-0000-00004B140000}"/>
    <cellStyle name="Comma 36 3 3 2 2" xfId="15553" xr:uid="{00000000-0005-0000-0000-00004C140000}"/>
    <cellStyle name="Comma 36 3 3 2 2 2" xfId="32493" xr:uid="{00000000-0005-0000-0000-00004D140000}"/>
    <cellStyle name="Comma 36 3 3 2 3" xfId="24045" xr:uid="{00000000-0005-0000-0000-00004E140000}"/>
    <cellStyle name="Comma 36 3 3 3" xfId="11329" xr:uid="{00000000-0005-0000-0000-00004F140000}"/>
    <cellStyle name="Comma 36 3 3 3 2" xfId="28269" xr:uid="{00000000-0005-0000-0000-000050140000}"/>
    <cellStyle name="Comma 36 3 3 4" xfId="19821" xr:uid="{00000000-0005-0000-0000-000051140000}"/>
    <cellStyle name="Comma 36 3 4" xfId="4993" xr:uid="{00000000-0005-0000-0000-000052140000}"/>
    <cellStyle name="Comma 36 3 4 2" xfId="13441" xr:uid="{00000000-0005-0000-0000-000053140000}"/>
    <cellStyle name="Comma 36 3 4 2 2" xfId="30381" xr:uid="{00000000-0005-0000-0000-000054140000}"/>
    <cellStyle name="Comma 36 3 4 3" xfId="21933" xr:uid="{00000000-0005-0000-0000-000055140000}"/>
    <cellStyle name="Comma 36 3 5" xfId="9217" xr:uid="{00000000-0005-0000-0000-000056140000}"/>
    <cellStyle name="Comma 36 3 5 2" xfId="26157" xr:uid="{00000000-0005-0000-0000-000057140000}"/>
    <cellStyle name="Comma 36 3 6" xfId="17709" xr:uid="{00000000-0005-0000-0000-000058140000}"/>
    <cellStyle name="Comma 36 4" xfId="1113" xr:uid="{00000000-0005-0000-0000-000059140000}"/>
    <cellStyle name="Comma 36 4 2" xfId="2175" xr:uid="{00000000-0005-0000-0000-00005A140000}"/>
    <cellStyle name="Comma 36 4 2 2" xfId="4287" xr:uid="{00000000-0005-0000-0000-00005B140000}"/>
    <cellStyle name="Comma 36 4 2 2 2" xfId="8513" xr:uid="{00000000-0005-0000-0000-00005C140000}"/>
    <cellStyle name="Comma 36 4 2 2 2 2" xfId="16961" xr:uid="{00000000-0005-0000-0000-00005D140000}"/>
    <cellStyle name="Comma 36 4 2 2 2 2 2" xfId="33901" xr:uid="{00000000-0005-0000-0000-00005E140000}"/>
    <cellStyle name="Comma 36 4 2 2 2 3" xfId="25453" xr:uid="{00000000-0005-0000-0000-00005F140000}"/>
    <cellStyle name="Comma 36 4 2 2 3" xfId="12737" xr:uid="{00000000-0005-0000-0000-000060140000}"/>
    <cellStyle name="Comma 36 4 2 2 3 2" xfId="29677" xr:uid="{00000000-0005-0000-0000-000061140000}"/>
    <cellStyle name="Comma 36 4 2 2 4" xfId="21229" xr:uid="{00000000-0005-0000-0000-000062140000}"/>
    <cellStyle name="Comma 36 4 2 3" xfId="6401" xr:uid="{00000000-0005-0000-0000-000063140000}"/>
    <cellStyle name="Comma 36 4 2 3 2" xfId="14849" xr:uid="{00000000-0005-0000-0000-000064140000}"/>
    <cellStyle name="Comma 36 4 2 3 2 2" xfId="31789" xr:uid="{00000000-0005-0000-0000-000065140000}"/>
    <cellStyle name="Comma 36 4 2 3 3" xfId="23341" xr:uid="{00000000-0005-0000-0000-000066140000}"/>
    <cellStyle name="Comma 36 4 2 4" xfId="10625" xr:uid="{00000000-0005-0000-0000-000067140000}"/>
    <cellStyle name="Comma 36 4 2 4 2" xfId="27565" xr:uid="{00000000-0005-0000-0000-000068140000}"/>
    <cellStyle name="Comma 36 4 2 5" xfId="19117" xr:uid="{00000000-0005-0000-0000-000069140000}"/>
    <cellStyle name="Comma 36 4 3" xfId="3231" xr:uid="{00000000-0005-0000-0000-00006A140000}"/>
    <cellStyle name="Comma 36 4 3 2" xfId="7457" xr:uid="{00000000-0005-0000-0000-00006B140000}"/>
    <cellStyle name="Comma 36 4 3 2 2" xfId="15905" xr:uid="{00000000-0005-0000-0000-00006C140000}"/>
    <cellStyle name="Comma 36 4 3 2 2 2" xfId="32845" xr:uid="{00000000-0005-0000-0000-00006D140000}"/>
    <cellStyle name="Comma 36 4 3 2 3" xfId="24397" xr:uid="{00000000-0005-0000-0000-00006E140000}"/>
    <cellStyle name="Comma 36 4 3 3" xfId="11681" xr:uid="{00000000-0005-0000-0000-00006F140000}"/>
    <cellStyle name="Comma 36 4 3 3 2" xfId="28621" xr:uid="{00000000-0005-0000-0000-000070140000}"/>
    <cellStyle name="Comma 36 4 3 4" xfId="20173" xr:uid="{00000000-0005-0000-0000-000071140000}"/>
    <cellStyle name="Comma 36 4 4" xfId="5345" xr:uid="{00000000-0005-0000-0000-000072140000}"/>
    <cellStyle name="Comma 36 4 4 2" xfId="13793" xr:uid="{00000000-0005-0000-0000-000073140000}"/>
    <cellStyle name="Comma 36 4 4 2 2" xfId="30733" xr:uid="{00000000-0005-0000-0000-000074140000}"/>
    <cellStyle name="Comma 36 4 4 3" xfId="22285" xr:uid="{00000000-0005-0000-0000-000075140000}"/>
    <cellStyle name="Comma 36 4 5" xfId="9569" xr:uid="{00000000-0005-0000-0000-000076140000}"/>
    <cellStyle name="Comma 36 4 5 2" xfId="26509" xr:uid="{00000000-0005-0000-0000-000077140000}"/>
    <cellStyle name="Comma 36 4 6" xfId="18061" xr:uid="{00000000-0005-0000-0000-000078140000}"/>
    <cellStyle name="Comma 36 5" xfId="1295" xr:uid="{00000000-0005-0000-0000-000079140000}"/>
    <cellStyle name="Comma 36 5 2" xfId="2351" xr:uid="{00000000-0005-0000-0000-00007A140000}"/>
    <cellStyle name="Comma 36 5 2 2" xfId="4463" xr:uid="{00000000-0005-0000-0000-00007B140000}"/>
    <cellStyle name="Comma 36 5 2 2 2" xfId="8689" xr:uid="{00000000-0005-0000-0000-00007C140000}"/>
    <cellStyle name="Comma 36 5 2 2 2 2" xfId="17137" xr:uid="{00000000-0005-0000-0000-00007D140000}"/>
    <cellStyle name="Comma 36 5 2 2 2 2 2" xfId="34077" xr:uid="{00000000-0005-0000-0000-00007E140000}"/>
    <cellStyle name="Comma 36 5 2 2 2 3" xfId="25629" xr:uid="{00000000-0005-0000-0000-00007F140000}"/>
    <cellStyle name="Comma 36 5 2 2 3" xfId="12913" xr:uid="{00000000-0005-0000-0000-000080140000}"/>
    <cellStyle name="Comma 36 5 2 2 3 2" xfId="29853" xr:uid="{00000000-0005-0000-0000-000081140000}"/>
    <cellStyle name="Comma 36 5 2 2 4" xfId="21405" xr:uid="{00000000-0005-0000-0000-000082140000}"/>
    <cellStyle name="Comma 36 5 2 3" xfId="6577" xr:uid="{00000000-0005-0000-0000-000083140000}"/>
    <cellStyle name="Comma 36 5 2 3 2" xfId="15025" xr:uid="{00000000-0005-0000-0000-000084140000}"/>
    <cellStyle name="Comma 36 5 2 3 2 2" xfId="31965" xr:uid="{00000000-0005-0000-0000-000085140000}"/>
    <cellStyle name="Comma 36 5 2 3 3" xfId="23517" xr:uid="{00000000-0005-0000-0000-000086140000}"/>
    <cellStyle name="Comma 36 5 2 4" xfId="10801" xr:uid="{00000000-0005-0000-0000-000087140000}"/>
    <cellStyle name="Comma 36 5 2 4 2" xfId="27741" xr:uid="{00000000-0005-0000-0000-000088140000}"/>
    <cellStyle name="Comma 36 5 2 5" xfId="19293" xr:uid="{00000000-0005-0000-0000-000089140000}"/>
    <cellStyle name="Comma 36 5 3" xfId="3407" xr:uid="{00000000-0005-0000-0000-00008A140000}"/>
    <cellStyle name="Comma 36 5 3 2" xfId="7633" xr:uid="{00000000-0005-0000-0000-00008B140000}"/>
    <cellStyle name="Comma 36 5 3 2 2" xfId="16081" xr:uid="{00000000-0005-0000-0000-00008C140000}"/>
    <cellStyle name="Comma 36 5 3 2 2 2" xfId="33021" xr:uid="{00000000-0005-0000-0000-00008D140000}"/>
    <cellStyle name="Comma 36 5 3 2 3" xfId="24573" xr:uid="{00000000-0005-0000-0000-00008E140000}"/>
    <cellStyle name="Comma 36 5 3 3" xfId="11857" xr:uid="{00000000-0005-0000-0000-00008F140000}"/>
    <cellStyle name="Comma 36 5 3 3 2" xfId="28797" xr:uid="{00000000-0005-0000-0000-000090140000}"/>
    <cellStyle name="Comma 36 5 3 4" xfId="20349" xr:uid="{00000000-0005-0000-0000-000091140000}"/>
    <cellStyle name="Comma 36 5 4" xfId="5521" xr:uid="{00000000-0005-0000-0000-000092140000}"/>
    <cellStyle name="Comma 36 5 4 2" xfId="13969" xr:uid="{00000000-0005-0000-0000-000093140000}"/>
    <cellStyle name="Comma 36 5 4 2 2" xfId="30909" xr:uid="{00000000-0005-0000-0000-000094140000}"/>
    <cellStyle name="Comma 36 5 4 3" xfId="22461" xr:uid="{00000000-0005-0000-0000-000095140000}"/>
    <cellStyle name="Comma 36 5 5" xfId="9745" xr:uid="{00000000-0005-0000-0000-000096140000}"/>
    <cellStyle name="Comma 36 5 5 2" xfId="26685" xr:uid="{00000000-0005-0000-0000-000097140000}"/>
    <cellStyle name="Comma 36 5 6" xfId="18237" xr:uid="{00000000-0005-0000-0000-000098140000}"/>
    <cellStyle name="Comma 36 6" xfId="1471" xr:uid="{00000000-0005-0000-0000-000099140000}"/>
    <cellStyle name="Comma 36 6 2" xfId="3583" xr:uid="{00000000-0005-0000-0000-00009A140000}"/>
    <cellStyle name="Comma 36 6 2 2" xfId="7809" xr:uid="{00000000-0005-0000-0000-00009B140000}"/>
    <cellStyle name="Comma 36 6 2 2 2" xfId="16257" xr:uid="{00000000-0005-0000-0000-00009C140000}"/>
    <cellStyle name="Comma 36 6 2 2 2 2" xfId="33197" xr:uid="{00000000-0005-0000-0000-00009D140000}"/>
    <cellStyle name="Comma 36 6 2 2 3" xfId="24749" xr:uid="{00000000-0005-0000-0000-00009E140000}"/>
    <cellStyle name="Comma 36 6 2 3" xfId="12033" xr:uid="{00000000-0005-0000-0000-00009F140000}"/>
    <cellStyle name="Comma 36 6 2 3 2" xfId="28973" xr:uid="{00000000-0005-0000-0000-0000A0140000}"/>
    <cellStyle name="Comma 36 6 2 4" xfId="20525" xr:uid="{00000000-0005-0000-0000-0000A1140000}"/>
    <cellStyle name="Comma 36 6 3" xfId="5697" xr:uid="{00000000-0005-0000-0000-0000A2140000}"/>
    <cellStyle name="Comma 36 6 3 2" xfId="14145" xr:uid="{00000000-0005-0000-0000-0000A3140000}"/>
    <cellStyle name="Comma 36 6 3 2 2" xfId="31085" xr:uid="{00000000-0005-0000-0000-0000A4140000}"/>
    <cellStyle name="Comma 36 6 3 3" xfId="22637" xr:uid="{00000000-0005-0000-0000-0000A5140000}"/>
    <cellStyle name="Comma 36 6 4" xfId="9921" xr:uid="{00000000-0005-0000-0000-0000A6140000}"/>
    <cellStyle name="Comma 36 6 4 2" xfId="26861" xr:uid="{00000000-0005-0000-0000-0000A7140000}"/>
    <cellStyle name="Comma 36 6 5" xfId="18413" xr:uid="{00000000-0005-0000-0000-0000A8140000}"/>
    <cellStyle name="Comma 36 7" xfId="2527" xr:uid="{00000000-0005-0000-0000-0000A9140000}"/>
    <cellStyle name="Comma 36 7 2" xfId="6753" xr:uid="{00000000-0005-0000-0000-0000AA140000}"/>
    <cellStyle name="Comma 36 7 2 2" xfId="15201" xr:uid="{00000000-0005-0000-0000-0000AB140000}"/>
    <cellStyle name="Comma 36 7 2 2 2" xfId="32141" xr:uid="{00000000-0005-0000-0000-0000AC140000}"/>
    <cellStyle name="Comma 36 7 2 3" xfId="23693" xr:uid="{00000000-0005-0000-0000-0000AD140000}"/>
    <cellStyle name="Comma 36 7 3" xfId="10977" xr:uid="{00000000-0005-0000-0000-0000AE140000}"/>
    <cellStyle name="Comma 36 7 3 2" xfId="27917" xr:uid="{00000000-0005-0000-0000-0000AF140000}"/>
    <cellStyle name="Comma 36 7 4" xfId="19469" xr:uid="{00000000-0005-0000-0000-0000B0140000}"/>
    <cellStyle name="Comma 36 8" xfId="4640" xr:uid="{00000000-0005-0000-0000-0000B1140000}"/>
    <cellStyle name="Comma 36 8 2" xfId="13089" xr:uid="{00000000-0005-0000-0000-0000B2140000}"/>
    <cellStyle name="Comma 36 8 2 2" xfId="30029" xr:uid="{00000000-0005-0000-0000-0000B3140000}"/>
    <cellStyle name="Comma 36 8 3" xfId="21581" xr:uid="{00000000-0005-0000-0000-0000B4140000}"/>
    <cellStyle name="Comma 36 9" xfId="8865" xr:uid="{00000000-0005-0000-0000-0000B5140000}"/>
    <cellStyle name="Comma 36 9 2" xfId="25805" xr:uid="{00000000-0005-0000-0000-0000B6140000}"/>
    <cellStyle name="Comma 37" xfId="130" xr:uid="{00000000-0005-0000-0000-0000B7140000}"/>
    <cellStyle name="Comma 37 10" xfId="17334" xr:uid="{00000000-0005-0000-0000-0000B8140000}"/>
    <cellStyle name="Comma 37 2" xfId="585" xr:uid="{00000000-0005-0000-0000-0000B9140000}"/>
    <cellStyle name="Comma 37 2 2" xfId="938" xr:uid="{00000000-0005-0000-0000-0000BA140000}"/>
    <cellStyle name="Comma 37 2 2 2" xfId="2000" xr:uid="{00000000-0005-0000-0000-0000BB140000}"/>
    <cellStyle name="Comma 37 2 2 2 2" xfId="4112" xr:uid="{00000000-0005-0000-0000-0000BC140000}"/>
    <cellStyle name="Comma 37 2 2 2 2 2" xfId="8338" xr:uid="{00000000-0005-0000-0000-0000BD140000}"/>
    <cellStyle name="Comma 37 2 2 2 2 2 2" xfId="16786" xr:uid="{00000000-0005-0000-0000-0000BE140000}"/>
    <cellStyle name="Comma 37 2 2 2 2 2 2 2" xfId="33726" xr:uid="{00000000-0005-0000-0000-0000BF140000}"/>
    <cellStyle name="Comma 37 2 2 2 2 2 3" xfId="25278" xr:uid="{00000000-0005-0000-0000-0000C0140000}"/>
    <cellStyle name="Comma 37 2 2 2 2 3" xfId="12562" xr:uid="{00000000-0005-0000-0000-0000C1140000}"/>
    <cellStyle name="Comma 37 2 2 2 2 3 2" xfId="29502" xr:uid="{00000000-0005-0000-0000-0000C2140000}"/>
    <cellStyle name="Comma 37 2 2 2 2 4" xfId="21054" xr:uid="{00000000-0005-0000-0000-0000C3140000}"/>
    <cellStyle name="Comma 37 2 2 2 3" xfId="6226" xr:uid="{00000000-0005-0000-0000-0000C4140000}"/>
    <cellStyle name="Comma 37 2 2 2 3 2" xfId="14674" xr:uid="{00000000-0005-0000-0000-0000C5140000}"/>
    <cellStyle name="Comma 37 2 2 2 3 2 2" xfId="31614" xr:uid="{00000000-0005-0000-0000-0000C6140000}"/>
    <cellStyle name="Comma 37 2 2 2 3 3" xfId="23166" xr:uid="{00000000-0005-0000-0000-0000C7140000}"/>
    <cellStyle name="Comma 37 2 2 2 4" xfId="10450" xr:uid="{00000000-0005-0000-0000-0000C8140000}"/>
    <cellStyle name="Comma 37 2 2 2 4 2" xfId="27390" xr:uid="{00000000-0005-0000-0000-0000C9140000}"/>
    <cellStyle name="Comma 37 2 2 2 5" xfId="18942" xr:uid="{00000000-0005-0000-0000-0000CA140000}"/>
    <cellStyle name="Comma 37 2 2 3" xfId="3056" xr:uid="{00000000-0005-0000-0000-0000CB140000}"/>
    <cellStyle name="Comma 37 2 2 3 2" xfId="7282" xr:uid="{00000000-0005-0000-0000-0000CC140000}"/>
    <cellStyle name="Comma 37 2 2 3 2 2" xfId="15730" xr:uid="{00000000-0005-0000-0000-0000CD140000}"/>
    <cellStyle name="Comma 37 2 2 3 2 2 2" xfId="32670" xr:uid="{00000000-0005-0000-0000-0000CE140000}"/>
    <cellStyle name="Comma 37 2 2 3 2 3" xfId="24222" xr:uid="{00000000-0005-0000-0000-0000CF140000}"/>
    <cellStyle name="Comma 37 2 2 3 3" xfId="11506" xr:uid="{00000000-0005-0000-0000-0000D0140000}"/>
    <cellStyle name="Comma 37 2 2 3 3 2" xfId="28446" xr:uid="{00000000-0005-0000-0000-0000D1140000}"/>
    <cellStyle name="Comma 37 2 2 3 4" xfId="19998" xr:uid="{00000000-0005-0000-0000-0000D2140000}"/>
    <cellStyle name="Comma 37 2 2 4" xfId="5170" xr:uid="{00000000-0005-0000-0000-0000D3140000}"/>
    <cellStyle name="Comma 37 2 2 4 2" xfId="13618" xr:uid="{00000000-0005-0000-0000-0000D4140000}"/>
    <cellStyle name="Comma 37 2 2 4 2 2" xfId="30558" xr:uid="{00000000-0005-0000-0000-0000D5140000}"/>
    <cellStyle name="Comma 37 2 2 4 3" xfId="22110" xr:uid="{00000000-0005-0000-0000-0000D6140000}"/>
    <cellStyle name="Comma 37 2 2 5" xfId="9394" xr:uid="{00000000-0005-0000-0000-0000D7140000}"/>
    <cellStyle name="Comma 37 2 2 5 2" xfId="26334" xr:uid="{00000000-0005-0000-0000-0000D8140000}"/>
    <cellStyle name="Comma 37 2 2 6" xfId="17886" xr:uid="{00000000-0005-0000-0000-0000D9140000}"/>
    <cellStyle name="Comma 37 2 3" xfId="1648" xr:uid="{00000000-0005-0000-0000-0000DA140000}"/>
    <cellStyle name="Comma 37 2 3 2" xfId="3760" xr:uid="{00000000-0005-0000-0000-0000DB140000}"/>
    <cellStyle name="Comma 37 2 3 2 2" xfId="7986" xr:uid="{00000000-0005-0000-0000-0000DC140000}"/>
    <cellStyle name="Comma 37 2 3 2 2 2" xfId="16434" xr:uid="{00000000-0005-0000-0000-0000DD140000}"/>
    <cellStyle name="Comma 37 2 3 2 2 2 2" xfId="33374" xr:uid="{00000000-0005-0000-0000-0000DE140000}"/>
    <cellStyle name="Comma 37 2 3 2 2 3" xfId="24926" xr:uid="{00000000-0005-0000-0000-0000DF140000}"/>
    <cellStyle name="Comma 37 2 3 2 3" xfId="12210" xr:uid="{00000000-0005-0000-0000-0000E0140000}"/>
    <cellStyle name="Comma 37 2 3 2 3 2" xfId="29150" xr:uid="{00000000-0005-0000-0000-0000E1140000}"/>
    <cellStyle name="Comma 37 2 3 2 4" xfId="20702" xr:uid="{00000000-0005-0000-0000-0000E2140000}"/>
    <cellStyle name="Comma 37 2 3 3" xfId="5874" xr:uid="{00000000-0005-0000-0000-0000E3140000}"/>
    <cellStyle name="Comma 37 2 3 3 2" xfId="14322" xr:uid="{00000000-0005-0000-0000-0000E4140000}"/>
    <cellStyle name="Comma 37 2 3 3 2 2" xfId="31262" xr:uid="{00000000-0005-0000-0000-0000E5140000}"/>
    <cellStyle name="Comma 37 2 3 3 3" xfId="22814" xr:uid="{00000000-0005-0000-0000-0000E6140000}"/>
    <cellStyle name="Comma 37 2 3 4" xfId="10098" xr:uid="{00000000-0005-0000-0000-0000E7140000}"/>
    <cellStyle name="Comma 37 2 3 4 2" xfId="27038" xr:uid="{00000000-0005-0000-0000-0000E8140000}"/>
    <cellStyle name="Comma 37 2 3 5" xfId="18590" xr:uid="{00000000-0005-0000-0000-0000E9140000}"/>
    <cellStyle name="Comma 37 2 4" xfId="2704" xr:uid="{00000000-0005-0000-0000-0000EA140000}"/>
    <cellStyle name="Comma 37 2 4 2" xfId="6930" xr:uid="{00000000-0005-0000-0000-0000EB140000}"/>
    <cellStyle name="Comma 37 2 4 2 2" xfId="15378" xr:uid="{00000000-0005-0000-0000-0000EC140000}"/>
    <cellStyle name="Comma 37 2 4 2 2 2" xfId="32318" xr:uid="{00000000-0005-0000-0000-0000ED140000}"/>
    <cellStyle name="Comma 37 2 4 2 3" xfId="23870" xr:uid="{00000000-0005-0000-0000-0000EE140000}"/>
    <cellStyle name="Comma 37 2 4 3" xfId="11154" xr:uid="{00000000-0005-0000-0000-0000EF140000}"/>
    <cellStyle name="Comma 37 2 4 3 2" xfId="28094" xr:uid="{00000000-0005-0000-0000-0000F0140000}"/>
    <cellStyle name="Comma 37 2 4 4" xfId="19646" xr:uid="{00000000-0005-0000-0000-0000F1140000}"/>
    <cellStyle name="Comma 37 2 5" xfId="4818" xr:uid="{00000000-0005-0000-0000-0000F2140000}"/>
    <cellStyle name="Comma 37 2 5 2" xfId="13266" xr:uid="{00000000-0005-0000-0000-0000F3140000}"/>
    <cellStyle name="Comma 37 2 5 2 2" xfId="30206" xr:uid="{00000000-0005-0000-0000-0000F4140000}"/>
    <cellStyle name="Comma 37 2 5 3" xfId="21758" xr:uid="{00000000-0005-0000-0000-0000F5140000}"/>
    <cellStyle name="Comma 37 2 6" xfId="9042" xr:uid="{00000000-0005-0000-0000-0000F6140000}"/>
    <cellStyle name="Comma 37 2 6 2" xfId="25982" xr:uid="{00000000-0005-0000-0000-0000F7140000}"/>
    <cellStyle name="Comma 37 2 7" xfId="17534" xr:uid="{00000000-0005-0000-0000-0000F8140000}"/>
    <cellStyle name="Comma 37 3" xfId="762" xr:uid="{00000000-0005-0000-0000-0000F9140000}"/>
    <cellStyle name="Comma 37 3 2" xfId="1824" xr:uid="{00000000-0005-0000-0000-0000FA140000}"/>
    <cellStyle name="Comma 37 3 2 2" xfId="3936" xr:uid="{00000000-0005-0000-0000-0000FB140000}"/>
    <cellStyle name="Comma 37 3 2 2 2" xfId="8162" xr:uid="{00000000-0005-0000-0000-0000FC140000}"/>
    <cellStyle name="Comma 37 3 2 2 2 2" xfId="16610" xr:uid="{00000000-0005-0000-0000-0000FD140000}"/>
    <cellStyle name="Comma 37 3 2 2 2 2 2" xfId="33550" xr:uid="{00000000-0005-0000-0000-0000FE140000}"/>
    <cellStyle name="Comma 37 3 2 2 2 3" xfId="25102" xr:uid="{00000000-0005-0000-0000-0000FF140000}"/>
    <cellStyle name="Comma 37 3 2 2 3" xfId="12386" xr:uid="{00000000-0005-0000-0000-000000150000}"/>
    <cellStyle name="Comma 37 3 2 2 3 2" xfId="29326" xr:uid="{00000000-0005-0000-0000-000001150000}"/>
    <cellStyle name="Comma 37 3 2 2 4" xfId="20878" xr:uid="{00000000-0005-0000-0000-000002150000}"/>
    <cellStyle name="Comma 37 3 2 3" xfId="6050" xr:uid="{00000000-0005-0000-0000-000003150000}"/>
    <cellStyle name="Comma 37 3 2 3 2" xfId="14498" xr:uid="{00000000-0005-0000-0000-000004150000}"/>
    <cellStyle name="Comma 37 3 2 3 2 2" xfId="31438" xr:uid="{00000000-0005-0000-0000-000005150000}"/>
    <cellStyle name="Comma 37 3 2 3 3" xfId="22990" xr:uid="{00000000-0005-0000-0000-000006150000}"/>
    <cellStyle name="Comma 37 3 2 4" xfId="10274" xr:uid="{00000000-0005-0000-0000-000007150000}"/>
    <cellStyle name="Comma 37 3 2 4 2" xfId="27214" xr:uid="{00000000-0005-0000-0000-000008150000}"/>
    <cellStyle name="Comma 37 3 2 5" xfId="18766" xr:uid="{00000000-0005-0000-0000-000009150000}"/>
    <cellStyle name="Comma 37 3 3" xfId="2880" xr:uid="{00000000-0005-0000-0000-00000A150000}"/>
    <cellStyle name="Comma 37 3 3 2" xfId="7106" xr:uid="{00000000-0005-0000-0000-00000B150000}"/>
    <cellStyle name="Comma 37 3 3 2 2" xfId="15554" xr:uid="{00000000-0005-0000-0000-00000C150000}"/>
    <cellStyle name="Comma 37 3 3 2 2 2" xfId="32494" xr:uid="{00000000-0005-0000-0000-00000D150000}"/>
    <cellStyle name="Comma 37 3 3 2 3" xfId="24046" xr:uid="{00000000-0005-0000-0000-00000E150000}"/>
    <cellStyle name="Comma 37 3 3 3" xfId="11330" xr:uid="{00000000-0005-0000-0000-00000F150000}"/>
    <cellStyle name="Comma 37 3 3 3 2" xfId="28270" xr:uid="{00000000-0005-0000-0000-000010150000}"/>
    <cellStyle name="Comma 37 3 3 4" xfId="19822" xr:uid="{00000000-0005-0000-0000-000011150000}"/>
    <cellStyle name="Comma 37 3 4" xfId="4994" xr:uid="{00000000-0005-0000-0000-000012150000}"/>
    <cellStyle name="Comma 37 3 4 2" xfId="13442" xr:uid="{00000000-0005-0000-0000-000013150000}"/>
    <cellStyle name="Comma 37 3 4 2 2" xfId="30382" xr:uid="{00000000-0005-0000-0000-000014150000}"/>
    <cellStyle name="Comma 37 3 4 3" xfId="21934" xr:uid="{00000000-0005-0000-0000-000015150000}"/>
    <cellStyle name="Comma 37 3 5" xfId="9218" xr:uid="{00000000-0005-0000-0000-000016150000}"/>
    <cellStyle name="Comma 37 3 5 2" xfId="26158" xr:uid="{00000000-0005-0000-0000-000017150000}"/>
    <cellStyle name="Comma 37 3 6" xfId="17710" xr:uid="{00000000-0005-0000-0000-000018150000}"/>
    <cellStyle name="Comma 37 4" xfId="1114" xr:uid="{00000000-0005-0000-0000-000019150000}"/>
    <cellStyle name="Comma 37 4 2" xfId="2176" xr:uid="{00000000-0005-0000-0000-00001A150000}"/>
    <cellStyle name="Comma 37 4 2 2" xfId="4288" xr:uid="{00000000-0005-0000-0000-00001B150000}"/>
    <cellStyle name="Comma 37 4 2 2 2" xfId="8514" xr:uid="{00000000-0005-0000-0000-00001C150000}"/>
    <cellStyle name="Comma 37 4 2 2 2 2" xfId="16962" xr:uid="{00000000-0005-0000-0000-00001D150000}"/>
    <cellStyle name="Comma 37 4 2 2 2 2 2" xfId="33902" xr:uid="{00000000-0005-0000-0000-00001E150000}"/>
    <cellStyle name="Comma 37 4 2 2 2 3" xfId="25454" xr:uid="{00000000-0005-0000-0000-00001F150000}"/>
    <cellStyle name="Comma 37 4 2 2 3" xfId="12738" xr:uid="{00000000-0005-0000-0000-000020150000}"/>
    <cellStyle name="Comma 37 4 2 2 3 2" xfId="29678" xr:uid="{00000000-0005-0000-0000-000021150000}"/>
    <cellStyle name="Comma 37 4 2 2 4" xfId="21230" xr:uid="{00000000-0005-0000-0000-000022150000}"/>
    <cellStyle name="Comma 37 4 2 3" xfId="6402" xr:uid="{00000000-0005-0000-0000-000023150000}"/>
    <cellStyle name="Comma 37 4 2 3 2" xfId="14850" xr:uid="{00000000-0005-0000-0000-000024150000}"/>
    <cellStyle name="Comma 37 4 2 3 2 2" xfId="31790" xr:uid="{00000000-0005-0000-0000-000025150000}"/>
    <cellStyle name="Comma 37 4 2 3 3" xfId="23342" xr:uid="{00000000-0005-0000-0000-000026150000}"/>
    <cellStyle name="Comma 37 4 2 4" xfId="10626" xr:uid="{00000000-0005-0000-0000-000027150000}"/>
    <cellStyle name="Comma 37 4 2 4 2" xfId="27566" xr:uid="{00000000-0005-0000-0000-000028150000}"/>
    <cellStyle name="Comma 37 4 2 5" xfId="19118" xr:uid="{00000000-0005-0000-0000-000029150000}"/>
    <cellStyle name="Comma 37 4 3" xfId="3232" xr:uid="{00000000-0005-0000-0000-00002A150000}"/>
    <cellStyle name="Comma 37 4 3 2" xfId="7458" xr:uid="{00000000-0005-0000-0000-00002B150000}"/>
    <cellStyle name="Comma 37 4 3 2 2" xfId="15906" xr:uid="{00000000-0005-0000-0000-00002C150000}"/>
    <cellStyle name="Comma 37 4 3 2 2 2" xfId="32846" xr:uid="{00000000-0005-0000-0000-00002D150000}"/>
    <cellStyle name="Comma 37 4 3 2 3" xfId="24398" xr:uid="{00000000-0005-0000-0000-00002E150000}"/>
    <cellStyle name="Comma 37 4 3 3" xfId="11682" xr:uid="{00000000-0005-0000-0000-00002F150000}"/>
    <cellStyle name="Comma 37 4 3 3 2" xfId="28622" xr:uid="{00000000-0005-0000-0000-000030150000}"/>
    <cellStyle name="Comma 37 4 3 4" xfId="20174" xr:uid="{00000000-0005-0000-0000-000031150000}"/>
    <cellStyle name="Comma 37 4 4" xfId="5346" xr:uid="{00000000-0005-0000-0000-000032150000}"/>
    <cellStyle name="Comma 37 4 4 2" xfId="13794" xr:uid="{00000000-0005-0000-0000-000033150000}"/>
    <cellStyle name="Comma 37 4 4 2 2" xfId="30734" xr:uid="{00000000-0005-0000-0000-000034150000}"/>
    <cellStyle name="Comma 37 4 4 3" xfId="22286" xr:uid="{00000000-0005-0000-0000-000035150000}"/>
    <cellStyle name="Comma 37 4 5" xfId="9570" xr:uid="{00000000-0005-0000-0000-000036150000}"/>
    <cellStyle name="Comma 37 4 5 2" xfId="26510" xr:uid="{00000000-0005-0000-0000-000037150000}"/>
    <cellStyle name="Comma 37 4 6" xfId="18062" xr:uid="{00000000-0005-0000-0000-000038150000}"/>
    <cellStyle name="Comma 37 5" xfId="1296" xr:uid="{00000000-0005-0000-0000-000039150000}"/>
    <cellStyle name="Comma 37 5 2" xfId="2352" xr:uid="{00000000-0005-0000-0000-00003A150000}"/>
    <cellStyle name="Comma 37 5 2 2" xfId="4464" xr:uid="{00000000-0005-0000-0000-00003B150000}"/>
    <cellStyle name="Comma 37 5 2 2 2" xfId="8690" xr:uid="{00000000-0005-0000-0000-00003C150000}"/>
    <cellStyle name="Comma 37 5 2 2 2 2" xfId="17138" xr:uid="{00000000-0005-0000-0000-00003D150000}"/>
    <cellStyle name="Comma 37 5 2 2 2 2 2" xfId="34078" xr:uid="{00000000-0005-0000-0000-00003E150000}"/>
    <cellStyle name="Comma 37 5 2 2 2 3" xfId="25630" xr:uid="{00000000-0005-0000-0000-00003F150000}"/>
    <cellStyle name="Comma 37 5 2 2 3" xfId="12914" xr:uid="{00000000-0005-0000-0000-000040150000}"/>
    <cellStyle name="Comma 37 5 2 2 3 2" xfId="29854" xr:uid="{00000000-0005-0000-0000-000041150000}"/>
    <cellStyle name="Comma 37 5 2 2 4" xfId="21406" xr:uid="{00000000-0005-0000-0000-000042150000}"/>
    <cellStyle name="Comma 37 5 2 3" xfId="6578" xr:uid="{00000000-0005-0000-0000-000043150000}"/>
    <cellStyle name="Comma 37 5 2 3 2" xfId="15026" xr:uid="{00000000-0005-0000-0000-000044150000}"/>
    <cellStyle name="Comma 37 5 2 3 2 2" xfId="31966" xr:uid="{00000000-0005-0000-0000-000045150000}"/>
    <cellStyle name="Comma 37 5 2 3 3" xfId="23518" xr:uid="{00000000-0005-0000-0000-000046150000}"/>
    <cellStyle name="Comma 37 5 2 4" xfId="10802" xr:uid="{00000000-0005-0000-0000-000047150000}"/>
    <cellStyle name="Comma 37 5 2 4 2" xfId="27742" xr:uid="{00000000-0005-0000-0000-000048150000}"/>
    <cellStyle name="Comma 37 5 2 5" xfId="19294" xr:uid="{00000000-0005-0000-0000-000049150000}"/>
    <cellStyle name="Comma 37 5 3" xfId="3408" xr:uid="{00000000-0005-0000-0000-00004A150000}"/>
    <cellStyle name="Comma 37 5 3 2" xfId="7634" xr:uid="{00000000-0005-0000-0000-00004B150000}"/>
    <cellStyle name="Comma 37 5 3 2 2" xfId="16082" xr:uid="{00000000-0005-0000-0000-00004C150000}"/>
    <cellStyle name="Comma 37 5 3 2 2 2" xfId="33022" xr:uid="{00000000-0005-0000-0000-00004D150000}"/>
    <cellStyle name="Comma 37 5 3 2 3" xfId="24574" xr:uid="{00000000-0005-0000-0000-00004E150000}"/>
    <cellStyle name="Comma 37 5 3 3" xfId="11858" xr:uid="{00000000-0005-0000-0000-00004F150000}"/>
    <cellStyle name="Comma 37 5 3 3 2" xfId="28798" xr:uid="{00000000-0005-0000-0000-000050150000}"/>
    <cellStyle name="Comma 37 5 3 4" xfId="20350" xr:uid="{00000000-0005-0000-0000-000051150000}"/>
    <cellStyle name="Comma 37 5 4" xfId="5522" xr:uid="{00000000-0005-0000-0000-000052150000}"/>
    <cellStyle name="Comma 37 5 4 2" xfId="13970" xr:uid="{00000000-0005-0000-0000-000053150000}"/>
    <cellStyle name="Comma 37 5 4 2 2" xfId="30910" xr:uid="{00000000-0005-0000-0000-000054150000}"/>
    <cellStyle name="Comma 37 5 4 3" xfId="22462" xr:uid="{00000000-0005-0000-0000-000055150000}"/>
    <cellStyle name="Comma 37 5 5" xfId="9746" xr:uid="{00000000-0005-0000-0000-000056150000}"/>
    <cellStyle name="Comma 37 5 5 2" xfId="26686" xr:uid="{00000000-0005-0000-0000-000057150000}"/>
    <cellStyle name="Comma 37 5 6" xfId="18238" xr:uid="{00000000-0005-0000-0000-000058150000}"/>
    <cellStyle name="Comma 37 6" xfId="1472" xr:uid="{00000000-0005-0000-0000-000059150000}"/>
    <cellStyle name="Comma 37 6 2" xfId="3584" xr:uid="{00000000-0005-0000-0000-00005A150000}"/>
    <cellStyle name="Comma 37 6 2 2" xfId="7810" xr:uid="{00000000-0005-0000-0000-00005B150000}"/>
    <cellStyle name="Comma 37 6 2 2 2" xfId="16258" xr:uid="{00000000-0005-0000-0000-00005C150000}"/>
    <cellStyle name="Comma 37 6 2 2 2 2" xfId="33198" xr:uid="{00000000-0005-0000-0000-00005D150000}"/>
    <cellStyle name="Comma 37 6 2 2 3" xfId="24750" xr:uid="{00000000-0005-0000-0000-00005E150000}"/>
    <cellStyle name="Comma 37 6 2 3" xfId="12034" xr:uid="{00000000-0005-0000-0000-00005F150000}"/>
    <cellStyle name="Comma 37 6 2 3 2" xfId="28974" xr:uid="{00000000-0005-0000-0000-000060150000}"/>
    <cellStyle name="Comma 37 6 2 4" xfId="20526" xr:uid="{00000000-0005-0000-0000-000061150000}"/>
    <cellStyle name="Comma 37 6 3" xfId="5698" xr:uid="{00000000-0005-0000-0000-000062150000}"/>
    <cellStyle name="Comma 37 6 3 2" xfId="14146" xr:uid="{00000000-0005-0000-0000-000063150000}"/>
    <cellStyle name="Comma 37 6 3 2 2" xfId="31086" xr:uid="{00000000-0005-0000-0000-000064150000}"/>
    <cellStyle name="Comma 37 6 3 3" xfId="22638" xr:uid="{00000000-0005-0000-0000-000065150000}"/>
    <cellStyle name="Comma 37 6 4" xfId="9922" xr:uid="{00000000-0005-0000-0000-000066150000}"/>
    <cellStyle name="Comma 37 6 4 2" xfId="26862" xr:uid="{00000000-0005-0000-0000-000067150000}"/>
    <cellStyle name="Comma 37 6 5" xfId="18414" xr:uid="{00000000-0005-0000-0000-000068150000}"/>
    <cellStyle name="Comma 37 7" xfId="2528" xr:uid="{00000000-0005-0000-0000-000069150000}"/>
    <cellStyle name="Comma 37 7 2" xfId="6754" xr:uid="{00000000-0005-0000-0000-00006A150000}"/>
    <cellStyle name="Comma 37 7 2 2" xfId="15202" xr:uid="{00000000-0005-0000-0000-00006B150000}"/>
    <cellStyle name="Comma 37 7 2 2 2" xfId="32142" xr:uid="{00000000-0005-0000-0000-00006C150000}"/>
    <cellStyle name="Comma 37 7 2 3" xfId="23694" xr:uid="{00000000-0005-0000-0000-00006D150000}"/>
    <cellStyle name="Comma 37 7 3" xfId="10978" xr:uid="{00000000-0005-0000-0000-00006E150000}"/>
    <cellStyle name="Comma 37 7 3 2" xfId="27918" xr:uid="{00000000-0005-0000-0000-00006F150000}"/>
    <cellStyle name="Comma 37 7 4" xfId="19470" xr:uid="{00000000-0005-0000-0000-000070150000}"/>
    <cellStyle name="Comma 37 8" xfId="4641" xr:uid="{00000000-0005-0000-0000-000071150000}"/>
    <cellStyle name="Comma 37 8 2" xfId="13090" xr:uid="{00000000-0005-0000-0000-000072150000}"/>
    <cellStyle name="Comma 37 8 2 2" xfId="30030" xr:uid="{00000000-0005-0000-0000-000073150000}"/>
    <cellStyle name="Comma 37 8 3" xfId="21582" xr:uid="{00000000-0005-0000-0000-000074150000}"/>
    <cellStyle name="Comma 37 9" xfId="8866" xr:uid="{00000000-0005-0000-0000-000075150000}"/>
    <cellStyle name="Comma 37 9 2" xfId="25806" xr:uid="{00000000-0005-0000-0000-000076150000}"/>
    <cellStyle name="Comma 38" xfId="17287" xr:uid="{00000000-0005-0000-0000-000077150000}"/>
    <cellStyle name="Comma 39" xfId="34228" xr:uid="{00000000-0005-0000-0000-000078150000}"/>
    <cellStyle name="Comma 4" xfId="131" xr:uid="{00000000-0005-0000-0000-000079150000}"/>
    <cellStyle name="Comma 4 2" xfId="132" xr:uid="{00000000-0005-0000-0000-00007A150000}"/>
    <cellStyle name="Comma 4 2 2" xfId="133" xr:uid="{00000000-0005-0000-0000-00007B150000}"/>
    <cellStyle name="Comma 4 2 2 2" xfId="134" xr:uid="{00000000-0005-0000-0000-00007C150000}"/>
    <cellStyle name="Comma 4 2 2 2 2" xfId="17337" xr:uid="{00000000-0005-0000-0000-00007D150000}"/>
    <cellStyle name="Comma 4 2 2 3" xfId="135" xr:uid="{00000000-0005-0000-0000-00007E150000}"/>
    <cellStyle name="Comma 4 2 3" xfId="136" xr:uid="{00000000-0005-0000-0000-00007F150000}"/>
    <cellStyle name="Comma 4 2 3 2" xfId="17338" xr:uid="{00000000-0005-0000-0000-000080150000}"/>
    <cellStyle name="Comma 4 2 4" xfId="137" xr:uid="{00000000-0005-0000-0000-000081150000}"/>
    <cellStyle name="Comma 4 2 4 2" xfId="17339" xr:uid="{00000000-0005-0000-0000-000082150000}"/>
    <cellStyle name="Comma 4 2 5" xfId="138" xr:uid="{00000000-0005-0000-0000-000083150000}"/>
    <cellStyle name="Comma 4 2 5 2" xfId="586" xr:uid="{00000000-0005-0000-0000-000084150000}"/>
    <cellStyle name="Comma 4 2 6" xfId="139" xr:uid="{00000000-0005-0000-0000-000085150000}"/>
    <cellStyle name="Comma 4 2 7" xfId="17336" xr:uid="{00000000-0005-0000-0000-000086150000}"/>
    <cellStyle name="Comma 4 3" xfId="140" xr:uid="{00000000-0005-0000-0000-000087150000}"/>
    <cellStyle name="Comma 4 3 2" xfId="141" xr:uid="{00000000-0005-0000-0000-000088150000}"/>
    <cellStyle name="Comma 4 3 2 2" xfId="17340" xr:uid="{00000000-0005-0000-0000-000089150000}"/>
    <cellStyle name="Comma 4 4" xfId="142" xr:uid="{00000000-0005-0000-0000-00008A150000}"/>
    <cellStyle name="Comma 4 4 2" xfId="17341" xr:uid="{00000000-0005-0000-0000-00008B150000}"/>
    <cellStyle name="Comma 4 5" xfId="143" xr:uid="{00000000-0005-0000-0000-00008C150000}"/>
    <cellStyle name="Comma 4 5 10" xfId="4642" xr:uid="{00000000-0005-0000-0000-00008D150000}"/>
    <cellStyle name="Comma 4 5 10 2" xfId="13091" xr:uid="{00000000-0005-0000-0000-00008E150000}"/>
    <cellStyle name="Comma 4 5 10 2 2" xfId="30031" xr:uid="{00000000-0005-0000-0000-00008F150000}"/>
    <cellStyle name="Comma 4 5 10 3" xfId="21583" xr:uid="{00000000-0005-0000-0000-000090150000}"/>
    <cellStyle name="Comma 4 5 11" xfId="8867" xr:uid="{00000000-0005-0000-0000-000091150000}"/>
    <cellStyle name="Comma 4 5 11 2" xfId="25807" xr:uid="{00000000-0005-0000-0000-000092150000}"/>
    <cellStyle name="Comma 4 5 12" xfId="17342" xr:uid="{00000000-0005-0000-0000-000093150000}"/>
    <cellStyle name="Comma 4 5 2" xfId="144" xr:uid="{00000000-0005-0000-0000-000094150000}"/>
    <cellStyle name="Comma 4 5 2 10" xfId="17343" xr:uid="{00000000-0005-0000-0000-000095150000}"/>
    <cellStyle name="Comma 4 5 2 2" xfId="588" xr:uid="{00000000-0005-0000-0000-000096150000}"/>
    <cellStyle name="Comma 4 5 2 2 2" xfId="940" xr:uid="{00000000-0005-0000-0000-000097150000}"/>
    <cellStyle name="Comma 4 5 2 2 2 2" xfId="2002" xr:uid="{00000000-0005-0000-0000-000098150000}"/>
    <cellStyle name="Comma 4 5 2 2 2 2 2" xfId="4114" xr:uid="{00000000-0005-0000-0000-000099150000}"/>
    <cellStyle name="Comma 4 5 2 2 2 2 2 2" xfId="8340" xr:uid="{00000000-0005-0000-0000-00009A150000}"/>
    <cellStyle name="Comma 4 5 2 2 2 2 2 2 2" xfId="16788" xr:uid="{00000000-0005-0000-0000-00009B150000}"/>
    <cellStyle name="Comma 4 5 2 2 2 2 2 2 2 2" xfId="33728" xr:uid="{00000000-0005-0000-0000-00009C150000}"/>
    <cellStyle name="Comma 4 5 2 2 2 2 2 2 3" xfId="25280" xr:uid="{00000000-0005-0000-0000-00009D150000}"/>
    <cellStyle name="Comma 4 5 2 2 2 2 2 3" xfId="12564" xr:uid="{00000000-0005-0000-0000-00009E150000}"/>
    <cellStyle name="Comma 4 5 2 2 2 2 2 3 2" xfId="29504" xr:uid="{00000000-0005-0000-0000-00009F150000}"/>
    <cellStyle name="Comma 4 5 2 2 2 2 2 4" xfId="21056" xr:uid="{00000000-0005-0000-0000-0000A0150000}"/>
    <cellStyle name="Comma 4 5 2 2 2 2 3" xfId="6228" xr:uid="{00000000-0005-0000-0000-0000A1150000}"/>
    <cellStyle name="Comma 4 5 2 2 2 2 3 2" xfId="14676" xr:uid="{00000000-0005-0000-0000-0000A2150000}"/>
    <cellStyle name="Comma 4 5 2 2 2 2 3 2 2" xfId="31616" xr:uid="{00000000-0005-0000-0000-0000A3150000}"/>
    <cellStyle name="Comma 4 5 2 2 2 2 3 3" xfId="23168" xr:uid="{00000000-0005-0000-0000-0000A4150000}"/>
    <cellStyle name="Comma 4 5 2 2 2 2 4" xfId="10452" xr:uid="{00000000-0005-0000-0000-0000A5150000}"/>
    <cellStyle name="Comma 4 5 2 2 2 2 4 2" xfId="27392" xr:uid="{00000000-0005-0000-0000-0000A6150000}"/>
    <cellStyle name="Comma 4 5 2 2 2 2 5" xfId="18944" xr:uid="{00000000-0005-0000-0000-0000A7150000}"/>
    <cellStyle name="Comma 4 5 2 2 2 3" xfId="3058" xr:uid="{00000000-0005-0000-0000-0000A8150000}"/>
    <cellStyle name="Comma 4 5 2 2 2 3 2" xfId="7284" xr:uid="{00000000-0005-0000-0000-0000A9150000}"/>
    <cellStyle name="Comma 4 5 2 2 2 3 2 2" xfId="15732" xr:uid="{00000000-0005-0000-0000-0000AA150000}"/>
    <cellStyle name="Comma 4 5 2 2 2 3 2 2 2" xfId="32672" xr:uid="{00000000-0005-0000-0000-0000AB150000}"/>
    <cellStyle name="Comma 4 5 2 2 2 3 2 3" xfId="24224" xr:uid="{00000000-0005-0000-0000-0000AC150000}"/>
    <cellStyle name="Comma 4 5 2 2 2 3 3" xfId="11508" xr:uid="{00000000-0005-0000-0000-0000AD150000}"/>
    <cellStyle name="Comma 4 5 2 2 2 3 3 2" xfId="28448" xr:uid="{00000000-0005-0000-0000-0000AE150000}"/>
    <cellStyle name="Comma 4 5 2 2 2 3 4" xfId="20000" xr:uid="{00000000-0005-0000-0000-0000AF150000}"/>
    <cellStyle name="Comma 4 5 2 2 2 4" xfId="5172" xr:uid="{00000000-0005-0000-0000-0000B0150000}"/>
    <cellStyle name="Comma 4 5 2 2 2 4 2" xfId="13620" xr:uid="{00000000-0005-0000-0000-0000B1150000}"/>
    <cellStyle name="Comma 4 5 2 2 2 4 2 2" xfId="30560" xr:uid="{00000000-0005-0000-0000-0000B2150000}"/>
    <cellStyle name="Comma 4 5 2 2 2 4 3" xfId="22112" xr:uid="{00000000-0005-0000-0000-0000B3150000}"/>
    <cellStyle name="Comma 4 5 2 2 2 5" xfId="9396" xr:uid="{00000000-0005-0000-0000-0000B4150000}"/>
    <cellStyle name="Comma 4 5 2 2 2 5 2" xfId="26336" xr:uid="{00000000-0005-0000-0000-0000B5150000}"/>
    <cellStyle name="Comma 4 5 2 2 2 6" xfId="17888" xr:uid="{00000000-0005-0000-0000-0000B6150000}"/>
    <cellStyle name="Comma 4 5 2 2 3" xfId="1650" xr:uid="{00000000-0005-0000-0000-0000B7150000}"/>
    <cellStyle name="Comma 4 5 2 2 3 2" xfId="3762" xr:uid="{00000000-0005-0000-0000-0000B8150000}"/>
    <cellStyle name="Comma 4 5 2 2 3 2 2" xfId="7988" xr:uid="{00000000-0005-0000-0000-0000B9150000}"/>
    <cellStyle name="Comma 4 5 2 2 3 2 2 2" xfId="16436" xr:uid="{00000000-0005-0000-0000-0000BA150000}"/>
    <cellStyle name="Comma 4 5 2 2 3 2 2 2 2" xfId="33376" xr:uid="{00000000-0005-0000-0000-0000BB150000}"/>
    <cellStyle name="Comma 4 5 2 2 3 2 2 3" xfId="24928" xr:uid="{00000000-0005-0000-0000-0000BC150000}"/>
    <cellStyle name="Comma 4 5 2 2 3 2 3" xfId="12212" xr:uid="{00000000-0005-0000-0000-0000BD150000}"/>
    <cellStyle name="Comma 4 5 2 2 3 2 3 2" xfId="29152" xr:uid="{00000000-0005-0000-0000-0000BE150000}"/>
    <cellStyle name="Comma 4 5 2 2 3 2 4" xfId="20704" xr:uid="{00000000-0005-0000-0000-0000BF150000}"/>
    <cellStyle name="Comma 4 5 2 2 3 3" xfId="5876" xr:uid="{00000000-0005-0000-0000-0000C0150000}"/>
    <cellStyle name="Comma 4 5 2 2 3 3 2" xfId="14324" xr:uid="{00000000-0005-0000-0000-0000C1150000}"/>
    <cellStyle name="Comma 4 5 2 2 3 3 2 2" xfId="31264" xr:uid="{00000000-0005-0000-0000-0000C2150000}"/>
    <cellStyle name="Comma 4 5 2 2 3 3 3" xfId="22816" xr:uid="{00000000-0005-0000-0000-0000C3150000}"/>
    <cellStyle name="Comma 4 5 2 2 3 4" xfId="10100" xr:uid="{00000000-0005-0000-0000-0000C4150000}"/>
    <cellStyle name="Comma 4 5 2 2 3 4 2" xfId="27040" xr:uid="{00000000-0005-0000-0000-0000C5150000}"/>
    <cellStyle name="Comma 4 5 2 2 3 5" xfId="18592" xr:uid="{00000000-0005-0000-0000-0000C6150000}"/>
    <cellStyle name="Comma 4 5 2 2 4" xfId="2706" xr:uid="{00000000-0005-0000-0000-0000C7150000}"/>
    <cellStyle name="Comma 4 5 2 2 4 2" xfId="6932" xr:uid="{00000000-0005-0000-0000-0000C8150000}"/>
    <cellStyle name="Comma 4 5 2 2 4 2 2" xfId="15380" xr:uid="{00000000-0005-0000-0000-0000C9150000}"/>
    <cellStyle name="Comma 4 5 2 2 4 2 2 2" xfId="32320" xr:uid="{00000000-0005-0000-0000-0000CA150000}"/>
    <cellStyle name="Comma 4 5 2 2 4 2 3" xfId="23872" xr:uid="{00000000-0005-0000-0000-0000CB150000}"/>
    <cellStyle name="Comma 4 5 2 2 4 3" xfId="11156" xr:uid="{00000000-0005-0000-0000-0000CC150000}"/>
    <cellStyle name="Comma 4 5 2 2 4 3 2" xfId="28096" xr:uid="{00000000-0005-0000-0000-0000CD150000}"/>
    <cellStyle name="Comma 4 5 2 2 4 4" xfId="19648" xr:uid="{00000000-0005-0000-0000-0000CE150000}"/>
    <cellStyle name="Comma 4 5 2 2 5" xfId="4820" xr:uid="{00000000-0005-0000-0000-0000CF150000}"/>
    <cellStyle name="Comma 4 5 2 2 5 2" xfId="13268" xr:uid="{00000000-0005-0000-0000-0000D0150000}"/>
    <cellStyle name="Comma 4 5 2 2 5 2 2" xfId="30208" xr:uid="{00000000-0005-0000-0000-0000D1150000}"/>
    <cellStyle name="Comma 4 5 2 2 5 3" xfId="21760" xr:uid="{00000000-0005-0000-0000-0000D2150000}"/>
    <cellStyle name="Comma 4 5 2 2 6" xfId="9044" xr:uid="{00000000-0005-0000-0000-0000D3150000}"/>
    <cellStyle name="Comma 4 5 2 2 6 2" xfId="25984" xr:uid="{00000000-0005-0000-0000-0000D4150000}"/>
    <cellStyle name="Comma 4 5 2 2 7" xfId="17536" xr:uid="{00000000-0005-0000-0000-0000D5150000}"/>
    <cellStyle name="Comma 4 5 2 3" xfId="764" xr:uid="{00000000-0005-0000-0000-0000D6150000}"/>
    <cellStyle name="Comma 4 5 2 3 2" xfId="1826" xr:uid="{00000000-0005-0000-0000-0000D7150000}"/>
    <cellStyle name="Comma 4 5 2 3 2 2" xfId="3938" xr:uid="{00000000-0005-0000-0000-0000D8150000}"/>
    <cellStyle name="Comma 4 5 2 3 2 2 2" xfId="8164" xr:uid="{00000000-0005-0000-0000-0000D9150000}"/>
    <cellStyle name="Comma 4 5 2 3 2 2 2 2" xfId="16612" xr:uid="{00000000-0005-0000-0000-0000DA150000}"/>
    <cellStyle name="Comma 4 5 2 3 2 2 2 2 2" xfId="33552" xr:uid="{00000000-0005-0000-0000-0000DB150000}"/>
    <cellStyle name="Comma 4 5 2 3 2 2 2 3" xfId="25104" xr:uid="{00000000-0005-0000-0000-0000DC150000}"/>
    <cellStyle name="Comma 4 5 2 3 2 2 3" xfId="12388" xr:uid="{00000000-0005-0000-0000-0000DD150000}"/>
    <cellStyle name="Comma 4 5 2 3 2 2 3 2" xfId="29328" xr:uid="{00000000-0005-0000-0000-0000DE150000}"/>
    <cellStyle name="Comma 4 5 2 3 2 2 4" xfId="20880" xr:uid="{00000000-0005-0000-0000-0000DF150000}"/>
    <cellStyle name="Comma 4 5 2 3 2 3" xfId="6052" xr:uid="{00000000-0005-0000-0000-0000E0150000}"/>
    <cellStyle name="Comma 4 5 2 3 2 3 2" xfId="14500" xr:uid="{00000000-0005-0000-0000-0000E1150000}"/>
    <cellStyle name="Comma 4 5 2 3 2 3 2 2" xfId="31440" xr:uid="{00000000-0005-0000-0000-0000E2150000}"/>
    <cellStyle name="Comma 4 5 2 3 2 3 3" xfId="22992" xr:uid="{00000000-0005-0000-0000-0000E3150000}"/>
    <cellStyle name="Comma 4 5 2 3 2 4" xfId="10276" xr:uid="{00000000-0005-0000-0000-0000E4150000}"/>
    <cellStyle name="Comma 4 5 2 3 2 4 2" xfId="27216" xr:uid="{00000000-0005-0000-0000-0000E5150000}"/>
    <cellStyle name="Comma 4 5 2 3 2 5" xfId="18768" xr:uid="{00000000-0005-0000-0000-0000E6150000}"/>
    <cellStyle name="Comma 4 5 2 3 3" xfId="2882" xr:uid="{00000000-0005-0000-0000-0000E7150000}"/>
    <cellStyle name="Comma 4 5 2 3 3 2" xfId="7108" xr:uid="{00000000-0005-0000-0000-0000E8150000}"/>
    <cellStyle name="Comma 4 5 2 3 3 2 2" xfId="15556" xr:uid="{00000000-0005-0000-0000-0000E9150000}"/>
    <cellStyle name="Comma 4 5 2 3 3 2 2 2" xfId="32496" xr:uid="{00000000-0005-0000-0000-0000EA150000}"/>
    <cellStyle name="Comma 4 5 2 3 3 2 3" xfId="24048" xr:uid="{00000000-0005-0000-0000-0000EB150000}"/>
    <cellStyle name="Comma 4 5 2 3 3 3" xfId="11332" xr:uid="{00000000-0005-0000-0000-0000EC150000}"/>
    <cellStyle name="Comma 4 5 2 3 3 3 2" xfId="28272" xr:uid="{00000000-0005-0000-0000-0000ED150000}"/>
    <cellStyle name="Comma 4 5 2 3 3 4" xfId="19824" xr:uid="{00000000-0005-0000-0000-0000EE150000}"/>
    <cellStyle name="Comma 4 5 2 3 4" xfId="4996" xr:uid="{00000000-0005-0000-0000-0000EF150000}"/>
    <cellStyle name="Comma 4 5 2 3 4 2" xfId="13444" xr:uid="{00000000-0005-0000-0000-0000F0150000}"/>
    <cellStyle name="Comma 4 5 2 3 4 2 2" xfId="30384" xr:uid="{00000000-0005-0000-0000-0000F1150000}"/>
    <cellStyle name="Comma 4 5 2 3 4 3" xfId="21936" xr:uid="{00000000-0005-0000-0000-0000F2150000}"/>
    <cellStyle name="Comma 4 5 2 3 5" xfId="9220" xr:uid="{00000000-0005-0000-0000-0000F3150000}"/>
    <cellStyle name="Comma 4 5 2 3 5 2" xfId="26160" xr:uid="{00000000-0005-0000-0000-0000F4150000}"/>
    <cellStyle name="Comma 4 5 2 3 6" xfId="17712" xr:uid="{00000000-0005-0000-0000-0000F5150000}"/>
    <cellStyle name="Comma 4 5 2 4" xfId="1116" xr:uid="{00000000-0005-0000-0000-0000F6150000}"/>
    <cellStyle name="Comma 4 5 2 4 2" xfId="2178" xr:uid="{00000000-0005-0000-0000-0000F7150000}"/>
    <cellStyle name="Comma 4 5 2 4 2 2" xfId="4290" xr:uid="{00000000-0005-0000-0000-0000F8150000}"/>
    <cellStyle name="Comma 4 5 2 4 2 2 2" xfId="8516" xr:uid="{00000000-0005-0000-0000-0000F9150000}"/>
    <cellStyle name="Comma 4 5 2 4 2 2 2 2" xfId="16964" xr:uid="{00000000-0005-0000-0000-0000FA150000}"/>
    <cellStyle name="Comma 4 5 2 4 2 2 2 2 2" xfId="33904" xr:uid="{00000000-0005-0000-0000-0000FB150000}"/>
    <cellStyle name="Comma 4 5 2 4 2 2 2 3" xfId="25456" xr:uid="{00000000-0005-0000-0000-0000FC150000}"/>
    <cellStyle name="Comma 4 5 2 4 2 2 3" xfId="12740" xr:uid="{00000000-0005-0000-0000-0000FD150000}"/>
    <cellStyle name="Comma 4 5 2 4 2 2 3 2" xfId="29680" xr:uid="{00000000-0005-0000-0000-0000FE150000}"/>
    <cellStyle name="Comma 4 5 2 4 2 2 4" xfId="21232" xr:uid="{00000000-0005-0000-0000-0000FF150000}"/>
    <cellStyle name="Comma 4 5 2 4 2 3" xfId="6404" xr:uid="{00000000-0005-0000-0000-000000160000}"/>
    <cellStyle name="Comma 4 5 2 4 2 3 2" xfId="14852" xr:uid="{00000000-0005-0000-0000-000001160000}"/>
    <cellStyle name="Comma 4 5 2 4 2 3 2 2" xfId="31792" xr:uid="{00000000-0005-0000-0000-000002160000}"/>
    <cellStyle name="Comma 4 5 2 4 2 3 3" xfId="23344" xr:uid="{00000000-0005-0000-0000-000003160000}"/>
    <cellStyle name="Comma 4 5 2 4 2 4" xfId="10628" xr:uid="{00000000-0005-0000-0000-000004160000}"/>
    <cellStyle name="Comma 4 5 2 4 2 4 2" xfId="27568" xr:uid="{00000000-0005-0000-0000-000005160000}"/>
    <cellStyle name="Comma 4 5 2 4 2 5" xfId="19120" xr:uid="{00000000-0005-0000-0000-000006160000}"/>
    <cellStyle name="Comma 4 5 2 4 3" xfId="3234" xr:uid="{00000000-0005-0000-0000-000007160000}"/>
    <cellStyle name="Comma 4 5 2 4 3 2" xfId="7460" xr:uid="{00000000-0005-0000-0000-000008160000}"/>
    <cellStyle name="Comma 4 5 2 4 3 2 2" xfId="15908" xr:uid="{00000000-0005-0000-0000-000009160000}"/>
    <cellStyle name="Comma 4 5 2 4 3 2 2 2" xfId="32848" xr:uid="{00000000-0005-0000-0000-00000A160000}"/>
    <cellStyle name="Comma 4 5 2 4 3 2 3" xfId="24400" xr:uid="{00000000-0005-0000-0000-00000B160000}"/>
    <cellStyle name="Comma 4 5 2 4 3 3" xfId="11684" xr:uid="{00000000-0005-0000-0000-00000C160000}"/>
    <cellStyle name="Comma 4 5 2 4 3 3 2" xfId="28624" xr:uid="{00000000-0005-0000-0000-00000D160000}"/>
    <cellStyle name="Comma 4 5 2 4 3 4" xfId="20176" xr:uid="{00000000-0005-0000-0000-00000E160000}"/>
    <cellStyle name="Comma 4 5 2 4 4" xfId="5348" xr:uid="{00000000-0005-0000-0000-00000F160000}"/>
    <cellStyle name="Comma 4 5 2 4 4 2" xfId="13796" xr:uid="{00000000-0005-0000-0000-000010160000}"/>
    <cellStyle name="Comma 4 5 2 4 4 2 2" xfId="30736" xr:uid="{00000000-0005-0000-0000-000011160000}"/>
    <cellStyle name="Comma 4 5 2 4 4 3" xfId="22288" xr:uid="{00000000-0005-0000-0000-000012160000}"/>
    <cellStyle name="Comma 4 5 2 4 5" xfId="9572" xr:uid="{00000000-0005-0000-0000-000013160000}"/>
    <cellStyle name="Comma 4 5 2 4 5 2" xfId="26512" xr:uid="{00000000-0005-0000-0000-000014160000}"/>
    <cellStyle name="Comma 4 5 2 4 6" xfId="18064" xr:uid="{00000000-0005-0000-0000-000015160000}"/>
    <cellStyle name="Comma 4 5 2 5" xfId="1298" xr:uid="{00000000-0005-0000-0000-000016160000}"/>
    <cellStyle name="Comma 4 5 2 5 2" xfId="2354" xr:uid="{00000000-0005-0000-0000-000017160000}"/>
    <cellStyle name="Comma 4 5 2 5 2 2" xfId="4466" xr:uid="{00000000-0005-0000-0000-000018160000}"/>
    <cellStyle name="Comma 4 5 2 5 2 2 2" xfId="8692" xr:uid="{00000000-0005-0000-0000-000019160000}"/>
    <cellStyle name="Comma 4 5 2 5 2 2 2 2" xfId="17140" xr:uid="{00000000-0005-0000-0000-00001A160000}"/>
    <cellStyle name="Comma 4 5 2 5 2 2 2 2 2" xfId="34080" xr:uid="{00000000-0005-0000-0000-00001B160000}"/>
    <cellStyle name="Comma 4 5 2 5 2 2 2 3" xfId="25632" xr:uid="{00000000-0005-0000-0000-00001C160000}"/>
    <cellStyle name="Comma 4 5 2 5 2 2 3" xfId="12916" xr:uid="{00000000-0005-0000-0000-00001D160000}"/>
    <cellStyle name="Comma 4 5 2 5 2 2 3 2" xfId="29856" xr:uid="{00000000-0005-0000-0000-00001E160000}"/>
    <cellStyle name="Comma 4 5 2 5 2 2 4" xfId="21408" xr:uid="{00000000-0005-0000-0000-00001F160000}"/>
    <cellStyle name="Comma 4 5 2 5 2 3" xfId="6580" xr:uid="{00000000-0005-0000-0000-000020160000}"/>
    <cellStyle name="Comma 4 5 2 5 2 3 2" xfId="15028" xr:uid="{00000000-0005-0000-0000-000021160000}"/>
    <cellStyle name="Comma 4 5 2 5 2 3 2 2" xfId="31968" xr:uid="{00000000-0005-0000-0000-000022160000}"/>
    <cellStyle name="Comma 4 5 2 5 2 3 3" xfId="23520" xr:uid="{00000000-0005-0000-0000-000023160000}"/>
    <cellStyle name="Comma 4 5 2 5 2 4" xfId="10804" xr:uid="{00000000-0005-0000-0000-000024160000}"/>
    <cellStyle name="Comma 4 5 2 5 2 4 2" xfId="27744" xr:uid="{00000000-0005-0000-0000-000025160000}"/>
    <cellStyle name="Comma 4 5 2 5 2 5" xfId="19296" xr:uid="{00000000-0005-0000-0000-000026160000}"/>
    <cellStyle name="Comma 4 5 2 5 3" xfId="3410" xr:uid="{00000000-0005-0000-0000-000027160000}"/>
    <cellStyle name="Comma 4 5 2 5 3 2" xfId="7636" xr:uid="{00000000-0005-0000-0000-000028160000}"/>
    <cellStyle name="Comma 4 5 2 5 3 2 2" xfId="16084" xr:uid="{00000000-0005-0000-0000-000029160000}"/>
    <cellStyle name="Comma 4 5 2 5 3 2 2 2" xfId="33024" xr:uid="{00000000-0005-0000-0000-00002A160000}"/>
    <cellStyle name="Comma 4 5 2 5 3 2 3" xfId="24576" xr:uid="{00000000-0005-0000-0000-00002B160000}"/>
    <cellStyle name="Comma 4 5 2 5 3 3" xfId="11860" xr:uid="{00000000-0005-0000-0000-00002C160000}"/>
    <cellStyle name="Comma 4 5 2 5 3 3 2" xfId="28800" xr:uid="{00000000-0005-0000-0000-00002D160000}"/>
    <cellStyle name="Comma 4 5 2 5 3 4" xfId="20352" xr:uid="{00000000-0005-0000-0000-00002E160000}"/>
    <cellStyle name="Comma 4 5 2 5 4" xfId="5524" xr:uid="{00000000-0005-0000-0000-00002F160000}"/>
    <cellStyle name="Comma 4 5 2 5 4 2" xfId="13972" xr:uid="{00000000-0005-0000-0000-000030160000}"/>
    <cellStyle name="Comma 4 5 2 5 4 2 2" xfId="30912" xr:uid="{00000000-0005-0000-0000-000031160000}"/>
    <cellStyle name="Comma 4 5 2 5 4 3" xfId="22464" xr:uid="{00000000-0005-0000-0000-000032160000}"/>
    <cellStyle name="Comma 4 5 2 5 5" xfId="9748" xr:uid="{00000000-0005-0000-0000-000033160000}"/>
    <cellStyle name="Comma 4 5 2 5 5 2" xfId="26688" xr:uid="{00000000-0005-0000-0000-000034160000}"/>
    <cellStyle name="Comma 4 5 2 5 6" xfId="18240" xr:uid="{00000000-0005-0000-0000-000035160000}"/>
    <cellStyle name="Comma 4 5 2 6" xfId="1474" xr:uid="{00000000-0005-0000-0000-000036160000}"/>
    <cellStyle name="Comma 4 5 2 6 2" xfId="3586" xr:uid="{00000000-0005-0000-0000-000037160000}"/>
    <cellStyle name="Comma 4 5 2 6 2 2" xfId="7812" xr:uid="{00000000-0005-0000-0000-000038160000}"/>
    <cellStyle name="Comma 4 5 2 6 2 2 2" xfId="16260" xr:uid="{00000000-0005-0000-0000-000039160000}"/>
    <cellStyle name="Comma 4 5 2 6 2 2 2 2" xfId="33200" xr:uid="{00000000-0005-0000-0000-00003A160000}"/>
    <cellStyle name="Comma 4 5 2 6 2 2 3" xfId="24752" xr:uid="{00000000-0005-0000-0000-00003B160000}"/>
    <cellStyle name="Comma 4 5 2 6 2 3" xfId="12036" xr:uid="{00000000-0005-0000-0000-00003C160000}"/>
    <cellStyle name="Comma 4 5 2 6 2 3 2" xfId="28976" xr:uid="{00000000-0005-0000-0000-00003D160000}"/>
    <cellStyle name="Comma 4 5 2 6 2 4" xfId="20528" xr:uid="{00000000-0005-0000-0000-00003E160000}"/>
    <cellStyle name="Comma 4 5 2 6 3" xfId="5700" xr:uid="{00000000-0005-0000-0000-00003F160000}"/>
    <cellStyle name="Comma 4 5 2 6 3 2" xfId="14148" xr:uid="{00000000-0005-0000-0000-000040160000}"/>
    <cellStyle name="Comma 4 5 2 6 3 2 2" xfId="31088" xr:uid="{00000000-0005-0000-0000-000041160000}"/>
    <cellStyle name="Comma 4 5 2 6 3 3" xfId="22640" xr:uid="{00000000-0005-0000-0000-000042160000}"/>
    <cellStyle name="Comma 4 5 2 6 4" xfId="9924" xr:uid="{00000000-0005-0000-0000-000043160000}"/>
    <cellStyle name="Comma 4 5 2 6 4 2" xfId="26864" xr:uid="{00000000-0005-0000-0000-000044160000}"/>
    <cellStyle name="Comma 4 5 2 6 5" xfId="18416" xr:uid="{00000000-0005-0000-0000-000045160000}"/>
    <cellStyle name="Comma 4 5 2 7" xfId="2530" xr:uid="{00000000-0005-0000-0000-000046160000}"/>
    <cellStyle name="Comma 4 5 2 7 2" xfId="6756" xr:uid="{00000000-0005-0000-0000-000047160000}"/>
    <cellStyle name="Comma 4 5 2 7 2 2" xfId="15204" xr:uid="{00000000-0005-0000-0000-000048160000}"/>
    <cellStyle name="Comma 4 5 2 7 2 2 2" xfId="32144" xr:uid="{00000000-0005-0000-0000-000049160000}"/>
    <cellStyle name="Comma 4 5 2 7 2 3" xfId="23696" xr:uid="{00000000-0005-0000-0000-00004A160000}"/>
    <cellStyle name="Comma 4 5 2 7 3" xfId="10980" xr:uid="{00000000-0005-0000-0000-00004B160000}"/>
    <cellStyle name="Comma 4 5 2 7 3 2" xfId="27920" xr:uid="{00000000-0005-0000-0000-00004C160000}"/>
    <cellStyle name="Comma 4 5 2 7 4" xfId="19472" xr:uid="{00000000-0005-0000-0000-00004D160000}"/>
    <cellStyle name="Comma 4 5 2 8" xfId="4643" xr:uid="{00000000-0005-0000-0000-00004E160000}"/>
    <cellStyle name="Comma 4 5 2 8 2" xfId="13092" xr:uid="{00000000-0005-0000-0000-00004F160000}"/>
    <cellStyle name="Comma 4 5 2 8 2 2" xfId="30032" xr:uid="{00000000-0005-0000-0000-000050160000}"/>
    <cellStyle name="Comma 4 5 2 8 3" xfId="21584" xr:uid="{00000000-0005-0000-0000-000051160000}"/>
    <cellStyle name="Comma 4 5 2 9" xfId="8868" xr:uid="{00000000-0005-0000-0000-000052160000}"/>
    <cellStyle name="Comma 4 5 2 9 2" xfId="25808" xr:uid="{00000000-0005-0000-0000-000053160000}"/>
    <cellStyle name="Comma 4 5 3" xfId="145" xr:uid="{00000000-0005-0000-0000-000054160000}"/>
    <cellStyle name="Comma 4 5 3 10" xfId="17344" xr:uid="{00000000-0005-0000-0000-000055160000}"/>
    <cellStyle name="Comma 4 5 3 2" xfId="589" xr:uid="{00000000-0005-0000-0000-000056160000}"/>
    <cellStyle name="Comma 4 5 3 2 2" xfId="941" xr:uid="{00000000-0005-0000-0000-000057160000}"/>
    <cellStyle name="Comma 4 5 3 2 2 2" xfId="2003" xr:uid="{00000000-0005-0000-0000-000058160000}"/>
    <cellStyle name="Comma 4 5 3 2 2 2 2" xfId="4115" xr:uid="{00000000-0005-0000-0000-000059160000}"/>
    <cellStyle name="Comma 4 5 3 2 2 2 2 2" xfId="8341" xr:uid="{00000000-0005-0000-0000-00005A160000}"/>
    <cellStyle name="Comma 4 5 3 2 2 2 2 2 2" xfId="16789" xr:uid="{00000000-0005-0000-0000-00005B160000}"/>
    <cellStyle name="Comma 4 5 3 2 2 2 2 2 2 2" xfId="33729" xr:uid="{00000000-0005-0000-0000-00005C160000}"/>
    <cellStyle name="Comma 4 5 3 2 2 2 2 2 3" xfId="25281" xr:uid="{00000000-0005-0000-0000-00005D160000}"/>
    <cellStyle name="Comma 4 5 3 2 2 2 2 3" xfId="12565" xr:uid="{00000000-0005-0000-0000-00005E160000}"/>
    <cellStyle name="Comma 4 5 3 2 2 2 2 3 2" xfId="29505" xr:uid="{00000000-0005-0000-0000-00005F160000}"/>
    <cellStyle name="Comma 4 5 3 2 2 2 2 4" xfId="21057" xr:uid="{00000000-0005-0000-0000-000060160000}"/>
    <cellStyle name="Comma 4 5 3 2 2 2 3" xfId="6229" xr:uid="{00000000-0005-0000-0000-000061160000}"/>
    <cellStyle name="Comma 4 5 3 2 2 2 3 2" xfId="14677" xr:uid="{00000000-0005-0000-0000-000062160000}"/>
    <cellStyle name="Comma 4 5 3 2 2 2 3 2 2" xfId="31617" xr:uid="{00000000-0005-0000-0000-000063160000}"/>
    <cellStyle name="Comma 4 5 3 2 2 2 3 3" xfId="23169" xr:uid="{00000000-0005-0000-0000-000064160000}"/>
    <cellStyle name="Comma 4 5 3 2 2 2 4" xfId="10453" xr:uid="{00000000-0005-0000-0000-000065160000}"/>
    <cellStyle name="Comma 4 5 3 2 2 2 4 2" xfId="27393" xr:uid="{00000000-0005-0000-0000-000066160000}"/>
    <cellStyle name="Comma 4 5 3 2 2 2 5" xfId="18945" xr:uid="{00000000-0005-0000-0000-000067160000}"/>
    <cellStyle name="Comma 4 5 3 2 2 3" xfId="3059" xr:uid="{00000000-0005-0000-0000-000068160000}"/>
    <cellStyle name="Comma 4 5 3 2 2 3 2" xfId="7285" xr:uid="{00000000-0005-0000-0000-000069160000}"/>
    <cellStyle name="Comma 4 5 3 2 2 3 2 2" xfId="15733" xr:uid="{00000000-0005-0000-0000-00006A160000}"/>
    <cellStyle name="Comma 4 5 3 2 2 3 2 2 2" xfId="32673" xr:uid="{00000000-0005-0000-0000-00006B160000}"/>
    <cellStyle name="Comma 4 5 3 2 2 3 2 3" xfId="24225" xr:uid="{00000000-0005-0000-0000-00006C160000}"/>
    <cellStyle name="Comma 4 5 3 2 2 3 3" xfId="11509" xr:uid="{00000000-0005-0000-0000-00006D160000}"/>
    <cellStyle name="Comma 4 5 3 2 2 3 3 2" xfId="28449" xr:uid="{00000000-0005-0000-0000-00006E160000}"/>
    <cellStyle name="Comma 4 5 3 2 2 3 4" xfId="20001" xr:uid="{00000000-0005-0000-0000-00006F160000}"/>
    <cellStyle name="Comma 4 5 3 2 2 4" xfId="5173" xr:uid="{00000000-0005-0000-0000-000070160000}"/>
    <cellStyle name="Comma 4 5 3 2 2 4 2" xfId="13621" xr:uid="{00000000-0005-0000-0000-000071160000}"/>
    <cellStyle name="Comma 4 5 3 2 2 4 2 2" xfId="30561" xr:uid="{00000000-0005-0000-0000-000072160000}"/>
    <cellStyle name="Comma 4 5 3 2 2 4 3" xfId="22113" xr:uid="{00000000-0005-0000-0000-000073160000}"/>
    <cellStyle name="Comma 4 5 3 2 2 5" xfId="9397" xr:uid="{00000000-0005-0000-0000-000074160000}"/>
    <cellStyle name="Comma 4 5 3 2 2 5 2" xfId="26337" xr:uid="{00000000-0005-0000-0000-000075160000}"/>
    <cellStyle name="Comma 4 5 3 2 2 6" xfId="17889" xr:uid="{00000000-0005-0000-0000-000076160000}"/>
    <cellStyle name="Comma 4 5 3 2 3" xfId="1651" xr:uid="{00000000-0005-0000-0000-000077160000}"/>
    <cellStyle name="Comma 4 5 3 2 3 2" xfId="3763" xr:uid="{00000000-0005-0000-0000-000078160000}"/>
    <cellStyle name="Comma 4 5 3 2 3 2 2" xfId="7989" xr:uid="{00000000-0005-0000-0000-000079160000}"/>
    <cellStyle name="Comma 4 5 3 2 3 2 2 2" xfId="16437" xr:uid="{00000000-0005-0000-0000-00007A160000}"/>
    <cellStyle name="Comma 4 5 3 2 3 2 2 2 2" xfId="33377" xr:uid="{00000000-0005-0000-0000-00007B160000}"/>
    <cellStyle name="Comma 4 5 3 2 3 2 2 3" xfId="24929" xr:uid="{00000000-0005-0000-0000-00007C160000}"/>
    <cellStyle name="Comma 4 5 3 2 3 2 3" xfId="12213" xr:uid="{00000000-0005-0000-0000-00007D160000}"/>
    <cellStyle name="Comma 4 5 3 2 3 2 3 2" xfId="29153" xr:uid="{00000000-0005-0000-0000-00007E160000}"/>
    <cellStyle name="Comma 4 5 3 2 3 2 4" xfId="20705" xr:uid="{00000000-0005-0000-0000-00007F160000}"/>
    <cellStyle name="Comma 4 5 3 2 3 3" xfId="5877" xr:uid="{00000000-0005-0000-0000-000080160000}"/>
    <cellStyle name="Comma 4 5 3 2 3 3 2" xfId="14325" xr:uid="{00000000-0005-0000-0000-000081160000}"/>
    <cellStyle name="Comma 4 5 3 2 3 3 2 2" xfId="31265" xr:uid="{00000000-0005-0000-0000-000082160000}"/>
    <cellStyle name="Comma 4 5 3 2 3 3 3" xfId="22817" xr:uid="{00000000-0005-0000-0000-000083160000}"/>
    <cellStyle name="Comma 4 5 3 2 3 4" xfId="10101" xr:uid="{00000000-0005-0000-0000-000084160000}"/>
    <cellStyle name="Comma 4 5 3 2 3 4 2" xfId="27041" xr:uid="{00000000-0005-0000-0000-000085160000}"/>
    <cellStyle name="Comma 4 5 3 2 3 5" xfId="18593" xr:uid="{00000000-0005-0000-0000-000086160000}"/>
    <cellStyle name="Comma 4 5 3 2 4" xfId="2707" xr:uid="{00000000-0005-0000-0000-000087160000}"/>
    <cellStyle name="Comma 4 5 3 2 4 2" xfId="6933" xr:uid="{00000000-0005-0000-0000-000088160000}"/>
    <cellStyle name="Comma 4 5 3 2 4 2 2" xfId="15381" xr:uid="{00000000-0005-0000-0000-000089160000}"/>
    <cellStyle name="Comma 4 5 3 2 4 2 2 2" xfId="32321" xr:uid="{00000000-0005-0000-0000-00008A160000}"/>
    <cellStyle name="Comma 4 5 3 2 4 2 3" xfId="23873" xr:uid="{00000000-0005-0000-0000-00008B160000}"/>
    <cellStyle name="Comma 4 5 3 2 4 3" xfId="11157" xr:uid="{00000000-0005-0000-0000-00008C160000}"/>
    <cellStyle name="Comma 4 5 3 2 4 3 2" xfId="28097" xr:uid="{00000000-0005-0000-0000-00008D160000}"/>
    <cellStyle name="Comma 4 5 3 2 4 4" xfId="19649" xr:uid="{00000000-0005-0000-0000-00008E160000}"/>
    <cellStyle name="Comma 4 5 3 2 5" xfId="4821" xr:uid="{00000000-0005-0000-0000-00008F160000}"/>
    <cellStyle name="Comma 4 5 3 2 5 2" xfId="13269" xr:uid="{00000000-0005-0000-0000-000090160000}"/>
    <cellStyle name="Comma 4 5 3 2 5 2 2" xfId="30209" xr:uid="{00000000-0005-0000-0000-000091160000}"/>
    <cellStyle name="Comma 4 5 3 2 5 3" xfId="21761" xr:uid="{00000000-0005-0000-0000-000092160000}"/>
    <cellStyle name="Comma 4 5 3 2 6" xfId="9045" xr:uid="{00000000-0005-0000-0000-000093160000}"/>
    <cellStyle name="Comma 4 5 3 2 6 2" xfId="25985" xr:uid="{00000000-0005-0000-0000-000094160000}"/>
    <cellStyle name="Comma 4 5 3 2 7" xfId="17537" xr:uid="{00000000-0005-0000-0000-000095160000}"/>
    <cellStyle name="Comma 4 5 3 3" xfId="765" xr:uid="{00000000-0005-0000-0000-000096160000}"/>
    <cellStyle name="Comma 4 5 3 3 2" xfId="1827" xr:uid="{00000000-0005-0000-0000-000097160000}"/>
    <cellStyle name="Comma 4 5 3 3 2 2" xfId="3939" xr:uid="{00000000-0005-0000-0000-000098160000}"/>
    <cellStyle name="Comma 4 5 3 3 2 2 2" xfId="8165" xr:uid="{00000000-0005-0000-0000-000099160000}"/>
    <cellStyle name="Comma 4 5 3 3 2 2 2 2" xfId="16613" xr:uid="{00000000-0005-0000-0000-00009A160000}"/>
    <cellStyle name="Comma 4 5 3 3 2 2 2 2 2" xfId="33553" xr:uid="{00000000-0005-0000-0000-00009B160000}"/>
    <cellStyle name="Comma 4 5 3 3 2 2 2 3" xfId="25105" xr:uid="{00000000-0005-0000-0000-00009C160000}"/>
    <cellStyle name="Comma 4 5 3 3 2 2 3" xfId="12389" xr:uid="{00000000-0005-0000-0000-00009D160000}"/>
    <cellStyle name="Comma 4 5 3 3 2 2 3 2" xfId="29329" xr:uid="{00000000-0005-0000-0000-00009E160000}"/>
    <cellStyle name="Comma 4 5 3 3 2 2 4" xfId="20881" xr:uid="{00000000-0005-0000-0000-00009F160000}"/>
    <cellStyle name="Comma 4 5 3 3 2 3" xfId="6053" xr:uid="{00000000-0005-0000-0000-0000A0160000}"/>
    <cellStyle name="Comma 4 5 3 3 2 3 2" xfId="14501" xr:uid="{00000000-0005-0000-0000-0000A1160000}"/>
    <cellStyle name="Comma 4 5 3 3 2 3 2 2" xfId="31441" xr:uid="{00000000-0005-0000-0000-0000A2160000}"/>
    <cellStyle name="Comma 4 5 3 3 2 3 3" xfId="22993" xr:uid="{00000000-0005-0000-0000-0000A3160000}"/>
    <cellStyle name="Comma 4 5 3 3 2 4" xfId="10277" xr:uid="{00000000-0005-0000-0000-0000A4160000}"/>
    <cellStyle name="Comma 4 5 3 3 2 4 2" xfId="27217" xr:uid="{00000000-0005-0000-0000-0000A5160000}"/>
    <cellStyle name="Comma 4 5 3 3 2 5" xfId="18769" xr:uid="{00000000-0005-0000-0000-0000A6160000}"/>
    <cellStyle name="Comma 4 5 3 3 3" xfId="2883" xr:uid="{00000000-0005-0000-0000-0000A7160000}"/>
    <cellStyle name="Comma 4 5 3 3 3 2" xfId="7109" xr:uid="{00000000-0005-0000-0000-0000A8160000}"/>
    <cellStyle name="Comma 4 5 3 3 3 2 2" xfId="15557" xr:uid="{00000000-0005-0000-0000-0000A9160000}"/>
    <cellStyle name="Comma 4 5 3 3 3 2 2 2" xfId="32497" xr:uid="{00000000-0005-0000-0000-0000AA160000}"/>
    <cellStyle name="Comma 4 5 3 3 3 2 3" xfId="24049" xr:uid="{00000000-0005-0000-0000-0000AB160000}"/>
    <cellStyle name="Comma 4 5 3 3 3 3" xfId="11333" xr:uid="{00000000-0005-0000-0000-0000AC160000}"/>
    <cellStyle name="Comma 4 5 3 3 3 3 2" xfId="28273" xr:uid="{00000000-0005-0000-0000-0000AD160000}"/>
    <cellStyle name="Comma 4 5 3 3 3 4" xfId="19825" xr:uid="{00000000-0005-0000-0000-0000AE160000}"/>
    <cellStyle name="Comma 4 5 3 3 4" xfId="4997" xr:uid="{00000000-0005-0000-0000-0000AF160000}"/>
    <cellStyle name="Comma 4 5 3 3 4 2" xfId="13445" xr:uid="{00000000-0005-0000-0000-0000B0160000}"/>
    <cellStyle name="Comma 4 5 3 3 4 2 2" xfId="30385" xr:uid="{00000000-0005-0000-0000-0000B1160000}"/>
    <cellStyle name="Comma 4 5 3 3 4 3" xfId="21937" xr:uid="{00000000-0005-0000-0000-0000B2160000}"/>
    <cellStyle name="Comma 4 5 3 3 5" xfId="9221" xr:uid="{00000000-0005-0000-0000-0000B3160000}"/>
    <cellStyle name="Comma 4 5 3 3 5 2" xfId="26161" xr:uid="{00000000-0005-0000-0000-0000B4160000}"/>
    <cellStyle name="Comma 4 5 3 3 6" xfId="17713" xr:uid="{00000000-0005-0000-0000-0000B5160000}"/>
    <cellStyle name="Comma 4 5 3 4" xfId="1117" xr:uid="{00000000-0005-0000-0000-0000B6160000}"/>
    <cellStyle name="Comma 4 5 3 4 2" xfId="2179" xr:uid="{00000000-0005-0000-0000-0000B7160000}"/>
    <cellStyle name="Comma 4 5 3 4 2 2" xfId="4291" xr:uid="{00000000-0005-0000-0000-0000B8160000}"/>
    <cellStyle name="Comma 4 5 3 4 2 2 2" xfId="8517" xr:uid="{00000000-0005-0000-0000-0000B9160000}"/>
    <cellStyle name="Comma 4 5 3 4 2 2 2 2" xfId="16965" xr:uid="{00000000-0005-0000-0000-0000BA160000}"/>
    <cellStyle name="Comma 4 5 3 4 2 2 2 2 2" xfId="33905" xr:uid="{00000000-0005-0000-0000-0000BB160000}"/>
    <cellStyle name="Comma 4 5 3 4 2 2 2 3" xfId="25457" xr:uid="{00000000-0005-0000-0000-0000BC160000}"/>
    <cellStyle name="Comma 4 5 3 4 2 2 3" xfId="12741" xr:uid="{00000000-0005-0000-0000-0000BD160000}"/>
    <cellStyle name="Comma 4 5 3 4 2 2 3 2" xfId="29681" xr:uid="{00000000-0005-0000-0000-0000BE160000}"/>
    <cellStyle name="Comma 4 5 3 4 2 2 4" xfId="21233" xr:uid="{00000000-0005-0000-0000-0000BF160000}"/>
    <cellStyle name="Comma 4 5 3 4 2 3" xfId="6405" xr:uid="{00000000-0005-0000-0000-0000C0160000}"/>
    <cellStyle name="Comma 4 5 3 4 2 3 2" xfId="14853" xr:uid="{00000000-0005-0000-0000-0000C1160000}"/>
    <cellStyle name="Comma 4 5 3 4 2 3 2 2" xfId="31793" xr:uid="{00000000-0005-0000-0000-0000C2160000}"/>
    <cellStyle name="Comma 4 5 3 4 2 3 3" xfId="23345" xr:uid="{00000000-0005-0000-0000-0000C3160000}"/>
    <cellStyle name="Comma 4 5 3 4 2 4" xfId="10629" xr:uid="{00000000-0005-0000-0000-0000C4160000}"/>
    <cellStyle name="Comma 4 5 3 4 2 4 2" xfId="27569" xr:uid="{00000000-0005-0000-0000-0000C5160000}"/>
    <cellStyle name="Comma 4 5 3 4 2 5" xfId="19121" xr:uid="{00000000-0005-0000-0000-0000C6160000}"/>
    <cellStyle name="Comma 4 5 3 4 3" xfId="3235" xr:uid="{00000000-0005-0000-0000-0000C7160000}"/>
    <cellStyle name="Comma 4 5 3 4 3 2" xfId="7461" xr:uid="{00000000-0005-0000-0000-0000C8160000}"/>
    <cellStyle name="Comma 4 5 3 4 3 2 2" xfId="15909" xr:uid="{00000000-0005-0000-0000-0000C9160000}"/>
    <cellStyle name="Comma 4 5 3 4 3 2 2 2" xfId="32849" xr:uid="{00000000-0005-0000-0000-0000CA160000}"/>
    <cellStyle name="Comma 4 5 3 4 3 2 3" xfId="24401" xr:uid="{00000000-0005-0000-0000-0000CB160000}"/>
    <cellStyle name="Comma 4 5 3 4 3 3" xfId="11685" xr:uid="{00000000-0005-0000-0000-0000CC160000}"/>
    <cellStyle name="Comma 4 5 3 4 3 3 2" xfId="28625" xr:uid="{00000000-0005-0000-0000-0000CD160000}"/>
    <cellStyle name="Comma 4 5 3 4 3 4" xfId="20177" xr:uid="{00000000-0005-0000-0000-0000CE160000}"/>
    <cellStyle name="Comma 4 5 3 4 4" xfId="5349" xr:uid="{00000000-0005-0000-0000-0000CF160000}"/>
    <cellStyle name="Comma 4 5 3 4 4 2" xfId="13797" xr:uid="{00000000-0005-0000-0000-0000D0160000}"/>
    <cellStyle name="Comma 4 5 3 4 4 2 2" xfId="30737" xr:uid="{00000000-0005-0000-0000-0000D1160000}"/>
    <cellStyle name="Comma 4 5 3 4 4 3" xfId="22289" xr:uid="{00000000-0005-0000-0000-0000D2160000}"/>
    <cellStyle name="Comma 4 5 3 4 5" xfId="9573" xr:uid="{00000000-0005-0000-0000-0000D3160000}"/>
    <cellStyle name="Comma 4 5 3 4 5 2" xfId="26513" xr:uid="{00000000-0005-0000-0000-0000D4160000}"/>
    <cellStyle name="Comma 4 5 3 4 6" xfId="18065" xr:uid="{00000000-0005-0000-0000-0000D5160000}"/>
    <cellStyle name="Comma 4 5 3 5" xfId="1299" xr:uid="{00000000-0005-0000-0000-0000D6160000}"/>
    <cellStyle name="Comma 4 5 3 5 2" xfId="2355" xr:uid="{00000000-0005-0000-0000-0000D7160000}"/>
    <cellStyle name="Comma 4 5 3 5 2 2" xfId="4467" xr:uid="{00000000-0005-0000-0000-0000D8160000}"/>
    <cellStyle name="Comma 4 5 3 5 2 2 2" xfId="8693" xr:uid="{00000000-0005-0000-0000-0000D9160000}"/>
    <cellStyle name="Comma 4 5 3 5 2 2 2 2" xfId="17141" xr:uid="{00000000-0005-0000-0000-0000DA160000}"/>
    <cellStyle name="Comma 4 5 3 5 2 2 2 2 2" xfId="34081" xr:uid="{00000000-0005-0000-0000-0000DB160000}"/>
    <cellStyle name="Comma 4 5 3 5 2 2 2 3" xfId="25633" xr:uid="{00000000-0005-0000-0000-0000DC160000}"/>
    <cellStyle name="Comma 4 5 3 5 2 2 3" xfId="12917" xr:uid="{00000000-0005-0000-0000-0000DD160000}"/>
    <cellStyle name="Comma 4 5 3 5 2 2 3 2" xfId="29857" xr:uid="{00000000-0005-0000-0000-0000DE160000}"/>
    <cellStyle name="Comma 4 5 3 5 2 2 4" xfId="21409" xr:uid="{00000000-0005-0000-0000-0000DF160000}"/>
    <cellStyle name="Comma 4 5 3 5 2 3" xfId="6581" xr:uid="{00000000-0005-0000-0000-0000E0160000}"/>
    <cellStyle name="Comma 4 5 3 5 2 3 2" xfId="15029" xr:uid="{00000000-0005-0000-0000-0000E1160000}"/>
    <cellStyle name="Comma 4 5 3 5 2 3 2 2" xfId="31969" xr:uid="{00000000-0005-0000-0000-0000E2160000}"/>
    <cellStyle name="Comma 4 5 3 5 2 3 3" xfId="23521" xr:uid="{00000000-0005-0000-0000-0000E3160000}"/>
    <cellStyle name="Comma 4 5 3 5 2 4" xfId="10805" xr:uid="{00000000-0005-0000-0000-0000E4160000}"/>
    <cellStyle name="Comma 4 5 3 5 2 4 2" xfId="27745" xr:uid="{00000000-0005-0000-0000-0000E5160000}"/>
    <cellStyle name="Comma 4 5 3 5 2 5" xfId="19297" xr:uid="{00000000-0005-0000-0000-0000E6160000}"/>
    <cellStyle name="Comma 4 5 3 5 3" xfId="3411" xr:uid="{00000000-0005-0000-0000-0000E7160000}"/>
    <cellStyle name="Comma 4 5 3 5 3 2" xfId="7637" xr:uid="{00000000-0005-0000-0000-0000E8160000}"/>
    <cellStyle name="Comma 4 5 3 5 3 2 2" xfId="16085" xr:uid="{00000000-0005-0000-0000-0000E9160000}"/>
    <cellStyle name="Comma 4 5 3 5 3 2 2 2" xfId="33025" xr:uid="{00000000-0005-0000-0000-0000EA160000}"/>
    <cellStyle name="Comma 4 5 3 5 3 2 3" xfId="24577" xr:uid="{00000000-0005-0000-0000-0000EB160000}"/>
    <cellStyle name="Comma 4 5 3 5 3 3" xfId="11861" xr:uid="{00000000-0005-0000-0000-0000EC160000}"/>
    <cellStyle name="Comma 4 5 3 5 3 3 2" xfId="28801" xr:uid="{00000000-0005-0000-0000-0000ED160000}"/>
    <cellStyle name="Comma 4 5 3 5 3 4" xfId="20353" xr:uid="{00000000-0005-0000-0000-0000EE160000}"/>
    <cellStyle name="Comma 4 5 3 5 4" xfId="5525" xr:uid="{00000000-0005-0000-0000-0000EF160000}"/>
    <cellStyle name="Comma 4 5 3 5 4 2" xfId="13973" xr:uid="{00000000-0005-0000-0000-0000F0160000}"/>
    <cellStyle name="Comma 4 5 3 5 4 2 2" xfId="30913" xr:uid="{00000000-0005-0000-0000-0000F1160000}"/>
    <cellStyle name="Comma 4 5 3 5 4 3" xfId="22465" xr:uid="{00000000-0005-0000-0000-0000F2160000}"/>
    <cellStyle name="Comma 4 5 3 5 5" xfId="9749" xr:uid="{00000000-0005-0000-0000-0000F3160000}"/>
    <cellStyle name="Comma 4 5 3 5 5 2" xfId="26689" xr:uid="{00000000-0005-0000-0000-0000F4160000}"/>
    <cellStyle name="Comma 4 5 3 5 6" xfId="18241" xr:uid="{00000000-0005-0000-0000-0000F5160000}"/>
    <cellStyle name="Comma 4 5 3 6" xfId="1475" xr:uid="{00000000-0005-0000-0000-0000F6160000}"/>
    <cellStyle name="Comma 4 5 3 6 2" xfId="3587" xr:uid="{00000000-0005-0000-0000-0000F7160000}"/>
    <cellStyle name="Comma 4 5 3 6 2 2" xfId="7813" xr:uid="{00000000-0005-0000-0000-0000F8160000}"/>
    <cellStyle name="Comma 4 5 3 6 2 2 2" xfId="16261" xr:uid="{00000000-0005-0000-0000-0000F9160000}"/>
    <cellStyle name="Comma 4 5 3 6 2 2 2 2" xfId="33201" xr:uid="{00000000-0005-0000-0000-0000FA160000}"/>
    <cellStyle name="Comma 4 5 3 6 2 2 3" xfId="24753" xr:uid="{00000000-0005-0000-0000-0000FB160000}"/>
    <cellStyle name="Comma 4 5 3 6 2 3" xfId="12037" xr:uid="{00000000-0005-0000-0000-0000FC160000}"/>
    <cellStyle name="Comma 4 5 3 6 2 3 2" xfId="28977" xr:uid="{00000000-0005-0000-0000-0000FD160000}"/>
    <cellStyle name="Comma 4 5 3 6 2 4" xfId="20529" xr:uid="{00000000-0005-0000-0000-0000FE160000}"/>
    <cellStyle name="Comma 4 5 3 6 3" xfId="5701" xr:uid="{00000000-0005-0000-0000-0000FF160000}"/>
    <cellStyle name="Comma 4 5 3 6 3 2" xfId="14149" xr:uid="{00000000-0005-0000-0000-000000170000}"/>
    <cellStyle name="Comma 4 5 3 6 3 2 2" xfId="31089" xr:uid="{00000000-0005-0000-0000-000001170000}"/>
    <cellStyle name="Comma 4 5 3 6 3 3" xfId="22641" xr:uid="{00000000-0005-0000-0000-000002170000}"/>
    <cellStyle name="Comma 4 5 3 6 4" xfId="9925" xr:uid="{00000000-0005-0000-0000-000003170000}"/>
    <cellStyle name="Comma 4 5 3 6 4 2" xfId="26865" xr:uid="{00000000-0005-0000-0000-000004170000}"/>
    <cellStyle name="Comma 4 5 3 6 5" xfId="18417" xr:uid="{00000000-0005-0000-0000-000005170000}"/>
    <cellStyle name="Comma 4 5 3 7" xfId="2531" xr:uid="{00000000-0005-0000-0000-000006170000}"/>
    <cellStyle name="Comma 4 5 3 7 2" xfId="6757" xr:uid="{00000000-0005-0000-0000-000007170000}"/>
    <cellStyle name="Comma 4 5 3 7 2 2" xfId="15205" xr:uid="{00000000-0005-0000-0000-000008170000}"/>
    <cellStyle name="Comma 4 5 3 7 2 2 2" xfId="32145" xr:uid="{00000000-0005-0000-0000-000009170000}"/>
    <cellStyle name="Comma 4 5 3 7 2 3" xfId="23697" xr:uid="{00000000-0005-0000-0000-00000A170000}"/>
    <cellStyle name="Comma 4 5 3 7 3" xfId="10981" xr:uid="{00000000-0005-0000-0000-00000B170000}"/>
    <cellStyle name="Comma 4 5 3 7 3 2" xfId="27921" xr:uid="{00000000-0005-0000-0000-00000C170000}"/>
    <cellStyle name="Comma 4 5 3 7 4" xfId="19473" xr:uid="{00000000-0005-0000-0000-00000D170000}"/>
    <cellStyle name="Comma 4 5 3 8" xfId="4644" xr:uid="{00000000-0005-0000-0000-00000E170000}"/>
    <cellStyle name="Comma 4 5 3 8 2" xfId="13093" xr:uid="{00000000-0005-0000-0000-00000F170000}"/>
    <cellStyle name="Comma 4 5 3 8 2 2" xfId="30033" xr:uid="{00000000-0005-0000-0000-000010170000}"/>
    <cellStyle name="Comma 4 5 3 8 3" xfId="21585" xr:uid="{00000000-0005-0000-0000-000011170000}"/>
    <cellStyle name="Comma 4 5 3 9" xfId="8869" xr:uid="{00000000-0005-0000-0000-000012170000}"/>
    <cellStyle name="Comma 4 5 3 9 2" xfId="25809" xr:uid="{00000000-0005-0000-0000-000013170000}"/>
    <cellStyle name="Comma 4 5 4" xfId="587" xr:uid="{00000000-0005-0000-0000-000014170000}"/>
    <cellStyle name="Comma 4 5 4 2" xfId="939" xr:uid="{00000000-0005-0000-0000-000015170000}"/>
    <cellStyle name="Comma 4 5 4 2 2" xfId="2001" xr:uid="{00000000-0005-0000-0000-000016170000}"/>
    <cellStyle name="Comma 4 5 4 2 2 2" xfId="4113" xr:uid="{00000000-0005-0000-0000-000017170000}"/>
    <cellStyle name="Comma 4 5 4 2 2 2 2" xfId="8339" xr:uid="{00000000-0005-0000-0000-000018170000}"/>
    <cellStyle name="Comma 4 5 4 2 2 2 2 2" xfId="16787" xr:uid="{00000000-0005-0000-0000-000019170000}"/>
    <cellStyle name="Comma 4 5 4 2 2 2 2 2 2" xfId="33727" xr:uid="{00000000-0005-0000-0000-00001A170000}"/>
    <cellStyle name="Comma 4 5 4 2 2 2 2 3" xfId="25279" xr:uid="{00000000-0005-0000-0000-00001B170000}"/>
    <cellStyle name="Comma 4 5 4 2 2 2 3" xfId="12563" xr:uid="{00000000-0005-0000-0000-00001C170000}"/>
    <cellStyle name="Comma 4 5 4 2 2 2 3 2" xfId="29503" xr:uid="{00000000-0005-0000-0000-00001D170000}"/>
    <cellStyle name="Comma 4 5 4 2 2 2 4" xfId="21055" xr:uid="{00000000-0005-0000-0000-00001E170000}"/>
    <cellStyle name="Comma 4 5 4 2 2 3" xfId="6227" xr:uid="{00000000-0005-0000-0000-00001F170000}"/>
    <cellStyle name="Comma 4 5 4 2 2 3 2" xfId="14675" xr:uid="{00000000-0005-0000-0000-000020170000}"/>
    <cellStyle name="Comma 4 5 4 2 2 3 2 2" xfId="31615" xr:uid="{00000000-0005-0000-0000-000021170000}"/>
    <cellStyle name="Comma 4 5 4 2 2 3 3" xfId="23167" xr:uid="{00000000-0005-0000-0000-000022170000}"/>
    <cellStyle name="Comma 4 5 4 2 2 4" xfId="10451" xr:uid="{00000000-0005-0000-0000-000023170000}"/>
    <cellStyle name="Comma 4 5 4 2 2 4 2" xfId="27391" xr:uid="{00000000-0005-0000-0000-000024170000}"/>
    <cellStyle name="Comma 4 5 4 2 2 5" xfId="18943" xr:uid="{00000000-0005-0000-0000-000025170000}"/>
    <cellStyle name="Comma 4 5 4 2 3" xfId="3057" xr:uid="{00000000-0005-0000-0000-000026170000}"/>
    <cellStyle name="Comma 4 5 4 2 3 2" xfId="7283" xr:uid="{00000000-0005-0000-0000-000027170000}"/>
    <cellStyle name="Comma 4 5 4 2 3 2 2" xfId="15731" xr:uid="{00000000-0005-0000-0000-000028170000}"/>
    <cellStyle name="Comma 4 5 4 2 3 2 2 2" xfId="32671" xr:uid="{00000000-0005-0000-0000-000029170000}"/>
    <cellStyle name="Comma 4 5 4 2 3 2 3" xfId="24223" xr:uid="{00000000-0005-0000-0000-00002A170000}"/>
    <cellStyle name="Comma 4 5 4 2 3 3" xfId="11507" xr:uid="{00000000-0005-0000-0000-00002B170000}"/>
    <cellStyle name="Comma 4 5 4 2 3 3 2" xfId="28447" xr:uid="{00000000-0005-0000-0000-00002C170000}"/>
    <cellStyle name="Comma 4 5 4 2 3 4" xfId="19999" xr:uid="{00000000-0005-0000-0000-00002D170000}"/>
    <cellStyle name="Comma 4 5 4 2 4" xfId="5171" xr:uid="{00000000-0005-0000-0000-00002E170000}"/>
    <cellStyle name="Comma 4 5 4 2 4 2" xfId="13619" xr:uid="{00000000-0005-0000-0000-00002F170000}"/>
    <cellStyle name="Comma 4 5 4 2 4 2 2" xfId="30559" xr:uid="{00000000-0005-0000-0000-000030170000}"/>
    <cellStyle name="Comma 4 5 4 2 4 3" xfId="22111" xr:uid="{00000000-0005-0000-0000-000031170000}"/>
    <cellStyle name="Comma 4 5 4 2 5" xfId="9395" xr:uid="{00000000-0005-0000-0000-000032170000}"/>
    <cellStyle name="Comma 4 5 4 2 5 2" xfId="26335" xr:uid="{00000000-0005-0000-0000-000033170000}"/>
    <cellStyle name="Comma 4 5 4 2 6" xfId="17887" xr:uid="{00000000-0005-0000-0000-000034170000}"/>
    <cellStyle name="Comma 4 5 4 3" xfId="1649" xr:uid="{00000000-0005-0000-0000-000035170000}"/>
    <cellStyle name="Comma 4 5 4 3 2" xfId="3761" xr:uid="{00000000-0005-0000-0000-000036170000}"/>
    <cellStyle name="Comma 4 5 4 3 2 2" xfId="7987" xr:uid="{00000000-0005-0000-0000-000037170000}"/>
    <cellStyle name="Comma 4 5 4 3 2 2 2" xfId="16435" xr:uid="{00000000-0005-0000-0000-000038170000}"/>
    <cellStyle name="Comma 4 5 4 3 2 2 2 2" xfId="33375" xr:uid="{00000000-0005-0000-0000-000039170000}"/>
    <cellStyle name="Comma 4 5 4 3 2 2 3" xfId="24927" xr:uid="{00000000-0005-0000-0000-00003A170000}"/>
    <cellStyle name="Comma 4 5 4 3 2 3" xfId="12211" xr:uid="{00000000-0005-0000-0000-00003B170000}"/>
    <cellStyle name="Comma 4 5 4 3 2 3 2" xfId="29151" xr:uid="{00000000-0005-0000-0000-00003C170000}"/>
    <cellStyle name="Comma 4 5 4 3 2 4" xfId="20703" xr:uid="{00000000-0005-0000-0000-00003D170000}"/>
    <cellStyle name="Comma 4 5 4 3 3" xfId="5875" xr:uid="{00000000-0005-0000-0000-00003E170000}"/>
    <cellStyle name="Comma 4 5 4 3 3 2" xfId="14323" xr:uid="{00000000-0005-0000-0000-00003F170000}"/>
    <cellStyle name="Comma 4 5 4 3 3 2 2" xfId="31263" xr:uid="{00000000-0005-0000-0000-000040170000}"/>
    <cellStyle name="Comma 4 5 4 3 3 3" xfId="22815" xr:uid="{00000000-0005-0000-0000-000041170000}"/>
    <cellStyle name="Comma 4 5 4 3 4" xfId="10099" xr:uid="{00000000-0005-0000-0000-000042170000}"/>
    <cellStyle name="Comma 4 5 4 3 4 2" xfId="27039" xr:uid="{00000000-0005-0000-0000-000043170000}"/>
    <cellStyle name="Comma 4 5 4 3 5" xfId="18591" xr:uid="{00000000-0005-0000-0000-000044170000}"/>
    <cellStyle name="Comma 4 5 4 4" xfId="2705" xr:uid="{00000000-0005-0000-0000-000045170000}"/>
    <cellStyle name="Comma 4 5 4 4 2" xfId="6931" xr:uid="{00000000-0005-0000-0000-000046170000}"/>
    <cellStyle name="Comma 4 5 4 4 2 2" xfId="15379" xr:uid="{00000000-0005-0000-0000-000047170000}"/>
    <cellStyle name="Comma 4 5 4 4 2 2 2" xfId="32319" xr:uid="{00000000-0005-0000-0000-000048170000}"/>
    <cellStyle name="Comma 4 5 4 4 2 3" xfId="23871" xr:uid="{00000000-0005-0000-0000-000049170000}"/>
    <cellStyle name="Comma 4 5 4 4 3" xfId="11155" xr:uid="{00000000-0005-0000-0000-00004A170000}"/>
    <cellStyle name="Comma 4 5 4 4 3 2" xfId="28095" xr:uid="{00000000-0005-0000-0000-00004B170000}"/>
    <cellStyle name="Comma 4 5 4 4 4" xfId="19647" xr:uid="{00000000-0005-0000-0000-00004C170000}"/>
    <cellStyle name="Comma 4 5 4 5" xfId="4819" xr:uid="{00000000-0005-0000-0000-00004D170000}"/>
    <cellStyle name="Comma 4 5 4 5 2" xfId="13267" xr:uid="{00000000-0005-0000-0000-00004E170000}"/>
    <cellStyle name="Comma 4 5 4 5 2 2" xfId="30207" xr:uid="{00000000-0005-0000-0000-00004F170000}"/>
    <cellStyle name="Comma 4 5 4 5 3" xfId="21759" xr:uid="{00000000-0005-0000-0000-000050170000}"/>
    <cellStyle name="Comma 4 5 4 6" xfId="9043" xr:uid="{00000000-0005-0000-0000-000051170000}"/>
    <cellStyle name="Comma 4 5 4 6 2" xfId="25983" xr:uid="{00000000-0005-0000-0000-000052170000}"/>
    <cellStyle name="Comma 4 5 4 7" xfId="17535" xr:uid="{00000000-0005-0000-0000-000053170000}"/>
    <cellStyle name="Comma 4 5 5" xfId="763" xr:uid="{00000000-0005-0000-0000-000054170000}"/>
    <cellStyle name="Comma 4 5 5 2" xfId="1825" xr:uid="{00000000-0005-0000-0000-000055170000}"/>
    <cellStyle name="Comma 4 5 5 2 2" xfId="3937" xr:uid="{00000000-0005-0000-0000-000056170000}"/>
    <cellStyle name="Comma 4 5 5 2 2 2" xfId="8163" xr:uid="{00000000-0005-0000-0000-000057170000}"/>
    <cellStyle name="Comma 4 5 5 2 2 2 2" xfId="16611" xr:uid="{00000000-0005-0000-0000-000058170000}"/>
    <cellStyle name="Comma 4 5 5 2 2 2 2 2" xfId="33551" xr:uid="{00000000-0005-0000-0000-000059170000}"/>
    <cellStyle name="Comma 4 5 5 2 2 2 3" xfId="25103" xr:uid="{00000000-0005-0000-0000-00005A170000}"/>
    <cellStyle name="Comma 4 5 5 2 2 3" xfId="12387" xr:uid="{00000000-0005-0000-0000-00005B170000}"/>
    <cellStyle name="Comma 4 5 5 2 2 3 2" xfId="29327" xr:uid="{00000000-0005-0000-0000-00005C170000}"/>
    <cellStyle name="Comma 4 5 5 2 2 4" xfId="20879" xr:uid="{00000000-0005-0000-0000-00005D170000}"/>
    <cellStyle name="Comma 4 5 5 2 3" xfId="6051" xr:uid="{00000000-0005-0000-0000-00005E170000}"/>
    <cellStyle name="Comma 4 5 5 2 3 2" xfId="14499" xr:uid="{00000000-0005-0000-0000-00005F170000}"/>
    <cellStyle name="Comma 4 5 5 2 3 2 2" xfId="31439" xr:uid="{00000000-0005-0000-0000-000060170000}"/>
    <cellStyle name="Comma 4 5 5 2 3 3" xfId="22991" xr:uid="{00000000-0005-0000-0000-000061170000}"/>
    <cellStyle name="Comma 4 5 5 2 4" xfId="10275" xr:uid="{00000000-0005-0000-0000-000062170000}"/>
    <cellStyle name="Comma 4 5 5 2 4 2" xfId="27215" xr:uid="{00000000-0005-0000-0000-000063170000}"/>
    <cellStyle name="Comma 4 5 5 2 5" xfId="18767" xr:uid="{00000000-0005-0000-0000-000064170000}"/>
    <cellStyle name="Comma 4 5 5 3" xfId="2881" xr:uid="{00000000-0005-0000-0000-000065170000}"/>
    <cellStyle name="Comma 4 5 5 3 2" xfId="7107" xr:uid="{00000000-0005-0000-0000-000066170000}"/>
    <cellStyle name="Comma 4 5 5 3 2 2" xfId="15555" xr:uid="{00000000-0005-0000-0000-000067170000}"/>
    <cellStyle name="Comma 4 5 5 3 2 2 2" xfId="32495" xr:uid="{00000000-0005-0000-0000-000068170000}"/>
    <cellStyle name="Comma 4 5 5 3 2 3" xfId="24047" xr:uid="{00000000-0005-0000-0000-000069170000}"/>
    <cellStyle name="Comma 4 5 5 3 3" xfId="11331" xr:uid="{00000000-0005-0000-0000-00006A170000}"/>
    <cellStyle name="Comma 4 5 5 3 3 2" xfId="28271" xr:uid="{00000000-0005-0000-0000-00006B170000}"/>
    <cellStyle name="Comma 4 5 5 3 4" xfId="19823" xr:uid="{00000000-0005-0000-0000-00006C170000}"/>
    <cellStyle name="Comma 4 5 5 4" xfId="4995" xr:uid="{00000000-0005-0000-0000-00006D170000}"/>
    <cellStyle name="Comma 4 5 5 4 2" xfId="13443" xr:uid="{00000000-0005-0000-0000-00006E170000}"/>
    <cellStyle name="Comma 4 5 5 4 2 2" xfId="30383" xr:uid="{00000000-0005-0000-0000-00006F170000}"/>
    <cellStyle name="Comma 4 5 5 4 3" xfId="21935" xr:uid="{00000000-0005-0000-0000-000070170000}"/>
    <cellStyle name="Comma 4 5 5 5" xfId="9219" xr:uid="{00000000-0005-0000-0000-000071170000}"/>
    <cellStyle name="Comma 4 5 5 5 2" xfId="26159" xr:uid="{00000000-0005-0000-0000-000072170000}"/>
    <cellStyle name="Comma 4 5 5 6" xfId="17711" xr:uid="{00000000-0005-0000-0000-000073170000}"/>
    <cellStyle name="Comma 4 5 6" xfId="1115" xr:uid="{00000000-0005-0000-0000-000074170000}"/>
    <cellStyle name="Comma 4 5 6 2" xfId="2177" xr:uid="{00000000-0005-0000-0000-000075170000}"/>
    <cellStyle name="Comma 4 5 6 2 2" xfId="4289" xr:uid="{00000000-0005-0000-0000-000076170000}"/>
    <cellStyle name="Comma 4 5 6 2 2 2" xfId="8515" xr:uid="{00000000-0005-0000-0000-000077170000}"/>
    <cellStyle name="Comma 4 5 6 2 2 2 2" xfId="16963" xr:uid="{00000000-0005-0000-0000-000078170000}"/>
    <cellStyle name="Comma 4 5 6 2 2 2 2 2" xfId="33903" xr:uid="{00000000-0005-0000-0000-000079170000}"/>
    <cellStyle name="Comma 4 5 6 2 2 2 3" xfId="25455" xr:uid="{00000000-0005-0000-0000-00007A170000}"/>
    <cellStyle name="Comma 4 5 6 2 2 3" xfId="12739" xr:uid="{00000000-0005-0000-0000-00007B170000}"/>
    <cellStyle name="Comma 4 5 6 2 2 3 2" xfId="29679" xr:uid="{00000000-0005-0000-0000-00007C170000}"/>
    <cellStyle name="Comma 4 5 6 2 2 4" xfId="21231" xr:uid="{00000000-0005-0000-0000-00007D170000}"/>
    <cellStyle name="Comma 4 5 6 2 3" xfId="6403" xr:uid="{00000000-0005-0000-0000-00007E170000}"/>
    <cellStyle name="Comma 4 5 6 2 3 2" xfId="14851" xr:uid="{00000000-0005-0000-0000-00007F170000}"/>
    <cellStyle name="Comma 4 5 6 2 3 2 2" xfId="31791" xr:uid="{00000000-0005-0000-0000-000080170000}"/>
    <cellStyle name="Comma 4 5 6 2 3 3" xfId="23343" xr:uid="{00000000-0005-0000-0000-000081170000}"/>
    <cellStyle name="Comma 4 5 6 2 4" xfId="10627" xr:uid="{00000000-0005-0000-0000-000082170000}"/>
    <cellStyle name="Comma 4 5 6 2 4 2" xfId="27567" xr:uid="{00000000-0005-0000-0000-000083170000}"/>
    <cellStyle name="Comma 4 5 6 2 5" xfId="19119" xr:uid="{00000000-0005-0000-0000-000084170000}"/>
    <cellStyle name="Comma 4 5 6 3" xfId="3233" xr:uid="{00000000-0005-0000-0000-000085170000}"/>
    <cellStyle name="Comma 4 5 6 3 2" xfId="7459" xr:uid="{00000000-0005-0000-0000-000086170000}"/>
    <cellStyle name="Comma 4 5 6 3 2 2" xfId="15907" xr:uid="{00000000-0005-0000-0000-000087170000}"/>
    <cellStyle name="Comma 4 5 6 3 2 2 2" xfId="32847" xr:uid="{00000000-0005-0000-0000-000088170000}"/>
    <cellStyle name="Comma 4 5 6 3 2 3" xfId="24399" xr:uid="{00000000-0005-0000-0000-000089170000}"/>
    <cellStyle name="Comma 4 5 6 3 3" xfId="11683" xr:uid="{00000000-0005-0000-0000-00008A170000}"/>
    <cellStyle name="Comma 4 5 6 3 3 2" xfId="28623" xr:uid="{00000000-0005-0000-0000-00008B170000}"/>
    <cellStyle name="Comma 4 5 6 3 4" xfId="20175" xr:uid="{00000000-0005-0000-0000-00008C170000}"/>
    <cellStyle name="Comma 4 5 6 4" xfId="5347" xr:uid="{00000000-0005-0000-0000-00008D170000}"/>
    <cellStyle name="Comma 4 5 6 4 2" xfId="13795" xr:uid="{00000000-0005-0000-0000-00008E170000}"/>
    <cellStyle name="Comma 4 5 6 4 2 2" xfId="30735" xr:uid="{00000000-0005-0000-0000-00008F170000}"/>
    <cellStyle name="Comma 4 5 6 4 3" xfId="22287" xr:uid="{00000000-0005-0000-0000-000090170000}"/>
    <cellStyle name="Comma 4 5 6 5" xfId="9571" xr:uid="{00000000-0005-0000-0000-000091170000}"/>
    <cellStyle name="Comma 4 5 6 5 2" xfId="26511" xr:uid="{00000000-0005-0000-0000-000092170000}"/>
    <cellStyle name="Comma 4 5 6 6" xfId="18063" xr:uid="{00000000-0005-0000-0000-000093170000}"/>
    <cellStyle name="Comma 4 5 7" xfId="1297" xr:uid="{00000000-0005-0000-0000-000094170000}"/>
    <cellStyle name="Comma 4 5 7 2" xfId="2353" xr:uid="{00000000-0005-0000-0000-000095170000}"/>
    <cellStyle name="Comma 4 5 7 2 2" xfId="4465" xr:uid="{00000000-0005-0000-0000-000096170000}"/>
    <cellStyle name="Comma 4 5 7 2 2 2" xfId="8691" xr:uid="{00000000-0005-0000-0000-000097170000}"/>
    <cellStyle name="Comma 4 5 7 2 2 2 2" xfId="17139" xr:uid="{00000000-0005-0000-0000-000098170000}"/>
    <cellStyle name="Comma 4 5 7 2 2 2 2 2" xfId="34079" xr:uid="{00000000-0005-0000-0000-000099170000}"/>
    <cellStyle name="Comma 4 5 7 2 2 2 3" xfId="25631" xr:uid="{00000000-0005-0000-0000-00009A170000}"/>
    <cellStyle name="Comma 4 5 7 2 2 3" xfId="12915" xr:uid="{00000000-0005-0000-0000-00009B170000}"/>
    <cellStyle name="Comma 4 5 7 2 2 3 2" xfId="29855" xr:uid="{00000000-0005-0000-0000-00009C170000}"/>
    <cellStyle name="Comma 4 5 7 2 2 4" xfId="21407" xr:uid="{00000000-0005-0000-0000-00009D170000}"/>
    <cellStyle name="Comma 4 5 7 2 3" xfId="6579" xr:uid="{00000000-0005-0000-0000-00009E170000}"/>
    <cellStyle name="Comma 4 5 7 2 3 2" xfId="15027" xr:uid="{00000000-0005-0000-0000-00009F170000}"/>
    <cellStyle name="Comma 4 5 7 2 3 2 2" xfId="31967" xr:uid="{00000000-0005-0000-0000-0000A0170000}"/>
    <cellStyle name="Comma 4 5 7 2 3 3" xfId="23519" xr:uid="{00000000-0005-0000-0000-0000A1170000}"/>
    <cellStyle name="Comma 4 5 7 2 4" xfId="10803" xr:uid="{00000000-0005-0000-0000-0000A2170000}"/>
    <cellStyle name="Comma 4 5 7 2 4 2" xfId="27743" xr:uid="{00000000-0005-0000-0000-0000A3170000}"/>
    <cellStyle name="Comma 4 5 7 2 5" xfId="19295" xr:uid="{00000000-0005-0000-0000-0000A4170000}"/>
    <cellStyle name="Comma 4 5 7 3" xfId="3409" xr:uid="{00000000-0005-0000-0000-0000A5170000}"/>
    <cellStyle name="Comma 4 5 7 3 2" xfId="7635" xr:uid="{00000000-0005-0000-0000-0000A6170000}"/>
    <cellStyle name="Comma 4 5 7 3 2 2" xfId="16083" xr:uid="{00000000-0005-0000-0000-0000A7170000}"/>
    <cellStyle name="Comma 4 5 7 3 2 2 2" xfId="33023" xr:uid="{00000000-0005-0000-0000-0000A8170000}"/>
    <cellStyle name="Comma 4 5 7 3 2 3" xfId="24575" xr:uid="{00000000-0005-0000-0000-0000A9170000}"/>
    <cellStyle name="Comma 4 5 7 3 3" xfId="11859" xr:uid="{00000000-0005-0000-0000-0000AA170000}"/>
    <cellStyle name="Comma 4 5 7 3 3 2" xfId="28799" xr:uid="{00000000-0005-0000-0000-0000AB170000}"/>
    <cellStyle name="Comma 4 5 7 3 4" xfId="20351" xr:uid="{00000000-0005-0000-0000-0000AC170000}"/>
    <cellStyle name="Comma 4 5 7 4" xfId="5523" xr:uid="{00000000-0005-0000-0000-0000AD170000}"/>
    <cellStyle name="Comma 4 5 7 4 2" xfId="13971" xr:uid="{00000000-0005-0000-0000-0000AE170000}"/>
    <cellStyle name="Comma 4 5 7 4 2 2" xfId="30911" xr:uid="{00000000-0005-0000-0000-0000AF170000}"/>
    <cellStyle name="Comma 4 5 7 4 3" xfId="22463" xr:uid="{00000000-0005-0000-0000-0000B0170000}"/>
    <cellStyle name="Comma 4 5 7 5" xfId="9747" xr:uid="{00000000-0005-0000-0000-0000B1170000}"/>
    <cellStyle name="Comma 4 5 7 5 2" xfId="26687" xr:uid="{00000000-0005-0000-0000-0000B2170000}"/>
    <cellStyle name="Comma 4 5 7 6" xfId="18239" xr:uid="{00000000-0005-0000-0000-0000B3170000}"/>
    <cellStyle name="Comma 4 5 8" xfId="1473" xr:uid="{00000000-0005-0000-0000-0000B4170000}"/>
    <cellStyle name="Comma 4 5 8 2" xfId="3585" xr:uid="{00000000-0005-0000-0000-0000B5170000}"/>
    <cellStyle name="Comma 4 5 8 2 2" xfId="7811" xr:uid="{00000000-0005-0000-0000-0000B6170000}"/>
    <cellStyle name="Comma 4 5 8 2 2 2" xfId="16259" xr:uid="{00000000-0005-0000-0000-0000B7170000}"/>
    <cellStyle name="Comma 4 5 8 2 2 2 2" xfId="33199" xr:uid="{00000000-0005-0000-0000-0000B8170000}"/>
    <cellStyle name="Comma 4 5 8 2 2 3" xfId="24751" xr:uid="{00000000-0005-0000-0000-0000B9170000}"/>
    <cellStyle name="Comma 4 5 8 2 3" xfId="12035" xr:uid="{00000000-0005-0000-0000-0000BA170000}"/>
    <cellStyle name="Comma 4 5 8 2 3 2" xfId="28975" xr:uid="{00000000-0005-0000-0000-0000BB170000}"/>
    <cellStyle name="Comma 4 5 8 2 4" xfId="20527" xr:uid="{00000000-0005-0000-0000-0000BC170000}"/>
    <cellStyle name="Comma 4 5 8 3" xfId="5699" xr:uid="{00000000-0005-0000-0000-0000BD170000}"/>
    <cellStyle name="Comma 4 5 8 3 2" xfId="14147" xr:uid="{00000000-0005-0000-0000-0000BE170000}"/>
    <cellStyle name="Comma 4 5 8 3 2 2" xfId="31087" xr:uid="{00000000-0005-0000-0000-0000BF170000}"/>
    <cellStyle name="Comma 4 5 8 3 3" xfId="22639" xr:uid="{00000000-0005-0000-0000-0000C0170000}"/>
    <cellStyle name="Comma 4 5 8 4" xfId="9923" xr:uid="{00000000-0005-0000-0000-0000C1170000}"/>
    <cellStyle name="Comma 4 5 8 4 2" xfId="26863" xr:uid="{00000000-0005-0000-0000-0000C2170000}"/>
    <cellStyle name="Comma 4 5 8 5" xfId="18415" xr:uid="{00000000-0005-0000-0000-0000C3170000}"/>
    <cellStyle name="Comma 4 5 9" xfId="2529" xr:uid="{00000000-0005-0000-0000-0000C4170000}"/>
    <cellStyle name="Comma 4 5 9 2" xfId="6755" xr:uid="{00000000-0005-0000-0000-0000C5170000}"/>
    <cellStyle name="Comma 4 5 9 2 2" xfId="15203" xr:uid="{00000000-0005-0000-0000-0000C6170000}"/>
    <cellStyle name="Comma 4 5 9 2 2 2" xfId="32143" xr:uid="{00000000-0005-0000-0000-0000C7170000}"/>
    <cellStyle name="Comma 4 5 9 2 3" xfId="23695" xr:uid="{00000000-0005-0000-0000-0000C8170000}"/>
    <cellStyle name="Comma 4 5 9 3" xfId="10979" xr:uid="{00000000-0005-0000-0000-0000C9170000}"/>
    <cellStyle name="Comma 4 5 9 3 2" xfId="27919" xr:uid="{00000000-0005-0000-0000-0000CA170000}"/>
    <cellStyle name="Comma 4 5 9 4" xfId="19471" xr:uid="{00000000-0005-0000-0000-0000CB170000}"/>
    <cellStyle name="Comma 4 6" xfId="146" xr:uid="{00000000-0005-0000-0000-0000CC170000}"/>
    <cellStyle name="Comma 4 7" xfId="17335" xr:uid="{00000000-0005-0000-0000-0000CD170000}"/>
    <cellStyle name="Comma 40" xfId="34232" xr:uid="{00000000-0005-0000-0000-0000CE170000}"/>
    <cellStyle name="Comma 41" xfId="34233" xr:uid="{00000000-0005-0000-0000-0000CF170000}"/>
    <cellStyle name="Comma 42" xfId="47" xr:uid="{00000000-0005-0000-0000-0000D0170000}"/>
    <cellStyle name="Comma 5" xfId="147" xr:uid="{00000000-0005-0000-0000-0000D1170000}"/>
    <cellStyle name="Comma 5 2" xfId="148" xr:uid="{00000000-0005-0000-0000-0000D2170000}"/>
    <cellStyle name="Comma 5 2 2" xfId="149" xr:uid="{00000000-0005-0000-0000-0000D3170000}"/>
    <cellStyle name="Comma 5 2 2 2" xfId="17347" xr:uid="{00000000-0005-0000-0000-0000D4170000}"/>
    <cellStyle name="Comma 5 2 3" xfId="150" xr:uid="{00000000-0005-0000-0000-0000D5170000}"/>
    <cellStyle name="Comma 5 2 3 2" xfId="17348" xr:uid="{00000000-0005-0000-0000-0000D6170000}"/>
    <cellStyle name="Comma 5 2 4" xfId="151" xr:uid="{00000000-0005-0000-0000-0000D7170000}"/>
    <cellStyle name="Comma 5 2 4 10" xfId="8870" xr:uid="{00000000-0005-0000-0000-0000D8170000}"/>
    <cellStyle name="Comma 5 2 4 10 2" xfId="25810" xr:uid="{00000000-0005-0000-0000-0000D9170000}"/>
    <cellStyle name="Comma 5 2 4 11" xfId="17349" xr:uid="{00000000-0005-0000-0000-0000DA170000}"/>
    <cellStyle name="Comma 5 2 4 2" xfId="152" xr:uid="{00000000-0005-0000-0000-0000DB170000}"/>
    <cellStyle name="Comma 5 2 4 2 10" xfId="17350" xr:uid="{00000000-0005-0000-0000-0000DC170000}"/>
    <cellStyle name="Comma 5 2 4 2 2" xfId="591" xr:uid="{00000000-0005-0000-0000-0000DD170000}"/>
    <cellStyle name="Comma 5 2 4 2 2 2" xfId="943" xr:uid="{00000000-0005-0000-0000-0000DE170000}"/>
    <cellStyle name="Comma 5 2 4 2 2 2 2" xfId="2005" xr:uid="{00000000-0005-0000-0000-0000DF170000}"/>
    <cellStyle name="Comma 5 2 4 2 2 2 2 2" xfId="4117" xr:uid="{00000000-0005-0000-0000-0000E0170000}"/>
    <cellStyle name="Comma 5 2 4 2 2 2 2 2 2" xfId="8343" xr:uid="{00000000-0005-0000-0000-0000E1170000}"/>
    <cellStyle name="Comma 5 2 4 2 2 2 2 2 2 2" xfId="16791" xr:uid="{00000000-0005-0000-0000-0000E2170000}"/>
    <cellStyle name="Comma 5 2 4 2 2 2 2 2 2 2 2" xfId="33731" xr:uid="{00000000-0005-0000-0000-0000E3170000}"/>
    <cellStyle name="Comma 5 2 4 2 2 2 2 2 2 3" xfId="25283" xr:uid="{00000000-0005-0000-0000-0000E4170000}"/>
    <cellStyle name="Comma 5 2 4 2 2 2 2 2 3" xfId="12567" xr:uid="{00000000-0005-0000-0000-0000E5170000}"/>
    <cellStyle name="Comma 5 2 4 2 2 2 2 2 3 2" xfId="29507" xr:uid="{00000000-0005-0000-0000-0000E6170000}"/>
    <cellStyle name="Comma 5 2 4 2 2 2 2 2 4" xfId="21059" xr:uid="{00000000-0005-0000-0000-0000E7170000}"/>
    <cellStyle name="Comma 5 2 4 2 2 2 2 3" xfId="6231" xr:uid="{00000000-0005-0000-0000-0000E8170000}"/>
    <cellStyle name="Comma 5 2 4 2 2 2 2 3 2" xfId="14679" xr:uid="{00000000-0005-0000-0000-0000E9170000}"/>
    <cellStyle name="Comma 5 2 4 2 2 2 2 3 2 2" xfId="31619" xr:uid="{00000000-0005-0000-0000-0000EA170000}"/>
    <cellStyle name="Comma 5 2 4 2 2 2 2 3 3" xfId="23171" xr:uid="{00000000-0005-0000-0000-0000EB170000}"/>
    <cellStyle name="Comma 5 2 4 2 2 2 2 4" xfId="10455" xr:uid="{00000000-0005-0000-0000-0000EC170000}"/>
    <cellStyle name="Comma 5 2 4 2 2 2 2 4 2" xfId="27395" xr:uid="{00000000-0005-0000-0000-0000ED170000}"/>
    <cellStyle name="Comma 5 2 4 2 2 2 2 5" xfId="18947" xr:uid="{00000000-0005-0000-0000-0000EE170000}"/>
    <cellStyle name="Comma 5 2 4 2 2 2 3" xfId="3061" xr:uid="{00000000-0005-0000-0000-0000EF170000}"/>
    <cellStyle name="Comma 5 2 4 2 2 2 3 2" xfId="7287" xr:uid="{00000000-0005-0000-0000-0000F0170000}"/>
    <cellStyle name="Comma 5 2 4 2 2 2 3 2 2" xfId="15735" xr:uid="{00000000-0005-0000-0000-0000F1170000}"/>
    <cellStyle name="Comma 5 2 4 2 2 2 3 2 2 2" xfId="32675" xr:uid="{00000000-0005-0000-0000-0000F2170000}"/>
    <cellStyle name="Comma 5 2 4 2 2 2 3 2 3" xfId="24227" xr:uid="{00000000-0005-0000-0000-0000F3170000}"/>
    <cellStyle name="Comma 5 2 4 2 2 2 3 3" xfId="11511" xr:uid="{00000000-0005-0000-0000-0000F4170000}"/>
    <cellStyle name="Comma 5 2 4 2 2 2 3 3 2" xfId="28451" xr:uid="{00000000-0005-0000-0000-0000F5170000}"/>
    <cellStyle name="Comma 5 2 4 2 2 2 3 4" xfId="20003" xr:uid="{00000000-0005-0000-0000-0000F6170000}"/>
    <cellStyle name="Comma 5 2 4 2 2 2 4" xfId="5175" xr:uid="{00000000-0005-0000-0000-0000F7170000}"/>
    <cellStyle name="Comma 5 2 4 2 2 2 4 2" xfId="13623" xr:uid="{00000000-0005-0000-0000-0000F8170000}"/>
    <cellStyle name="Comma 5 2 4 2 2 2 4 2 2" xfId="30563" xr:uid="{00000000-0005-0000-0000-0000F9170000}"/>
    <cellStyle name="Comma 5 2 4 2 2 2 4 3" xfId="22115" xr:uid="{00000000-0005-0000-0000-0000FA170000}"/>
    <cellStyle name="Comma 5 2 4 2 2 2 5" xfId="9399" xr:uid="{00000000-0005-0000-0000-0000FB170000}"/>
    <cellStyle name="Comma 5 2 4 2 2 2 5 2" xfId="26339" xr:uid="{00000000-0005-0000-0000-0000FC170000}"/>
    <cellStyle name="Comma 5 2 4 2 2 2 6" xfId="17891" xr:uid="{00000000-0005-0000-0000-0000FD170000}"/>
    <cellStyle name="Comma 5 2 4 2 2 3" xfId="1653" xr:uid="{00000000-0005-0000-0000-0000FE170000}"/>
    <cellStyle name="Comma 5 2 4 2 2 3 2" xfId="3765" xr:uid="{00000000-0005-0000-0000-0000FF170000}"/>
    <cellStyle name="Comma 5 2 4 2 2 3 2 2" xfId="7991" xr:uid="{00000000-0005-0000-0000-000000180000}"/>
    <cellStyle name="Comma 5 2 4 2 2 3 2 2 2" xfId="16439" xr:uid="{00000000-0005-0000-0000-000001180000}"/>
    <cellStyle name="Comma 5 2 4 2 2 3 2 2 2 2" xfId="33379" xr:uid="{00000000-0005-0000-0000-000002180000}"/>
    <cellStyle name="Comma 5 2 4 2 2 3 2 2 3" xfId="24931" xr:uid="{00000000-0005-0000-0000-000003180000}"/>
    <cellStyle name="Comma 5 2 4 2 2 3 2 3" xfId="12215" xr:uid="{00000000-0005-0000-0000-000004180000}"/>
    <cellStyle name="Comma 5 2 4 2 2 3 2 3 2" xfId="29155" xr:uid="{00000000-0005-0000-0000-000005180000}"/>
    <cellStyle name="Comma 5 2 4 2 2 3 2 4" xfId="20707" xr:uid="{00000000-0005-0000-0000-000006180000}"/>
    <cellStyle name="Comma 5 2 4 2 2 3 3" xfId="5879" xr:uid="{00000000-0005-0000-0000-000007180000}"/>
    <cellStyle name="Comma 5 2 4 2 2 3 3 2" xfId="14327" xr:uid="{00000000-0005-0000-0000-000008180000}"/>
    <cellStyle name="Comma 5 2 4 2 2 3 3 2 2" xfId="31267" xr:uid="{00000000-0005-0000-0000-000009180000}"/>
    <cellStyle name="Comma 5 2 4 2 2 3 3 3" xfId="22819" xr:uid="{00000000-0005-0000-0000-00000A180000}"/>
    <cellStyle name="Comma 5 2 4 2 2 3 4" xfId="10103" xr:uid="{00000000-0005-0000-0000-00000B180000}"/>
    <cellStyle name="Comma 5 2 4 2 2 3 4 2" xfId="27043" xr:uid="{00000000-0005-0000-0000-00000C180000}"/>
    <cellStyle name="Comma 5 2 4 2 2 3 5" xfId="18595" xr:uid="{00000000-0005-0000-0000-00000D180000}"/>
    <cellStyle name="Comma 5 2 4 2 2 4" xfId="2709" xr:uid="{00000000-0005-0000-0000-00000E180000}"/>
    <cellStyle name="Comma 5 2 4 2 2 4 2" xfId="6935" xr:uid="{00000000-0005-0000-0000-00000F180000}"/>
    <cellStyle name="Comma 5 2 4 2 2 4 2 2" xfId="15383" xr:uid="{00000000-0005-0000-0000-000010180000}"/>
    <cellStyle name="Comma 5 2 4 2 2 4 2 2 2" xfId="32323" xr:uid="{00000000-0005-0000-0000-000011180000}"/>
    <cellStyle name="Comma 5 2 4 2 2 4 2 3" xfId="23875" xr:uid="{00000000-0005-0000-0000-000012180000}"/>
    <cellStyle name="Comma 5 2 4 2 2 4 3" xfId="11159" xr:uid="{00000000-0005-0000-0000-000013180000}"/>
    <cellStyle name="Comma 5 2 4 2 2 4 3 2" xfId="28099" xr:uid="{00000000-0005-0000-0000-000014180000}"/>
    <cellStyle name="Comma 5 2 4 2 2 4 4" xfId="19651" xr:uid="{00000000-0005-0000-0000-000015180000}"/>
    <cellStyle name="Comma 5 2 4 2 2 5" xfId="4823" xr:uid="{00000000-0005-0000-0000-000016180000}"/>
    <cellStyle name="Comma 5 2 4 2 2 5 2" xfId="13271" xr:uid="{00000000-0005-0000-0000-000017180000}"/>
    <cellStyle name="Comma 5 2 4 2 2 5 2 2" xfId="30211" xr:uid="{00000000-0005-0000-0000-000018180000}"/>
    <cellStyle name="Comma 5 2 4 2 2 5 3" xfId="21763" xr:uid="{00000000-0005-0000-0000-000019180000}"/>
    <cellStyle name="Comma 5 2 4 2 2 6" xfId="9047" xr:uid="{00000000-0005-0000-0000-00001A180000}"/>
    <cellStyle name="Comma 5 2 4 2 2 6 2" xfId="25987" xr:uid="{00000000-0005-0000-0000-00001B180000}"/>
    <cellStyle name="Comma 5 2 4 2 2 7" xfId="17539" xr:uid="{00000000-0005-0000-0000-00001C180000}"/>
    <cellStyle name="Comma 5 2 4 2 3" xfId="767" xr:uid="{00000000-0005-0000-0000-00001D180000}"/>
    <cellStyle name="Comma 5 2 4 2 3 2" xfId="1829" xr:uid="{00000000-0005-0000-0000-00001E180000}"/>
    <cellStyle name="Comma 5 2 4 2 3 2 2" xfId="3941" xr:uid="{00000000-0005-0000-0000-00001F180000}"/>
    <cellStyle name="Comma 5 2 4 2 3 2 2 2" xfId="8167" xr:uid="{00000000-0005-0000-0000-000020180000}"/>
    <cellStyle name="Comma 5 2 4 2 3 2 2 2 2" xfId="16615" xr:uid="{00000000-0005-0000-0000-000021180000}"/>
    <cellStyle name="Comma 5 2 4 2 3 2 2 2 2 2" xfId="33555" xr:uid="{00000000-0005-0000-0000-000022180000}"/>
    <cellStyle name="Comma 5 2 4 2 3 2 2 2 3" xfId="25107" xr:uid="{00000000-0005-0000-0000-000023180000}"/>
    <cellStyle name="Comma 5 2 4 2 3 2 2 3" xfId="12391" xr:uid="{00000000-0005-0000-0000-000024180000}"/>
    <cellStyle name="Comma 5 2 4 2 3 2 2 3 2" xfId="29331" xr:uid="{00000000-0005-0000-0000-000025180000}"/>
    <cellStyle name="Comma 5 2 4 2 3 2 2 4" xfId="20883" xr:uid="{00000000-0005-0000-0000-000026180000}"/>
    <cellStyle name="Comma 5 2 4 2 3 2 3" xfId="6055" xr:uid="{00000000-0005-0000-0000-000027180000}"/>
    <cellStyle name="Comma 5 2 4 2 3 2 3 2" xfId="14503" xr:uid="{00000000-0005-0000-0000-000028180000}"/>
    <cellStyle name="Comma 5 2 4 2 3 2 3 2 2" xfId="31443" xr:uid="{00000000-0005-0000-0000-000029180000}"/>
    <cellStyle name="Comma 5 2 4 2 3 2 3 3" xfId="22995" xr:uid="{00000000-0005-0000-0000-00002A180000}"/>
    <cellStyle name="Comma 5 2 4 2 3 2 4" xfId="10279" xr:uid="{00000000-0005-0000-0000-00002B180000}"/>
    <cellStyle name="Comma 5 2 4 2 3 2 4 2" xfId="27219" xr:uid="{00000000-0005-0000-0000-00002C180000}"/>
    <cellStyle name="Comma 5 2 4 2 3 2 5" xfId="18771" xr:uid="{00000000-0005-0000-0000-00002D180000}"/>
    <cellStyle name="Comma 5 2 4 2 3 3" xfId="2885" xr:uid="{00000000-0005-0000-0000-00002E180000}"/>
    <cellStyle name="Comma 5 2 4 2 3 3 2" xfId="7111" xr:uid="{00000000-0005-0000-0000-00002F180000}"/>
    <cellStyle name="Comma 5 2 4 2 3 3 2 2" xfId="15559" xr:uid="{00000000-0005-0000-0000-000030180000}"/>
    <cellStyle name="Comma 5 2 4 2 3 3 2 2 2" xfId="32499" xr:uid="{00000000-0005-0000-0000-000031180000}"/>
    <cellStyle name="Comma 5 2 4 2 3 3 2 3" xfId="24051" xr:uid="{00000000-0005-0000-0000-000032180000}"/>
    <cellStyle name="Comma 5 2 4 2 3 3 3" xfId="11335" xr:uid="{00000000-0005-0000-0000-000033180000}"/>
    <cellStyle name="Comma 5 2 4 2 3 3 3 2" xfId="28275" xr:uid="{00000000-0005-0000-0000-000034180000}"/>
    <cellStyle name="Comma 5 2 4 2 3 3 4" xfId="19827" xr:uid="{00000000-0005-0000-0000-000035180000}"/>
    <cellStyle name="Comma 5 2 4 2 3 4" xfId="4999" xr:uid="{00000000-0005-0000-0000-000036180000}"/>
    <cellStyle name="Comma 5 2 4 2 3 4 2" xfId="13447" xr:uid="{00000000-0005-0000-0000-000037180000}"/>
    <cellStyle name="Comma 5 2 4 2 3 4 2 2" xfId="30387" xr:uid="{00000000-0005-0000-0000-000038180000}"/>
    <cellStyle name="Comma 5 2 4 2 3 4 3" xfId="21939" xr:uid="{00000000-0005-0000-0000-000039180000}"/>
    <cellStyle name="Comma 5 2 4 2 3 5" xfId="9223" xr:uid="{00000000-0005-0000-0000-00003A180000}"/>
    <cellStyle name="Comma 5 2 4 2 3 5 2" xfId="26163" xr:uid="{00000000-0005-0000-0000-00003B180000}"/>
    <cellStyle name="Comma 5 2 4 2 3 6" xfId="17715" xr:uid="{00000000-0005-0000-0000-00003C180000}"/>
    <cellStyle name="Comma 5 2 4 2 4" xfId="1119" xr:uid="{00000000-0005-0000-0000-00003D180000}"/>
    <cellStyle name="Comma 5 2 4 2 4 2" xfId="2181" xr:uid="{00000000-0005-0000-0000-00003E180000}"/>
    <cellStyle name="Comma 5 2 4 2 4 2 2" xfId="4293" xr:uid="{00000000-0005-0000-0000-00003F180000}"/>
    <cellStyle name="Comma 5 2 4 2 4 2 2 2" xfId="8519" xr:uid="{00000000-0005-0000-0000-000040180000}"/>
    <cellStyle name="Comma 5 2 4 2 4 2 2 2 2" xfId="16967" xr:uid="{00000000-0005-0000-0000-000041180000}"/>
    <cellStyle name="Comma 5 2 4 2 4 2 2 2 2 2" xfId="33907" xr:uid="{00000000-0005-0000-0000-000042180000}"/>
    <cellStyle name="Comma 5 2 4 2 4 2 2 2 3" xfId="25459" xr:uid="{00000000-0005-0000-0000-000043180000}"/>
    <cellStyle name="Comma 5 2 4 2 4 2 2 3" xfId="12743" xr:uid="{00000000-0005-0000-0000-000044180000}"/>
    <cellStyle name="Comma 5 2 4 2 4 2 2 3 2" xfId="29683" xr:uid="{00000000-0005-0000-0000-000045180000}"/>
    <cellStyle name="Comma 5 2 4 2 4 2 2 4" xfId="21235" xr:uid="{00000000-0005-0000-0000-000046180000}"/>
    <cellStyle name="Comma 5 2 4 2 4 2 3" xfId="6407" xr:uid="{00000000-0005-0000-0000-000047180000}"/>
    <cellStyle name="Comma 5 2 4 2 4 2 3 2" xfId="14855" xr:uid="{00000000-0005-0000-0000-000048180000}"/>
    <cellStyle name="Comma 5 2 4 2 4 2 3 2 2" xfId="31795" xr:uid="{00000000-0005-0000-0000-000049180000}"/>
    <cellStyle name="Comma 5 2 4 2 4 2 3 3" xfId="23347" xr:uid="{00000000-0005-0000-0000-00004A180000}"/>
    <cellStyle name="Comma 5 2 4 2 4 2 4" xfId="10631" xr:uid="{00000000-0005-0000-0000-00004B180000}"/>
    <cellStyle name="Comma 5 2 4 2 4 2 4 2" xfId="27571" xr:uid="{00000000-0005-0000-0000-00004C180000}"/>
    <cellStyle name="Comma 5 2 4 2 4 2 5" xfId="19123" xr:uid="{00000000-0005-0000-0000-00004D180000}"/>
    <cellStyle name="Comma 5 2 4 2 4 3" xfId="3237" xr:uid="{00000000-0005-0000-0000-00004E180000}"/>
    <cellStyle name="Comma 5 2 4 2 4 3 2" xfId="7463" xr:uid="{00000000-0005-0000-0000-00004F180000}"/>
    <cellStyle name="Comma 5 2 4 2 4 3 2 2" xfId="15911" xr:uid="{00000000-0005-0000-0000-000050180000}"/>
    <cellStyle name="Comma 5 2 4 2 4 3 2 2 2" xfId="32851" xr:uid="{00000000-0005-0000-0000-000051180000}"/>
    <cellStyle name="Comma 5 2 4 2 4 3 2 3" xfId="24403" xr:uid="{00000000-0005-0000-0000-000052180000}"/>
    <cellStyle name="Comma 5 2 4 2 4 3 3" xfId="11687" xr:uid="{00000000-0005-0000-0000-000053180000}"/>
    <cellStyle name="Comma 5 2 4 2 4 3 3 2" xfId="28627" xr:uid="{00000000-0005-0000-0000-000054180000}"/>
    <cellStyle name="Comma 5 2 4 2 4 3 4" xfId="20179" xr:uid="{00000000-0005-0000-0000-000055180000}"/>
    <cellStyle name="Comma 5 2 4 2 4 4" xfId="5351" xr:uid="{00000000-0005-0000-0000-000056180000}"/>
    <cellStyle name="Comma 5 2 4 2 4 4 2" xfId="13799" xr:uid="{00000000-0005-0000-0000-000057180000}"/>
    <cellStyle name="Comma 5 2 4 2 4 4 2 2" xfId="30739" xr:uid="{00000000-0005-0000-0000-000058180000}"/>
    <cellStyle name="Comma 5 2 4 2 4 4 3" xfId="22291" xr:uid="{00000000-0005-0000-0000-000059180000}"/>
    <cellStyle name="Comma 5 2 4 2 4 5" xfId="9575" xr:uid="{00000000-0005-0000-0000-00005A180000}"/>
    <cellStyle name="Comma 5 2 4 2 4 5 2" xfId="26515" xr:uid="{00000000-0005-0000-0000-00005B180000}"/>
    <cellStyle name="Comma 5 2 4 2 4 6" xfId="18067" xr:uid="{00000000-0005-0000-0000-00005C180000}"/>
    <cellStyle name="Comma 5 2 4 2 5" xfId="1301" xr:uid="{00000000-0005-0000-0000-00005D180000}"/>
    <cellStyle name="Comma 5 2 4 2 5 2" xfId="2357" xr:uid="{00000000-0005-0000-0000-00005E180000}"/>
    <cellStyle name="Comma 5 2 4 2 5 2 2" xfId="4469" xr:uid="{00000000-0005-0000-0000-00005F180000}"/>
    <cellStyle name="Comma 5 2 4 2 5 2 2 2" xfId="8695" xr:uid="{00000000-0005-0000-0000-000060180000}"/>
    <cellStyle name="Comma 5 2 4 2 5 2 2 2 2" xfId="17143" xr:uid="{00000000-0005-0000-0000-000061180000}"/>
    <cellStyle name="Comma 5 2 4 2 5 2 2 2 2 2" xfId="34083" xr:uid="{00000000-0005-0000-0000-000062180000}"/>
    <cellStyle name="Comma 5 2 4 2 5 2 2 2 3" xfId="25635" xr:uid="{00000000-0005-0000-0000-000063180000}"/>
    <cellStyle name="Comma 5 2 4 2 5 2 2 3" xfId="12919" xr:uid="{00000000-0005-0000-0000-000064180000}"/>
    <cellStyle name="Comma 5 2 4 2 5 2 2 3 2" xfId="29859" xr:uid="{00000000-0005-0000-0000-000065180000}"/>
    <cellStyle name="Comma 5 2 4 2 5 2 2 4" xfId="21411" xr:uid="{00000000-0005-0000-0000-000066180000}"/>
    <cellStyle name="Comma 5 2 4 2 5 2 3" xfId="6583" xr:uid="{00000000-0005-0000-0000-000067180000}"/>
    <cellStyle name="Comma 5 2 4 2 5 2 3 2" xfId="15031" xr:uid="{00000000-0005-0000-0000-000068180000}"/>
    <cellStyle name="Comma 5 2 4 2 5 2 3 2 2" xfId="31971" xr:uid="{00000000-0005-0000-0000-000069180000}"/>
    <cellStyle name="Comma 5 2 4 2 5 2 3 3" xfId="23523" xr:uid="{00000000-0005-0000-0000-00006A180000}"/>
    <cellStyle name="Comma 5 2 4 2 5 2 4" xfId="10807" xr:uid="{00000000-0005-0000-0000-00006B180000}"/>
    <cellStyle name="Comma 5 2 4 2 5 2 4 2" xfId="27747" xr:uid="{00000000-0005-0000-0000-00006C180000}"/>
    <cellStyle name="Comma 5 2 4 2 5 2 5" xfId="19299" xr:uid="{00000000-0005-0000-0000-00006D180000}"/>
    <cellStyle name="Comma 5 2 4 2 5 3" xfId="3413" xr:uid="{00000000-0005-0000-0000-00006E180000}"/>
    <cellStyle name="Comma 5 2 4 2 5 3 2" xfId="7639" xr:uid="{00000000-0005-0000-0000-00006F180000}"/>
    <cellStyle name="Comma 5 2 4 2 5 3 2 2" xfId="16087" xr:uid="{00000000-0005-0000-0000-000070180000}"/>
    <cellStyle name="Comma 5 2 4 2 5 3 2 2 2" xfId="33027" xr:uid="{00000000-0005-0000-0000-000071180000}"/>
    <cellStyle name="Comma 5 2 4 2 5 3 2 3" xfId="24579" xr:uid="{00000000-0005-0000-0000-000072180000}"/>
    <cellStyle name="Comma 5 2 4 2 5 3 3" xfId="11863" xr:uid="{00000000-0005-0000-0000-000073180000}"/>
    <cellStyle name="Comma 5 2 4 2 5 3 3 2" xfId="28803" xr:uid="{00000000-0005-0000-0000-000074180000}"/>
    <cellStyle name="Comma 5 2 4 2 5 3 4" xfId="20355" xr:uid="{00000000-0005-0000-0000-000075180000}"/>
    <cellStyle name="Comma 5 2 4 2 5 4" xfId="5527" xr:uid="{00000000-0005-0000-0000-000076180000}"/>
    <cellStyle name="Comma 5 2 4 2 5 4 2" xfId="13975" xr:uid="{00000000-0005-0000-0000-000077180000}"/>
    <cellStyle name="Comma 5 2 4 2 5 4 2 2" xfId="30915" xr:uid="{00000000-0005-0000-0000-000078180000}"/>
    <cellStyle name="Comma 5 2 4 2 5 4 3" xfId="22467" xr:uid="{00000000-0005-0000-0000-000079180000}"/>
    <cellStyle name="Comma 5 2 4 2 5 5" xfId="9751" xr:uid="{00000000-0005-0000-0000-00007A180000}"/>
    <cellStyle name="Comma 5 2 4 2 5 5 2" xfId="26691" xr:uid="{00000000-0005-0000-0000-00007B180000}"/>
    <cellStyle name="Comma 5 2 4 2 5 6" xfId="18243" xr:uid="{00000000-0005-0000-0000-00007C180000}"/>
    <cellStyle name="Comma 5 2 4 2 6" xfId="1477" xr:uid="{00000000-0005-0000-0000-00007D180000}"/>
    <cellStyle name="Comma 5 2 4 2 6 2" xfId="3589" xr:uid="{00000000-0005-0000-0000-00007E180000}"/>
    <cellStyle name="Comma 5 2 4 2 6 2 2" xfId="7815" xr:uid="{00000000-0005-0000-0000-00007F180000}"/>
    <cellStyle name="Comma 5 2 4 2 6 2 2 2" xfId="16263" xr:uid="{00000000-0005-0000-0000-000080180000}"/>
    <cellStyle name="Comma 5 2 4 2 6 2 2 2 2" xfId="33203" xr:uid="{00000000-0005-0000-0000-000081180000}"/>
    <cellStyle name="Comma 5 2 4 2 6 2 2 3" xfId="24755" xr:uid="{00000000-0005-0000-0000-000082180000}"/>
    <cellStyle name="Comma 5 2 4 2 6 2 3" xfId="12039" xr:uid="{00000000-0005-0000-0000-000083180000}"/>
    <cellStyle name="Comma 5 2 4 2 6 2 3 2" xfId="28979" xr:uid="{00000000-0005-0000-0000-000084180000}"/>
    <cellStyle name="Comma 5 2 4 2 6 2 4" xfId="20531" xr:uid="{00000000-0005-0000-0000-000085180000}"/>
    <cellStyle name="Comma 5 2 4 2 6 3" xfId="5703" xr:uid="{00000000-0005-0000-0000-000086180000}"/>
    <cellStyle name="Comma 5 2 4 2 6 3 2" xfId="14151" xr:uid="{00000000-0005-0000-0000-000087180000}"/>
    <cellStyle name="Comma 5 2 4 2 6 3 2 2" xfId="31091" xr:uid="{00000000-0005-0000-0000-000088180000}"/>
    <cellStyle name="Comma 5 2 4 2 6 3 3" xfId="22643" xr:uid="{00000000-0005-0000-0000-000089180000}"/>
    <cellStyle name="Comma 5 2 4 2 6 4" xfId="9927" xr:uid="{00000000-0005-0000-0000-00008A180000}"/>
    <cellStyle name="Comma 5 2 4 2 6 4 2" xfId="26867" xr:uid="{00000000-0005-0000-0000-00008B180000}"/>
    <cellStyle name="Comma 5 2 4 2 6 5" xfId="18419" xr:uid="{00000000-0005-0000-0000-00008C180000}"/>
    <cellStyle name="Comma 5 2 4 2 7" xfId="2533" xr:uid="{00000000-0005-0000-0000-00008D180000}"/>
    <cellStyle name="Comma 5 2 4 2 7 2" xfId="6759" xr:uid="{00000000-0005-0000-0000-00008E180000}"/>
    <cellStyle name="Comma 5 2 4 2 7 2 2" xfId="15207" xr:uid="{00000000-0005-0000-0000-00008F180000}"/>
    <cellStyle name="Comma 5 2 4 2 7 2 2 2" xfId="32147" xr:uid="{00000000-0005-0000-0000-000090180000}"/>
    <cellStyle name="Comma 5 2 4 2 7 2 3" xfId="23699" xr:uid="{00000000-0005-0000-0000-000091180000}"/>
    <cellStyle name="Comma 5 2 4 2 7 3" xfId="10983" xr:uid="{00000000-0005-0000-0000-000092180000}"/>
    <cellStyle name="Comma 5 2 4 2 7 3 2" xfId="27923" xr:uid="{00000000-0005-0000-0000-000093180000}"/>
    <cellStyle name="Comma 5 2 4 2 7 4" xfId="19475" xr:uid="{00000000-0005-0000-0000-000094180000}"/>
    <cellStyle name="Comma 5 2 4 2 8" xfId="4646" xr:uid="{00000000-0005-0000-0000-000095180000}"/>
    <cellStyle name="Comma 5 2 4 2 8 2" xfId="13095" xr:uid="{00000000-0005-0000-0000-000096180000}"/>
    <cellStyle name="Comma 5 2 4 2 8 2 2" xfId="30035" xr:uid="{00000000-0005-0000-0000-000097180000}"/>
    <cellStyle name="Comma 5 2 4 2 8 3" xfId="21587" xr:uid="{00000000-0005-0000-0000-000098180000}"/>
    <cellStyle name="Comma 5 2 4 2 9" xfId="8871" xr:uid="{00000000-0005-0000-0000-000099180000}"/>
    <cellStyle name="Comma 5 2 4 2 9 2" xfId="25811" xr:uid="{00000000-0005-0000-0000-00009A180000}"/>
    <cellStyle name="Comma 5 2 4 3" xfId="590" xr:uid="{00000000-0005-0000-0000-00009B180000}"/>
    <cellStyle name="Comma 5 2 4 3 2" xfId="942" xr:uid="{00000000-0005-0000-0000-00009C180000}"/>
    <cellStyle name="Comma 5 2 4 3 2 2" xfId="2004" xr:uid="{00000000-0005-0000-0000-00009D180000}"/>
    <cellStyle name="Comma 5 2 4 3 2 2 2" xfId="4116" xr:uid="{00000000-0005-0000-0000-00009E180000}"/>
    <cellStyle name="Comma 5 2 4 3 2 2 2 2" xfId="8342" xr:uid="{00000000-0005-0000-0000-00009F180000}"/>
    <cellStyle name="Comma 5 2 4 3 2 2 2 2 2" xfId="16790" xr:uid="{00000000-0005-0000-0000-0000A0180000}"/>
    <cellStyle name="Comma 5 2 4 3 2 2 2 2 2 2" xfId="33730" xr:uid="{00000000-0005-0000-0000-0000A1180000}"/>
    <cellStyle name="Comma 5 2 4 3 2 2 2 2 3" xfId="25282" xr:uid="{00000000-0005-0000-0000-0000A2180000}"/>
    <cellStyle name="Comma 5 2 4 3 2 2 2 3" xfId="12566" xr:uid="{00000000-0005-0000-0000-0000A3180000}"/>
    <cellStyle name="Comma 5 2 4 3 2 2 2 3 2" xfId="29506" xr:uid="{00000000-0005-0000-0000-0000A4180000}"/>
    <cellStyle name="Comma 5 2 4 3 2 2 2 4" xfId="21058" xr:uid="{00000000-0005-0000-0000-0000A5180000}"/>
    <cellStyle name="Comma 5 2 4 3 2 2 3" xfId="6230" xr:uid="{00000000-0005-0000-0000-0000A6180000}"/>
    <cellStyle name="Comma 5 2 4 3 2 2 3 2" xfId="14678" xr:uid="{00000000-0005-0000-0000-0000A7180000}"/>
    <cellStyle name="Comma 5 2 4 3 2 2 3 2 2" xfId="31618" xr:uid="{00000000-0005-0000-0000-0000A8180000}"/>
    <cellStyle name="Comma 5 2 4 3 2 2 3 3" xfId="23170" xr:uid="{00000000-0005-0000-0000-0000A9180000}"/>
    <cellStyle name="Comma 5 2 4 3 2 2 4" xfId="10454" xr:uid="{00000000-0005-0000-0000-0000AA180000}"/>
    <cellStyle name="Comma 5 2 4 3 2 2 4 2" xfId="27394" xr:uid="{00000000-0005-0000-0000-0000AB180000}"/>
    <cellStyle name="Comma 5 2 4 3 2 2 5" xfId="18946" xr:uid="{00000000-0005-0000-0000-0000AC180000}"/>
    <cellStyle name="Comma 5 2 4 3 2 3" xfId="3060" xr:uid="{00000000-0005-0000-0000-0000AD180000}"/>
    <cellStyle name="Comma 5 2 4 3 2 3 2" xfId="7286" xr:uid="{00000000-0005-0000-0000-0000AE180000}"/>
    <cellStyle name="Comma 5 2 4 3 2 3 2 2" xfId="15734" xr:uid="{00000000-0005-0000-0000-0000AF180000}"/>
    <cellStyle name="Comma 5 2 4 3 2 3 2 2 2" xfId="32674" xr:uid="{00000000-0005-0000-0000-0000B0180000}"/>
    <cellStyle name="Comma 5 2 4 3 2 3 2 3" xfId="24226" xr:uid="{00000000-0005-0000-0000-0000B1180000}"/>
    <cellStyle name="Comma 5 2 4 3 2 3 3" xfId="11510" xr:uid="{00000000-0005-0000-0000-0000B2180000}"/>
    <cellStyle name="Comma 5 2 4 3 2 3 3 2" xfId="28450" xr:uid="{00000000-0005-0000-0000-0000B3180000}"/>
    <cellStyle name="Comma 5 2 4 3 2 3 4" xfId="20002" xr:uid="{00000000-0005-0000-0000-0000B4180000}"/>
    <cellStyle name="Comma 5 2 4 3 2 4" xfId="5174" xr:uid="{00000000-0005-0000-0000-0000B5180000}"/>
    <cellStyle name="Comma 5 2 4 3 2 4 2" xfId="13622" xr:uid="{00000000-0005-0000-0000-0000B6180000}"/>
    <cellStyle name="Comma 5 2 4 3 2 4 2 2" xfId="30562" xr:uid="{00000000-0005-0000-0000-0000B7180000}"/>
    <cellStyle name="Comma 5 2 4 3 2 4 3" xfId="22114" xr:uid="{00000000-0005-0000-0000-0000B8180000}"/>
    <cellStyle name="Comma 5 2 4 3 2 5" xfId="9398" xr:uid="{00000000-0005-0000-0000-0000B9180000}"/>
    <cellStyle name="Comma 5 2 4 3 2 5 2" xfId="26338" xr:uid="{00000000-0005-0000-0000-0000BA180000}"/>
    <cellStyle name="Comma 5 2 4 3 2 6" xfId="17890" xr:uid="{00000000-0005-0000-0000-0000BB180000}"/>
    <cellStyle name="Comma 5 2 4 3 3" xfId="1652" xr:uid="{00000000-0005-0000-0000-0000BC180000}"/>
    <cellStyle name="Comma 5 2 4 3 3 2" xfId="3764" xr:uid="{00000000-0005-0000-0000-0000BD180000}"/>
    <cellStyle name="Comma 5 2 4 3 3 2 2" xfId="7990" xr:uid="{00000000-0005-0000-0000-0000BE180000}"/>
    <cellStyle name="Comma 5 2 4 3 3 2 2 2" xfId="16438" xr:uid="{00000000-0005-0000-0000-0000BF180000}"/>
    <cellStyle name="Comma 5 2 4 3 3 2 2 2 2" xfId="33378" xr:uid="{00000000-0005-0000-0000-0000C0180000}"/>
    <cellStyle name="Comma 5 2 4 3 3 2 2 3" xfId="24930" xr:uid="{00000000-0005-0000-0000-0000C1180000}"/>
    <cellStyle name="Comma 5 2 4 3 3 2 3" xfId="12214" xr:uid="{00000000-0005-0000-0000-0000C2180000}"/>
    <cellStyle name="Comma 5 2 4 3 3 2 3 2" xfId="29154" xr:uid="{00000000-0005-0000-0000-0000C3180000}"/>
    <cellStyle name="Comma 5 2 4 3 3 2 4" xfId="20706" xr:uid="{00000000-0005-0000-0000-0000C4180000}"/>
    <cellStyle name="Comma 5 2 4 3 3 3" xfId="5878" xr:uid="{00000000-0005-0000-0000-0000C5180000}"/>
    <cellStyle name="Comma 5 2 4 3 3 3 2" xfId="14326" xr:uid="{00000000-0005-0000-0000-0000C6180000}"/>
    <cellStyle name="Comma 5 2 4 3 3 3 2 2" xfId="31266" xr:uid="{00000000-0005-0000-0000-0000C7180000}"/>
    <cellStyle name="Comma 5 2 4 3 3 3 3" xfId="22818" xr:uid="{00000000-0005-0000-0000-0000C8180000}"/>
    <cellStyle name="Comma 5 2 4 3 3 4" xfId="10102" xr:uid="{00000000-0005-0000-0000-0000C9180000}"/>
    <cellStyle name="Comma 5 2 4 3 3 4 2" xfId="27042" xr:uid="{00000000-0005-0000-0000-0000CA180000}"/>
    <cellStyle name="Comma 5 2 4 3 3 5" xfId="18594" xr:uid="{00000000-0005-0000-0000-0000CB180000}"/>
    <cellStyle name="Comma 5 2 4 3 4" xfId="2708" xr:uid="{00000000-0005-0000-0000-0000CC180000}"/>
    <cellStyle name="Comma 5 2 4 3 4 2" xfId="6934" xr:uid="{00000000-0005-0000-0000-0000CD180000}"/>
    <cellStyle name="Comma 5 2 4 3 4 2 2" xfId="15382" xr:uid="{00000000-0005-0000-0000-0000CE180000}"/>
    <cellStyle name="Comma 5 2 4 3 4 2 2 2" xfId="32322" xr:uid="{00000000-0005-0000-0000-0000CF180000}"/>
    <cellStyle name="Comma 5 2 4 3 4 2 3" xfId="23874" xr:uid="{00000000-0005-0000-0000-0000D0180000}"/>
    <cellStyle name="Comma 5 2 4 3 4 3" xfId="11158" xr:uid="{00000000-0005-0000-0000-0000D1180000}"/>
    <cellStyle name="Comma 5 2 4 3 4 3 2" xfId="28098" xr:uid="{00000000-0005-0000-0000-0000D2180000}"/>
    <cellStyle name="Comma 5 2 4 3 4 4" xfId="19650" xr:uid="{00000000-0005-0000-0000-0000D3180000}"/>
    <cellStyle name="Comma 5 2 4 3 5" xfId="4822" xr:uid="{00000000-0005-0000-0000-0000D4180000}"/>
    <cellStyle name="Comma 5 2 4 3 5 2" xfId="13270" xr:uid="{00000000-0005-0000-0000-0000D5180000}"/>
    <cellStyle name="Comma 5 2 4 3 5 2 2" xfId="30210" xr:uid="{00000000-0005-0000-0000-0000D6180000}"/>
    <cellStyle name="Comma 5 2 4 3 5 3" xfId="21762" xr:uid="{00000000-0005-0000-0000-0000D7180000}"/>
    <cellStyle name="Comma 5 2 4 3 6" xfId="9046" xr:uid="{00000000-0005-0000-0000-0000D8180000}"/>
    <cellStyle name="Comma 5 2 4 3 6 2" xfId="25986" xr:uid="{00000000-0005-0000-0000-0000D9180000}"/>
    <cellStyle name="Comma 5 2 4 3 7" xfId="17538" xr:uid="{00000000-0005-0000-0000-0000DA180000}"/>
    <cellStyle name="Comma 5 2 4 4" xfId="766" xr:uid="{00000000-0005-0000-0000-0000DB180000}"/>
    <cellStyle name="Comma 5 2 4 4 2" xfId="1828" xr:uid="{00000000-0005-0000-0000-0000DC180000}"/>
    <cellStyle name="Comma 5 2 4 4 2 2" xfId="3940" xr:uid="{00000000-0005-0000-0000-0000DD180000}"/>
    <cellStyle name="Comma 5 2 4 4 2 2 2" xfId="8166" xr:uid="{00000000-0005-0000-0000-0000DE180000}"/>
    <cellStyle name="Comma 5 2 4 4 2 2 2 2" xfId="16614" xr:uid="{00000000-0005-0000-0000-0000DF180000}"/>
    <cellStyle name="Comma 5 2 4 4 2 2 2 2 2" xfId="33554" xr:uid="{00000000-0005-0000-0000-0000E0180000}"/>
    <cellStyle name="Comma 5 2 4 4 2 2 2 3" xfId="25106" xr:uid="{00000000-0005-0000-0000-0000E1180000}"/>
    <cellStyle name="Comma 5 2 4 4 2 2 3" xfId="12390" xr:uid="{00000000-0005-0000-0000-0000E2180000}"/>
    <cellStyle name="Comma 5 2 4 4 2 2 3 2" xfId="29330" xr:uid="{00000000-0005-0000-0000-0000E3180000}"/>
    <cellStyle name="Comma 5 2 4 4 2 2 4" xfId="20882" xr:uid="{00000000-0005-0000-0000-0000E4180000}"/>
    <cellStyle name="Comma 5 2 4 4 2 3" xfId="6054" xr:uid="{00000000-0005-0000-0000-0000E5180000}"/>
    <cellStyle name="Comma 5 2 4 4 2 3 2" xfId="14502" xr:uid="{00000000-0005-0000-0000-0000E6180000}"/>
    <cellStyle name="Comma 5 2 4 4 2 3 2 2" xfId="31442" xr:uid="{00000000-0005-0000-0000-0000E7180000}"/>
    <cellStyle name="Comma 5 2 4 4 2 3 3" xfId="22994" xr:uid="{00000000-0005-0000-0000-0000E8180000}"/>
    <cellStyle name="Comma 5 2 4 4 2 4" xfId="10278" xr:uid="{00000000-0005-0000-0000-0000E9180000}"/>
    <cellStyle name="Comma 5 2 4 4 2 4 2" xfId="27218" xr:uid="{00000000-0005-0000-0000-0000EA180000}"/>
    <cellStyle name="Comma 5 2 4 4 2 5" xfId="18770" xr:uid="{00000000-0005-0000-0000-0000EB180000}"/>
    <cellStyle name="Comma 5 2 4 4 3" xfId="2884" xr:uid="{00000000-0005-0000-0000-0000EC180000}"/>
    <cellStyle name="Comma 5 2 4 4 3 2" xfId="7110" xr:uid="{00000000-0005-0000-0000-0000ED180000}"/>
    <cellStyle name="Comma 5 2 4 4 3 2 2" xfId="15558" xr:uid="{00000000-0005-0000-0000-0000EE180000}"/>
    <cellStyle name="Comma 5 2 4 4 3 2 2 2" xfId="32498" xr:uid="{00000000-0005-0000-0000-0000EF180000}"/>
    <cellStyle name="Comma 5 2 4 4 3 2 3" xfId="24050" xr:uid="{00000000-0005-0000-0000-0000F0180000}"/>
    <cellStyle name="Comma 5 2 4 4 3 3" xfId="11334" xr:uid="{00000000-0005-0000-0000-0000F1180000}"/>
    <cellStyle name="Comma 5 2 4 4 3 3 2" xfId="28274" xr:uid="{00000000-0005-0000-0000-0000F2180000}"/>
    <cellStyle name="Comma 5 2 4 4 3 4" xfId="19826" xr:uid="{00000000-0005-0000-0000-0000F3180000}"/>
    <cellStyle name="Comma 5 2 4 4 4" xfId="4998" xr:uid="{00000000-0005-0000-0000-0000F4180000}"/>
    <cellStyle name="Comma 5 2 4 4 4 2" xfId="13446" xr:uid="{00000000-0005-0000-0000-0000F5180000}"/>
    <cellStyle name="Comma 5 2 4 4 4 2 2" xfId="30386" xr:uid="{00000000-0005-0000-0000-0000F6180000}"/>
    <cellStyle name="Comma 5 2 4 4 4 3" xfId="21938" xr:uid="{00000000-0005-0000-0000-0000F7180000}"/>
    <cellStyle name="Comma 5 2 4 4 5" xfId="9222" xr:uid="{00000000-0005-0000-0000-0000F8180000}"/>
    <cellStyle name="Comma 5 2 4 4 5 2" xfId="26162" xr:uid="{00000000-0005-0000-0000-0000F9180000}"/>
    <cellStyle name="Comma 5 2 4 4 6" xfId="17714" xr:uid="{00000000-0005-0000-0000-0000FA180000}"/>
    <cellStyle name="Comma 5 2 4 5" xfId="1118" xr:uid="{00000000-0005-0000-0000-0000FB180000}"/>
    <cellStyle name="Comma 5 2 4 5 2" xfId="2180" xr:uid="{00000000-0005-0000-0000-0000FC180000}"/>
    <cellStyle name="Comma 5 2 4 5 2 2" xfId="4292" xr:uid="{00000000-0005-0000-0000-0000FD180000}"/>
    <cellStyle name="Comma 5 2 4 5 2 2 2" xfId="8518" xr:uid="{00000000-0005-0000-0000-0000FE180000}"/>
    <cellStyle name="Comma 5 2 4 5 2 2 2 2" xfId="16966" xr:uid="{00000000-0005-0000-0000-0000FF180000}"/>
    <cellStyle name="Comma 5 2 4 5 2 2 2 2 2" xfId="33906" xr:uid="{00000000-0005-0000-0000-000000190000}"/>
    <cellStyle name="Comma 5 2 4 5 2 2 2 3" xfId="25458" xr:uid="{00000000-0005-0000-0000-000001190000}"/>
    <cellStyle name="Comma 5 2 4 5 2 2 3" xfId="12742" xr:uid="{00000000-0005-0000-0000-000002190000}"/>
    <cellStyle name="Comma 5 2 4 5 2 2 3 2" xfId="29682" xr:uid="{00000000-0005-0000-0000-000003190000}"/>
    <cellStyle name="Comma 5 2 4 5 2 2 4" xfId="21234" xr:uid="{00000000-0005-0000-0000-000004190000}"/>
    <cellStyle name="Comma 5 2 4 5 2 3" xfId="6406" xr:uid="{00000000-0005-0000-0000-000005190000}"/>
    <cellStyle name="Comma 5 2 4 5 2 3 2" xfId="14854" xr:uid="{00000000-0005-0000-0000-000006190000}"/>
    <cellStyle name="Comma 5 2 4 5 2 3 2 2" xfId="31794" xr:uid="{00000000-0005-0000-0000-000007190000}"/>
    <cellStyle name="Comma 5 2 4 5 2 3 3" xfId="23346" xr:uid="{00000000-0005-0000-0000-000008190000}"/>
    <cellStyle name="Comma 5 2 4 5 2 4" xfId="10630" xr:uid="{00000000-0005-0000-0000-000009190000}"/>
    <cellStyle name="Comma 5 2 4 5 2 4 2" xfId="27570" xr:uid="{00000000-0005-0000-0000-00000A190000}"/>
    <cellStyle name="Comma 5 2 4 5 2 5" xfId="19122" xr:uid="{00000000-0005-0000-0000-00000B190000}"/>
    <cellStyle name="Comma 5 2 4 5 3" xfId="3236" xr:uid="{00000000-0005-0000-0000-00000C190000}"/>
    <cellStyle name="Comma 5 2 4 5 3 2" xfId="7462" xr:uid="{00000000-0005-0000-0000-00000D190000}"/>
    <cellStyle name="Comma 5 2 4 5 3 2 2" xfId="15910" xr:uid="{00000000-0005-0000-0000-00000E190000}"/>
    <cellStyle name="Comma 5 2 4 5 3 2 2 2" xfId="32850" xr:uid="{00000000-0005-0000-0000-00000F190000}"/>
    <cellStyle name="Comma 5 2 4 5 3 2 3" xfId="24402" xr:uid="{00000000-0005-0000-0000-000010190000}"/>
    <cellStyle name="Comma 5 2 4 5 3 3" xfId="11686" xr:uid="{00000000-0005-0000-0000-000011190000}"/>
    <cellStyle name="Comma 5 2 4 5 3 3 2" xfId="28626" xr:uid="{00000000-0005-0000-0000-000012190000}"/>
    <cellStyle name="Comma 5 2 4 5 3 4" xfId="20178" xr:uid="{00000000-0005-0000-0000-000013190000}"/>
    <cellStyle name="Comma 5 2 4 5 4" xfId="5350" xr:uid="{00000000-0005-0000-0000-000014190000}"/>
    <cellStyle name="Comma 5 2 4 5 4 2" xfId="13798" xr:uid="{00000000-0005-0000-0000-000015190000}"/>
    <cellStyle name="Comma 5 2 4 5 4 2 2" xfId="30738" xr:uid="{00000000-0005-0000-0000-000016190000}"/>
    <cellStyle name="Comma 5 2 4 5 4 3" xfId="22290" xr:uid="{00000000-0005-0000-0000-000017190000}"/>
    <cellStyle name="Comma 5 2 4 5 5" xfId="9574" xr:uid="{00000000-0005-0000-0000-000018190000}"/>
    <cellStyle name="Comma 5 2 4 5 5 2" xfId="26514" xr:uid="{00000000-0005-0000-0000-000019190000}"/>
    <cellStyle name="Comma 5 2 4 5 6" xfId="18066" xr:uid="{00000000-0005-0000-0000-00001A190000}"/>
    <cellStyle name="Comma 5 2 4 6" xfId="1300" xr:uid="{00000000-0005-0000-0000-00001B190000}"/>
    <cellStyle name="Comma 5 2 4 6 2" xfId="2356" xr:uid="{00000000-0005-0000-0000-00001C190000}"/>
    <cellStyle name="Comma 5 2 4 6 2 2" xfId="4468" xr:uid="{00000000-0005-0000-0000-00001D190000}"/>
    <cellStyle name="Comma 5 2 4 6 2 2 2" xfId="8694" xr:uid="{00000000-0005-0000-0000-00001E190000}"/>
    <cellStyle name="Comma 5 2 4 6 2 2 2 2" xfId="17142" xr:uid="{00000000-0005-0000-0000-00001F190000}"/>
    <cellStyle name="Comma 5 2 4 6 2 2 2 2 2" xfId="34082" xr:uid="{00000000-0005-0000-0000-000020190000}"/>
    <cellStyle name="Comma 5 2 4 6 2 2 2 3" xfId="25634" xr:uid="{00000000-0005-0000-0000-000021190000}"/>
    <cellStyle name="Comma 5 2 4 6 2 2 3" xfId="12918" xr:uid="{00000000-0005-0000-0000-000022190000}"/>
    <cellStyle name="Comma 5 2 4 6 2 2 3 2" xfId="29858" xr:uid="{00000000-0005-0000-0000-000023190000}"/>
    <cellStyle name="Comma 5 2 4 6 2 2 4" xfId="21410" xr:uid="{00000000-0005-0000-0000-000024190000}"/>
    <cellStyle name="Comma 5 2 4 6 2 3" xfId="6582" xr:uid="{00000000-0005-0000-0000-000025190000}"/>
    <cellStyle name="Comma 5 2 4 6 2 3 2" xfId="15030" xr:uid="{00000000-0005-0000-0000-000026190000}"/>
    <cellStyle name="Comma 5 2 4 6 2 3 2 2" xfId="31970" xr:uid="{00000000-0005-0000-0000-000027190000}"/>
    <cellStyle name="Comma 5 2 4 6 2 3 3" xfId="23522" xr:uid="{00000000-0005-0000-0000-000028190000}"/>
    <cellStyle name="Comma 5 2 4 6 2 4" xfId="10806" xr:uid="{00000000-0005-0000-0000-000029190000}"/>
    <cellStyle name="Comma 5 2 4 6 2 4 2" xfId="27746" xr:uid="{00000000-0005-0000-0000-00002A190000}"/>
    <cellStyle name="Comma 5 2 4 6 2 5" xfId="19298" xr:uid="{00000000-0005-0000-0000-00002B190000}"/>
    <cellStyle name="Comma 5 2 4 6 3" xfId="3412" xr:uid="{00000000-0005-0000-0000-00002C190000}"/>
    <cellStyle name="Comma 5 2 4 6 3 2" xfId="7638" xr:uid="{00000000-0005-0000-0000-00002D190000}"/>
    <cellStyle name="Comma 5 2 4 6 3 2 2" xfId="16086" xr:uid="{00000000-0005-0000-0000-00002E190000}"/>
    <cellStyle name="Comma 5 2 4 6 3 2 2 2" xfId="33026" xr:uid="{00000000-0005-0000-0000-00002F190000}"/>
    <cellStyle name="Comma 5 2 4 6 3 2 3" xfId="24578" xr:uid="{00000000-0005-0000-0000-000030190000}"/>
    <cellStyle name="Comma 5 2 4 6 3 3" xfId="11862" xr:uid="{00000000-0005-0000-0000-000031190000}"/>
    <cellStyle name="Comma 5 2 4 6 3 3 2" xfId="28802" xr:uid="{00000000-0005-0000-0000-000032190000}"/>
    <cellStyle name="Comma 5 2 4 6 3 4" xfId="20354" xr:uid="{00000000-0005-0000-0000-000033190000}"/>
    <cellStyle name="Comma 5 2 4 6 4" xfId="5526" xr:uid="{00000000-0005-0000-0000-000034190000}"/>
    <cellStyle name="Comma 5 2 4 6 4 2" xfId="13974" xr:uid="{00000000-0005-0000-0000-000035190000}"/>
    <cellStyle name="Comma 5 2 4 6 4 2 2" xfId="30914" xr:uid="{00000000-0005-0000-0000-000036190000}"/>
    <cellStyle name="Comma 5 2 4 6 4 3" xfId="22466" xr:uid="{00000000-0005-0000-0000-000037190000}"/>
    <cellStyle name="Comma 5 2 4 6 5" xfId="9750" xr:uid="{00000000-0005-0000-0000-000038190000}"/>
    <cellStyle name="Comma 5 2 4 6 5 2" xfId="26690" xr:uid="{00000000-0005-0000-0000-000039190000}"/>
    <cellStyle name="Comma 5 2 4 6 6" xfId="18242" xr:uid="{00000000-0005-0000-0000-00003A190000}"/>
    <cellStyle name="Comma 5 2 4 7" xfId="1476" xr:uid="{00000000-0005-0000-0000-00003B190000}"/>
    <cellStyle name="Comma 5 2 4 7 2" xfId="3588" xr:uid="{00000000-0005-0000-0000-00003C190000}"/>
    <cellStyle name="Comma 5 2 4 7 2 2" xfId="7814" xr:uid="{00000000-0005-0000-0000-00003D190000}"/>
    <cellStyle name="Comma 5 2 4 7 2 2 2" xfId="16262" xr:uid="{00000000-0005-0000-0000-00003E190000}"/>
    <cellStyle name="Comma 5 2 4 7 2 2 2 2" xfId="33202" xr:uid="{00000000-0005-0000-0000-00003F190000}"/>
    <cellStyle name="Comma 5 2 4 7 2 2 3" xfId="24754" xr:uid="{00000000-0005-0000-0000-000040190000}"/>
    <cellStyle name="Comma 5 2 4 7 2 3" xfId="12038" xr:uid="{00000000-0005-0000-0000-000041190000}"/>
    <cellStyle name="Comma 5 2 4 7 2 3 2" xfId="28978" xr:uid="{00000000-0005-0000-0000-000042190000}"/>
    <cellStyle name="Comma 5 2 4 7 2 4" xfId="20530" xr:uid="{00000000-0005-0000-0000-000043190000}"/>
    <cellStyle name="Comma 5 2 4 7 3" xfId="5702" xr:uid="{00000000-0005-0000-0000-000044190000}"/>
    <cellStyle name="Comma 5 2 4 7 3 2" xfId="14150" xr:uid="{00000000-0005-0000-0000-000045190000}"/>
    <cellStyle name="Comma 5 2 4 7 3 2 2" xfId="31090" xr:uid="{00000000-0005-0000-0000-000046190000}"/>
    <cellStyle name="Comma 5 2 4 7 3 3" xfId="22642" xr:uid="{00000000-0005-0000-0000-000047190000}"/>
    <cellStyle name="Comma 5 2 4 7 4" xfId="9926" xr:uid="{00000000-0005-0000-0000-000048190000}"/>
    <cellStyle name="Comma 5 2 4 7 4 2" xfId="26866" xr:uid="{00000000-0005-0000-0000-000049190000}"/>
    <cellStyle name="Comma 5 2 4 7 5" xfId="18418" xr:uid="{00000000-0005-0000-0000-00004A190000}"/>
    <cellStyle name="Comma 5 2 4 8" xfId="2532" xr:uid="{00000000-0005-0000-0000-00004B190000}"/>
    <cellStyle name="Comma 5 2 4 8 2" xfId="6758" xr:uid="{00000000-0005-0000-0000-00004C190000}"/>
    <cellStyle name="Comma 5 2 4 8 2 2" xfId="15206" xr:uid="{00000000-0005-0000-0000-00004D190000}"/>
    <cellStyle name="Comma 5 2 4 8 2 2 2" xfId="32146" xr:uid="{00000000-0005-0000-0000-00004E190000}"/>
    <cellStyle name="Comma 5 2 4 8 2 3" xfId="23698" xr:uid="{00000000-0005-0000-0000-00004F190000}"/>
    <cellStyle name="Comma 5 2 4 8 3" xfId="10982" xr:uid="{00000000-0005-0000-0000-000050190000}"/>
    <cellStyle name="Comma 5 2 4 8 3 2" xfId="27922" xr:uid="{00000000-0005-0000-0000-000051190000}"/>
    <cellStyle name="Comma 5 2 4 8 4" xfId="19474" xr:uid="{00000000-0005-0000-0000-000052190000}"/>
    <cellStyle name="Comma 5 2 4 9" xfId="4645" xr:uid="{00000000-0005-0000-0000-000053190000}"/>
    <cellStyle name="Comma 5 2 4 9 2" xfId="13094" xr:uid="{00000000-0005-0000-0000-000054190000}"/>
    <cellStyle name="Comma 5 2 4 9 2 2" xfId="30034" xr:uid="{00000000-0005-0000-0000-000055190000}"/>
    <cellStyle name="Comma 5 2 4 9 3" xfId="21586" xr:uid="{00000000-0005-0000-0000-000056190000}"/>
    <cellStyle name="Comma 5 2 5" xfId="153" xr:uid="{00000000-0005-0000-0000-000057190000}"/>
    <cellStyle name="Comma 5 2 5 10" xfId="17351" xr:uid="{00000000-0005-0000-0000-000058190000}"/>
    <cellStyle name="Comma 5 2 5 2" xfId="592" xr:uid="{00000000-0005-0000-0000-000059190000}"/>
    <cellStyle name="Comma 5 2 5 2 2" xfId="944" xr:uid="{00000000-0005-0000-0000-00005A190000}"/>
    <cellStyle name="Comma 5 2 5 2 2 2" xfId="2006" xr:uid="{00000000-0005-0000-0000-00005B190000}"/>
    <cellStyle name="Comma 5 2 5 2 2 2 2" xfId="4118" xr:uid="{00000000-0005-0000-0000-00005C190000}"/>
    <cellStyle name="Comma 5 2 5 2 2 2 2 2" xfId="8344" xr:uid="{00000000-0005-0000-0000-00005D190000}"/>
    <cellStyle name="Comma 5 2 5 2 2 2 2 2 2" xfId="16792" xr:uid="{00000000-0005-0000-0000-00005E190000}"/>
    <cellStyle name="Comma 5 2 5 2 2 2 2 2 2 2" xfId="33732" xr:uid="{00000000-0005-0000-0000-00005F190000}"/>
    <cellStyle name="Comma 5 2 5 2 2 2 2 2 3" xfId="25284" xr:uid="{00000000-0005-0000-0000-000060190000}"/>
    <cellStyle name="Comma 5 2 5 2 2 2 2 3" xfId="12568" xr:uid="{00000000-0005-0000-0000-000061190000}"/>
    <cellStyle name="Comma 5 2 5 2 2 2 2 3 2" xfId="29508" xr:uid="{00000000-0005-0000-0000-000062190000}"/>
    <cellStyle name="Comma 5 2 5 2 2 2 2 4" xfId="21060" xr:uid="{00000000-0005-0000-0000-000063190000}"/>
    <cellStyle name="Comma 5 2 5 2 2 2 3" xfId="6232" xr:uid="{00000000-0005-0000-0000-000064190000}"/>
    <cellStyle name="Comma 5 2 5 2 2 2 3 2" xfId="14680" xr:uid="{00000000-0005-0000-0000-000065190000}"/>
    <cellStyle name="Comma 5 2 5 2 2 2 3 2 2" xfId="31620" xr:uid="{00000000-0005-0000-0000-000066190000}"/>
    <cellStyle name="Comma 5 2 5 2 2 2 3 3" xfId="23172" xr:uid="{00000000-0005-0000-0000-000067190000}"/>
    <cellStyle name="Comma 5 2 5 2 2 2 4" xfId="10456" xr:uid="{00000000-0005-0000-0000-000068190000}"/>
    <cellStyle name="Comma 5 2 5 2 2 2 4 2" xfId="27396" xr:uid="{00000000-0005-0000-0000-000069190000}"/>
    <cellStyle name="Comma 5 2 5 2 2 2 5" xfId="18948" xr:uid="{00000000-0005-0000-0000-00006A190000}"/>
    <cellStyle name="Comma 5 2 5 2 2 3" xfId="3062" xr:uid="{00000000-0005-0000-0000-00006B190000}"/>
    <cellStyle name="Comma 5 2 5 2 2 3 2" xfId="7288" xr:uid="{00000000-0005-0000-0000-00006C190000}"/>
    <cellStyle name="Comma 5 2 5 2 2 3 2 2" xfId="15736" xr:uid="{00000000-0005-0000-0000-00006D190000}"/>
    <cellStyle name="Comma 5 2 5 2 2 3 2 2 2" xfId="32676" xr:uid="{00000000-0005-0000-0000-00006E190000}"/>
    <cellStyle name="Comma 5 2 5 2 2 3 2 3" xfId="24228" xr:uid="{00000000-0005-0000-0000-00006F190000}"/>
    <cellStyle name="Comma 5 2 5 2 2 3 3" xfId="11512" xr:uid="{00000000-0005-0000-0000-000070190000}"/>
    <cellStyle name="Comma 5 2 5 2 2 3 3 2" xfId="28452" xr:uid="{00000000-0005-0000-0000-000071190000}"/>
    <cellStyle name="Comma 5 2 5 2 2 3 4" xfId="20004" xr:uid="{00000000-0005-0000-0000-000072190000}"/>
    <cellStyle name="Comma 5 2 5 2 2 4" xfId="5176" xr:uid="{00000000-0005-0000-0000-000073190000}"/>
    <cellStyle name="Comma 5 2 5 2 2 4 2" xfId="13624" xr:uid="{00000000-0005-0000-0000-000074190000}"/>
    <cellStyle name="Comma 5 2 5 2 2 4 2 2" xfId="30564" xr:uid="{00000000-0005-0000-0000-000075190000}"/>
    <cellStyle name="Comma 5 2 5 2 2 4 3" xfId="22116" xr:uid="{00000000-0005-0000-0000-000076190000}"/>
    <cellStyle name="Comma 5 2 5 2 2 5" xfId="9400" xr:uid="{00000000-0005-0000-0000-000077190000}"/>
    <cellStyle name="Comma 5 2 5 2 2 5 2" xfId="26340" xr:uid="{00000000-0005-0000-0000-000078190000}"/>
    <cellStyle name="Comma 5 2 5 2 2 6" xfId="17892" xr:uid="{00000000-0005-0000-0000-000079190000}"/>
    <cellStyle name="Comma 5 2 5 2 3" xfId="1654" xr:uid="{00000000-0005-0000-0000-00007A190000}"/>
    <cellStyle name="Comma 5 2 5 2 3 2" xfId="3766" xr:uid="{00000000-0005-0000-0000-00007B190000}"/>
    <cellStyle name="Comma 5 2 5 2 3 2 2" xfId="7992" xr:uid="{00000000-0005-0000-0000-00007C190000}"/>
    <cellStyle name="Comma 5 2 5 2 3 2 2 2" xfId="16440" xr:uid="{00000000-0005-0000-0000-00007D190000}"/>
    <cellStyle name="Comma 5 2 5 2 3 2 2 2 2" xfId="33380" xr:uid="{00000000-0005-0000-0000-00007E190000}"/>
    <cellStyle name="Comma 5 2 5 2 3 2 2 3" xfId="24932" xr:uid="{00000000-0005-0000-0000-00007F190000}"/>
    <cellStyle name="Comma 5 2 5 2 3 2 3" xfId="12216" xr:uid="{00000000-0005-0000-0000-000080190000}"/>
    <cellStyle name="Comma 5 2 5 2 3 2 3 2" xfId="29156" xr:uid="{00000000-0005-0000-0000-000081190000}"/>
    <cellStyle name="Comma 5 2 5 2 3 2 4" xfId="20708" xr:uid="{00000000-0005-0000-0000-000082190000}"/>
    <cellStyle name="Comma 5 2 5 2 3 3" xfId="5880" xr:uid="{00000000-0005-0000-0000-000083190000}"/>
    <cellStyle name="Comma 5 2 5 2 3 3 2" xfId="14328" xr:uid="{00000000-0005-0000-0000-000084190000}"/>
    <cellStyle name="Comma 5 2 5 2 3 3 2 2" xfId="31268" xr:uid="{00000000-0005-0000-0000-000085190000}"/>
    <cellStyle name="Comma 5 2 5 2 3 3 3" xfId="22820" xr:uid="{00000000-0005-0000-0000-000086190000}"/>
    <cellStyle name="Comma 5 2 5 2 3 4" xfId="10104" xr:uid="{00000000-0005-0000-0000-000087190000}"/>
    <cellStyle name="Comma 5 2 5 2 3 4 2" xfId="27044" xr:uid="{00000000-0005-0000-0000-000088190000}"/>
    <cellStyle name="Comma 5 2 5 2 3 5" xfId="18596" xr:uid="{00000000-0005-0000-0000-000089190000}"/>
    <cellStyle name="Comma 5 2 5 2 4" xfId="2710" xr:uid="{00000000-0005-0000-0000-00008A190000}"/>
    <cellStyle name="Comma 5 2 5 2 4 2" xfId="6936" xr:uid="{00000000-0005-0000-0000-00008B190000}"/>
    <cellStyle name="Comma 5 2 5 2 4 2 2" xfId="15384" xr:uid="{00000000-0005-0000-0000-00008C190000}"/>
    <cellStyle name="Comma 5 2 5 2 4 2 2 2" xfId="32324" xr:uid="{00000000-0005-0000-0000-00008D190000}"/>
    <cellStyle name="Comma 5 2 5 2 4 2 3" xfId="23876" xr:uid="{00000000-0005-0000-0000-00008E190000}"/>
    <cellStyle name="Comma 5 2 5 2 4 3" xfId="11160" xr:uid="{00000000-0005-0000-0000-00008F190000}"/>
    <cellStyle name="Comma 5 2 5 2 4 3 2" xfId="28100" xr:uid="{00000000-0005-0000-0000-000090190000}"/>
    <cellStyle name="Comma 5 2 5 2 4 4" xfId="19652" xr:uid="{00000000-0005-0000-0000-000091190000}"/>
    <cellStyle name="Comma 5 2 5 2 5" xfId="4824" xr:uid="{00000000-0005-0000-0000-000092190000}"/>
    <cellStyle name="Comma 5 2 5 2 5 2" xfId="13272" xr:uid="{00000000-0005-0000-0000-000093190000}"/>
    <cellStyle name="Comma 5 2 5 2 5 2 2" xfId="30212" xr:uid="{00000000-0005-0000-0000-000094190000}"/>
    <cellStyle name="Comma 5 2 5 2 5 3" xfId="21764" xr:uid="{00000000-0005-0000-0000-000095190000}"/>
    <cellStyle name="Comma 5 2 5 2 6" xfId="9048" xr:uid="{00000000-0005-0000-0000-000096190000}"/>
    <cellStyle name="Comma 5 2 5 2 6 2" xfId="25988" xr:uid="{00000000-0005-0000-0000-000097190000}"/>
    <cellStyle name="Comma 5 2 5 2 7" xfId="17540" xr:uid="{00000000-0005-0000-0000-000098190000}"/>
    <cellStyle name="Comma 5 2 5 3" xfId="768" xr:uid="{00000000-0005-0000-0000-000099190000}"/>
    <cellStyle name="Comma 5 2 5 3 2" xfId="1830" xr:uid="{00000000-0005-0000-0000-00009A190000}"/>
    <cellStyle name="Comma 5 2 5 3 2 2" xfId="3942" xr:uid="{00000000-0005-0000-0000-00009B190000}"/>
    <cellStyle name="Comma 5 2 5 3 2 2 2" xfId="8168" xr:uid="{00000000-0005-0000-0000-00009C190000}"/>
    <cellStyle name="Comma 5 2 5 3 2 2 2 2" xfId="16616" xr:uid="{00000000-0005-0000-0000-00009D190000}"/>
    <cellStyle name="Comma 5 2 5 3 2 2 2 2 2" xfId="33556" xr:uid="{00000000-0005-0000-0000-00009E190000}"/>
    <cellStyle name="Comma 5 2 5 3 2 2 2 3" xfId="25108" xr:uid="{00000000-0005-0000-0000-00009F190000}"/>
    <cellStyle name="Comma 5 2 5 3 2 2 3" xfId="12392" xr:uid="{00000000-0005-0000-0000-0000A0190000}"/>
    <cellStyle name="Comma 5 2 5 3 2 2 3 2" xfId="29332" xr:uid="{00000000-0005-0000-0000-0000A1190000}"/>
    <cellStyle name="Comma 5 2 5 3 2 2 4" xfId="20884" xr:uid="{00000000-0005-0000-0000-0000A2190000}"/>
    <cellStyle name="Comma 5 2 5 3 2 3" xfId="6056" xr:uid="{00000000-0005-0000-0000-0000A3190000}"/>
    <cellStyle name="Comma 5 2 5 3 2 3 2" xfId="14504" xr:uid="{00000000-0005-0000-0000-0000A4190000}"/>
    <cellStyle name="Comma 5 2 5 3 2 3 2 2" xfId="31444" xr:uid="{00000000-0005-0000-0000-0000A5190000}"/>
    <cellStyle name="Comma 5 2 5 3 2 3 3" xfId="22996" xr:uid="{00000000-0005-0000-0000-0000A6190000}"/>
    <cellStyle name="Comma 5 2 5 3 2 4" xfId="10280" xr:uid="{00000000-0005-0000-0000-0000A7190000}"/>
    <cellStyle name="Comma 5 2 5 3 2 4 2" xfId="27220" xr:uid="{00000000-0005-0000-0000-0000A8190000}"/>
    <cellStyle name="Comma 5 2 5 3 2 5" xfId="18772" xr:uid="{00000000-0005-0000-0000-0000A9190000}"/>
    <cellStyle name="Comma 5 2 5 3 3" xfId="2886" xr:uid="{00000000-0005-0000-0000-0000AA190000}"/>
    <cellStyle name="Comma 5 2 5 3 3 2" xfId="7112" xr:uid="{00000000-0005-0000-0000-0000AB190000}"/>
    <cellStyle name="Comma 5 2 5 3 3 2 2" xfId="15560" xr:uid="{00000000-0005-0000-0000-0000AC190000}"/>
    <cellStyle name="Comma 5 2 5 3 3 2 2 2" xfId="32500" xr:uid="{00000000-0005-0000-0000-0000AD190000}"/>
    <cellStyle name="Comma 5 2 5 3 3 2 3" xfId="24052" xr:uid="{00000000-0005-0000-0000-0000AE190000}"/>
    <cellStyle name="Comma 5 2 5 3 3 3" xfId="11336" xr:uid="{00000000-0005-0000-0000-0000AF190000}"/>
    <cellStyle name="Comma 5 2 5 3 3 3 2" xfId="28276" xr:uid="{00000000-0005-0000-0000-0000B0190000}"/>
    <cellStyle name="Comma 5 2 5 3 3 4" xfId="19828" xr:uid="{00000000-0005-0000-0000-0000B1190000}"/>
    <cellStyle name="Comma 5 2 5 3 4" xfId="5000" xr:uid="{00000000-0005-0000-0000-0000B2190000}"/>
    <cellStyle name="Comma 5 2 5 3 4 2" xfId="13448" xr:uid="{00000000-0005-0000-0000-0000B3190000}"/>
    <cellStyle name="Comma 5 2 5 3 4 2 2" xfId="30388" xr:uid="{00000000-0005-0000-0000-0000B4190000}"/>
    <cellStyle name="Comma 5 2 5 3 4 3" xfId="21940" xr:uid="{00000000-0005-0000-0000-0000B5190000}"/>
    <cellStyle name="Comma 5 2 5 3 5" xfId="9224" xr:uid="{00000000-0005-0000-0000-0000B6190000}"/>
    <cellStyle name="Comma 5 2 5 3 5 2" xfId="26164" xr:uid="{00000000-0005-0000-0000-0000B7190000}"/>
    <cellStyle name="Comma 5 2 5 3 6" xfId="17716" xr:uid="{00000000-0005-0000-0000-0000B8190000}"/>
    <cellStyle name="Comma 5 2 5 4" xfId="1120" xr:uid="{00000000-0005-0000-0000-0000B9190000}"/>
    <cellStyle name="Comma 5 2 5 4 2" xfId="2182" xr:uid="{00000000-0005-0000-0000-0000BA190000}"/>
    <cellStyle name="Comma 5 2 5 4 2 2" xfId="4294" xr:uid="{00000000-0005-0000-0000-0000BB190000}"/>
    <cellStyle name="Comma 5 2 5 4 2 2 2" xfId="8520" xr:uid="{00000000-0005-0000-0000-0000BC190000}"/>
    <cellStyle name="Comma 5 2 5 4 2 2 2 2" xfId="16968" xr:uid="{00000000-0005-0000-0000-0000BD190000}"/>
    <cellStyle name="Comma 5 2 5 4 2 2 2 2 2" xfId="33908" xr:uid="{00000000-0005-0000-0000-0000BE190000}"/>
    <cellStyle name="Comma 5 2 5 4 2 2 2 3" xfId="25460" xr:uid="{00000000-0005-0000-0000-0000BF190000}"/>
    <cellStyle name="Comma 5 2 5 4 2 2 3" xfId="12744" xr:uid="{00000000-0005-0000-0000-0000C0190000}"/>
    <cellStyle name="Comma 5 2 5 4 2 2 3 2" xfId="29684" xr:uid="{00000000-0005-0000-0000-0000C1190000}"/>
    <cellStyle name="Comma 5 2 5 4 2 2 4" xfId="21236" xr:uid="{00000000-0005-0000-0000-0000C2190000}"/>
    <cellStyle name="Comma 5 2 5 4 2 3" xfId="6408" xr:uid="{00000000-0005-0000-0000-0000C3190000}"/>
    <cellStyle name="Comma 5 2 5 4 2 3 2" xfId="14856" xr:uid="{00000000-0005-0000-0000-0000C4190000}"/>
    <cellStyle name="Comma 5 2 5 4 2 3 2 2" xfId="31796" xr:uid="{00000000-0005-0000-0000-0000C5190000}"/>
    <cellStyle name="Comma 5 2 5 4 2 3 3" xfId="23348" xr:uid="{00000000-0005-0000-0000-0000C6190000}"/>
    <cellStyle name="Comma 5 2 5 4 2 4" xfId="10632" xr:uid="{00000000-0005-0000-0000-0000C7190000}"/>
    <cellStyle name="Comma 5 2 5 4 2 4 2" xfId="27572" xr:uid="{00000000-0005-0000-0000-0000C8190000}"/>
    <cellStyle name="Comma 5 2 5 4 2 5" xfId="19124" xr:uid="{00000000-0005-0000-0000-0000C9190000}"/>
    <cellStyle name="Comma 5 2 5 4 3" xfId="3238" xr:uid="{00000000-0005-0000-0000-0000CA190000}"/>
    <cellStyle name="Comma 5 2 5 4 3 2" xfId="7464" xr:uid="{00000000-0005-0000-0000-0000CB190000}"/>
    <cellStyle name="Comma 5 2 5 4 3 2 2" xfId="15912" xr:uid="{00000000-0005-0000-0000-0000CC190000}"/>
    <cellStyle name="Comma 5 2 5 4 3 2 2 2" xfId="32852" xr:uid="{00000000-0005-0000-0000-0000CD190000}"/>
    <cellStyle name="Comma 5 2 5 4 3 2 3" xfId="24404" xr:uid="{00000000-0005-0000-0000-0000CE190000}"/>
    <cellStyle name="Comma 5 2 5 4 3 3" xfId="11688" xr:uid="{00000000-0005-0000-0000-0000CF190000}"/>
    <cellStyle name="Comma 5 2 5 4 3 3 2" xfId="28628" xr:uid="{00000000-0005-0000-0000-0000D0190000}"/>
    <cellStyle name="Comma 5 2 5 4 3 4" xfId="20180" xr:uid="{00000000-0005-0000-0000-0000D1190000}"/>
    <cellStyle name="Comma 5 2 5 4 4" xfId="5352" xr:uid="{00000000-0005-0000-0000-0000D2190000}"/>
    <cellStyle name="Comma 5 2 5 4 4 2" xfId="13800" xr:uid="{00000000-0005-0000-0000-0000D3190000}"/>
    <cellStyle name="Comma 5 2 5 4 4 2 2" xfId="30740" xr:uid="{00000000-0005-0000-0000-0000D4190000}"/>
    <cellStyle name="Comma 5 2 5 4 4 3" xfId="22292" xr:uid="{00000000-0005-0000-0000-0000D5190000}"/>
    <cellStyle name="Comma 5 2 5 4 5" xfId="9576" xr:uid="{00000000-0005-0000-0000-0000D6190000}"/>
    <cellStyle name="Comma 5 2 5 4 5 2" xfId="26516" xr:uid="{00000000-0005-0000-0000-0000D7190000}"/>
    <cellStyle name="Comma 5 2 5 4 6" xfId="18068" xr:uid="{00000000-0005-0000-0000-0000D8190000}"/>
    <cellStyle name="Comma 5 2 5 5" xfId="1302" xr:uid="{00000000-0005-0000-0000-0000D9190000}"/>
    <cellStyle name="Comma 5 2 5 5 2" xfId="2358" xr:uid="{00000000-0005-0000-0000-0000DA190000}"/>
    <cellStyle name="Comma 5 2 5 5 2 2" xfId="4470" xr:uid="{00000000-0005-0000-0000-0000DB190000}"/>
    <cellStyle name="Comma 5 2 5 5 2 2 2" xfId="8696" xr:uid="{00000000-0005-0000-0000-0000DC190000}"/>
    <cellStyle name="Comma 5 2 5 5 2 2 2 2" xfId="17144" xr:uid="{00000000-0005-0000-0000-0000DD190000}"/>
    <cellStyle name="Comma 5 2 5 5 2 2 2 2 2" xfId="34084" xr:uid="{00000000-0005-0000-0000-0000DE190000}"/>
    <cellStyle name="Comma 5 2 5 5 2 2 2 3" xfId="25636" xr:uid="{00000000-0005-0000-0000-0000DF190000}"/>
    <cellStyle name="Comma 5 2 5 5 2 2 3" xfId="12920" xr:uid="{00000000-0005-0000-0000-0000E0190000}"/>
    <cellStyle name="Comma 5 2 5 5 2 2 3 2" xfId="29860" xr:uid="{00000000-0005-0000-0000-0000E1190000}"/>
    <cellStyle name="Comma 5 2 5 5 2 2 4" xfId="21412" xr:uid="{00000000-0005-0000-0000-0000E2190000}"/>
    <cellStyle name="Comma 5 2 5 5 2 3" xfId="6584" xr:uid="{00000000-0005-0000-0000-0000E3190000}"/>
    <cellStyle name="Comma 5 2 5 5 2 3 2" xfId="15032" xr:uid="{00000000-0005-0000-0000-0000E4190000}"/>
    <cellStyle name="Comma 5 2 5 5 2 3 2 2" xfId="31972" xr:uid="{00000000-0005-0000-0000-0000E5190000}"/>
    <cellStyle name="Comma 5 2 5 5 2 3 3" xfId="23524" xr:uid="{00000000-0005-0000-0000-0000E6190000}"/>
    <cellStyle name="Comma 5 2 5 5 2 4" xfId="10808" xr:uid="{00000000-0005-0000-0000-0000E7190000}"/>
    <cellStyle name="Comma 5 2 5 5 2 4 2" xfId="27748" xr:uid="{00000000-0005-0000-0000-0000E8190000}"/>
    <cellStyle name="Comma 5 2 5 5 2 5" xfId="19300" xr:uid="{00000000-0005-0000-0000-0000E9190000}"/>
    <cellStyle name="Comma 5 2 5 5 3" xfId="3414" xr:uid="{00000000-0005-0000-0000-0000EA190000}"/>
    <cellStyle name="Comma 5 2 5 5 3 2" xfId="7640" xr:uid="{00000000-0005-0000-0000-0000EB190000}"/>
    <cellStyle name="Comma 5 2 5 5 3 2 2" xfId="16088" xr:uid="{00000000-0005-0000-0000-0000EC190000}"/>
    <cellStyle name="Comma 5 2 5 5 3 2 2 2" xfId="33028" xr:uid="{00000000-0005-0000-0000-0000ED190000}"/>
    <cellStyle name="Comma 5 2 5 5 3 2 3" xfId="24580" xr:uid="{00000000-0005-0000-0000-0000EE190000}"/>
    <cellStyle name="Comma 5 2 5 5 3 3" xfId="11864" xr:uid="{00000000-0005-0000-0000-0000EF190000}"/>
    <cellStyle name="Comma 5 2 5 5 3 3 2" xfId="28804" xr:uid="{00000000-0005-0000-0000-0000F0190000}"/>
    <cellStyle name="Comma 5 2 5 5 3 4" xfId="20356" xr:uid="{00000000-0005-0000-0000-0000F1190000}"/>
    <cellStyle name="Comma 5 2 5 5 4" xfId="5528" xr:uid="{00000000-0005-0000-0000-0000F2190000}"/>
    <cellStyle name="Comma 5 2 5 5 4 2" xfId="13976" xr:uid="{00000000-0005-0000-0000-0000F3190000}"/>
    <cellStyle name="Comma 5 2 5 5 4 2 2" xfId="30916" xr:uid="{00000000-0005-0000-0000-0000F4190000}"/>
    <cellStyle name="Comma 5 2 5 5 4 3" xfId="22468" xr:uid="{00000000-0005-0000-0000-0000F5190000}"/>
    <cellStyle name="Comma 5 2 5 5 5" xfId="9752" xr:uid="{00000000-0005-0000-0000-0000F6190000}"/>
    <cellStyle name="Comma 5 2 5 5 5 2" xfId="26692" xr:uid="{00000000-0005-0000-0000-0000F7190000}"/>
    <cellStyle name="Comma 5 2 5 5 6" xfId="18244" xr:uid="{00000000-0005-0000-0000-0000F8190000}"/>
    <cellStyle name="Comma 5 2 5 6" xfId="1478" xr:uid="{00000000-0005-0000-0000-0000F9190000}"/>
    <cellStyle name="Comma 5 2 5 6 2" xfId="3590" xr:uid="{00000000-0005-0000-0000-0000FA190000}"/>
    <cellStyle name="Comma 5 2 5 6 2 2" xfId="7816" xr:uid="{00000000-0005-0000-0000-0000FB190000}"/>
    <cellStyle name="Comma 5 2 5 6 2 2 2" xfId="16264" xr:uid="{00000000-0005-0000-0000-0000FC190000}"/>
    <cellStyle name="Comma 5 2 5 6 2 2 2 2" xfId="33204" xr:uid="{00000000-0005-0000-0000-0000FD190000}"/>
    <cellStyle name="Comma 5 2 5 6 2 2 3" xfId="24756" xr:uid="{00000000-0005-0000-0000-0000FE190000}"/>
    <cellStyle name="Comma 5 2 5 6 2 3" xfId="12040" xr:uid="{00000000-0005-0000-0000-0000FF190000}"/>
    <cellStyle name="Comma 5 2 5 6 2 3 2" xfId="28980" xr:uid="{00000000-0005-0000-0000-0000001A0000}"/>
    <cellStyle name="Comma 5 2 5 6 2 4" xfId="20532" xr:uid="{00000000-0005-0000-0000-0000011A0000}"/>
    <cellStyle name="Comma 5 2 5 6 3" xfId="5704" xr:uid="{00000000-0005-0000-0000-0000021A0000}"/>
    <cellStyle name="Comma 5 2 5 6 3 2" xfId="14152" xr:uid="{00000000-0005-0000-0000-0000031A0000}"/>
    <cellStyle name="Comma 5 2 5 6 3 2 2" xfId="31092" xr:uid="{00000000-0005-0000-0000-0000041A0000}"/>
    <cellStyle name="Comma 5 2 5 6 3 3" xfId="22644" xr:uid="{00000000-0005-0000-0000-0000051A0000}"/>
    <cellStyle name="Comma 5 2 5 6 4" xfId="9928" xr:uid="{00000000-0005-0000-0000-0000061A0000}"/>
    <cellStyle name="Comma 5 2 5 6 4 2" xfId="26868" xr:uid="{00000000-0005-0000-0000-0000071A0000}"/>
    <cellStyle name="Comma 5 2 5 6 5" xfId="18420" xr:uid="{00000000-0005-0000-0000-0000081A0000}"/>
    <cellStyle name="Comma 5 2 5 7" xfId="2534" xr:uid="{00000000-0005-0000-0000-0000091A0000}"/>
    <cellStyle name="Comma 5 2 5 7 2" xfId="6760" xr:uid="{00000000-0005-0000-0000-00000A1A0000}"/>
    <cellStyle name="Comma 5 2 5 7 2 2" xfId="15208" xr:uid="{00000000-0005-0000-0000-00000B1A0000}"/>
    <cellStyle name="Comma 5 2 5 7 2 2 2" xfId="32148" xr:uid="{00000000-0005-0000-0000-00000C1A0000}"/>
    <cellStyle name="Comma 5 2 5 7 2 3" xfId="23700" xr:uid="{00000000-0005-0000-0000-00000D1A0000}"/>
    <cellStyle name="Comma 5 2 5 7 3" xfId="10984" xr:uid="{00000000-0005-0000-0000-00000E1A0000}"/>
    <cellStyle name="Comma 5 2 5 7 3 2" xfId="27924" xr:uid="{00000000-0005-0000-0000-00000F1A0000}"/>
    <cellStyle name="Comma 5 2 5 7 4" xfId="19476" xr:uid="{00000000-0005-0000-0000-0000101A0000}"/>
    <cellStyle name="Comma 5 2 5 8" xfId="4647" xr:uid="{00000000-0005-0000-0000-0000111A0000}"/>
    <cellStyle name="Comma 5 2 5 8 2" xfId="13096" xr:uid="{00000000-0005-0000-0000-0000121A0000}"/>
    <cellStyle name="Comma 5 2 5 8 2 2" xfId="30036" xr:uid="{00000000-0005-0000-0000-0000131A0000}"/>
    <cellStyle name="Comma 5 2 5 8 3" xfId="21588" xr:uid="{00000000-0005-0000-0000-0000141A0000}"/>
    <cellStyle name="Comma 5 2 5 9" xfId="8872" xr:uid="{00000000-0005-0000-0000-0000151A0000}"/>
    <cellStyle name="Comma 5 2 5 9 2" xfId="25812" xr:uid="{00000000-0005-0000-0000-0000161A0000}"/>
    <cellStyle name="Comma 5 2 6" xfId="17346" xr:uid="{00000000-0005-0000-0000-0000171A0000}"/>
    <cellStyle name="Comma 5 3" xfId="154" xr:uid="{00000000-0005-0000-0000-0000181A0000}"/>
    <cellStyle name="Comma 5 3 2" xfId="17352" xr:uid="{00000000-0005-0000-0000-0000191A0000}"/>
    <cellStyle name="Comma 5 4" xfId="155" xr:uid="{00000000-0005-0000-0000-00001A1A0000}"/>
    <cellStyle name="Comma 5 4 2" xfId="17353" xr:uid="{00000000-0005-0000-0000-00001B1A0000}"/>
    <cellStyle name="Comma 5 5" xfId="156" xr:uid="{00000000-0005-0000-0000-00001C1A0000}"/>
    <cellStyle name="Comma 5 5 2" xfId="17354" xr:uid="{00000000-0005-0000-0000-00001D1A0000}"/>
    <cellStyle name="Comma 5 6" xfId="157" xr:uid="{00000000-0005-0000-0000-00001E1A0000}"/>
    <cellStyle name="Comma 5 7" xfId="17345" xr:uid="{00000000-0005-0000-0000-00001F1A0000}"/>
    <cellStyle name="Comma 6" xfId="158" xr:uid="{00000000-0005-0000-0000-0000201A0000}"/>
    <cellStyle name="Comma 6 2" xfId="159" xr:uid="{00000000-0005-0000-0000-0000211A0000}"/>
    <cellStyle name="Comma 6 2 2" xfId="17355" xr:uid="{00000000-0005-0000-0000-0000221A0000}"/>
    <cellStyle name="Comma 6 3" xfId="160" xr:uid="{00000000-0005-0000-0000-0000231A0000}"/>
    <cellStyle name="Comma 6 3 2" xfId="17356" xr:uid="{00000000-0005-0000-0000-0000241A0000}"/>
    <cellStyle name="Comma 6 4" xfId="161" xr:uid="{00000000-0005-0000-0000-0000251A0000}"/>
    <cellStyle name="Comma 6 4 2" xfId="17357" xr:uid="{00000000-0005-0000-0000-0000261A0000}"/>
    <cellStyle name="Comma 7" xfId="162" xr:uid="{00000000-0005-0000-0000-0000271A0000}"/>
    <cellStyle name="Comma 7 2" xfId="163" xr:uid="{00000000-0005-0000-0000-0000281A0000}"/>
    <cellStyle name="Comma 7 2 2" xfId="17358" xr:uid="{00000000-0005-0000-0000-0000291A0000}"/>
    <cellStyle name="Comma 7 3" xfId="164" xr:uid="{00000000-0005-0000-0000-00002A1A0000}"/>
    <cellStyle name="Comma 7 3 2" xfId="17359" xr:uid="{00000000-0005-0000-0000-00002B1A0000}"/>
    <cellStyle name="Comma 7 4" xfId="165" xr:uid="{00000000-0005-0000-0000-00002C1A0000}"/>
    <cellStyle name="Comma 7 4 2" xfId="166" xr:uid="{00000000-0005-0000-0000-00002D1A0000}"/>
    <cellStyle name="Comma 7 4 2 2" xfId="17361" xr:uid="{00000000-0005-0000-0000-00002E1A0000}"/>
    <cellStyle name="Comma 7 4 3" xfId="17360" xr:uid="{00000000-0005-0000-0000-00002F1A0000}"/>
    <cellStyle name="Comma 8" xfId="167" xr:uid="{00000000-0005-0000-0000-0000301A0000}"/>
    <cellStyle name="Comma 8 2" xfId="168" xr:uid="{00000000-0005-0000-0000-0000311A0000}"/>
    <cellStyle name="Comma 8 3" xfId="169" xr:uid="{00000000-0005-0000-0000-0000321A0000}"/>
    <cellStyle name="Comma 8 3 2" xfId="17362" xr:uid="{00000000-0005-0000-0000-0000331A0000}"/>
    <cellStyle name="Comma 8 4" xfId="170" xr:uid="{00000000-0005-0000-0000-0000341A0000}"/>
    <cellStyle name="Comma 8 4 2" xfId="17363" xr:uid="{00000000-0005-0000-0000-0000351A0000}"/>
    <cellStyle name="Comma 9" xfId="171" xr:uid="{00000000-0005-0000-0000-0000361A0000}"/>
    <cellStyle name="Comma 9 2" xfId="172" xr:uid="{00000000-0005-0000-0000-0000371A0000}"/>
    <cellStyle name="Comma 9 3" xfId="173" xr:uid="{00000000-0005-0000-0000-0000381A0000}"/>
    <cellStyle name="Comma 9 4" xfId="174" xr:uid="{00000000-0005-0000-0000-0000391A0000}"/>
    <cellStyle name="Comma 9 4 2" xfId="17364" xr:uid="{00000000-0005-0000-0000-00003A1A0000}"/>
    <cellStyle name="Comma0" xfId="175" xr:uid="{00000000-0005-0000-0000-00003B1A0000}"/>
    <cellStyle name="Couma_#B P&amp;L Evolution_BINV" xfId="176" xr:uid="{00000000-0005-0000-0000-00003C1A0000}"/>
    <cellStyle name="Currency [00]" xfId="177" xr:uid="{00000000-0005-0000-0000-00003D1A0000}"/>
    <cellStyle name="Currency [00] 2" xfId="178" xr:uid="{00000000-0005-0000-0000-00003E1A0000}"/>
    <cellStyle name="Currency 2" xfId="179" xr:uid="{00000000-0005-0000-0000-00003F1A0000}"/>
    <cellStyle name="Currency 3" xfId="180" xr:uid="{00000000-0005-0000-0000-0000401A0000}"/>
    <cellStyle name="Currency 4" xfId="181" xr:uid="{00000000-0005-0000-0000-0000411A0000}"/>
    <cellStyle name="Currency0" xfId="182" xr:uid="{00000000-0005-0000-0000-0000421A0000}"/>
    <cellStyle name="Currency0 2" xfId="183" xr:uid="{00000000-0005-0000-0000-0000431A0000}"/>
    <cellStyle name="Date" xfId="184" xr:uid="{00000000-0005-0000-0000-0000441A0000}"/>
    <cellStyle name="Date Short" xfId="185" xr:uid="{00000000-0005-0000-0000-0000451A0000}"/>
    <cellStyle name="Date_01 Econ Class-Reciepts" xfId="186" xr:uid="{00000000-0005-0000-0000-0000461A0000}"/>
    <cellStyle name="Dezimal [0]_Compiling Utility Macros" xfId="187" xr:uid="{00000000-0005-0000-0000-0000471A0000}"/>
    <cellStyle name="Dezimal_Compiling Utility Macros" xfId="188" xr:uid="{00000000-0005-0000-0000-0000481A0000}"/>
    <cellStyle name="Enter Currency (0)" xfId="189" xr:uid="{00000000-0005-0000-0000-0000491A0000}"/>
    <cellStyle name="Enter Currency (0) 2" xfId="190" xr:uid="{00000000-0005-0000-0000-00004A1A0000}"/>
    <cellStyle name="Enter Currency (2)" xfId="191" xr:uid="{00000000-0005-0000-0000-00004B1A0000}"/>
    <cellStyle name="Enter Currency (2) 2" xfId="192" xr:uid="{00000000-0005-0000-0000-00004C1A0000}"/>
    <cellStyle name="Enter Units (0)" xfId="193" xr:uid="{00000000-0005-0000-0000-00004D1A0000}"/>
    <cellStyle name="Enter Units (0) 2" xfId="194" xr:uid="{00000000-0005-0000-0000-00004E1A0000}"/>
    <cellStyle name="Enter Units (1)" xfId="195" xr:uid="{00000000-0005-0000-0000-00004F1A0000}"/>
    <cellStyle name="Enter Units (1) 2" xfId="196" xr:uid="{00000000-0005-0000-0000-0000501A0000}"/>
    <cellStyle name="Enter Units (2)" xfId="197" xr:uid="{00000000-0005-0000-0000-0000511A0000}"/>
    <cellStyle name="Enter Units (2) 2" xfId="198" xr:uid="{00000000-0005-0000-0000-0000521A0000}"/>
    <cellStyle name="Explanatory Text 2" xfId="199" xr:uid="{00000000-0005-0000-0000-0000531A0000}"/>
    <cellStyle name="F2" xfId="200" xr:uid="{00000000-0005-0000-0000-0000541A0000}"/>
    <cellStyle name="F3" xfId="201" xr:uid="{00000000-0005-0000-0000-0000551A0000}"/>
    <cellStyle name="F4" xfId="202" xr:uid="{00000000-0005-0000-0000-0000561A0000}"/>
    <cellStyle name="F5" xfId="203" xr:uid="{00000000-0005-0000-0000-0000571A0000}"/>
    <cellStyle name="F6" xfId="204" xr:uid="{00000000-0005-0000-0000-0000581A0000}"/>
    <cellStyle name="F7" xfId="205" xr:uid="{00000000-0005-0000-0000-0000591A0000}"/>
    <cellStyle name="F8" xfId="206" xr:uid="{00000000-0005-0000-0000-00005A1A0000}"/>
    <cellStyle name="Fixed" xfId="207" xr:uid="{00000000-0005-0000-0000-00005B1A0000}"/>
    <cellStyle name="Good 2" xfId="208" xr:uid="{00000000-0005-0000-0000-00005C1A0000}"/>
    <cellStyle name="Grey" xfId="209" xr:uid="{00000000-0005-0000-0000-00005D1A0000}"/>
    <cellStyle name="Grey 2" xfId="210" xr:uid="{00000000-0005-0000-0000-00005E1A0000}"/>
    <cellStyle name="Grey_1" xfId="211" xr:uid="{00000000-0005-0000-0000-00005F1A0000}"/>
    <cellStyle name="Header1" xfId="212" xr:uid="{00000000-0005-0000-0000-0000601A0000}"/>
    <cellStyle name="Header2" xfId="213" xr:uid="{00000000-0005-0000-0000-0000611A0000}"/>
    <cellStyle name="Heading 1 2" xfId="214" xr:uid="{00000000-0005-0000-0000-0000621A0000}"/>
    <cellStyle name="Heading 1 3" xfId="215" xr:uid="{00000000-0005-0000-0000-0000631A0000}"/>
    <cellStyle name="Heading 2 2" xfId="216" xr:uid="{00000000-0005-0000-0000-0000641A0000}"/>
    <cellStyle name="Heading 2 3" xfId="217" xr:uid="{00000000-0005-0000-0000-0000651A0000}"/>
    <cellStyle name="Heading 3 2" xfId="218" xr:uid="{00000000-0005-0000-0000-0000661A0000}"/>
    <cellStyle name="Heading 4 2" xfId="219" xr:uid="{00000000-0005-0000-0000-0000671A0000}"/>
    <cellStyle name="HEADING1" xfId="220" xr:uid="{00000000-0005-0000-0000-0000681A0000}"/>
    <cellStyle name="HEADING2" xfId="221" xr:uid="{00000000-0005-0000-0000-0000691A0000}"/>
    <cellStyle name="HEADING2 2" xfId="222" xr:uid="{00000000-0005-0000-0000-00006A1A0000}"/>
    <cellStyle name="HEADING2_1" xfId="223" xr:uid="{00000000-0005-0000-0000-00006B1A0000}"/>
    <cellStyle name="Hyperlink 2" xfId="224" xr:uid="{00000000-0005-0000-0000-00006C1A0000}"/>
    <cellStyle name="Input [yellow]" xfId="225" xr:uid="{00000000-0005-0000-0000-00006D1A0000}"/>
    <cellStyle name="Input [yellow] 2" xfId="226" xr:uid="{00000000-0005-0000-0000-00006E1A0000}"/>
    <cellStyle name="Input [yellow]_1" xfId="227" xr:uid="{00000000-0005-0000-0000-00006F1A0000}"/>
    <cellStyle name="Input 2" xfId="228" xr:uid="{00000000-0005-0000-0000-0000701A0000}"/>
    <cellStyle name="Input 3" xfId="229" xr:uid="{00000000-0005-0000-0000-0000711A0000}"/>
    <cellStyle name="Input 4" xfId="230" xr:uid="{00000000-0005-0000-0000-0000721A0000}"/>
    <cellStyle name="Link Currency (0)" xfId="231" xr:uid="{00000000-0005-0000-0000-0000731A0000}"/>
    <cellStyle name="Link Currency (0) 2" xfId="232" xr:uid="{00000000-0005-0000-0000-0000741A0000}"/>
    <cellStyle name="Link Currency (2)" xfId="233" xr:uid="{00000000-0005-0000-0000-0000751A0000}"/>
    <cellStyle name="Link Currency (2) 2" xfId="234" xr:uid="{00000000-0005-0000-0000-0000761A0000}"/>
    <cellStyle name="Link Units (0)" xfId="235" xr:uid="{00000000-0005-0000-0000-0000771A0000}"/>
    <cellStyle name="Link Units (0) 2" xfId="236" xr:uid="{00000000-0005-0000-0000-0000781A0000}"/>
    <cellStyle name="Link Units (1)" xfId="237" xr:uid="{00000000-0005-0000-0000-0000791A0000}"/>
    <cellStyle name="Link Units (1) 2" xfId="238" xr:uid="{00000000-0005-0000-0000-00007A1A0000}"/>
    <cellStyle name="Link Units (2)" xfId="239" xr:uid="{00000000-0005-0000-0000-00007B1A0000}"/>
    <cellStyle name="Link Units (2) 2" xfId="240" xr:uid="{00000000-0005-0000-0000-00007C1A0000}"/>
    <cellStyle name="Linked Cell 2" xfId="241" xr:uid="{00000000-0005-0000-0000-00007D1A0000}"/>
    <cellStyle name="Monétaire [0]_rwhite" xfId="242" xr:uid="{00000000-0005-0000-0000-00007E1A0000}"/>
    <cellStyle name="Monétaire_rwhite" xfId="243" xr:uid="{00000000-0005-0000-0000-00007F1A0000}"/>
    <cellStyle name="Neutral 2" xfId="244" xr:uid="{00000000-0005-0000-0000-0000801A0000}"/>
    <cellStyle name="Normal" xfId="0" builtinId="0"/>
    <cellStyle name="Normal - Style1" xfId="245" xr:uid="{00000000-0005-0000-0000-0000821A0000}"/>
    <cellStyle name="Normal - Style1 2" xfId="246" xr:uid="{00000000-0005-0000-0000-0000831A0000}"/>
    <cellStyle name="Normal 10" xfId="247" xr:uid="{00000000-0005-0000-0000-0000841A0000}"/>
    <cellStyle name="Normal 10 2" xfId="248" xr:uid="{00000000-0005-0000-0000-0000851A0000}"/>
    <cellStyle name="Normal 10 2 10" xfId="4648" xr:uid="{00000000-0005-0000-0000-0000861A0000}"/>
    <cellStyle name="Normal 10 2 10 2" xfId="13097" xr:uid="{00000000-0005-0000-0000-0000871A0000}"/>
    <cellStyle name="Normal 10 2 10 2 2" xfId="30037" xr:uid="{00000000-0005-0000-0000-0000881A0000}"/>
    <cellStyle name="Normal 10 2 10 3" xfId="21589" xr:uid="{00000000-0005-0000-0000-0000891A0000}"/>
    <cellStyle name="Normal 10 2 11" xfId="8873" xr:uid="{00000000-0005-0000-0000-00008A1A0000}"/>
    <cellStyle name="Normal 10 2 11 2" xfId="25813" xr:uid="{00000000-0005-0000-0000-00008B1A0000}"/>
    <cellStyle name="Normal 10 2 12" xfId="17365" xr:uid="{00000000-0005-0000-0000-00008C1A0000}"/>
    <cellStyle name="Normal 10 2 2" xfId="249" xr:uid="{00000000-0005-0000-0000-00008D1A0000}"/>
    <cellStyle name="Normal 10 2 2 10" xfId="17366" xr:uid="{00000000-0005-0000-0000-00008E1A0000}"/>
    <cellStyle name="Normal 10 2 2 2" xfId="594" xr:uid="{00000000-0005-0000-0000-00008F1A0000}"/>
    <cellStyle name="Normal 10 2 2 2 2" xfId="946" xr:uid="{00000000-0005-0000-0000-0000901A0000}"/>
    <cellStyle name="Normal 10 2 2 2 2 2" xfId="2008" xr:uid="{00000000-0005-0000-0000-0000911A0000}"/>
    <cellStyle name="Normal 10 2 2 2 2 2 2" xfId="4120" xr:uid="{00000000-0005-0000-0000-0000921A0000}"/>
    <cellStyle name="Normal 10 2 2 2 2 2 2 2" xfId="8346" xr:uid="{00000000-0005-0000-0000-0000931A0000}"/>
    <cellStyle name="Normal 10 2 2 2 2 2 2 2 2" xfId="16794" xr:uid="{00000000-0005-0000-0000-0000941A0000}"/>
    <cellStyle name="Normal 10 2 2 2 2 2 2 2 2 2" xfId="33734" xr:uid="{00000000-0005-0000-0000-0000951A0000}"/>
    <cellStyle name="Normal 10 2 2 2 2 2 2 2 3" xfId="25286" xr:uid="{00000000-0005-0000-0000-0000961A0000}"/>
    <cellStyle name="Normal 10 2 2 2 2 2 2 3" xfId="12570" xr:uid="{00000000-0005-0000-0000-0000971A0000}"/>
    <cellStyle name="Normal 10 2 2 2 2 2 2 3 2" xfId="29510" xr:uid="{00000000-0005-0000-0000-0000981A0000}"/>
    <cellStyle name="Normal 10 2 2 2 2 2 2 4" xfId="21062" xr:uid="{00000000-0005-0000-0000-0000991A0000}"/>
    <cellStyle name="Normal 10 2 2 2 2 2 3" xfId="6234" xr:uid="{00000000-0005-0000-0000-00009A1A0000}"/>
    <cellStyle name="Normal 10 2 2 2 2 2 3 2" xfId="14682" xr:uid="{00000000-0005-0000-0000-00009B1A0000}"/>
    <cellStyle name="Normal 10 2 2 2 2 2 3 2 2" xfId="31622" xr:uid="{00000000-0005-0000-0000-00009C1A0000}"/>
    <cellStyle name="Normal 10 2 2 2 2 2 3 3" xfId="23174" xr:uid="{00000000-0005-0000-0000-00009D1A0000}"/>
    <cellStyle name="Normal 10 2 2 2 2 2 4" xfId="10458" xr:uid="{00000000-0005-0000-0000-00009E1A0000}"/>
    <cellStyle name="Normal 10 2 2 2 2 2 4 2" xfId="27398" xr:uid="{00000000-0005-0000-0000-00009F1A0000}"/>
    <cellStyle name="Normal 10 2 2 2 2 2 5" xfId="18950" xr:uid="{00000000-0005-0000-0000-0000A01A0000}"/>
    <cellStyle name="Normal 10 2 2 2 2 3" xfId="3064" xr:uid="{00000000-0005-0000-0000-0000A11A0000}"/>
    <cellStyle name="Normal 10 2 2 2 2 3 2" xfId="7290" xr:uid="{00000000-0005-0000-0000-0000A21A0000}"/>
    <cellStyle name="Normal 10 2 2 2 2 3 2 2" xfId="15738" xr:uid="{00000000-0005-0000-0000-0000A31A0000}"/>
    <cellStyle name="Normal 10 2 2 2 2 3 2 2 2" xfId="32678" xr:uid="{00000000-0005-0000-0000-0000A41A0000}"/>
    <cellStyle name="Normal 10 2 2 2 2 3 2 3" xfId="24230" xr:uid="{00000000-0005-0000-0000-0000A51A0000}"/>
    <cellStyle name="Normal 10 2 2 2 2 3 3" xfId="11514" xr:uid="{00000000-0005-0000-0000-0000A61A0000}"/>
    <cellStyle name="Normal 10 2 2 2 2 3 3 2" xfId="28454" xr:uid="{00000000-0005-0000-0000-0000A71A0000}"/>
    <cellStyle name="Normal 10 2 2 2 2 3 4" xfId="20006" xr:uid="{00000000-0005-0000-0000-0000A81A0000}"/>
    <cellStyle name="Normal 10 2 2 2 2 4" xfId="5178" xr:uid="{00000000-0005-0000-0000-0000A91A0000}"/>
    <cellStyle name="Normal 10 2 2 2 2 4 2" xfId="13626" xr:uid="{00000000-0005-0000-0000-0000AA1A0000}"/>
    <cellStyle name="Normal 10 2 2 2 2 4 2 2" xfId="30566" xr:uid="{00000000-0005-0000-0000-0000AB1A0000}"/>
    <cellStyle name="Normal 10 2 2 2 2 4 3" xfId="22118" xr:uid="{00000000-0005-0000-0000-0000AC1A0000}"/>
    <cellStyle name="Normal 10 2 2 2 2 5" xfId="9402" xr:uid="{00000000-0005-0000-0000-0000AD1A0000}"/>
    <cellStyle name="Normal 10 2 2 2 2 5 2" xfId="26342" xr:uid="{00000000-0005-0000-0000-0000AE1A0000}"/>
    <cellStyle name="Normal 10 2 2 2 2 6" xfId="17894" xr:uid="{00000000-0005-0000-0000-0000AF1A0000}"/>
    <cellStyle name="Normal 10 2 2 2 3" xfId="1656" xr:uid="{00000000-0005-0000-0000-0000B01A0000}"/>
    <cellStyle name="Normal 10 2 2 2 3 2" xfId="3768" xr:uid="{00000000-0005-0000-0000-0000B11A0000}"/>
    <cellStyle name="Normal 10 2 2 2 3 2 2" xfId="7994" xr:uid="{00000000-0005-0000-0000-0000B21A0000}"/>
    <cellStyle name="Normal 10 2 2 2 3 2 2 2" xfId="16442" xr:uid="{00000000-0005-0000-0000-0000B31A0000}"/>
    <cellStyle name="Normal 10 2 2 2 3 2 2 2 2" xfId="33382" xr:uid="{00000000-0005-0000-0000-0000B41A0000}"/>
    <cellStyle name="Normal 10 2 2 2 3 2 2 3" xfId="24934" xr:uid="{00000000-0005-0000-0000-0000B51A0000}"/>
    <cellStyle name="Normal 10 2 2 2 3 2 3" xfId="12218" xr:uid="{00000000-0005-0000-0000-0000B61A0000}"/>
    <cellStyle name="Normal 10 2 2 2 3 2 3 2" xfId="29158" xr:uid="{00000000-0005-0000-0000-0000B71A0000}"/>
    <cellStyle name="Normal 10 2 2 2 3 2 4" xfId="20710" xr:uid="{00000000-0005-0000-0000-0000B81A0000}"/>
    <cellStyle name="Normal 10 2 2 2 3 3" xfId="5882" xr:uid="{00000000-0005-0000-0000-0000B91A0000}"/>
    <cellStyle name="Normal 10 2 2 2 3 3 2" xfId="14330" xr:uid="{00000000-0005-0000-0000-0000BA1A0000}"/>
    <cellStyle name="Normal 10 2 2 2 3 3 2 2" xfId="31270" xr:uid="{00000000-0005-0000-0000-0000BB1A0000}"/>
    <cellStyle name="Normal 10 2 2 2 3 3 3" xfId="22822" xr:uid="{00000000-0005-0000-0000-0000BC1A0000}"/>
    <cellStyle name="Normal 10 2 2 2 3 4" xfId="10106" xr:uid="{00000000-0005-0000-0000-0000BD1A0000}"/>
    <cellStyle name="Normal 10 2 2 2 3 4 2" xfId="27046" xr:uid="{00000000-0005-0000-0000-0000BE1A0000}"/>
    <cellStyle name="Normal 10 2 2 2 3 5" xfId="18598" xr:uid="{00000000-0005-0000-0000-0000BF1A0000}"/>
    <cellStyle name="Normal 10 2 2 2 4" xfId="2712" xr:uid="{00000000-0005-0000-0000-0000C01A0000}"/>
    <cellStyle name="Normal 10 2 2 2 4 2" xfId="6938" xr:uid="{00000000-0005-0000-0000-0000C11A0000}"/>
    <cellStyle name="Normal 10 2 2 2 4 2 2" xfId="15386" xr:uid="{00000000-0005-0000-0000-0000C21A0000}"/>
    <cellStyle name="Normal 10 2 2 2 4 2 2 2" xfId="32326" xr:uid="{00000000-0005-0000-0000-0000C31A0000}"/>
    <cellStyle name="Normal 10 2 2 2 4 2 3" xfId="23878" xr:uid="{00000000-0005-0000-0000-0000C41A0000}"/>
    <cellStyle name="Normal 10 2 2 2 4 3" xfId="11162" xr:uid="{00000000-0005-0000-0000-0000C51A0000}"/>
    <cellStyle name="Normal 10 2 2 2 4 3 2" xfId="28102" xr:uid="{00000000-0005-0000-0000-0000C61A0000}"/>
    <cellStyle name="Normal 10 2 2 2 4 4" xfId="19654" xr:uid="{00000000-0005-0000-0000-0000C71A0000}"/>
    <cellStyle name="Normal 10 2 2 2 5" xfId="4826" xr:uid="{00000000-0005-0000-0000-0000C81A0000}"/>
    <cellStyle name="Normal 10 2 2 2 5 2" xfId="13274" xr:uid="{00000000-0005-0000-0000-0000C91A0000}"/>
    <cellStyle name="Normal 10 2 2 2 5 2 2" xfId="30214" xr:uid="{00000000-0005-0000-0000-0000CA1A0000}"/>
    <cellStyle name="Normal 10 2 2 2 5 3" xfId="21766" xr:uid="{00000000-0005-0000-0000-0000CB1A0000}"/>
    <cellStyle name="Normal 10 2 2 2 6" xfId="9050" xr:uid="{00000000-0005-0000-0000-0000CC1A0000}"/>
    <cellStyle name="Normal 10 2 2 2 6 2" xfId="25990" xr:uid="{00000000-0005-0000-0000-0000CD1A0000}"/>
    <cellStyle name="Normal 10 2 2 2 7" xfId="17542" xr:uid="{00000000-0005-0000-0000-0000CE1A0000}"/>
    <cellStyle name="Normal 10 2 2 3" xfId="770" xr:uid="{00000000-0005-0000-0000-0000CF1A0000}"/>
    <cellStyle name="Normal 10 2 2 3 2" xfId="1832" xr:uid="{00000000-0005-0000-0000-0000D01A0000}"/>
    <cellStyle name="Normal 10 2 2 3 2 2" xfId="3944" xr:uid="{00000000-0005-0000-0000-0000D11A0000}"/>
    <cellStyle name="Normal 10 2 2 3 2 2 2" xfId="8170" xr:uid="{00000000-0005-0000-0000-0000D21A0000}"/>
    <cellStyle name="Normal 10 2 2 3 2 2 2 2" xfId="16618" xr:uid="{00000000-0005-0000-0000-0000D31A0000}"/>
    <cellStyle name="Normal 10 2 2 3 2 2 2 2 2" xfId="33558" xr:uid="{00000000-0005-0000-0000-0000D41A0000}"/>
    <cellStyle name="Normal 10 2 2 3 2 2 2 3" xfId="25110" xr:uid="{00000000-0005-0000-0000-0000D51A0000}"/>
    <cellStyle name="Normal 10 2 2 3 2 2 3" xfId="12394" xr:uid="{00000000-0005-0000-0000-0000D61A0000}"/>
    <cellStyle name="Normal 10 2 2 3 2 2 3 2" xfId="29334" xr:uid="{00000000-0005-0000-0000-0000D71A0000}"/>
    <cellStyle name="Normal 10 2 2 3 2 2 4" xfId="20886" xr:uid="{00000000-0005-0000-0000-0000D81A0000}"/>
    <cellStyle name="Normal 10 2 2 3 2 3" xfId="6058" xr:uid="{00000000-0005-0000-0000-0000D91A0000}"/>
    <cellStyle name="Normal 10 2 2 3 2 3 2" xfId="14506" xr:uid="{00000000-0005-0000-0000-0000DA1A0000}"/>
    <cellStyle name="Normal 10 2 2 3 2 3 2 2" xfId="31446" xr:uid="{00000000-0005-0000-0000-0000DB1A0000}"/>
    <cellStyle name="Normal 10 2 2 3 2 3 3" xfId="22998" xr:uid="{00000000-0005-0000-0000-0000DC1A0000}"/>
    <cellStyle name="Normal 10 2 2 3 2 4" xfId="10282" xr:uid="{00000000-0005-0000-0000-0000DD1A0000}"/>
    <cellStyle name="Normal 10 2 2 3 2 4 2" xfId="27222" xr:uid="{00000000-0005-0000-0000-0000DE1A0000}"/>
    <cellStyle name="Normal 10 2 2 3 2 5" xfId="18774" xr:uid="{00000000-0005-0000-0000-0000DF1A0000}"/>
    <cellStyle name="Normal 10 2 2 3 3" xfId="2888" xr:uid="{00000000-0005-0000-0000-0000E01A0000}"/>
    <cellStyle name="Normal 10 2 2 3 3 2" xfId="7114" xr:uid="{00000000-0005-0000-0000-0000E11A0000}"/>
    <cellStyle name="Normal 10 2 2 3 3 2 2" xfId="15562" xr:uid="{00000000-0005-0000-0000-0000E21A0000}"/>
    <cellStyle name="Normal 10 2 2 3 3 2 2 2" xfId="32502" xr:uid="{00000000-0005-0000-0000-0000E31A0000}"/>
    <cellStyle name="Normal 10 2 2 3 3 2 3" xfId="24054" xr:uid="{00000000-0005-0000-0000-0000E41A0000}"/>
    <cellStyle name="Normal 10 2 2 3 3 3" xfId="11338" xr:uid="{00000000-0005-0000-0000-0000E51A0000}"/>
    <cellStyle name="Normal 10 2 2 3 3 3 2" xfId="28278" xr:uid="{00000000-0005-0000-0000-0000E61A0000}"/>
    <cellStyle name="Normal 10 2 2 3 3 4" xfId="19830" xr:uid="{00000000-0005-0000-0000-0000E71A0000}"/>
    <cellStyle name="Normal 10 2 2 3 4" xfId="5002" xr:uid="{00000000-0005-0000-0000-0000E81A0000}"/>
    <cellStyle name="Normal 10 2 2 3 4 2" xfId="13450" xr:uid="{00000000-0005-0000-0000-0000E91A0000}"/>
    <cellStyle name="Normal 10 2 2 3 4 2 2" xfId="30390" xr:uid="{00000000-0005-0000-0000-0000EA1A0000}"/>
    <cellStyle name="Normal 10 2 2 3 4 3" xfId="21942" xr:uid="{00000000-0005-0000-0000-0000EB1A0000}"/>
    <cellStyle name="Normal 10 2 2 3 5" xfId="9226" xr:uid="{00000000-0005-0000-0000-0000EC1A0000}"/>
    <cellStyle name="Normal 10 2 2 3 5 2" xfId="26166" xr:uid="{00000000-0005-0000-0000-0000ED1A0000}"/>
    <cellStyle name="Normal 10 2 2 3 6" xfId="17718" xr:uid="{00000000-0005-0000-0000-0000EE1A0000}"/>
    <cellStyle name="Normal 10 2 2 4" xfId="1122" xr:uid="{00000000-0005-0000-0000-0000EF1A0000}"/>
    <cellStyle name="Normal 10 2 2 4 2" xfId="2184" xr:uid="{00000000-0005-0000-0000-0000F01A0000}"/>
    <cellStyle name="Normal 10 2 2 4 2 2" xfId="4296" xr:uid="{00000000-0005-0000-0000-0000F11A0000}"/>
    <cellStyle name="Normal 10 2 2 4 2 2 2" xfId="8522" xr:uid="{00000000-0005-0000-0000-0000F21A0000}"/>
    <cellStyle name="Normal 10 2 2 4 2 2 2 2" xfId="16970" xr:uid="{00000000-0005-0000-0000-0000F31A0000}"/>
    <cellStyle name="Normal 10 2 2 4 2 2 2 2 2" xfId="33910" xr:uid="{00000000-0005-0000-0000-0000F41A0000}"/>
    <cellStyle name="Normal 10 2 2 4 2 2 2 3" xfId="25462" xr:uid="{00000000-0005-0000-0000-0000F51A0000}"/>
    <cellStyle name="Normal 10 2 2 4 2 2 3" xfId="12746" xr:uid="{00000000-0005-0000-0000-0000F61A0000}"/>
    <cellStyle name="Normal 10 2 2 4 2 2 3 2" xfId="29686" xr:uid="{00000000-0005-0000-0000-0000F71A0000}"/>
    <cellStyle name="Normal 10 2 2 4 2 2 4" xfId="21238" xr:uid="{00000000-0005-0000-0000-0000F81A0000}"/>
    <cellStyle name="Normal 10 2 2 4 2 3" xfId="6410" xr:uid="{00000000-0005-0000-0000-0000F91A0000}"/>
    <cellStyle name="Normal 10 2 2 4 2 3 2" xfId="14858" xr:uid="{00000000-0005-0000-0000-0000FA1A0000}"/>
    <cellStyle name="Normal 10 2 2 4 2 3 2 2" xfId="31798" xr:uid="{00000000-0005-0000-0000-0000FB1A0000}"/>
    <cellStyle name="Normal 10 2 2 4 2 3 3" xfId="23350" xr:uid="{00000000-0005-0000-0000-0000FC1A0000}"/>
    <cellStyle name="Normal 10 2 2 4 2 4" xfId="10634" xr:uid="{00000000-0005-0000-0000-0000FD1A0000}"/>
    <cellStyle name="Normal 10 2 2 4 2 4 2" xfId="27574" xr:uid="{00000000-0005-0000-0000-0000FE1A0000}"/>
    <cellStyle name="Normal 10 2 2 4 2 5" xfId="19126" xr:uid="{00000000-0005-0000-0000-0000FF1A0000}"/>
    <cellStyle name="Normal 10 2 2 4 3" xfId="3240" xr:uid="{00000000-0005-0000-0000-0000001B0000}"/>
    <cellStyle name="Normal 10 2 2 4 3 2" xfId="7466" xr:uid="{00000000-0005-0000-0000-0000011B0000}"/>
    <cellStyle name="Normal 10 2 2 4 3 2 2" xfId="15914" xr:uid="{00000000-0005-0000-0000-0000021B0000}"/>
    <cellStyle name="Normal 10 2 2 4 3 2 2 2" xfId="32854" xr:uid="{00000000-0005-0000-0000-0000031B0000}"/>
    <cellStyle name="Normal 10 2 2 4 3 2 3" xfId="24406" xr:uid="{00000000-0005-0000-0000-0000041B0000}"/>
    <cellStyle name="Normal 10 2 2 4 3 3" xfId="11690" xr:uid="{00000000-0005-0000-0000-0000051B0000}"/>
    <cellStyle name="Normal 10 2 2 4 3 3 2" xfId="28630" xr:uid="{00000000-0005-0000-0000-0000061B0000}"/>
    <cellStyle name="Normal 10 2 2 4 3 4" xfId="20182" xr:uid="{00000000-0005-0000-0000-0000071B0000}"/>
    <cellStyle name="Normal 10 2 2 4 4" xfId="5354" xr:uid="{00000000-0005-0000-0000-0000081B0000}"/>
    <cellStyle name="Normal 10 2 2 4 4 2" xfId="13802" xr:uid="{00000000-0005-0000-0000-0000091B0000}"/>
    <cellStyle name="Normal 10 2 2 4 4 2 2" xfId="30742" xr:uid="{00000000-0005-0000-0000-00000A1B0000}"/>
    <cellStyle name="Normal 10 2 2 4 4 3" xfId="22294" xr:uid="{00000000-0005-0000-0000-00000B1B0000}"/>
    <cellStyle name="Normal 10 2 2 4 5" xfId="9578" xr:uid="{00000000-0005-0000-0000-00000C1B0000}"/>
    <cellStyle name="Normal 10 2 2 4 5 2" xfId="26518" xr:uid="{00000000-0005-0000-0000-00000D1B0000}"/>
    <cellStyle name="Normal 10 2 2 4 6" xfId="18070" xr:uid="{00000000-0005-0000-0000-00000E1B0000}"/>
    <cellStyle name="Normal 10 2 2 5" xfId="1304" xr:uid="{00000000-0005-0000-0000-00000F1B0000}"/>
    <cellStyle name="Normal 10 2 2 5 2" xfId="2360" xr:uid="{00000000-0005-0000-0000-0000101B0000}"/>
    <cellStyle name="Normal 10 2 2 5 2 2" xfId="4472" xr:uid="{00000000-0005-0000-0000-0000111B0000}"/>
    <cellStyle name="Normal 10 2 2 5 2 2 2" xfId="8698" xr:uid="{00000000-0005-0000-0000-0000121B0000}"/>
    <cellStyle name="Normal 10 2 2 5 2 2 2 2" xfId="17146" xr:uid="{00000000-0005-0000-0000-0000131B0000}"/>
    <cellStyle name="Normal 10 2 2 5 2 2 2 2 2" xfId="34086" xr:uid="{00000000-0005-0000-0000-0000141B0000}"/>
    <cellStyle name="Normal 10 2 2 5 2 2 2 3" xfId="25638" xr:uid="{00000000-0005-0000-0000-0000151B0000}"/>
    <cellStyle name="Normal 10 2 2 5 2 2 3" xfId="12922" xr:uid="{00000000-0005-0000-0000-0000161B0000}"/>
    <cellStyle name="Normal 10 2 2 5 2 2 3 2" xfId="29862" xr:uid="{00000000-0005-0000-0000-0000171B0000}"/>
    <cellStyle name="Normal 10 2 2 5 2 2 4" xfId="21414" xr:uid="{00000000-0005-0000-0000-0000181B0000}"/>
    <cellStyle name="Normal 10 2 2 5 2 3" xfId="6586" xr:uid="{00000000-0005-0000-0000-0000191B0000}"/>
    <cellStyle name="Normal 10 2 2 5 2 3 2" xfId="15034" xr:uid="{00000000-0005-0000-0000-00001A1B0000}"/>
    <cellStyle name="Normal 10 2 2 5 2 3 2 2" xfId="31974" xr:uid="{00000000-0005-0000-0000-00001B1B0000}"/>
    <cellStyle name="Normal 10 2 2 5 2 3 3" xfId="23526" xr:uid="{00000000-0005-0000-0000-00001C1B0000}"/>
    <cellStyle name="Normal 10 2 2 5 2 4" xfId="10810" xr:uid="{00000000-0005-0000-0000-00001D1B0000}"/>
    <cellStyle name="Normal 10 2 2 5 2 4 2" xfId="27750" xr:uid="{00000000-0005-0000-0000-00001E1B0000}"/>
    <cellStyle name="Normal 10 2 2 5 2 5" xfId="19302" xr:uid="{00000000-0005-0000-0000-00001F1B0000}"/>
    <cellStyle name="Normal 10 2 2 5 3" xfId="3416" xr:uid="{00000000-0005-0000-0000-0000201B0000}"/>
    <cellStyle name="Normal 10 2 2 5 3 2" xfId="7642" xr:uid="{00000000-0005-0000-0000-0000211B0000}"/>
    <cellStyle name="Normal 10 2 2 5 3 2 2" xfId="16090" xr:uid="{00000000-0005-0000-0000-0000221B0000}"/>
    <cellStyle name="Normal 10 2 2 5 3 2 2 2" xfId="33030" xr:uid="{00000000-0005-0000-0000-0000231B0000}"/>
    <cellStyle name="Normal 10 2 2 5 3 2 3" xfId="24582" xr:uid="{00000000-0005-0000-0000-0000241B0000}"/>
    <cellStyle name="Normal 10 2 2 5 3 3" xfId="11866" xr:uid="{00000000-0005-0000-0000-0000251B0000}"/>
    <cellStyle name="Normal 10 2 2 5 3 3 2" xfId="28806" xr:uid="{00000000-0005-0000-0000-0000261B0000}"/>
    <cellStyle name="Normal 10 2 2 5 3 4" xfId="20358" xr:uid="{00000000-0005-0000-0000-0000271B0000}"/>
    <cellStyle name="Normal 10 2 2 5 4" xfId="5530" xr:uid="{00000000-0005-0000-0000-0000281B0000}"/>
    <cellStyle name="Normal 10 2 2 5 4 2" xfId="13978" xr:uid="{00000000-0005-0000-0000-0000291B0000}"/>
    <cellStyle name="Normal 10 2 2 5 4 2 2" xfId="30918" xr:uid="{00000000-0005-0000-0000-00002A1B0000}"/>
    <cellStyle name="Normal 10 2 2 5 4 3" xfId="22470" xr:uid="{00000000-0005-0000-0000-00002B1B0000}"/>
    <cellStyle name="Normal 10 2 2 5 5" xfId="9754" xr:uid="{00000000-0005-0000-0000-00002C1B0000}"/>
    <cellStyle name="Normal 10 2 2 5 5 2" xfId="26694" xr:uid="{00000000-0005-0000-0000-00002D1B0000}"/>
    <cellStyle name="Normal 10 2 2 5 6" xfId="18246" xr:uid="{00000000-0005-0000-0000-00002E1B0000}"/>
    <cellStyle name="Normal 10 2 2 6" xfId="1480" xr:uid="{00000000-0005-0000-0000-00002F1B0000}"/>
    <cellStyle name="Normal 10 2 2 6 2" xfId="3592" xr:uid="{00000000-0005-0000-0000-0000301B0000}"/>
    <cellStyle name="Normal 10 2 2 6 2 2" xfId="7818" xr:uid="{00000000-0005-0000-0000-0000311B0000}"/>
    <cellStyle name="Normal 10 2 2 6 2 2 2" xfId="16266" xr:uid="{00000000-0005-0000-0000-0000321B0000}"/>
    <cellStyle name="Normal 10 2 2 6 2 2 2 2" xfId="33206" xr:uid="{00000000-0005-0000-0000-0000331B0000}"/>
    <cellStyle name="Normal 10 2 2 6 2 2 3" xfId="24758" xr:uid="{00000000-0005-0000-0000-0000341B0000}"/>
    <cellStyle name="Normal 10 2 2 6 2 3" xfId="12042" xr:uid="{00000000-0005-0000-0000-0000351B0000}"/>
    <cellStyle name="Normal 10 2 2 6 2 3 2" xfId="28982" xr:uid="{00000000-0005-0000-0000-0000361B0000}"/>
    <cellStyle name="Normal 10 2 2 6 2 4" xfId="20534" xr:uid="{00000000-0005-0000-0000-0000371B0000}"/>
    <cellStyle name="Normal 10 2 2 6 3" xfId="5706" xr:uid="{00000000-0005-0000-0000-0000381B0000}"/>
    <cellStyle name="Normal 10 2 2 6 3 2" xfId="14154" xr:uid="{00000000-0005-0000-0000-0000391B0000}"/>
    <cellStyle name="Normal 10 2 2 6 3 2 2" xfId="31094" xr:uid="{00000000-0005-0000-0000-00003A1B0000}"/>
    <cellStyle name="Normal 10 2 2 6 3 3" xfId="22646" xr:uid="{00000000-0005-0000-0000-00003B1B0000}"/>
    <cellStyle name="Normal 10 2 2 6 4" xfId="9930" xr:uid="{00000000-0005-0000-0000-00003C1B0000}"/>
    <cellStyle name="Normal 10 2 2 6 4 2" xfId="26870" xr:uid="{00000000-0005-0000-0000-00003D1B0000}"/>
    <cellStyle name="Normal 10 2 2 6 5" xfId="18422" xr:uid="{00000000-0005-0000-0000-00003E1B0000}"/>
    <cellStyle name="Normal 10 2 2 7" xfId="2536" xr:uid="{00000000-0005-0000-0000-00003F1B0000}"/>
    <cellStyle name="Normal 10 2 2 7 2" xfId="6762" xr:uid="{00000000-0005-0000-0000-0000401B0000}"/>
    <cellStyle name="Normal 10 2 2 7 2 2" xfId="15210" xr:uid="{00000000-0005-0000-0000-0000411B0000}"/>
    <cellStyle name="Normal 10 2 2 7 2 2 2" xfId="32150" xr:uid="{00000000-0005-0000-0000-0000421B0000}"/>
    <cellStyle name="Normal 10 2 2 7 2 3" xfId="23702" xr:uid="{00000000-0005-0000-0000-0000431B0000}"/>
    <cellStyle name="Normal 10 2 2 7 3" xfId="10986" xr:uid="{00000000-0005-0000-0000-0000441B0000}"/>
    <cellStyle name="Normal 10 2 2 7 3 2" xfId="27926" xr:uid="{00000000-0005-0000-0000-0000451B0000}"/>
    <cellStyle name="Normal 10 2 2 7 4" xfId="19478" xr:uid="{00000000-0005-0000-0000-0000461B0000}"/>
    <cellStyle name="Normal 10 2 2 8" xfId="4649" xr:uid="{00000000-0005-0000-0000-0000471B0000}"/>
    <cellStyle name="Normal 10 2 2 8 2" xfId="13098" xr:uid="{00000000-0005-0000-0000-0000481B0000}"/>
    <cellStyle name="Normal 10 2 2 8 2 2" xfId="30038" xr:uid="{00000000-0005-0000-0000-0000491B0000}"/>
    <cellStyle name="Normal 10 2 2 8 3" xfId="21590" xr:uid="{00000000-0005-0000-0000-00004A1B0000}"/>
    <cellStyle name="Normal 10 2 2 9" xfId="8874" xr:uid="{00000000-0005-0000-0000-00004B1B0000}"/>
    <cellStyle name="Normal 10 2 2 9 2" xfId="25814" xr:uid="{00000000-0005-0000-0000-00004C1B0000}"/>
    <cellStyle name="Normal 10 2 3" xfId="250" xr:uid="{00000000-0005-0000-0000-00004D1B0000}"/>
    <cellStyle name="Normal 10 2 3 10" xfId="17367" xr:uid="{00000000-0005-0000-0000-00004E1B0000}"/>
    <cellStyle name="Normal 10 2 3 2" xfId="595" xr:uid="{00000000-0005-0000-0000-00004F1B0000}"/>
    <cellStyle name="Normal 10 2 3 2 2" xfId="947" xr:uid="{00000000-0005-0000-0000-0000501B0000}"/>
    <cellStyle name="Normal 10 2 3 2 2 2" xfId="2009" xr:uid="{00000000-0005-0000-0000-0000511B0000}"/>
    <cellStyle name="Normal 10 2 3 2 2 2 2" xfId="4121" xr:uid="{00000000-0005-0000-0000-0000521B0000}"/>
    <cellStyle name="Normal 10 2 3 2 2 2 2 2" xfId="8347" xr:uid="{00000000-0005-0000-0000-0000531B0000}"/>
    <cellStyle name="Normal 10 2 3 2 2 2 2 2 2" xfId="16795" xr:uid="{00000000-0005-0000-0000-0000541B0000}"/>
    <cellStyle name="Normal 10 2 3 2 2 2 2 2 2 2" xfId="33735" xr:uid="{00000000-0005-0000-0000-0000551B0000}"/>
    <cellStyle name="Normal 10 2 3 2 2 2 2 2 3" xfId="25287" xr:uid="{00000000-0005-0000-0000-0000561B0000}"/>
    <cellStyle name="Normal 10 2 3 2 2 2 2 3" xfId="12571" xr:uid="{00000000-0005-0000-0000-0000571B0000}"/>
    <cellStyle name="Normal 10 2 3 2 2 2 2 3 2" xfId="29511" xr:uid="{00000000-0005-0000-0000-0000581B0000}"/>
    <cellStyle name="Normal 10 2 3 2 2 2 2 4" xfId="21063" xr:uid="{00000000-0005-0000-0000-0000591B0000}"/>
    <cellStyle name="Normal 10 2 3 2 2 2 3" xfId="6235" xr:uid="{00000000-0005-0000-0000-00005A1B0000}"/>
    <cellStyle name="Normal 10 2 3 2 2 2 3 2" xfId="14683" xr:uid="{00000000-0005-0000-0000-00005B1B0000}"/>
    <cellStyle name="Normal 10 2 3 2 2 2 3 2 2" xfId="31623" xr:uid="{00000000-0005-0000-0000-00005C1B0000}"/>
    <cellStyle name="Normal 10 2 3 2 2 2 3 3" xfId="23175" xr:uid="{00000000-0005-0000-0000-00005D1B0000}"/>
    <cellStyle name="Normal 10 2 3 2 2 2 4" xfId="10459" xr:uid="{00000000-0005-0000-0000-00005E1B0000}"/>
    <cellStyle name="Normal 10 2 3 2 2 2 4 2" xfId="27399" xr:uid="{00000000-0005-0000-0000-00005F1B0000}"/>
    <cellStyle name="Normal 10 2 3 2 2 2 5" xfId="18951" xr:uid="{00000000-0005-0000-0000-0000601B0000}"/>
    <cellStyle name="Normal 10 2 3 2 2 3" xfId="3065" xr:uid="{00000000-0005-0000-0000-0000611B0000}"/>
    <cellStyle name="Normal 10 2 3 2 2 3 2" xfId="7291" xr:uid="{00000000-0005-0000-0000-0000621B0000}"/>
    <cellStyle name="Normal 10 2 3 2 2 3 2 2" xfId="15739" xr:uid="{00000000-0005-0000-0000-0000631B0000}"/>
    <cellStyle name="Normal 10 2 3 2 2 3 2 2 2" xfId="32679" xr:uid="{00000000-0005-0000-0000-0000641B0000}"/>
    <cellStyle name="Normal 10 2 3 2 2 3 2 3" xfId="24231" xr:uid="{00000000-0005-0000-0000-0000651B0000}"/>
    <cellStyle name="Normal 10 2 3 2 2 3 3" xfId="11515" xr:uid="{00000000-0005-0000-0000-0000661B0000}"/>
    <cellStyle name="Normal 10 2 3 2 2 3 3 2" xfId="28455" xr:uid="{00000000-0005-0000-0000-0000671B0000}"/>
    <cellStyle name="Normal 10 2 3 2 2 3 4" xfId="20007" xr:uid="{00000000-0005-0000-0000-0000681B0000}"/>
    <cellStyle name="Normal 10 2 3 2 2 4" xfId="5179" xr:uid="{00000000-0005-0000-0000-0000691B0000}"/>
    <cellStyle name="Normal 10 2 3 2 2 4 2" xfId="13627" xr:uid="{00000000-0005-0000-0000-00006A1B0000}"/>
    <cellStyle name="Normal 10 2 3 2 2 4 2 2" xfId="30567" xr:uid="{00000000-0005-0000-0000-00006B1B0000}"/>
    <cellStyle name="Normal 10 2 3 2 2 4 3" xfId="22119" xr:uid="{00000000-0005-0000-0000-00006C1B0000}"/>
    <cellStyle name="Normal 10 2 3 2 2 5" xfId="9403" xr:uid="{00000000-0005-0000-0000-00006D1B0000}"/>
    <cellStyle name="Normal 10 2 3 2 2 5 2" xfId="26343" xr:uid="{00000000-0005-0000-0000-00006E1B0000}"/>
    <cellStyle name="Normal 10 2 3 2 2 6" xfId="17895" xr:uid="{00000000-0005-0000-0000-00006F1B0000}"/>
    <cellStyle name="Normal 10 2 3 2 3" xfId="1657" xr:uid="{00000000-0005-0000-0000-0000701B0000}"/>
    <cellStyle name="Normal 10 2 3 2 3 2" xfId="3769" xr:uid="{00000000-0005-0000-0000-0000711B0000}"/>
    <cellStyle name="Normal 10 2 3 2 3 2 2" xfId="7995" xr:uid="{00000000-0005-0000-0000-0000721B0000}"/>
    <cellStyle name="Normal 10 2 3 2 3 2 2 2" xfId="16443" xr:uid="{00000000-0005-0000-0000-0000731B0000}"/>
    <cellStyle name="Normal 10 2 3 2 3 2 2 2 2" xfId="33383" xr:uid="{00000000-0005-0000-0000-0000741B0000}"/>
    <cellStyle name="Normal 10 2 3 2 3 2 2 3" xfId="24935" xr:uid="{00000000-0005-0000-0000-0000751B0000}"/>
    <cellStyle name="Normal 10 2 3 2 3 2 3" xfId="12219" xr:uid="{00000000-0005-0000-0000-0000761B0000}"/>
    <cellStyle name="Normal 10 2 3 2 3 2 3 2" xfId="29159" xr:uid="{00000000-0005-0000-0000-0000771B0000}"/>
    <cellStyle name="Normal 10 2 3 2 3 2 4" xfId="20711" xr:uid="{00000000-0005-0000-0000-0000781B0000}"/>
    <cellStyle name="Normal 10 2 3 2 3 3" xfId="5883" xr:uid="{00000000-0005-0000-0000-0000791B0000}"/>
    <cellStyle name="Normal 10 2 3 2 3 3 2" xfId="14331" xr:uid="{00000000-0005-0000-0000-00007A1B0000}"/>
    <cellStyle name="Normal 10 2 3 2 3 3 2 2" xfId="31271" xr:uid="{00000000-0005-0000-0000-00007B1B0000}"/>
    <cellStyle name="Normal 10 2 3 2 3 3 3" xfId="22823" xr:uid="{00000000-0005-0000-0000-00007C1B0000}"/>
    <cellStyle name="Normal 10 2 3 2 3 4" xfId="10107" xr:uid="{00000000-0005-0000-0000-00007D1B0000}"/>
    <cellStyle name="Normal 10 2 3 2 3 4 2" xfId="27047" xr:uid="{00000000-0005-0000-0000-00007E1B0000}"/>
    <cellStyle name="Normal 10 2 3 2 3 5" xfId="18599" xr:uid="{00000000-0005-0000-0000-00007F1B0000}"/>
    <cellStyle name="Normal 10 2 3 2 4" xfId="2713" xr:uid="{00000000-0005-0000-0000-0000801B0000}"/>
    <cellStyle name="Normal 10 2 3 2 4 2" xfId="6939" xr:uid="{00000000-0005-0000-0000-0000811B0000}"/>
    <cellStyle name="Normal 10 2 3 2 4 2 2" xfId="15387" xr:uid="{00000000-0005-0000-0000-0000821B0000}"/>
    <cellStyle name="Normal 10 2 3 2 4 2 2 2" xfId="32327" xr:uid="{00000000-0005-0000-0000-0000831B0000}"/>
    <cellStyle name="Normal 10 2 3 2 4 2 3" xfId="23879" xr:uid="{00000000-0005-0000-0000-0000841B0000}"/>
    <cellStyle name="Normal 10 2 3 2 4 3" xfId="11163" xr:uid="{00000000-0005-0000-0000-0000851B0000}"/>
    <cellStyle name="Normal 10 2 3 2 4 3 2" xfId="28103" xr:uid="{00000000-0005-0000-0000-0000861B0000}"/>
    <cellStyle name="Normal 10 2 3 2 4 4" xfId="19655" xr:uid="{00000000-0005-0000-0000-0000871B0000}"/>
    <cellStyle name="Normal 10 2 3 2 5" xfId="4827" xr:uid="{00000000-0005-0000-0000-0000881B0000}"/>
    <cellStyle name="Normal 10 2 3 2 5 2" xfId="13275" xr:uid="{00000000-0005-0000-0000-0000891B0000}"/>
    <cellStyle name="Normal 10 2 3 2 5 2 2" xfId="30215" xr:uid="{00000000-0005-0000-0000-00008A1B0000}"/>
    <cellStyle name="Normal 10 2 3 2 5 3" xfId="21767" xr:uid="{00000000-0005-0000-0000-00008B1B0000}"/>
    <cellStyle name="Normal 10 2 3 2 6" xfId="9051" xr:uid="{00000000-0005-0000-0000-00008C1B0000}"/>
    <cellStyle name="Normal 10 2 3 2 6 2" xfId="25991" xr:uid="{00000000-0005-0000-0000-00008D1B0000}"/>
    <cellStyle name="Normal 10 2 3 2 7" xfId="17543" xr:uid="{00000000-0005-0000-0000-00008E1B0000}"/>
    <cellStyle name="Normal 10 2 3 3" xfId="771" xr:uid="{00000000-0005-0000-0000-00008F1B0000}"/>
    <cellStyle name="Normal 10 2 3 3 2" xfId="1833" xr:uid="{00000000-0005-0000-0000-0000901B0000}"/>
    <cellStyle name="Normal 10 2 3 3 2 2" xfId="3945" xr:uid="{00000000-0005-0000-0000-0000911B0000}"/>
    <cellStyle name="Normal 10 2 3 3 2 2 2" xfId="8171" xr:uid="{00000000-0005-0000-0000-0000921B0000}"/>
    <cellStyle name="Normal 10 2 3 3 2 2 2 2" xfId="16619" xr:uid="{00000000-0005-0000-0000-0000931B0000}"/>
    <cellStyle name="Normal 10 2 3 3 2 2 2 2 2" xfId="33559" xr:uid="{00000000-0005-0000-0000-0000941B0000}"/>
    <cellStyle name="Normal 10 2 3 3 2 2 2 3" xfId="25111" xr:uid="{00000000-0005-0000-0000-0000951B0000}"/>
    <cellStyle name="Normal 10 2 3 3 2 2 3" xfId="12395" xr:uid="{00000000-0005-0000-0000-0000961B0000}"/>
    <cellStyle name="Normal 10 2 3 3 2 2 3 2" xfId="29335" xr:uid="{00000000-0005-0000-0000-0000971B0000}"/>
    <cellStyle name="Normal 10 2 3 3 2 2 4" xfId="20887" xr:uid="{00000000-0005-0000-0000-0000981B0000}"/>
    <cellStyle name="Normal 10 2 3 3 2 3" xfId="6059" xr:uid="{00000000-0005-0000-0000-0000991B0000}"/>
    <cellStyle name="Normal 10 2 3 3 2 3 2" xfId="14507" xr:uid="{00000000-0005-0000-0000-00009A1B0000}"/>
    <cellStyle name="Normal 10 2 3 3 2 3 2 2" xfId="31447" xr:uid="{00000000-0005-0000-0000-00009B1B0000}"/>
    <cellStyle name="Normal 10 2 3 3 2 3 3" xfId="22999" xr:uid="{00000000-0005-0000-0000-00009C1B0000}"/>
    <cellStyle name="Normal 10 2 3 3 2 4" xfId="10283" xr:uid="{00000000-0005-0000-0000-00009D1B0000}"/>
    <cellStyle name="Normal 10 2 3 3 2 4 2" xfId="27223" xr:uid="{00000000-0005-0000-0000-00009E1B0000}"/>
    <cellStyle name="Normal 10 2 3 3 2 5" xfId="18775" xr:uid="{00000000-0005-0000-0000-00009F1B0000}"/>
    <cellStyle name="Normal 10 2 3 3 3" xfId="2889" xr:uid="{00000000-0005-0000-0000-0000A01B0000}"/>
    <cellStyle name="Normal 10 2 3 3 3 2" xfId="7115" xr:uid="{00000000-0005-0000-0000-0000A11B0000}"/>
    <cellStyle name="Normal 10 2 3 3 3 2 2" xfId="15563" xr:uid="{00000000-0005-0000-0000-0000A21B0000}"/>
    <cellStyle name="Normal 10 2 3 3 3 2 2 2" xfId="32503" xr:uid="{00000000-0005-0000-0000-0000A31B0000}"/>
    <cellStyle name="Normal 10 2 3 3 3 2 3" xfId="24055" xr:uid="{00000000-0005-0000-0000-0000A41B0000}"/>
    <cellStyle name="Normal 10 2 3 3 3 3" xfId="11339" xr:uid="{00000000-0005-0000-0000-0000A51B0000}"/>
    <cellStyle name="Normal 10 2 3 3 3 3 2" xfId="28279" xr:uid="{00000000-0005-0000-0000-0000A61B0000}"/>
    <cellStyle name="Normal 10 2 3 3 3 4" xfId="19831" xr:uid="{00000000-0005-0000-0000-0000A71B0000}"/>
    <cellStyle name="Normal 10 2 3 3 4" xfId="5003" xr:uid="{00000000-0005-0000-0000-0000A81B0000}"/>
    <cellStyle name="Normal 10 2 3 3 4 2" xfId="13451" xr:uid="{00000000-0005-0000-0000-0000A91B0000}"/>
    <cellStyle name="Normal 10 2 3 3 4 2 2" xfId="30391" xr:uid="{00000000-0005-0000-0000-0000AA1B0000}"/>
    <cellStyle name="Normal 10 2 3 3 4 3" xfId="21943" xr:uid="{00000000-0005-0000-0000-0000AB1B0000}"/>
    <cellStyle name="Normal 10 2 3 3 5" xfId="9227" xr:uid="{00000000-0005-0000-0000-0000AC1B0000}"/>
    <cellStyle name="Normal 10 2 3 3 5 2" xfId="26167" xr:uid="{00000000-0005-0000-0000-0000AD1B0000}"/>
    <cellStyle name="Normal 10 2 3 3 6" xfId="17719" xr:uid="{00000000-0005-0000-0000-0000AE1B0000}"/>
    <cellStyle name="Normal 10 2 3 4" xfId="1123" xr:uid="{00000000-0005-0000-0000-0000AF1B0000}"/>
    <cellStyle name="Normal 10 2 3 4 2" xfId="2185" xr:uid="{00000000-0005-0000-0000-0000B01B0000}"/>
    <cellStyle name="Normal 10 2 3 4 2 2" xfId="4297" xr:uid="{00000000-0005-0000-0000-0000B11B0000}"/>
    <cellStyle name="Normal 10 2 3 4 2 2 2" xfId="8523" xr:uid="{00000000-0005-0000-0000-0000B21B0000}"/>
    <cellStyle name="Normal 10 2 3 4 2 2 2 2" xfId="16971" xr:uid="{00000000-0005-0000-0000-0000B31B0000}"/>
    <cellStyle name="Normal 10 2 3 4 2 2 2 2 2" xfId="33911" xr:uid="{00000000-0005-0000-0000-0000B41B0000}"/>
    <cellStyle name="Normal 10 2 3 4 2 2 2 3" xfId="25463" xr:uid="{00000000-0005-0000-0000-0000B51B0000}"/>
    <cellStyle name="Normal 10 2 3 4 2 2 3" xfId="12747" xr:uid="{00000000-0005-0000-0000-0000B61B0000}"/>
    <cellStyle name="Normal 10 2 3 4 2 2 3 2" xfId="29687" xr:uid="{00000000-0005-0000-0000-0000B71B0000}"/>
    <cellStyle name="Normal 10 2 3 4 2 2 4" xfId="21239" xr:uid="{00000000-0005-0000-0000-0000B81B0000}"/>
    <cellStyle name="Normal 10 2 3 4 2 3" xfId="6411" xr:uid="{00000000-0005-0000-0000-0000B91B0000}"/>
    <cellStyle name="Normal 10 2 3 4 2 3 2" xfId="14859" xr:uid="{00000000-0005-0000-0000-0000BA1B0000}"/>
    <cellStyle name="Normal 10 2 3 4 2 3 2 2" xfId="31799" xr:uid="{00000000-0005-0000-0000-0000BB1B0000}"/>
    <cellStyle name="Normal 10 2 3 4 2 3 3" xfId="23351" xr:uid="{00000000-0005-0000-0000-0000BC1B0000}"/>
    <cellStyle name="Normal 10 2 3 4 2 4" xfId="10635" xr:uid="{00000000-0005-0000-0000-0000BD1B0000}"/>
    <cellStyle name="Normal 10 2 3 4 2 4 2" xfId="27575" xr:uid="{00000000-0005-0000-0000-0000BE1B0000}"/>
    <cellStyle name="Normal 10 2 3 4 2 5" xfId="19127" xr:uid="{00000000-0005-0000-0000-0000BF1B0000}"/>
    <cellStyle name="Normal 10 2 3 4 3" xfId="3241" xr:uid="{00000000-0005-0000-0000-0000C01B0000}"/>
    <cellStyle name="Normal 10 2 3 4 3 2" xfId="7467" xr:uid="{00000000-0005-0000-0000-0000C11B0000}"/>
    <cellStyle name="Normal 10 2 3 4 3 2 2" xfId="15915" xr:uid="{00000000-0005-0000-0000-0000C21B0000}"/>
    <cellStyle name="Normal 10 2 3 4 3 2 2 2" xfId="32855" xr:uid="{00000000-0005-0000-0000-0000C31B0000}"/>
    <cellStyle name="Normal 10 2 3 4 3 2 3" xfId="24407" xr:uid="{00000000-0005-0000-0000-0000C41B0000}"/>
    <cellStyle name="Normal 10 2 3 4 3 3" xfId="11691" xr:uid="{00000000-0005-0000-0000-0000C51B0000}"/>
    <cellStyle name="Normal 10 2 3 4 3 3 2" xfId="28631" xr:uid="{00000000-0005-0000-0000-0000C61B0000}"/>
    <cellStyle name="Normal 10 2 3 4 3 4" xfId="20183" xr:uid="{00000000-0005-0000-0000-0000C71B0000}"/>
    <cellStyle name="Normal 10 2 3 4 4" xfId="5355" xr:uid="{00000000-0005-0000-0000-0000C81B0000}"/>
    <cellStyle name="Normal 10 2 3 4 4 2" xfId="13803" xr:uid="{00000000-0005-0000-0000-0000C91B0000}"/>
    <cellStyle name="Normal 10 2 3 4 4 2 2" xfId="30743" xr:uid="{00000000-0005-0000-0000-0000CA1B0000}"/>
    <cellStyle name="Normal 10 2 3 4 4 3" xfId="22295" xr:uid="{00000000-0005-0000-0000-0000CB1B0000}"/>
    <cellStyle name="Normal 10 2 3 4 5" xfId="9579" xr:uid="{00000000-0005-0000-0000-0000CC1B0000}"/>
    <cellStyle name="Normal 10 2 3 4 5 2" xfId="26519" xr:uid="{00000000-0005-0000-0000-0000CD1B0000}"/>
    <cellStyle name="Normal 10 2 3 4 6" xfId="18071" xr:uid="{00000000-0005-0000-0000-0000CE1B0000}"/>
    <cellStyle name="Normal 10 2 3 5" xfId="1305" xr:uid="{00000000-0005-0000-0000-0000CF1B0000}"/>
    <cellStyle name="Normal 10 2 3 5 2" xfId="2361" xr:uid="{00000000-0005-0000-0000-0000D01B0000}"/>
    <cellStyle name="Normal 10 2 3 5 2 2" xfId="4473" xr:uid="{00000000-0005-0000-0000-0000D11B0000}"/>
    <cellStyle name="Normal 10 2 3 5 2 2 2" xfId="8699" xr:uid="{00000000-0005-0000-0000-0000D21B0000}"/>
    <cellStyle name="Normal 10 2 3 5 2 2 2 2" xfId="17147" xr:uid="{00000000-0005-0000-0000-0000D31B0000}"/>
    <cellStyle name="Normal 10 2 3 5 2 2 2 2 2" xfId="34087" xr:uid="{00000000-0005-0000-0000-0000D41B0000}"/>
    <cellStyle name="Normal 10 2 3 5 2 2 2 3" xfId="25639" xr:uid="{00000000-0005-0000-0000-0000D51B0000}"/>
    <cellStyle name="Normal 10 2 3 5 2 2 3" xfId="12923" xr:uid="{00000000-0005-0000-0000-0000D61B0000}"/>
    <cellStyle name="Normal 10 2 3 5 2 2 3 2" xfId="29863" xr:uid="{00000000-0005-0000-0000-0000D71B0000}"/>
    <cellStyle name="Normal 10 2 3 5 2 2 4" xfId="21415" xr:uid="{00000000-0005-0000-0000-0000D81B0000}"/>
    <cellStyle name="Normal 10 2 3 5 2 3" xfId="6587" xr:uid="{00000000-0005-0000-0000-0000D91B0000}"/>
    <cellStyle name="Normal 10 2 3 5 2 3 2" xfId="15035" xr:uid="{00000000-0005-0000-0000-0000DA1B0000}"/>
    <cellStyle name="Normal 10 2 3 5 2 3 2 2" xfId="31975" xr:uid="{00000000-0005-0000-0000-0000DB1B0000}"/>
    <cellStyle name="Normal 10 2 3 5 2 3 3" xfId="23527" xr:uid="{00000000-0005-0000-0000-0000DC1B0000}"/>
    <cellStyle name="Normal 10 2 3 5 2 4" xfId="10811" xr:uid="{00000000-0005-0000-0000-0000DD1B0000}"/>
    <cellStyle name="Normal 10 2 3 5 2 4 2" xfId="27751" xr:uid="{00000000-0005-0000-0000-0000DE1B0000}"/>
    <cellStyle name="Normal 10 2 3 5 2 5" xfId="19303" xr:uid="{00000000-0005-0000-0000-0000DF1B0000}"/>
    <cellStyle name="Normal 10 2 3 5 3" xfId="3417" xr:uid="{00000000-0005-0000-0000-0000E01B0000}"/>
    <cellStyle name="Normal 10 2 3 5 3 2" xfId="7643" xr:uid="{00000000-0005-0000-0000-0000E11B0000}"/>
    <cellStyle name="Normal 10 2 3 5 3 2 2" xfId="16091" xr:uid="{00000000-0005-0000-0000-0000E21B0000}"/>
    <cellStyle name="Normal 10 2 3 5 3 2 2 2" xfId="33031" xr:uid="{00000000-0005-0000-0000-0000E31B0000}"/>
    <cellStyle name="Normal 10 2 3 5 3 2 3" xfId="24583" xr:uid="{00000000-0005-0000-0000-0000E41B0000}"/>
    <cellStyle name="Normal 10 2 3 5 3 3" xfId="11867" xr:uid="{00000000-0005-0000-0000-0000E51B0000}"/>
    <cellStyle name="Normal 10 2 3 5 3 3 2" xfId="28807" xr:uid="{00000000-0005-0000-0000-0000E61B0000}"/>
    <cellStyle name="Normal 10 2 3 5 3 4" xfId="20359" xr:uid="{00000000-0005-0000-0000-0000E71B0000}"/>
    <cellStyle name="Normal 10 2 3 5 4" xfId="5531" xr:uid="{00000000-0005-0000-0000-0000E81B0000}"/>
    <cellStyle name="Normal 10 2 3 5 4 2" xfId="13979" xr:uid="{00000000-0005-0000-0000-0000E91B0000}"/>
    <cellStyle name="Normal 10 2 3 5 4 2 2" xfId="30919" xr:uid="{00000000-0005-0000-0000-0000EA1B0000}"/>
    <cellStyle name="Normal 10 2 3 5 4 3" xfId="22471" xr:uid="{00000000-0005-0000-0000-0000EB1B0000}"/>
    <cellStyle name="Normal 10 2 3 5 5" xfId="9755" xr:uid="{00000000-0005-0000-0000-0000EC1B0000}"/>
    <cellStyle name="Normal 10 2 3 5 5 2" xfId="26695" xr:uid="{00000000-0005-0000-0000-0000ED1B0000}"/>
    <cellStyle name="Normal 10 2 3 5 6" xfId="18247" xr:uid="{00000000-0005-0000-0000-0000EE1B0000}"/>
    <cellStyle name="Normal 10 2 3 6" xfId="1481" xr:uid="{00000000-0005-0000-0000-0000EF1B0000}"/>
    <cellStyle name="Normal 10 2 3 6 2" xfId="3593" xr:uid="{00000000-0005-0000-0000-0000F01B0000}"/>
    <cellStyle name="Normal 10 2 3 6 2 2" xfId="7819" xr:uid="{00000000-0005-0000-0000-0000F11B0000}"/>
    <cellStyle name="Normal 10 2 3 6 2 2 2" xfId="16267" xr:uid="{00000000-0005-0000-0000-0000F21B0000}"/>
    <cellStyle name="Normal 10 2 3 6 2 2 2 2" xfId="33207" xr:uid="{00000000-0005-0000-0000-0000F31B0000}"/>
    <cellStyle name="Normal 10 2 3 6 2 2 3" xfId="24759" xr:uid="{00000000-0005-0000-0000-0000F41B0000}"/>
    <cellStyle name="Normal 10 2 3 6 2 3" xfId="12043" xr:uid="{00000000-0005-0000-0000-0000F51B0000}"/>
    <cellStyle name="Normal 10 2 3 6 2 3 2" xfId="28983" xr:uid="{00000000-0005-0000-0000-0000F61B0000}"/>
    <cellStyle name="Normal 10 2 3 6 2 4" xfId="20535" xr:uid="{00000000-0005-0000-0000-0000F71B0000}"/>
    <cellStyle name="Normal 10 2 3 6 3" xfId="5707" xr:uid="{00000000-0005-0000-0000-0000F81B0000}"/>
    <cellStyle name="Normal 10 2 3 6 3 2" xfId="14155" xr:uid="{00000000-0005-0000-0000-0000F91B0000}"/>
    <cellStyle name="Normal 10 2 3 6 3 2 2" xfId="31095" xr:uid="{00000000-0005-0000-0000-0000FA1B0000}"/>
    <cellStyle name="Normal 10 2 3 6 3 3" xfId="22647" xr:uid="{00000000-0005-0000-0000-0000FB1B0000}"/>
    <cellStyle name="Normal 10 2 3 6 4" xfId="9931" xr:uid="{00000000-0005-0000-0000-0000FC1B0000}"/>
    <cellStyle name="Normal 10 2 3 6 4 2" xfId="26871" xr:uid="{00000000-0005-0000-0000-0000FD1B0000}"/>
    <cellStyle name="Normal 10 2 3 6 5" xfId="18423" xr:uid="{00000000-0005-0000-0000-0000FE1B0000}"/>
    <cellStyle name="Normal 10 2 3 7" xfId="2537" xr:uid="{00000000-0005-0000-0000-0000FF1B0000}"/>
    <cellStyle name="Normal 10 2 3 7 2" xfId="6763" xr:uid="{00000000-0005-0000-0000-0000001C0000}"/>
    <cellStyle name="Normal 10 2 3 7 2 2" xfId="15211" xr:uid="{00000000-0005-0000-0000-0000011C0000}"/>
    <cellStyle name="Normal 10 2 3 7 2 2 2" xfId="32151" xr:uid="{00000000-0005-0000-0000-0000021C0000}"/>
    <cellStyle name="Normal 10 2 3 7 2 3" xfId="23703" xr:uid="{00000000-0005-0000-0000-0000031C0000}"/>
    <cellStyle name="Normal 10 2 3 7 3" xfId="10987" xr:uid="{00000000-0005-0000-0000-0000041C0000}"/>
    <cellStyle name="Normal 10 2 3 7 3 2" xfId="27927" xr:uid="{00000000-0005-0000-0000-0000051C0000}"/>
    <cellStyle name="Normal 10 2 3 7 4" xfId="19479" xr:uid="{00000000-0005-0000-0000-0000061C0000}"/>
    <cellStyle name="Normal 10 2 3 8" xfId="4650" xr:uid="{00000000-0005-0000-0000-0000071C0000}"/>
    <cellStyle name="Normal 10 2 3 8 2" xfId="13099" xr:uid="{00000000-0005-0000-0000-0000081C0000}"/>
    <cellStyle name="Normal 10 2 3 8 2 2" xfId="30039" xr:uid="{00000000-0005-0000-0000-0000091C0000}"/>
    <cellStyle name="Normal 10 2 3 8 3" xfId="21591" xr:uid="{00000000-0005-0000-0000-00000A1C0000}"/>
    <cellStyle name="Normal 10 2 3 9" xfId="8875" xr:uid="{00000000-0005-0000-0000-00000B1C0000}"/>
    <cellStyle name="Normal 10 2 3 9 2" xfId="25815" xr:uid="{00000000-0005-0000-0000-00000C1C0000}"/>
    <cellStyle name="Normal 10 2 4" xfId="593" xr:uid="{00000000-0005-0000-0000-00000D1C0000}"/>
    <cellStyle name="Normal 10 2 4 2" xfId="945" xr:uid="{00000000-0005-0000-0000-00000E1C0000}"/>
    <cellStyle name="Normal 10 2 4 2 2" xfId="2007" xr:uid="{00000000-0005-0000-0000-00000F1C0000}"/>
    <cellStyle name="Normal 10 2 4 2 2 2" xfId="4119" xr:uid="{00000000-0005-0000-0000-0000101C0000}"/>
    <cellStyle name="Normal 10 2 4 2 2 2 2" xfId="8345" xr:uid="{00000000-0005-0000-0000-0000111C0000}"/>
    <cellStyle name="Normal 10 2 4 2 2 2 2 2" xfId="16793" xr:uid="{00000000-0005-0000-0000-0000121C0000}"/>
    <cellStyle name="Normal 10 2 4 2 2 2 2 2 2" xfId="33733" xr:uid="{00000000-0005-0000-0000-0000131C0000}"/>
    <cellStyle name="Normal 10 2 4 2 2 2 2 3" xfId="25285" xr:uid="{00000000-0005-0000-0000-0000141C0000}"/>
    <cellStyle name="Normal 10 2 4 2 2 2 3" xfId="12569" xr:uid="{00000000-0005-0000-0000-0000151C0000}"/>
    <cellStyle name="Normal 10 2 4 2 2 2 3 2" xfId="29509" xr:uid="{00000000-0005-0000-0000-0000161C0000}"/>
    <cellStyle name="Normal 10 2 4 2 2 2 4" xfId="21061" xr:uid="{00000000-0005-0000-0000-0000171C0000}"/>
    <cellStyle name="Normal 10 2 4 2 2 3" xfId="6233" xr:uid="{00000000-0005-0000-0000-0000181C0000}"/>
    <cellStyle name="Normal 10 2 4 2 2 3 2" xfId="14681" xr:uid="{00000000-0005-0000-0000-0000191C0000}"/>
    <cellStyle name="Normal 10 2 4 2 2 3 2 2" xfId="31621" xr:uid="{00000000-0005-0000-0000-00001A1C0000}"/>
    <cellStyle name="Normal 10 2 4 2 2 3 3" xfId="23173" xr:uid="{00000000-0005-0000-0000-00001B1C0000}"/>
    <cellStyle name="Normal 10 2 4 2 2 4" xfId="10457" xr:uid="{00000000-0005-0000-0000-00001C1C0000}"/>
    <cellStyle name="Normal 10 2 4 2 2 4 2" xfId="27397" xr:uid="{00000000-0005-0000-0000-00001D1C0000}"/>
    <cellStyle name="Normal 10 2 4 2 2 5" xfId="18949" xr:uid="{00000000-0005-0000-0000-00001E1C0000}"/>
    <cellStyle name="Normal 10 2 4 2 3" xfId="3063" xr:uid="{00000000-0005-0000-0000-00001F1C0000}"/>
    <cellStyle name="Normal 10 2 4 2 3 2" xfId="7289" xr:uid="{00000000-0005-0000-0000-0000201C0000}"/>
    <cellStyle name="Normal 10 2 4 2 3 2 2" xfId="15737" xr:uid="{00000000-0005-0000-0000-0000211C0000}"/>
    <cellStyle name="Normal 10 2 4 2 3 2 2 2" xfId="32677" xr:uid="{00000000-0005-0000-0000-0000221C0000}"/>
    <cellStyle name="Normal 10 2 4 2 3 2 3" xfId="24229" xr:uid="{00000000-0005-0000-0000-0000231C0000}"/>
    <cellStyle name="Normal 10 2 4 2 3 3" xfId="11513" xr:uid="{00000000-0005-0000-0000-0000241C0000}"/>
    <cellStyle name="Normal 10 2 4 2 3 3 2" xfId="28453" xr:uid="{00000000-0005-0000-0000-0000251C0000}"/>
    <cellStyle name="Normal 10 2 4 2 3 4" xfId="20005" xr:uid="{00000000-0005-0000-0000-0000261C0000}"/>
    <cellStyle name="Normal 10 2 4 2 4" xfId="5177" xr:uid="{00000000-0005-0000-0000-0000271C0000}"/>
    <cellStyle name="Normal 10 2 4 2 4 2" xfId="13625" xr:uid="{00000000-0005-0000-0000-0000281C0000}"/>
    <cellStyle name="Normal 10 2 4 2 4 2 2" xfId="30565" xr:uid="{00000000-0005-0000-0000-0000291C0000}"/>
    <cellStyle name="Normal 10 2 4 2 4 3" xfId="22117" xr:uid="{00000000-0005-0000-0000-00002A1C0000}"/>
    <cellStyle name="Normal 10 2 4 2 5" xfId="9401" xr:uid="{00000000-0005-0000-0000-00002B1C0000}"/>
    <cellStyle name="Normal 10 2 4 2 5 2" xfId="26341" xr:uid="{00000000-0005-0000-0000-00002C1C0000}"/>
    <cellStyle name="Normal 10 2 4 2 6" xfId="17893" xr:uid="{00000000-0005-0000-0000-00002D1C0000}"/>
    <cellStyle name="Normal 10 2 4 3" xfId="1655" xr:uid="{00000000-0005-0000-0000-00002E1C0000}"/>
    <cellStyle name="Normal 10 2 4 3 2" xfId="3767" xr:uid="{00000000-0005-0000-0000-00002F1C0000}"/>
    <cellStyle name="Normal 10 2 4 3 2 2" xfId="7993" xr:uid="{00000000-0005-0000-0000-0000301C0000}"/>
    <cellStyle name="Normal 10 2 4 3 2 2 2" xfId="16441" xr:uid="{00000000-0005-0000-0000-0000311C0000}"/>
    <cellStyle name="Normal 10 2 4 3 2 2 2 2" xfId="33381" xr:uid="{00000000-0005-0000-0000-0000321C0000}"/>
    <cellStyle name="Normal 10 2 4 3 2 2 3" xfId="24933" xr:uid="{00000000-0005-0000-0000-0000331C0000}"/>
    <cellStyle name="Normal 10 2 4 3 2 3" xfId="12217" xr:uid="{00000000-0005-0000-0000-0000341C0000}"/>
    <cellStyle name="Normal 10 2 4 3 2 3 2" xfId="29157" xr:uid="{00000000-0005-0000-0000-0000351C0000}"/>
    <cellStyle name="Normal 10 2 4 3 2 4" xfId="20709" xr:uid="{00000000-0005-0000-0000-0000361C0000}"/>
    <cellStyle name="Normal 10 2 4 3 3" xfId="5881" xr:uid="{00000000-0005-0000-0000-0000371C0000}"/>
    <cellStyle name="Normal 10 2 4 3 3 2" xfId="14329" xr:uid="{00000000-0005-0000-0000-0000381C0000}"/>
    <cellStyle name="Normal 10 2 4 3 3 2 2" xfId="31269" xr:uid="{00000000-0005-0000-0000-0000391C0000}"/>
    <cellStyle name="Normal 10 2 4 3 3 3" xfId="22821" xr:uid="{00000000-0005-0000-0000-00003A1C0000}"/>
    <cellStyle name="Normal 10 2 4 3 4" xfId="10105" xr:uid="{00000000-0005-0000-0000-00003B1C0000}"/>
    <cellStyle name="Normal 10 2 4 3 4 2" xfId="27045" xr:uid="{00000000-0005-0000-0000-00003C1C0000}"/>
    <cellStyle name="Normal 10 2 4 3 5" xfId="18597" xr:uid="{00000000-0005-0000-0000-00003D1C0000}"/>
    <cellStyle name="Normal 10 2 4 4" xfId="2711" xr:uid="{00000000-0005-0000-0000-00003E1C0000}"/>
    <cellStyle name="Normal 10 2 4 4 2" xfId="6937" xr:uid="{00000000-0005-0000-0000-00003F1C0000}"/>
    <cellStyle name="Normal 10 2 4 4 2 2" xfId="15385" xr:uid="{00000000-0005-0000-0000-0000401C0000}"/>
    <cellStyle name="Normal 10 2 4 4 2 2 2" xfId="32325" xr:uid="{00000000-0005-0000-0000-0000411C0000}"/>
    <cellStyle name="Normal 10 2 4 4 2 3" xfId="23877" xr:uid="{00000000-0005-0000-0000-0000421C0000}"/>
    <cellStyle name="Normal 10 2 4 4 3" xfId="11161" xr:uid="{00000000-0005-0000-0000-0000431C0000}"/>
    <cellStyle name="Normal 10 2 4 4 3 2" xfId="28101" xr:uid="{00000000-0005-0000-0000-0000441C0000}"/>
    <cellStyle name="Normal 10 2 4 4 4" xfId="19653" xr:uid="{00000000-0005-0000-0000-0000451C0000}"/>
    <cellStyle name="Normal 10 2 4 5" xfId="4825" xr:uid="{00000000-0005-0000-0000-0000461C0000}"/>
    <cellStyle name="Normal 10 2 4 5 2" xfId="13273" xr:uid="{00000000-0005-0000-0000-0000471C0000}"/>
    <cellStyle name="Normal 10 2 4 5 2 2" xfId="30213" xr:uid="{00000000-0005-0000-0000-0000481C0000}"/>
    <cellStyle name="Normal 10 2 4 5 3" xfId="21765" xr:uid="{00000000-0005-0000-0000-0000491C0000}"/>
    <cellStyle name="Normal 10 2 4 6" xfId="9049" xr:uid="{00000000-0005-0000-0000-00004A1C0000}"/>
    <cellStyle name="Normal 10 2 4 6 2" xfId="25989" xr:uid="{00000000-0005-0000-0000-00004B1C0000}"/>
    <cellStyle name="Normal 10 2 4 7" xfId="17541" xr:uid="{00000000-0005-0000-0000-00004C1C0000}"/>
    <cellStyle name="Normal 10 2 5" xfId="769" xr:uid="{00000000-0005-0000-0000-00004D1C0000}"/>
    <cellStyle name="Normal 10 2 5 2" xfId="1831" xr:uid="{00000000-0005-0000-0000-00004E1C0000}"/>
    <cellStyle name="Normal 10 2 5 2 2" xfId="3943" xr:uid="{00000000-0005-0000-0000-00004F1C0000}"/>
    <cellStyle name="Normal 10 2 5 2 2 2" xfId="8169" xr:uid="{00000000-0005-0000-0000-0000501C0000}"/>
    <cellStyle name="Normal 10 2 5 2 2 2 2" xfId="16617" xr:uid="{00000000-0005-0000-0000-0000511C0000}"/>
    <cellStyle name="Normal 10 2 5 2 2 2 2 2" xfId="33557" xr:uid="{00000000-0005-0000-0000-0000521C0000}"/>
    <cellStyle name="Normal 10 2 5 2 2 2 3" xfId="25109" xr:uid="{00000000-0005-0000-0000-0000531C0000}"/>
    <cellStyle name="Normal 10 2 5 2 2 3" xfId="12393" xr:uid="{00000000-0005-0000-0000-0000541C0000}"/>
    <cellStyle name="Normal 10 2 5 2 2 3 2" xfId="29333" xr:uid="{00000000-0005-0000-0000-0000551C0000}"/>
    <cellStyle name="Normal 10 2 5 2 2 4" xfId="20885" xr:uid="{00000000-0005-0000-0000-0000561C0000}"/>
    <cellStyle name="Normal 10 2 5 2 3" xfId="6057" xr:uid="{00000000-0005-0000-0000-0000571C0000}"/>
    <cellStyle name="Normal 10 2 5 2 3 2" xfId="14505" xr:uid="{00000000-0005-0000-0000-0000581C0000}"/>
    <cellStyle name="Normal 10 2 5 2 3 2 2" xfId="31445" xr:uid="{00000000-0005-0000-0000-0000591C0000}"/>
    <cellStyle name="Normal 10 2 5 2 3 3" xfId="22997" xr:uid="{00000000-0005-0000-0000-00005A1C0000}"/>
    <cellStyle name="Normal 10 2 5 2 4" xfId="10281" xr:uid="{00000000-0005-0000-0000-00005B1C0000}"/>
    <cellStyle name="Normal 10 2 5 2 4 2" xfId="27221" xr:uid="{00000000-0005-0000-0000-00005C1C0000}"/>
    <cellStyle name="Normal 10 2 5 2 5" xfId="18773" xr:uid="{00000000-0005-0000-0000-00005D1C0000}"/>
    <cellStyle name="Normal 10 2 5 3" xfId="2887" xr:uid="{00000000-0005-0000-0000-00005E1C0000}"/>
    <cellStyle name="Normal 10 2 5 3 2" xfId="7113" xr:uid="{00000000-0005-0000-0000-00005F1C0000}"/>
    <cellStyle name="Normal 10 2 5 3 2 2" xfId="15561" xr:uid="{00000000-0005-0000-0000-0000601C0000}"/>
    <cellStyle name="Normal 10 2 5 3 2 2 2" xfId="32501" xr:uid="{00000000-0005-0000-0000-0000611C0000}"/>
    <cellStyle name="Normal 10 2 5 3 2 3" xfId="24053" xr:uid="{00000000-0005-0000-0000-0000621C0000}"/>
    <cellStyle name="Normal 10 2 5 3 3" xfId="11337" xr:uid="{00000000-0005-0000-0000-0000631C0000}"/>
    <cellStyle name="Normal 10 2 5 3 3 2" xfId="28277" xr:uid="{00000000-0005-0000-0000-0000641C0000}"/>
    <cellStyle name="Normal 10 2 5 3 4" xfId="19829" xr:uid="{00000000-0005-0000-0000-0000651C0000}"/>
    <cellStyle name="Normal 10 2 5 4" xfId="5001" xr:uid="{00000000-0005-0000-0000-0000661C0000}"/>
    <cellStyle name="Normal 10 2 5 4 2" xfId="13449" xr:uid="{00000000-0005-0000-0000-0000671C0000}"/>
    <cellStyle name="Normal 10 2 5 4 2 2" xfId="30389" xr:uid="{00000000-0005-0000-0000-0000681C0000}"/>
    <cellStyle name="Normal 10 2 5 4 3" xfId="21941" xr:uid="{00000000-0005-0000-0000-0000691C0000}"/>
    <cellStyle name="Normal 10 2 5 5" xfId="9225" xr:uid="{00000000-0005-0000-0000-00006A1C0000}"/>
    <cellStyle name="Normal 10 2 5 5 2" xfId="26165" xr:uid="{00000000-0005-0000-0000-00006B1C0000}"/>
    <cellStyle name="Normal 10 2 5 6" xfId="17717" xr:uid="{00000000-0005-0000-0000-00006C1C0000}"/>
    <cellStyle name="Normal 10 2 6" xfId="1121" xr:uid="{00000000-0005-0000-0000-00006D1C0000}"/>
    <cellStyle name="Normal 10 2 6 2" xfId="2183" xr:uid="{00000000-0005-0000-0000-00006E1C0000}"/>
    <cellStyle name="Normal 10 2 6 2 2" xfId="4295" xr:uid="{00000000-0005-0000-0000-00006F1C0000}"/>
    <cellStyle name="Normal 10 2 6 2 2 2" xfId="8521" xr:uid="{00000000-0005-0000-0000-0000701C0000}"/>
    <cellStyle name="Normal 10 2 6 2 2 2 2" xfId="16969" xr:uid="{00000000-0005-0000-0000-0000711C0000}"/>
    <cellStyle name="Normal 10 2 6 2 2 2 2 2" xfId="33909" xr:uid="{00000000-0005-0000-0000-0000721C0000}"/>
    <cellStyle name="Normal 10 2 6 2 2 2 3" xfId="25461" xr:uid="{00000000-0005-0000-0000-0000731C0000}"/>
    <cellStyle name="Normal 10 2 6 2 2 3" xfId="12745" xr:uid="{00000000-0005-0000-0000-0000741C0000}"/>
    <cellStyle name="Normal 10 2 6 2 2 3 2" xfId="29685" xr:uid="{00000000-0005-0000-0000-0000751C0000}"/>
    <cellStyle name="Normal 10 2 6 2 2 4" xfId="21237" xr:uid="{00000000-0005-0000-0000-0000761C0000}"/>
    <cellStyle name="Normal 10 2 6 2 3" xfId="6409" xr:uid="{00000000-0005-0000-0000-0000771C0000}"/>
    <cellStyle name="Normal 10 2 6 2 3 2" xfId="14857" xr:uid="{00000000-0005-0000-0000-0000781C0000}"/>
    <cellStyle name="Normal 10 2 6 2 3 2 2" xfId="31797" xr:uid="{00000000-0005-0000-0000-0000791C0000}"/>
    <cellStyle name="Normal 10 2 6 2 3 3" xfId="23349" xr:uid="{00000000-0005-0000-0000-00007A1C0000}"/>
    <cellStyle name="Normal 10 2 6 2 4" xfId="10633" xr:uid="{00000000-0005-0000-0000-00007B1C0000}"/>
    <cellStyle name="Normal 10 2 6 2 4 2" xfId="27573" xr:uid="{00000000-0005-0000-0000-00007C1C0000}"/>
    <cellStyle name="Normal 10 2 6 2 5" xfId="19125" xr:uid="{00000000-0005-0000-0000-00007D1C0000}"/>
    <cellStyle name="Normal 10 2 6 3" xfId="3239" xr:uid="{00000000-0005-0000-0000-00007E1C0000}"/>
    <cellStyle name="Normal 10 2 6 3 2" xfId="7465" xr:uid="{00000000-0005-0000-0000-00007F1C0000}"/>
    <cellStyle name="Normal 10 2 6 3 2 2" xfId="15913" xr:uid="{00000000-0005-0000-0000-0000801C0000}"/>
    <cellStyle name="Normal 10 2 6 3 2 2 2" xfId="32853" xr:uid="{00000000-0005-0000-0000-0000811C0000}"/>
    <cellStyle name="Normal 10 2 6 3 2 3" xfId="24405" xr:uid="{00000000-0005-0000-0000-0000821C0000}"/>
    <cellStyle name="Normal 10 2 6 3 3" xfId="11689" xr:uid="{00000000-0005-0000-0000-0000831C0000}"/>
    <cellStyle name="Normal 10 2 6 3 3 2" xfId="28629" xr:uid="{00000000-0005-0000-0000-0000841C0000}"/>
    <cellStyle name="Normal 10 2 6 3 4" xfId="20181" xr:uid="{00000000-0005-0000-0000-0000851C0000}"/>
    <cellStyle name="Normal 10 2 6 4" xfId="5353" xr:uid="{00000000-0005-0000-0000-0000861C0000}"/>
    <cellStyle name="Normal 10 2 6 4 2" xfId="13801" xr:uid="{00000000-0005-0000-0000-0000871C0000}"/>
    <cellStyle name="Normal 10 2 6 4 2 2" xfId="30741" xr:uid="{00000000-0005-0000-0000-0000881C0000}"/>
    <cellStyle name="Normal 10 2 6 4 3" xfId="22293" xr:uid="{00000000-0005-0000-0000-0000891C0000}"/>
    <cellStyle name="Normal 10 2 6 5" xfId="9577" xr:uid="{00000000-0005-0000-0000-00008A1C0000}"/>
    <cellStyle name="Normal 10 2 6 5 2" xfId="26517" xr:uid="{00000000-0005-0000-0000-00008B1C0000}"/>
    <cellStyle name="Normal 10 2 6 6" xfId="18069" xr:uid="{00000000-0005-0000-0000-00008C1C0000}"/>
    <cellStyle name="Normal 10 2 7" xfId="1303" xr:uid="{00000000-0005-0000-0000-00008D1C0000}"/>
    <cellStyle name="Normal 10 2 7 2" xfId="2359" xr:uid="{00000000-0005-0000-0000-00008E1C0000}"/>
    <cellStyle name="Normal 10 2 7 2 2" xfId="4471" xr:uid="{00000000-0005-0000-0000-00008F1C0000}"/>
    <cellStyle name="Normal 10 2 7 2 2 2" xfId="8697" xr:uid="{00000000-0005-0000-0000-0000901C0000}"/>
    <cellStyle name="Normal 10 2 7 2 2 2 2" xfId="17145" xr:uid="{00000000-0005-0000-0000-0000911C0000}"/>
    <cellStyle name="Normal 10 2 7 2 2 2 2 2" xfId="34085" xr:uid="{00000000-0005-0000-0000-0000921C0000}"/>
    <cellStyle name="Normal 10 2 7 2 2 2 3" xfId="25637" xr:uid="{00000000-0005-0000-0000-0000931C0000}"/>
    <cellStyle name="Normal 10 2 7 2 2 3" xfId="12921" xr:uid="{00000000-0005-0000-0000-0000941C0000}"/>
    <cellStyle name="Normal 10 2 7 2 2 3 2" xfId="29861" xr:uid="{00000000-0005-0000-0000-0000951C0000}"/>
    <cellStyle name="Normal 10 2 7 2 2 4" xfId="21413" xr:uid="{00000000-0005-0000-0000-0000961C0000}"/>
    <cellStyle name="Normal 10 2 7 2 3" xfId="6585" xr:uid="{00000000-0005-0000-0000-0000971C0000}"/>
    <cellStyle name="Normal 10 2 7 2 3 2" xfId="15033" xr:uid="{00000000-0005-0000-0000-0000981C0000}"/>
    <cellStyle name="Normal 10 2 7 2 3 2 2" xfId="31973" xr:uid="{00000000-0005-0000-0000-0000991C0000}"/>
    <cellStyle name="Normal 10 2 7 2 3 3" xfId="23525" xr:uid="{00000000-0005-0000-0000-00009A1C0000}"/>
    <cellStyle name="Normal 10 2 7 2 4" xfId="10809" xr:uid="{00000000-0005-0000-0000-00009B1C0000}"/>
    <cellStyle name="Normal 10 2 7 2 4 2" xfId="27749" xr:uid="{00000000-0005-0000-0000-00009C1C0000}"/>
    <cellStyle name="Normal 10 2 7 2 5" xfId="19301" xr:uid="{00000000-0005-0000-0000-00009D1C0000}"/>
    <cellStyle name="Normal 10 2 7 3" xfId="3415" xr:uid="{00000000-0005-0000-0000-00009E1C0000}"/>
    <cellStyle name="Normal 10 2 7 3 2" xfId="7641" xr:uid="{00000000-0005-0000-0000-00009F1C0000}"/>
    <cellStyle name="Normal 10 2 7 3 2 2" xfId="16089" xr:uid="{00000000-0005-0000-0000-0000A01C0000}"/>
    <cellStyle name="Normal 10 2 7 3 2 2 2" xfId="33029" xr:uid="{00000000-0005-0000-0000-0000A11C0000}"/>
    <cellStyle name="Normal 10 2 7 3 2 3" xfId="24581" xr:uid="{00000000-0005-0000-0000-0000A21C0000}"/>
    <cellStyle name="Normal 10 2 7 3 3" xfId="11865" xr:uid="{00000000-0005-0000-0000-0000A31C0000}"/>
    <cellStyle name="Normal 10 2 7 3 3 2" xfId="28805" xr:uid="{00000000-0005-0000-0000-0000A41C0000}"/>
    <cellStyle name="Normal 10 2 7 3 4" xfId="20357" xr:uid="{00000000-0005-0000-0000-0000A51C0000}"/>
    <cellStyle name="Normal 10 2 7 4" xfId="5529" xr:uid="{00000000-0005-0000-0000-0000A61C0000}"/>
    <cellStyle name="Normal 10 2 7 4 2" xfId="13977" xr:uid="{00000000-0005-0000-0000-0000A71C0000}"/>
    <cellStyle name="Normal 10 2 7 4 2 2" xfId="30917" xr:uid="{00000000-0005-0000-0000-0000A81C0000}"/>
    <cellStyle name="Normal 10 2 7 4 3" xfId="22469" xr:uid="{00000000-0005-0000-0000-0000A91C0000}"/>
    <cellStyle name="Normal 10 2 7 5" xfId="9753" xr:uid="{00000000-0005-0000-0000-0000AA1C0000}"/>
    <cellStyle name="Normal 10 2 7 5 2" xfId="26693" xr:uid="{00000000-0005-0000-0000-0000AB1C0000}"/>
    <cellStyle name="Normal 10 2 7 6" xfId="18245" xr:uid="{00000000-0005-0000-0000-0000AC1C0000}"/>
    <cellStyle name="Normal 10 2 8" xfId="1479" xr:uid="{00000000-0005-0000-0000-0000AD1C0000}"/>
    <cellStyle name="Normal 10 2 8 2" xfId="3591" xr:uid="{00000000-0005-0000-0000-0000AE1C0000}"/>
    <cellStyle name="Normal 10 2 8 2 2" xfId="7817" xr:uid="{00000000-0005-0000-0000-0000AF1C0000}"/>
    <cellStyle name="Normal 10 2 8 2 2 2" xfId="16265" xr:uid="{00000000-0005-0000-0000-0000B01C0000}"/>
    <cellStyle name="Normal 10 2 8 2 2 2 2" xfId="33205" xr:uid="{00000000-0005-0000-0000-0000B11C0000}"/>
    <cellStyle name="Normal 10 2 8 2 2 3" xfId="24757" xr:uid="{00000000-0005-0000-0000-0000B21C0000}"/>
    <cellStyle name="Normal 10 2 8 2 3" xfId="12041" xr:uid="{00000000-0005-0000-0000-0000B31C0000}"/>
    <cellStyle name="Normal 10 2 8 2 3 2" xfId="28981" xr:uid="{00000000-0005-0000-0000-0000B41C0000}"/>
    <cellStyle name="Normal 10 2 8 2 4" xfId="20533" xr:uid="{00000000-0005-0000-0000-0000B51C0000}"/>
    <cellStyle name="Normal 10 2 8 3" xfId="5705" xr:uid="{00000000-0005-0000-0000-0000B61C0000}"/>
    <cellStyle name="Normal 10 2 8 3 2" xfId="14153" xr:uid="{00000000-0005-0000-0000-0000B71C0000}"/>
    <cellStyle name="Normal 10 2 8 3 2 2" xfId="31093" xr:uid="{00000000-0005-0000-0000-0000B81C0000}"/>
    <cellStyle name="Normal 10 2 8 3 3" xfId="22645" xr:uid="{00000000-0005-0000-0000-0000B91C0000}"/>
    <cellStyle name="Normal 10 2 8 4" xfId="9929" xr:uid="{00000000-0005-0000-0000-0000BA1C0000}"/>
    <cellStyle name="Normal 10 2 8 4 2" xfId="26869" xr:uid="{00000000-0005-0000-0000-0000BB1C0000}"/>
    <cellStyle name="Normal 10 2 8 5" xfId="18421" xr:uid="{00000000-0005-0000-0000-0000BC1C0000}"/>
    <cellStyle name="Normal 10 2 9" xfId="2535" xr:uid="{00000000-0005-0000-0000-0000BD1C0000}"/>
    <cellStyle name="Normal 10 2 9 2" xfId="6761" xr:uid="{00000000-0005-0000-0000-0000BE1C0000}"/>
    <cellStyle name="Normal 10 2 9 2 2" xfId="15209" xr:uid="{00000000-0005-0000-0000-0000BF1C0000}"/>
    <cellStyle name="Normal 10 2 9 2 2 2" xfId="32149" xr:uid="{00000000-0005-0000-0000-0000C01C0000}"/>
    <cellStyle name="Normal 10 2 9 2 3" xfId="23701" xr:uid="{00000000-0005-0000-0000-0000C11C0000}"/>
    <cellStyle name="Normal 10 2 9 3" xfId="10985" xr:uid="{00000000-0005-0000-0000-0000C21C0000}"/>
    <cellStyle name="Normal 10 2 9 3 2" xfId="27925" xr:uid="{00000000-0005-0000-0000-0000C31C0000}"/>
    <cellStyle name="Normal 10 2 9 4" xfId="19477" xr:uid="{00000000-0005-0000-0000-0000C41C0000}"/>
    <cellStyle name="Normal 10 3" xfId="251" xr:uid="{00000000-0005-0000-0000-0000C51C0000}"/>
    <cellStyle name="Normal 10 3 10" xfId="4651" xr:uid="{00000000-0005-0000-0000-0000C61C0000}"/>
    <cellStyle name="Normal 10 3 10 2" xfId="13100" xr:uid="{00000000-0005-0000-0000-0000C71C0000}"/>
    <cellStyle name="Normal 10 3 10 2 2" xfId="30040" xr:uid="{00000000-0005-0000-0000-0000C81C0000}"/>
    <cellStyle name="Normal 10 3 10 3" xfId="21592" xr:uid="{00000000-0005-0000-0000-0000C91C0000}"/>
    <cellStyle name="Normal 10 3 11" xfId="8876" xr:uid="{00000000-0005-0000-0000-0000CA1C0000}"/>
    <cellStyle name="Normal 10 3 11 2" xfId="25816" xr:uid="{00000000-0005-0000-0000-0000CB1C0000}"/>
    <cellStyle name="Normal 10 3 12" xfId="17368" xr:uid="{00000000-0005-0000-0000-0000CC1C0000}"/>
    <cellStyle name="Normal 10 3 2" xfId="252" xr:uid="{00000000-0005-0000-0000-0000CD1C0000}"/>
    <cellStyle name="Normal 10 3 2 10" xfId="17369" xr:uid="{00000000-0005-0000-0000-0000CE1C0000}"/>
    <cellStyle name="Normal 10 3 2 2" xfId="597" xr:uid="{00000000-0005-0000-0000-0000CF1C0000}"/>
    <cellStyle name="Normal 10 3 2 2 2" xfId="949" xr:uid="{00000000-0005-0000-0000-0000D01C0000}"/>
    <cellStyle name="Normal 10 3 2 2 2 2" xfId="2011" xr:uid="{00000000-0005-0000-0000-0000D11C0000}"/>
    <cellStyle name="Normal 10 3 2 2 2 2 2" xfId="4123" xr:uid="{00000000-0005-0000-0000-0000D21C0000}"/>
    <cellStyle name="Normal 10 3 2 2 2 2 2 2" xfId="8349" xr:uid="{00000000-0005-0000-0000-0000D31C0000}"/>
    <cellStyle name="Normal 10 3 2 2 2 2 2 2 2" xfId="16797" xr:uid="{00000000-0005-0000-0000-0000D41C0000}"/>
    <cellStyle name="Normal 10 3 2 2 2 2 2 2 2 2" xfId="33737" xr:uid="{00000000-0005-0000-0000-0000D51C0000}"/>
    <cellStyle name="Normal 10 3 2 2 2 2 2 2 3" xfId="25289" xr:uid="{00000000-0005-0000-0000-0000D61C0000}"/>
    <cellStyle name="Normal 10 3 2 2 2 2 2 3" xfId="12573" xr:uid="{00000000-0005-0000-0000-0000D71C0000}"/>
    <cellStyle name="Normal 10 3 2 2 2 2 2 3 2" xfId="29513" xr:uid="{00000000-0005-0000-0000-0000D81C0000}"/>
    <cellStyle name="Normal 10 3 2 2 2 2 2 4" xfId="21065" xr:uid="{00000000-0005-0000-0000-0000D91C0000}"/>
    <cellStyle name="Normal 10 3 2 2 2 2 3" xfId="6237" xr:uid="{00000000-0005-0000-0000-0000DA1C0000}"/>
    <cellStyle name="Normal 10 3 2 2 2 2 3 2" xfId="14685" xr:uid="{00000000-0005-0000-0000-0000DB1C0000}"/>
    <cellStyle name="Normal 10 3 2 2 2 2 3 2 2" xfId="31625" xr:uid="{00000000-0005-0000-0000-0000DC1C0000}"/>
    <cellStyle name="Normal 10 3 2 2 2 2 3 3" xfId="23177" xr:uid="{00000000-0005-0000-0000-0000DD1C0000}"/>
    <cellStyle name="Normal 10 3 2 2 2 2 4" xfId="10461" xr:uid="{00000000-0005-0000-0000-0000DE1C0000}"/>
    <cellStyle name="Normal 10 3 2 2 2 2 4 2" xfId="27401" xr:uid="{00000000-0005-0000-0000-0000DF1C0000}"/>
    <cellStyle name="Normal 10 3 2 2 2 2 5" xfId="18953" xr:uid="{00000000-0005-0000-0000-0000E01C0000}"/>
    <cellStyle name="Normal 10 3 2 2 2 3" xfId="3067" xr:uid="{00000000-0005-0000-0000-0000E11C0000}"/>
    <cellStyle name="Normal 10 3 2 2 2 3 2" xfId="7293" xr:uid="{00000000-0005-0000-0000-0000E21C0000}"/>
    <cellStyle name="Normal 10 3 2 2 2 3 2 2" xfId="15741" xr:uid="{00000000-0005-0000-0000-0000E31C0000}"/>
    <cellStyle name="Normal 10 3 2 2 2 3 2 2 2" xfId="32681" xr:uid="{00000000-0005-0000-0000-0000E41C0000}"/>
    <cellStyle name="Normal 10 3 2 2 2 3 2 3" xfId="24233" xr:uid="{00000000-0005-0000-0000-0000E51C0000}"/>
    <cellStyle name="Normal 10 3 2 2 2 3 3" xfId="11517" xr:uid="{00000000-0005-0000-0000-0000E61C0000}"/>
    <cellStyle name="Normal 10 3 2 2 2 3 3 2" xfId="28457" xr:uid="{00000000-0005-0000-0000-0000E71C0000}"/>
    <cellStyle name="Normal 10 3 2 2 2 3 4" xfId="20009" xr:uid="{00000000-0005-0000-0000-0000E81C0000}"/>
    <cellStyle name="Normal 10 3 2 2 2 4" xfId="5181" xr:uid="{00000000-0005-0000-0000-0000E91C0000}"/>
    <cellStyle name="Normal 10 3 2 2 2 4 2" xfId="13629" xr:uid="{00000000-0005-0000-0000-0000EA1C0000}"/>
    <cellStyle name="Normal 10 3 2 2 2 4 2 2" xfId="30569" xr:uid="{00000000-0005-0000-0000-0000EB1C0000}"/>
    <cellStyle name="Normal 10 3 2 2 2 4 3" xfId="22121" xr:uid="{00000000-0005-0000-0000-0000EC1C0000}"/>
    <cellStyle name="Normal 10 3 2 2 2 5" xfId="9405" xr:uid="{00000000-0005-0000-0000-0000ED1C0000}"/>
    <cellStyle name="Normal 10 3 2 2 2 5 2" xfId="26345" xr:uid="{00000000-0005-0000-0000-0000EE1C0000}"/>
    <cellStyle name="Normal 10 3 2 2 2 6" xfId="17897" xr:uid="{00000000-0005-0000-0000-0000EF1C0000}"/>
    <cellStyle name="Normal 10 3 2 2 3" xfId="1659" xr:uid="{00000000-0005-0000-0000-0000F01C0000}"/>
    <cellStyle name="Normal 10 3 2 2 3 2" xfId="3771" xr:uid="{00000000-0005-0000-0000-0000F11C0000}"/>
    <cellStyle name="Normal 10 3 2 2 3 2 2" xfId="7997" xr:uid="{00000000-0005-0000-0000-0000F21C0000}"/>
    <cellStyle name="Normal 10 3 2 2 3 2 2 2" xfId="16445" xr:uid="{00000000-0005-0000-0000-0000F31C0000}"/>
    <cellStyle name="Normal 10 3 2 2 3 2 2 2 2" xfId="33385" xr:uid="{00000000-0005-0000-0000-0000F41C0000}"/>
    <cellStyle name="Normal 10 3 2 2 3 2 2 3" xfId="24937" xr:uid="{00000000-0005-0000-0000-0000F51C0000}"/>
    <cellStyle name="Normal 10 3 2 2 3 2 3" xfId="12221" xr:uid="{00000000-0005-0000-0000-0000F61C0000}"/>
    <cellStyle name="Normal 10 3 2 2 3 2 3 2" xfId="29161" xr:uid="{00000000-0005-0000-0000-0000F71C0000}"/>
    <cellStyle name="Normal 10 3 2 2 3 2 4" xfId="20713" xr:uid="{00000000-0005-0000-0000-0000F81C0000}"/>
    <cellStyle name="Normal 10 3 2 2 3 3" xfId="5885" xr:uid="{00000000-0005-0000-0000-0000F91C0000}"/>
    <cellStyle name="Normal 10 3 2 2 3 3 2" xfId="14333" xr:uid="{00000000-0005-0000-0000-0000FA1C0000}"/>
    <cellStyle name="Normal 10 3 2 2 3 3 2 2" xfId="31273" xr:uid="{00000000-0005-0000-0000-0000FB1C0000}"/>
    <cellStyle name="Normal 10 3 2 2 3 3 3" xfId="22825" xr:uid="{00000000-0005-0000-0000-0000FC1C0000}"/>
    <cellStyle name="Normal 10 3 2 2 3 4" xfId="10109" xr:uid="{00000000-0005-0000-0000-0000FD1C0000}"/>
    <cellStyle name="Normal 10 3 2 2 3 4 2" xfId="27049" xr:uid="{00000000-0005-0000-0000-0000FE1C0000}"/>
    <cellStyle name="Normal 10 3 2 2 3 5" xfId="18601" xr:uid="{00000000-0005-0000-0000-0000FF1C0000}"/>
    <cellStyle name="Normal 10 3 2 2 4" xfId="2715" xr:uid="{00000000-0005-0000-0000-0000001D0000}"/>
    <cellStyle name="Normal 10 3 2 2 4 2" xfId="6941" xr:uid="{00000000-0005-0000-0000-0000011D0000}"/>
    <cellStyle name="Normal 10 3 2 2 4 2 2" xfId="15389" xr:uid="{00000000-0005-0000-0000-0000021D0000}"/>
    <cellStyle name="Normal 10 3 2 2 4 2 2 2" xfId="32329" xr:uid="{00000000-0005-0000-0000-0000031D0000}"/>
    <cellStyle name="Normal 10 3 2 2 4 2 3" xfId="23881" xr:uid="{00000000-0005-0000-0000-0000041D0000}"/>
    <cellStyle name="Normal 10 3 2 2 4 3" xfId="11165" xr:uid="{00000000-0005-0000-0000-0000051D0000}"/>
    <cellStyle name="Normal 10 3 2 2 4 3 2" xfId="28105" xr:uid="{00000000-0005-0000-0000-0000061D0000}"/>
    <cellStyle name="Normal 10 3 2 2 4 4" xfId="19657" xr:uid="{00000000-0005-0000-0000-0000071D0000}"/>
    <cellStyle name="Normal 10 3 2 2 5" xfId="4829" xr:uid="{00000000-0005-0000-0000-0000081D0000}"/>
    <cellStyle name="Normal 10 3 2 2 5 2" xfId="13277" xr:uid="{00000000-0005-0000-0000-0000091D0000}"/>
    <cellStyle name="Normal 10 3 2 2 5 2 2" xfId="30217" xr:uid="{00000000-0005-0000-0000-00000A1D0000}"/>
    <cellStyle name="Normal 10 3 2 2 5 3" xfId="21769" xr:uid="{00000000-0005-0000-0000-00000B1D0000}"/>
    <cellStyle name="Normal 10 3 2 2 6" xfId="9053" xr:uid="{00000000-0005-0000-0000-00000C1D0000}"/>
    <cellStyle name="Normal 10 3 2 2 6 2" xfId="25993" xr:uid="{00000000-0005-0000-0000-00000D1D0000}"/>
    <cellStyle name="Normal 10 3 2 2 7" xfId="17545" xr:uid="{00000000-0005-0000-0000-00000E1D0000}"/>
    <cellStyle name="Normal 10 3 2 3" xfId="773" xr:uid="{00000000-0005-0000-0000-00000F1D0000}"/>
    <cellStyle name="Normal 10 3 2 3 2" xfId="1835" xr:uid="{00000000-0005-0000-0000-0000101D0000}"/>
    <cellStyle name="Normal 10 3 2 3 2 2" xfId="3947" xr:uid="{00000000-0005-0000-0000-0000111D0000}"/>
    <cellStyle name="Normal 10 3 2 3 2 2 2" xfId="8173" xr:uid="{00000000-0005-0000-0000-0000121D0000}"/>
    <cellStyle name="Normal 10 3 2 3 2 2 2 2" xfId="16621" xr:uid="{00000000-0005-0000-0000-0000131D0000}"/>
    <cellStyle name="Normal 10 3 2 3 2 2 2 2 2" xfId="33561" xr:uid="{00000000-0005-0000-0000-0000141D0000}"/>
    <cellStyle name="Normal 10 3 2 3 2 2 2 3" xfId="25113" xr:uid="{00000000-0005-0000-0000-0000151D0000}"/>
    <cellStyle name="Normal 10 3 2 3 2 2 3" xfId="12397" xr:uid="{00000000-0005-0000-0000-0000161D0000}"/>
    <cellStyle name="Normal 10 3 2 3 2 2 3 2" xfId="29337" xr:uid="{00000000-0005-0000-0000-0000171D0000}"/>
    <cellStyle name="Normal 10 3 2 3 2 2 4" xfId="20889" xr:uid="{00000000-0005-0000-0000-0000181D0000}"/>
    <cellStyle name="Normal 10 3 2 3 2 3" xfId="6061" xr:uid="{00000000-0005-0000-0000-0000191D0000}"/>
    <cellStyle name="Normal 10 3 2 3 2 3 2" xfId="14509" xr:uid="{00000000-0005-0000-0000-00001A1D0000}"/>
    <cellStyle name="Normal 10 3 2 3 2 3 2 2" xfId="31449" xr:uid="{00000000-0005-0000-0000-00001B1D0000}"/>
    <cellStyle name="Normal 10 3 2 3 2 3 3" xfId="23001" xr:uid="{00000000-0005-0000-0000-00001C1D0000}"/>
    <cellStyle name="Normal 10 3 2 3 2 4" xfId="10285" xr:uid="{00000000-0005-0000-0000-00001D1D0000}"/>
    <cellStyle name="Normal 10 3 2 3 2 4 2" xfId="27225" xr:uid="{00000000-0005-0000-0000-00001E1D0000}"/>
    <cellStyle name="Normal 10 3 2 3 2 5" xfId="18777" xr:uid="{00000000-0005-0000-0000-00001F1D0000}"/>
    <cellStyle name="Normal 10 3 2 3 3" xfId="2891" xr:uid="{00000000-0005-0000-0000-0000201D0000}"/>
    <cellStyle name="Normal 10 3 2 3 3 2" xfId="7117" xr:uid="{00000000-0005-0000-0000-0000211D0000}"/>
    <cellStyle name="Normal 10 3 2 3 3 2 2" xfId="15565" xr:uid="{00000000-0005-0000-0000-0000221D0000}"/>
    <cellStyle name="Normal 10 3 2 3 3 2 2 2" xfId="32505" xr:uid="{00000000-0005-0000-0000-0000231D0000}"/>
    <cellStyle name="Normal 10 3 2 3 3 2 3" xfId="24057" xr:uid="{00000000-0005-0000-0000-0000241D0000}"/>
    <cellStyle name="Normal 10 3 2 3 3 3" xfId="11341" xr:uid="{00000000-0005-0000-0000-0000251D0000}"/>
    <cellStyle name="Normal 10 3 2 3 3 3 2" xfId="28281" xr:uid="{00000000-0005-0000-0000-0000261D0000}"/>
    <cellStyle name="Normal 10 3 2 3 3 4" xfId="19833" xr:uid="{00000000-0005-0000-0000-0000271D0000}"/>
    <cellStyle name="Normal 10 3 2 3 4" xfId="5005" xr:uid="{00000000-0005-0000-0000-0000281D0000}"/>
    <cellStyle name="Normal 10 3 2 3 4 2" xfId="13453" xr:uid="{00000000-0005-0000-0000-0000291D0000}"/>
    <cellStyle name="Normal 10 3 2 3 4 2 2" xfId="30393" xr:uid="{00000000-0005-0000-0000-00002A1D0000}"/>
    <cellStyle name="Normal 10 3 2 3 4 3" xfId="21945" xr:uid="{00000000-0005-0000-0000-00002B1D0000}"/>
    <cellStyle name="Normal 10 3 2 3 5" xfId="9229" xr:uid="{00000000-0005-0000-0000-00002C1D0000}"/>
    <cellStyle name="Normal 10 3 2 3 5 2" xfId="26169" xr:uid="{00000000-0005-0000-0000-00002D1D0000}"/>
    <cellStyle name="Normal 10 3 2 3 6" xfId="17721" xr:uid="{00000000-0005-0000-0000-00002E1D0000}"/>
    <cellStyle name="Normal 10 3 2 4" xfId="1125" xr:uid="{00000000-0005-0000-0000-00002F1D0000}"/>
    <cellStyle name="Normal 10 3 2 4 2" xfId="2187" xr:uid="{00000000-0005-0000-0000-0000301D0000}"/>
    <cellStyle name="Normal 10 3 2 4 2 2" xfId="4299" xr:uid="{00000000-0005-0000-0000-0000311D0000}"/>
    <cellStyle name="Normal 10 3 2 4 2 2 2" xfId="8525" xr:uid="{00000000-0005-0000-0000-0000321D0000}"/>
    <cellStyle name="Normal 10 3 2 4 2 2 2 2" xfId="16973" xr:uid="{00000000-0005-0000-0000-0000331D0000}"/>
    <cellStyle name="Normal 10 3 2 4 2 2 2 2 2" xfId="33913" xr:uid="{00000000-0005-0000-0000-0000341D0000}"/>
    <cellStyle name="Normal 10 3 2 4 2 2 2 3" xfId="25465" xr:uid="{00000000-0005-0000-0000-0000351D0000}"/>
    <cellStyle name="Normal 10 3 2 4 2 2 3" xfId="12749" xr:uid="{00000000-0005-0000-0000-0000361D0000}"/>
    <cellStyle name="Normal 10 3 2 4 2 2 3 2" xfId="29689" xr:uid="{00000000-0005-0000-0000-0000371D0000}"/>
    <cellStyle name="Normal 10 3 2 4 2 2 4" xfId="21241" xr:uid="{00000000-0005-0000-0000-0000381D0000}"/>
    <cellStyle name="Normal 10 3 2 4 2 3" xfId="6413" xr:uid="{00000000-0005-0000-0000-0000391D0000}"/>
    <cellStyle name="Normal 10 3 2 4 2 3 2" xfId="14861" xr:uid="{00000000-0005-0000-0000-00003A1D0000}"/>
    <cellStyle name="Normal 10 3 2 4 2 3 2 2" xfId="31801" xr:uid="{00000000-0005-0000-0000-00003B1D0000}"/>
    <cellStyle name="Normal 10 3 2 4 2 3 3" xfId="23353" xr:uid="{00000000-0005-0000-0000-00003C1D0000}"/>
    <cellStyle name="Normal 10 3 2 4 2 4" xfId="10637" xr:uid="{00000000-0005-0000-0000-00003D1D0000}"/>
    <cellStyle name="Normal 10 3 2 4 2 4 2" xfId="27577" xr:uid="{00000000-0005-0000-0000-00003E1D0000}"/>
    <cellStyle name="Normal 10 3 2 4 2 5" xfId="19129" xr:uid="{00000000-0005-0000-0000-00003F1D0000}"/>
    <cellStyle name="Normal 10 3 2 4 3" xfId="3243" xr:uid="{00000000-0005-0000-0000-0000401D0000}"/>
    <cellStyle name="Normal 10 3 2 4 3 2" xfId="7469" xr:uid="{00000000-0005-0000-0000-0000411D0000}"/>
    <cellStyle name="Normal 10 3 2 4 3 2 2" xfId="15917" xr:uid="{00000000-0005-0000-0000-0000421D0000}"/>
    <cellStyle name="Normal 10 3 2 4 3 2 2 2" xfId="32857" xr:uid="{00000000-0005-0000-0000-0000431D0000}"/>
    <cellStyle name="Normal 10 3 2 4 3 2 3" xfId="24409" xr:uid="{00000000-0005-0000-0000-0000441D0000}"/>
    <cellStyle name="Normal 10 3 2 4 3 3" xfId="11693" xr:uid="{00000000-0005-0000-0000-0000451D0000}"/>
    <cellStyle name="Normal 10 3 2 4 3 3 2" xfId="28633" xr:uid="{00000000-0005-0000-0000-0000461D0000}"/>
    <cellStyle name="Normal 10 3 2 4 3 4" xfId="20185" xr:uid="{00000000-0005-0000-0000-0000471D0000}"/>
    <cellStyle name="Normal 10 3 2 4 4" xfId="5357" xr:uid="{00000000-0005-0000-0000-0000481D0000}"/>
    <cellStyle name="Normal 10 3 2 4 4 2" xfId="13805" xr:uid="{00000000-0005-0000-0000-0000491D0000}"/>
    <cellStyle name="Normal 10 3 2 4 4 2 2" xfId="30745" xr:uid="{00000000-0005-0000-0000-00004A1D0000}"/>
    <cellStyle name="Normal 10 3 2 4 4 3" xfId="22297" xr:uid="{00000000-0005-0000-0000-00004B1D0000}"/>
    <cellStyle name="Normal 10 3 2 4 5" xfId="9581" xr:uid="{00000000-0005-0000-0000-00004C1D0000}"/>
    <cellStyle name="Normal 10 3 2 4 5 2" xfId="26521" xr:uid="{00000000-0005-0000-0000-00004D1D0000}"/>
    <cellStyle name="Normal 10 3 2 4 6" xfId="18073" xr:uid="{00000000-0005-0000-0000-00004E1D0000}"/>
    <cellStyle name="Normal 10 3 2 5" xfId="1307" xr:uid="{00000000-0005-0000-0000-00004F1D0000}"/>
    <cellStyle name="Normal 10 3 2 5 2" xfId="2363" xr:uid="{00000000-0005-0000-0000-0000501D0000}"/>
    <cellStyle name="Normal 10 3 2 5 2 2" xfId="4475" xr:uid="{00000000-0005-0000-0000-0000511D0000}"/>
    <cellStyle name="Normal 10 3 2 5 2 2 2" xfId="8701" xr:uid="{00000000-0005-0000-0000-0000521D0000}"/>
    <cellStyle name="Normal 10 3 2 5 2 2 2 2" xfId="17149" xr:uid="{00000000-0005-0000-0000-0000531D0000}"/>
    <cellStyle name="Normal 10 3 2 5 2 2 2 2 2" xfId="34089" xr:uid="{00000000-0005-0000-0000-0000541D0000}"/>
    <cellStyle name="Normal 10 3 2 5 2 2 2 3" xfId="25641" xr:uid="{00000000-0005-0000-0000-0000551D0000}"/>
    <cellStyle name="Normal 10 3 2 5 2 2 3" xfId="12925" xr:uid="{00000000-0005-0000-0000-0000561D0000}"/>
    <cellStyle name="Normal 10 3 2 5 2 2 3 2" xfId="29865" xr:uid="{00000000-0005-0000-0000-0000571D0000}"/>
    <cellStyle name="Normal 10 3 2 5 2 2 4" xfId="21417" xr:uid="{00000000-0005-0000-0000-0000581D0000}"/>
    <cellStyle name="Normal 10 3 2 5 2 3" xfId="6589" xr:uid="{00000000-0005-0000-0000-0000591D0000}"/>
    <cellStyle name="Normal 10 3 2 5 2 3 2" xfId="15037" xr:uid="{00000000-0005-0000-0000-00005A1D0000}"/>
    <cellStyle name="Normal 10 3 2 5 2 3 2 2" xfId="31977" xr:uid="{00000000-0005-0000-0000-00005B1D0000}"/>
    <cellStyle name="Normal 10 3 2 5 2 3 3" xfId="23529" xr:uid="{00000000-0005-0000-0000-00005C1D0000}"/>
    <cellStyle name="Normal 10 3 2 5 2 4" xfId="10813" xr:uid="{00000000-0005-0000-0000-00005D1D0000}"/>
    <cellStyle name="Normal 10 3 2 5 2 4 2" xfId="27753" xr:uid="{00000000-0005-0000-0000-00005E1D0000}"/>
    <cellStyle name="Normal 10 3 2 5 2 5" xfId="19305" xr:uid="{00000000-0005-0000-0000-00005F1D0000}"/>
    <cellStyle name="Normal 10 3 2 5 3" xfId="3419" xr:uid="{00000000-0005-0000-0000-0000601D0000}"/>
    <cellStyle name="Normal 10 3 2 5 3 2" xfId="7645" xr:uid="{00000000-0005-0000-0000-0000611D0000}"/>
    <cellStyle name="Normal 10 3 2 5 3 2 2" xfId="16093" xr:uid="{00000000-0005-0000-0000-0000621D0000}"/>
    <cellStyle name="Normal 10 3 2 5 3 2 2 2" xfId="33033" xr:uid="{00000000-0005-0000-0000-0000631D0000}"/>
    <cellStyle name="Normal 10 3 2 5 3 2 3" xfId="24585" xr:uid="{00000000-0005-0000-0000-0000641D0000}"/>
    <cellStyle name="Normal 10 3 2 5 3 3" xfId="11869" xr:uid="{00000000-0005-0000-0000-0000651D0000}"/>
    <cellStyle name="Normal 10 3 2 5 3 3 2" xfId="28809" xr:uid="{00000000-0005-0000-0000-0000661D0000}"/>
    <cellStyle name="Normal 10 3 2 5 3 4" xfId="20361" xr:uid="{00000000-0005-0000-0000-0000671D0000}"/>
    <cellStyle name="Normal 10 3 2 5 4" xfId="5533" xr:uid="{00000000-0005-0000-0000-0000681D0000}"/>
    <cellStyle name="Normal 10 3 2 5 4 2" xfId="13981" xr:uid="{00000000-0005-0000-0000-0000691D0000}"/>
    <cellStyle name="Normal 10 3 2 5 4 2 2" xfId="30921" xr:uid="{00000000-0005-0000-0000-00006A1D0000}"/>
    <cellStyle name="Normal 10 3 2 5 4 3" xfId="22473" xr:uid="{00000000-0005-0000-0000-00006B1D0000}"/>
    <cellStyle name="Normal 10 3 2 5 5" xfId="9757" xr:uid="{00000000-0005-0000-0000-00006C1D0000}"/>
    <cellStyle name="Normal 10 3 2 5 5 2" xfId="26697" xr:uid="{00000000-0005-0000-0000-00006D1D0000}"/>
    <cellStyle name="Normal 10 3 2 5 6" xfId="18249" xr:uid="{00000000-0005-0000-0000-00006E1D0000}"/>
    <cellStyle name="Normal 10 3 2 6" xfId="1483" xr:uid="{00000000-0005-0000-0000-00006F1D0000}"/>
    <cellStyle name="Normal 10 3 2 6 2" xfId="3595" xr:uid="{00000000-0005-0000-0000-0000701D0000}"/>
    <cellStyle name="Normal 10 3 2 6 2 2" xfId="7821" xr:uid="{00000000-0005-0000-0000-0000711D0000}"/>
    <cellStyle name="Normal 10 3 2 6 2 2 2" xfId="16269" xr:uid="{00000000-0005-0000-0000-0000721D0000}"/>
    <cellStyle name="Normal 10 3 2 6 2 2 2 2" xfId="33209" xr:uid="{00000000-0005-0000-0000-0000731D0000}"/>
    <cellStyle name="Normal 10 3 2 6 2 2 3" xfId="24761" xr:uid="{00000000-0005-0000-0000-0000741D0000}"/>
    <cellStyle name="Normal 10 3 2 6 2 3" xfId="12045" xr:uid="{00000000-0005-0000-0000-0000751D0000}"/>
    <cellStyle name="Normal 10 3 2 6 2 3 2" xfId="28985" xr:uid="{00000000-0005-0000-0000-0000761D0000}"/>
    <cellStyle name="Normal 10 3 2 6 2 4" xfId="20537" xr:uid="{00000000-0005-0000-0000-0000771D0000}"/>
    <cellStyle name="Normal 10 3 2 6 3" xfId="5709" xr:uid="{00000000-0005-0000-0000-0000781D0000}"/>
    <cellStyle name="Normal 10 3 2 6 3 2" xfId="14157" xr:uid="{00000000-0005-0000-0000-0000791D0000}"/>
    <cellStyle name="Normal 10 3 2 6 3 2 2" xfId="31097" xr:uid="{00000000-0005-0000-0000-00007A1D0000}"/>
    <cellStyle name="Normal 10 3 2 6 3 3" xfId="22649" xr:uid="{00000000-0005-0000-0000-00007B1D0000}"/>
    <cellStyle name="Normal 10 3 2 6 4" xfId="9933" xr:uid="{00000000-0005-0000-0000-00007C1D0000}"/>
    <cellStyle name="Normal 10 3 2 6 4 2" xfId="26873" xr:uid="{00000000-0005-0000-0000-00007D1D0000}"/>
    <cellStyle name="Normal 10 3 2 6 5" xfId="18425" xr:uid="{00000000-0005-0000-0000-00007E1D0000}"/>
    <cellStyle name="Normal 10 3 2 7" xfId="2539" xr:uid="{00000000-0005-0000-0000-00007F1D0000}"/>
    <cellStyle name="Normal 10 3 2 7 2" xfId="6765" xr:uid="{00000000-0005-0000-0000-0000801D0000}"/>
    <cellStyle name="Normal 10 3 2 7 2 2" xfId="15213" xr:uid="{00000000-0005-0000-0000-0000811D0000}"/>
    <cellStyle name="Normal 10 3 2 7 2 2 2" xfId="32153" xr:uid="{00000000-0005-0000-0000-0000821D0000}"/>
    <cellStyle name="Normal 10 3 2 7 2 3" xfId="23705" xr:uid="{00000000-0005-0000-0000-0000831D0000}"/>
    <cellStyle name="Normal 10 3 2 7 3" xfId="10989" xr:uid="{00000000-0005-0000-0000-0000841D0000}"/>
    <cellStyle name="Normal 10 3 2 7 3 2" xfId="27929" xr:uid="{00000000-0005-0000-0000-0000851D0000}"/>
    <cellStyle name="Normal 10 3 2 7 4" xfId="19481" xr:uid="{00000000-0005-0000-0000-0000861D0000}"/>
    <cellStyle name="Normal 10 3 2 8" xfId="4652" xr:uid="{00000000-0005-0000-0000-0000871D0000}"/>
    <cellStyle name="Normal 10 3 2 8 2" xfId="13101" xr:uid="{00000000-0005-0000-0000-0000881D0000}"/>
    <cellStyle name="Normal 10 3 2 8 2 2" xfId="30041" xr:uid="{00000000-0005-0000-0000-0000891D0000}"/>
    <cellStyle name="Normal 10 3 2 8 3" xfId="21593" xr:uid="{00000000-0005-0000-0000-00008A1D0000}"/>
    <cellStyle name="Normal 10 3 2 9" xfId="8877" xr:uid="{00000000-0005-0000-0000-00008B1D0000}"/>
    <cellStyle name="Normal 10 3 2 9 2" xfId="25817" xr:uid="{00000000-0005-0000-0000-00008C1D0000}"/>
    <cellStyle name="Normal 10 3 3" xfId="253" xr:uid="{00000000-0005-0000-0000-00008D1D0000}"/>
    <cellStyle name="Normal 10 3 3 10" xfId="17370" xr:uid="{00000000-0005-0000-0000-00008E1D0000}"/>
    <cellStyle name="Normal 10 3 3 2" xfId="598" xr:uid="{00000000-0005-0000-0000-00008F1D0000}"/>
    <cellStyle name="Normal 10 3 3 2 2" xfId="950" xr:uid="{00000000-0005-0000-0000-0000901D0000}"/>
    <cellStyle name="Normal 10 3 3 2 2 2" xfId="2012" xr:uid="{00000000-0005-0000-0000-0000911D0000}"/>
    <cellStyle name="Normal 10 3 3 2 2 2 2" xfId="4124" xr:uid="{00000000-0005-0000-0000-0000921D0000}"/>
    <cellStyle name="Normal 10 3 3 2 2 2 2 2" xfId="8350" xr:uid="{00000000-0005-0000-0000-0000931D0000}"/>
    <cellStyle name="Normal 10 3 3 2 2 2 2 2 2" xfId="16798" xr:uid="{00000000-0005-0000-0000-0000941D0000}"/>
    <cellStyle name="Normal 10 3 3 2 2 2 2 2 2 2" xfId="33738" xr:uid="{00000000-0005-0000-0000-0000951D0000}"/>
    <cellStyle name="Normal 10 3 3 2 2 2 2 2 3" xfId="25290" xr:uid="{00000000-0005-0000-0000-0000961D0000}"/>
    <cellStyle name="Normal 10 3 3 2 2 2 2 3" xfId="12574" xr:uid="{00000000-0005-0000-0000-0000971D0000}"/>
    <cellStyle name="Normal 10 3 3 2 2 2 2 3 2" xfId="29514" xr:uid="{00000000-0005-0000-0000-0000981D0000}"/>
    <cellStyle name="Normal 10 3 3 2 2 2 2 4" xfId="21066" xr:uid="{00000000-0005-0000-0000-0000991D0000}"/>
    <cellStyle name="Normal 10 3 3 2 2 2 3" xfId="6238" xr:uid="{00000000-0005-0000-0000-00009A1D0000}"/>
    <cellStyle name="Normal 10 3 3 2 2 2 3 2" xfId="14686" xr:uid="{00000000-0005-0000-0000-00009B1D0000}"/>
    <cellStyle name="Normal 10 3 3 2 2 2 3 2 2" xfId="31626" xr:uid="{00000000-0005-0000-0000-00009C1D0000}"/>
    <cellStyle name="Normal 10 3 3 2 2 2 3 3" xfId="23178" xr:uid="{00000000-0005-0000-0000-00009D1D0000}"/>
    <cellStyle name="Normal 10 3 3 2 2 2 4" xfId="10462" xr:uid="{00000000-0005-0000-0000-00009E1D0000}"/>
    <cellStyle name="Normal 10 3 3 2 2 2 4 2" xfId="27402" xr:uid="{00000000-0005-0000-0000-00009F1D0000}"/>
    <cellStyle name="Normal 10 3 3 2 2 2 5" xfId="18954" xr:uid="{00000000-0005-0000-0000-0000A01D0000}"/>
    <cellStyle name="Normal 10 3 3 2 2 3" xfId="3068" xr:uid="{00000000-0005-0000-0000-0000A11D0000}"/>
    <cellStyle name="Normal 10 3 3 2 2 3 2" xfId="7294" xr:uid="{00000000-0005-0000-0000-0000A21D0000}"/>
    <cellStyle name="Normal 10 3 3 2 2 3 2 2" xfId="15742" xr:uid="{00000000-0005-0000-0000-0000A31D0000}"/>
    <cellStyle name="Normal 10 3 3 2 2 3 2 2 2" xfId="32682" xr:uid="{00000000-0005-0000-0000-0000A41D0000}"/>
    <cellStyle name="Normal 10 3 3 2 2 3 2 3" xfId="24234" xr:uid="{00000000-0005-0000-0000-0000A51D0000}"/>
    <cellStyle name="Normal 10 3 3 2 2 3 3" xfId="11518" xr:uid="{00000000-0005-0000-0000-0000A61D0000}"/>
    <cellStyle name="Normal 10 3 3 2 2 3 3 2" xfId="28458" xr:uid="{00000000-0005-0000-0000-0000A71D0000}"/>
    <cellStyle name="Normal 10 3 3 2 2 3 4" xfId="20010" xr:uid="{00000000-0005-0000-0000-0000A81D0000}"/>
    <cellStyle name="Normal 10 3 3 2 2 4" xfId="5182" xr:uid="{00000000-0005-0000-0000-0000A91D0000}"/>
    <cellStyle name="Normal 10 3 3 2 2 4 2" xfId="13630" xr:uid="{00000000-0005-0000-0000-0000AA1D0000}"/>
    <cellStyle name="Normal 10 3 3 2 2 4 2 2" xfId="30570" xr:uid="{00000000-0005-0000-0000-0000AB1D0000}"/>
    <cellStyle name="Normal 10 3 3 2 2 4 3" xfId="22122" xr:uid="{00000000-0005-0000-0000-0000AC1D0000}"/>
    <cellStyle name="Normal 10 3 3 2 2 5" xfId="9406" xr:uid="{00000000-0005-0000-0000-0000AD1D0000}"/>
    <cellStyle name="Normal 10 3 3 2 2 5 2" xfId="26346" xr:uid="{00000000-0005-0000-0000-0000AE1D0000}"/>
    <cellStyle name="Normal 10 3 3 2 2 6" xfId="17898" xr:uid="{00000000-0005-0000-0000-0000AF1D0000}"/>
    <cellStyle name="Normal 10 3 3 2 3" xfId="1660" xr:uid="{00000000-0005-0000-0000-0000B01D0000}"/>
    <cellStyle name="Normal 10 3 3 2 3 2" xfId="3772" xr:uid="{00000000-0005-0000-0000-0000B11D0000}"/>
    <cellStyle name="Normal 10 3 3 2 3 2 2" xfId="7998" xr:uid="{00000000-0005-0000-0000-0000B21D0000}"/>
    <cellStyle name="Normal 10 3 3 2 3 2 2 2" xfId="16446" xr:uid="{00000000-0005-0000-0000-0000B31D0000}"/>
    <cellStyle name="Normal 10 3 3 2 3 2 2 2 2" xfId="33386" xr:uid="{00000000-0005-0000-0000-0000B41D0000}"/>
    <cellStyle name="Normal 10 3 3 2 3 2 2 3" xfId="24938" xr:uid="{00000000-0005-0000-0000-0000B51D0000}"/>
    <cellStyle name="Normal 10 3 3 2 3 2 3" xfId="12222" xr:uid="{00000000-0005-0000-0000-0000B61D0000}"/>
    <cellStyle name="Normal 10 3 3 2 3 2 3 2" xfId="29162" xr:uid="{00000000-0005-0000-0000-0000B71D0000}"/>
    <cellStyle name="Normal 10 3 3 2 3 2 4" xfId="20714" xr:uid="{00000000-0005-0000-0000-0000B81D0000}"/>
    <cellStyle name="Normal 10 3 3 2 3 3" xfId="5886" xr:uid="{00000000-0005-0000-0000-0000B91D0000}"/>
    <cellStyle name="Normal 10 3 3 2 3 3 2" xfId="14334" xr:uid="{00000000-0005-0000-0000-0000BA1D0000}"/>
    <cellStyle name="Normal 10 3 3 2 3 3 2 2" xfId="31274" xr:uid="{00000000-0005-0000-0000-0000BB1D0000}"/>
    <cellStyle name="Normal 10 3 3 2 3 3 3" xfId="22826" xr:uid="{00000000-0005-0000-0000-0000BC1D0000}"/>
    <cellStyle name="Normal 10 3 3 2 3 4" xfId="10110" xr:uid="{00000000-0005-0000-0000-0000BD1D0000}"/>
    <cellStyle name="Normal 10 3 3 2 3 4 2" xfId="27050" xr:uid="{00000000-0005-0000-0000-0000BE1D0000}"/>
    <cellStyle name="Normal 10 3 3 2 3 5" xfId="18602" xr:uid="{00000000-0005-0000-0000-0000BF1D0000}"/>
    <cellStyle name="Normal 10 3 3 2 4" xfId="2716" xr:uid="{00000000-0005-0000-0000-0000C01D0000}"/>
    <cellStyle name="Normal 10 3 3 2 4 2" xfId="6942" xr:uid="{00000000-0005-0000-0000-0000C11D0000}"/>
    <cellStyle name="Normal 10 3 3 2 4 2 2" xfId="15390" xr:uid="{00000000-0005-0000-0000-0000C21D0000}"/>
    <cellStyle name="Normal 10 3 3 2 4 2 2 2" xfId="32330" xr:uid="{00000000-0005-0000-0000-0000C31D0000}"/>
    <cellStyle name="Normal 10 3 3 2 4 2 3" xfId="23882" xr:uid="{00000000-0005-0000-0000-0000C41D0000}"/>
    <cellStyle name="Normal 10 3 3 2 4 3" xfId="11166" xr:uid="{00000000-0005-0000-0000-0000C51D0000}"/>
    <cellStyle name="Normal 10 3 3 2 4 3 2" xfId="28106" xr:uid="{00000000-0005-0000-0000-0000C61D0000}"/>
    <cellStyle name="Normal 10 3 3 2 4 4" xfId="19658" xr:uid="{00000000-0005-0000-0000-0000C71D0000}"/>
    <cellStyle name="Normal 10 3 3 2 5" xfId="4830" xr:uid="{00000000-0005-0000-0000-0000C81D0000}"/>
    <cellStyle name="Normal 10 3 3 2 5 2" xfId="13278" xr:uid="{00000000-0005-0000-0000-0000C91D0000}"/>
    <cellStyle name="Normal 10 3 3 2 5 2 2" xfId="30218" xr:uid="{00000000-0005-0000-0000-0000CA1D0000}"/>
    <cellStyle name="Normal 10 3 3 2 5 3" xfId="21770" xr:uid="{00000000-0005-0000-0000-0000CB1D0000}"/>
    <cellStyle name="Normal 10 3 3 2 6" xfId="9054" xr:uid="{00000000-0005-0000-0000-0000CC1D0000}"/>
    <cellStyle name="Normal 10 3 3 2 6 2" xfId="25994" xr:uid="{00000000-0005-0000-0000-0000CD1D0000}"/>
    <cellStyle name="Normal 10 3 3 2 7" xfId="17546" xr:uid="{00000000-0005-0000-0000-0000CE1D0000}"/>
    <cellStyle name="Normal 10 3 3 3" xfId="774" xr:uid="{00000000-0005-0000-0000-0000CF1D0000}"/>
    <cellStyle name="Normal 10 3 3 3 2" xfId="1836" xr:uid="{00000000-0005-0000-0000-0000D01D0000}"/>
    <cellStyle name="Normal 10 3 3 3 2 2" xfId="3948" xr:uid="{00000000-0005-0000-0000-0000D11D0000}"/>
    <cellStyle name="Normal 10 3 3 3 2 2 2" xfId="8174" xr:uid="{00000000-0005-0000-0000-0000D21D0000}"/>
    <cellStyle name="Normal 10 3 3 3 2 2 2 2" xfId="16622" xr:uid="{00000000-0005-0000-0000-0000D31D0000}"/>
    <cellStyle name="Normal 10 3 3 3 2 2 2 2 2" xfId="33562" xr:uid="{00000000-0005-0000-0000-0000D41D0000}"/>
    <cellStyle name="Normal 10 3 3 3 2 2 2 3" xfId="25114" xr:uid="{00000000-0005-0000-0000-0000D51D0000}"/>
    <cellStyle name="Normal 10 3 3 3 2 2 3" xfId="12398" xr:uid="{00000000-0005-0000-0000-0000D61D0000}"/>
    <cellStyle name="Normal 10 3 3 3 2 2 3 2" xfId="29338" xr:uid="{00000000-0005-0000-0000-0000D71D0000}"/>
    <cellStyle name="Normal 10 3 3 3 2 2 4" xfId="20890" xr:uid="{00000000-0005-0000-0000-0000D81D0000}"/>
    <cellStyle name="Normal 10 3 3 3 2 3" xfId="6062" xr:uid="{00000000-0005-0000-0000-0000D91D0000}"/>
    <cellStyle name="Normal 10 3 3 3 2 3 2" xfId="14510" xr:uid="{00000000-0005-0000-0000-0000DA1D0000}"/>
    <cellStyle name="Normal 10 3 3 3 2 3 2 2" xfId="31450" xr:uid="{00000000-0005-0000-0000-0000DB1D0000}"/>
    <cellStyle name="Normal 10 3 3 3 2 3 3" xfId="23002" xr:uid="{00000000-0005-0000-0000-0000DC1D0000}"/>
    <cellStyle name="Normal 10 3 3 3 2 4" xfId="10286" xr:uid="{00000000-0005-0000-0000-0000DD1D0000}"/>
    <cellStyle name="Normal 10 3 3 3 2 4 2" xfId="27226" xr:uid="{00000000-0005-0000-0000-0000DE1D0000}"/>
    <cellStyle name="Normal 10 3 3 3 2 5" xfId="18778" xr:uid="{00000000-0005-0000-0000-0000DF1D0000}"/>
    <cellStyle name="Normal 10 3 3 3 3" xfId="2892" xr:uid="{00000000-0005-0000-0000-0000E01D0000}"/>
    <cellStyle name="Normal 10 3 3 3 3 2" xfId="7118" xr:uid="{00000000-0005-0000-0000-0000E11D0000}"/>
    <cellStyle name="Normal 10 3 3 3 3 2 2" xfId="15566" xr:uid="{00000000-0005-0000-0000-0000E21D0000}"/>
    <cellStyle name="Normal 10 3 3 3 3 2 2 2" xfId="32506" xr:uid="{00000000-0005-0000-0000-0000E31D0000}"/>
    <cellStyle name="Normal 10 3 3 3 3 2 3" xfId="24058" xr:uid="{00000000-0005-0000-0000-0000E41D0000}"/>
    <cellStyle name="Normal 10 3 3 3 3 3" xfId="11342" xr:uid="{00000000-0005-0000-0000-0000E51D0000}"/>
    <cellStyle name="Normal 10 3 3 3 3 3 2" xfId="28282" xr:uid="{00000000-0005-0000-0000-0000E61D0000}"/>
    <cellStyle name="Normal 10 3 3 3 3 4" xfId="19834" xr:uid="{00000000-0005-0000-0000-0000E71D0000}"/>
    <cellStyle name="Normal 10 3 3 3 4" xfId="5006" xr:uid="{00000000-0005-0000-0000-0000E81D0000}"/>
    <cellStyle name="Normal 10 3 3 3 4 2" xfId="13454" xr:uid="{00000000-0005-0000-0000-0000E91D0000}"/>
    <cellStyle name="Normal 10 3 3 3 4 2 2" xfId="30394" xr:uid="{00000000-0005-0000-0000-0000EA1D0000}"/>
    <cellStyle name="Normal 10 3 3 3 4 3" xfId="21946" xr:uid="{00000000-0005-0000-0000-0000EB1D0000}"/>
    <cellStyle name="Normal 10 3 3 3 5" xfId="9230" xr:uid="{00000000-0005-0000-0000-0000EC1D0000}"/>
    <cellStyle name="Normal 10 3 3 3 5 2" xfId="26170" xr:uid="{00000000-0005-0000-0000-0000ED1D0000}"/>
    <cellStyle name="Normal 10 3 3 3 6" xfId="17722" xr:uid="{00000000-0005-0000-0000-0000EE1D0000}"/>
    <cellStyle name="Normal 10 3 3 4" xfId="1126" xr:uid="{00000000-0005-0000-0000-0000EF1D0000}"/>
    <cellStyle name="Normal 10 3 3 4 2" xfId="2188" xr:uid="{00000000-0005-0000-0000-0000F01D0000}"/>
    <cellStyle name="Normal 10 3 3 4 2 2" xfId="4300" xr:uid="{00000000-0005-0000-0000-0000F11D0000}"/>
    <cellStyle name="Normal 10 3 3 4 2 2 2" xfId="8526" xr:uid="{00000000-0005-0000-0000-0000F21D0000}"/>
    <cellStyle name="Normal 10 3 3 4 2 2 2 2" xfId="16974" xr:uid="{00000000-0005-0000-0000-0000F31D0000}"/>
    <cellStyle name="Normal 10 3 3 4 2 2 2 2 2" xfId="33914" xr:uid="{00000000-0005-0000-0000-0000F41D0000}"/>
    <cellStyle name="Normal 10 3 3 4 2 2 2 3" xfId="25466" xr:uid="{00000000-0005-0000-0000-0000F51D0000}"/>
    <cellStyle name="Normal 10 3 3 4 2 2 3" xfId="12750" xr:uid="{00000000-0005-0000-0000-0000F61D0000}"/>
    <cellStyle name="Normal 10 3 3 4 2 2 3 2" xfId="29690" xr:uid="{00000000-0005-0000-0000-0000F71D0000}"/>
    <cellStyle name="Normal 10 3 3 4 2 2 4" xfId="21242" xr:uid="{00000000-0005-0000-0000-0000F81D0000}"/>
    <cellStyle name="Normal 10 3 3 4 2 3" xfId="6414" xr:uid="{00000000-0005-0000-0000-0000F91D0000}"/>
    <cellStyle name="Normal 10 3 3 4 2 3 2" xfId="14862" xr:uid="{00000000-0005-0000-0000-0000FA1D0000}"/>
    <cellStyle name="Normal 10 3 3 4 2 3 2 2" xfId="31802" xr:uid="{00000000-0005-0000-0000-0000FB1D0000}"/>
    <cellStyle name="Normal 10 3 3 4 2 3 3" xfId="23354" xr:uid="{00000000-0005-0000-0000-0000FC1D0000}"/>
    <cellStyle name="Normal 10 3 3 4 2 4" xfId="10638" xr:uid="{00000000-0005-0000-0000-0000FD1D0000}"/>
    <cellStyle name="Normal 10 3 3 4 2 4 2" xfId="27578" xr:uid="{00000000-0005-0000-0000-0000FE1D0000}"/>
    <cellStyle name="Normal 10 3 3 4 2 5" xfId="19130" xr:uid="{00000000-0005-0000-0000-0000FF1D0000}"/>
    <cellStyle name="Normal 10 3 3 4 3" xfId="3244" xr:uid="{00000000-0005-0000-0000-0000001E0000}"/>
    <cellStyle name="Normal 10 3 3 4 3 2" xfId="7470" xr:uid="{00000000-0005-0000-0000-0000011E0000}"/>
    <cellStyle name="Normal 10 3 3 4 3 2 2" xfId="15918" xr:uid="{00000000-0005-0000-0000-0000021E0000}"/>
    <cellStyle name="Normal 10 3 3 4 3 2 2 2" xfId="32858" xr:uid="{00000000-0005-0000-0000-0000031E0000}"/>
    <cellStyle name="Normal 10 3 3 4 3 2 3" xfId="24410" xr:uid="{00000000-0005-0000-0000-0000041E0000}"/>
    <cellStyle name="Normal 10 3 3 4 3 3" xfId="11694" xr:uid="{00000000-0005-0000-0000-0000051E0000}"/>
    <cellStyle name="Normal 10 3 3 4 3 3 2" xfId="28634" xr:uid="{00000000-0005-0000-0000-0000061E0000}"/>
    <cellStyle name="Normal 10 3 3 4 3 4" xfId="20186" xr:uid="{00000000-0005-0000-0000-0000071E0000}"/>
    <cellStyle name="Normal 10 3 3 4 4" xfId="5358" xr:uid="{00000000-0005-0000-0000-0000081E0000}"/>
    <cellStyle name="Normal 10 3 3 4 4 2" xfId="13806" xr:uid="{00000000-0005-0000-0000-0000091E0000}"/>
    <cellStyle name="Normal 10 3 3 4 4 2 2" xfId="30746" xr:uid="{00000000-0005-0000-0000-00000A1E0000}"/>
    <cellStyle name="Normal 10 3 3 4 4 3" xfId="22298" xr:uid="{00000000-0005-0000-0000-00000B1E0000}"/>
    <cellStyle name="Normal 10 3 3 4 5" xfId="9582" xr:uid="{00000000-0005-0000-0000-00000C1E0000}"/>
    <cellStyle name="Normal 10 3 3 4 5 2" xfId="26522" xr:uid="{00000000-0005-0000-0000-00000D1E0000}"/>
    <cellStyle name="Normal 10 3 3 4 6" xfId="18074" xr:uid="{00000000-0005-0000-0000-00000E1E0000}"/>
    <cellStyle name="Normal 10 3 3 5" xfId="1308" xr:uid="{00000000-0005-0000-0000-00000F1E0000}"/>
    <cellStyle name="Normal 10 3 3 5 2" xfId="2364" xr:uid="{00000000-0005-0000-0000-0000101E0000}"/>
    <cellStyle name="Normal 10 3 3 5 2 2" xfId="4476" xr:uid="{00000000-0005-0000-0000-0000111E0000}"/>
    <cellStyle name="Normal 10 3 3 5 2 2 2" xfId="8702" xr:uid="{00000000-0005-0000-0000-0000121E0000}"/>
    <cellStyle name="Normal 10 3 3 5 2 2 2 2" xfId="17150" xr:uid="{00000000-0005-0000-0000-0000131E0000}"/>
    <cellStyle name="Normal 10 3 3 5 2 2 2 2 2" xfId="34090" xr:uid="{00000000-0005-0000-0000-0000141E0000}"/>
    <cellStyle name="Normal 10 3 3 5 2 2 2 3" xfId="25642" xr:uid="{00000000-0005-0000-0000-0000151E0000}"/>
    <cellStyle name="Normal 10 3 3 5 2 2 3" xfId="12926" xr:uid="{00000000-0005-0000-0000-0000161E0000}"/>
    <cellStyle name="Normal 10 3 3 5 2 2 3 2" xfId="29866" xr:uid="{00000000-0005-0000-0000-0000171E0000}"/>
    <cellStyle name="Normal 10 3 3 5 2 2 4" xfId="21418" xr:uid="{00000000-0005-0000-0000-0000181E0000}"/>
    <cellStyle name="Normal 10 3 3 5 2 3" xfId="6590" xr:uid="{00000000-0005-0000-0000-0000191E0000}"/>
    <cellStyle name="Normal 10 3 3 5 2 3 2" xfId="15038" xr:uid="{00000000-0005-0000-0000-00001A1E0000}"/>
    <cellStyle name="Normal 10 3 3 5 2 3 2 2" xfId="31978" xr:uid="{00000000-0005-0000-0000-00001B1E0000}"/>
    <cellStyle name="Normal 10 3 3 5 2 3 3" xfId="23530" xr:uid="{00000000-0005-0000-0000-00001C1E0000}"/>
    <cellStyle name="Normal 10 3 3 5 2 4" xfId="10814" xr:uid="{00000000-0005-0000-0000-00001D1E0000}"/>
    <cellStyle name="Normal 10 3 3 5 2 4 2" xfId="27754" xr:uid="{00000000-0005-0000-0000-00001E1E0000}"/>
    <cellStyle name="Normal 10 3 3 5 2 5" xfId="19306" xr:uid="{00000000-0005-0000-0000-00001F1E0000}"/>
    <cellStyle name="Normal 10 3 3 5 3" xfId="3420" xr:uid="{00000000-0005-0000-0000-0000201E0000}"/>
    <cellStyle name="Normal 10 3 3 5 3 2" xfId="7646" xr:uid="{00000000-0005-0000-0000-0000211E0000}"/>
    <cellStyle name="Normal 10 3 3 5 3 2 2" xfId="16094" xr:uid="{00000000-0005-0000-0000-0000221E0000}"/>
    <cellStyle name="Normal 10 3 3 5 3 2 2 2" xfId="33034" xr:uid="{00000000-0005-0000-0000-0000231E0000}"/>
    <cellStyle name="Normal 10 3 3 5 3 2 3" xfId="24586" xr:uid="{00000000-0005-0000-0000-0000241E0000}"/>
    <cellStyle name="Normal 10 3 3 5 3 3" xfId="11870" xr:uid="{00000000-0005-0000-0000-0000251E0000}"/>
    <cellStyle name="Normal 10 3 3 5 3 3 2" xfId="28810" xr:uid="{00000000-0005-0000-0000-0000261E0000}"/>
    <cellStyle name="Normal 10 3 3 5 3 4" xfId="20362" xr:uid="{00000000-0005-0000-0000-0000271E0000}"/>
    <cellStyle name="Normal 10 3 3 5 4" xfId="5534" xr:uid="{00000000-0005-0000-0000-0000281E0000}"/>
    <cellStyle name="Normal 10 3 3 5 4 2" xfId="13982" xr:uid="{00000000-0005-0000-0000-0000291E0000}"/>
    <cellStyle name="Normal 10 3 3 5 4 2 2" xfId="30922" xr:uid="{00000000-0005-0000-0000-00002A1E0000}"/>
    <cellStyle name="Normal 10 3 3 5 4 3" xfId="22474" xr:uid="{00000000-0005-0000-0000-00002B1E0000}"/>
    <cellStyle name="Normal 10 3 3 5 5" xfId="9758" xr:uid="{00000000-0005-0000-0000-00002C1E0000}"/>
    <cellStyle name="Normal 10 3 3 5 5 2" xfId="26698" xr:uid="{00000000-0005-0000-0000-00002D1E0000}"/>
    <cellStyle name="Normal 10 3 3 5 6" xfId="18250" xr:uid="{00000000-0005-0000-0000-00002E1E0000}"/>
    <cellStyle name="Normal 10 3 3 6" xfId="1484" xr:uid="{00000000-0005-0000-0000-00002F1E0000}"/>
    <cellStyle name="Normal 10 3 3 6 2" xfId="3596" xr:uid="{00000000-0005-0000-0000-0000301E0000}"/>
    <cellStyle name="Normal 10 3 3 6 2 2" xfId="7822" xr:uid="{00000000-0005-0000-0000-0000311E0000}"/>
    <cellStyle name="Normal 10 3 3 6 2 2 2" xfId="16270" xr:uid="{00000000-0005-0000-0000-0000321E0000}"/>
    <cellStyle name="Normal 10 3 3 6 2 2 2 2" xfId="33210" xr:uid="{00000000-0005-0000-0000-0000331E0000}"/>
    <cellStyle name="Normal 10 3 3 6 2 2 3" xfId="24762" xr:uid="{00000000-0005-0000-0000-0000341E0000}"/>
    <cellStyle name="Normal 10 3 3 6 2 3" xfId="12046" xr:uid="{00000000-0005-0000-0000-0000351E0000}"/>
    <cellStyle name="Normal 10 3 3 6 2 3 2" xfId="28986" xr:uid="{00000000-0005-0000-0000-0000361E0000}"/>
    <cellStyle name="Normal 10 3 3 6 2 4" xfId="20538" xr:uid="{00000000-0005-0000-0000-0000371E0000}"/>
    <cellStyle name="Normal 10 3 3 6 3" xfId="5710" xr:uid="{00000000-0005-0000-0000-0000381E0000}"/>
    <cellStyle name="Normal 10 3 3 6 3 2" xfId="14158" xr:uid="{00000000-0005-0000-0000-0000391E0000}"/>
    <cellStyle name="Normal 10 3 3 6 3 2 2" xfId="31098" xr:uid="{00000000-0005-0000-0000-00003A1E0000}"/>
    <cellStyle name="Normal 10 3 3 6 3 3" xfId="22650" xr:uid="{00000000-0005-0000-0000-00003B1E0000}"/>
    <cellStyle name="Normal 10 3 3 6 4" xfId="9934" xr:uid="{00000000-0005-0000-0000-00003C1E0000}"/>
    <cellStyle name="Normal 10 3 3 6 4 2" xfId="26874" xr:uid="{00000000-0005-0000-0000-00003D1E0000}"/>
    <cellStyle name="Normal 10 3 3 6 5" xfId="18426" xr:uid="{00000000-0005-0000-0000-00003E1E0000}"/>
    <cellStyle name="Normal 10 3 3 7" xfId="2540" xr:uid="{00000000-0005-0000-0000-00003F1E0000}"/>
    <cellStyle name="Normal 10 3 3 7 2" xfId="6766" xr:uid="{00000000-0005-0000-0000-0000401E0000}"/>
    <cellStyle name="Normal 10 3 3 7 2 2" xfId="15214" xr:uid="{00000000-0005-0000-0000-0000411E0000}"/>
    <cellStyle name="Normal 10 3 3 7 2 2 2" xfId="32154" xr:uid="{00000000-0005-0000-0000-0000421E0000}"/>
    <cellStyle name="Normal 10 3 3 7 2 3" xfId="23706" xr:uid="{00000000-0005-0000-0000-0000431E0000}"/>
    <cellStyle name="Normal 10 3 3 7 3" xfId="10990" xr:uid="{00000000-0005-0000-0000-0000441E0000}"/>
    <cellStyle name="Normal 10 3 3 7 3 2" xfId="27930" xr:uid="{00000000-0005-0000-0000-0000451E0000}"/>
    <cellStyle name="Normal 10 3 3 7 4" xfId="19482" xr:uid="{00000000-0005-0000-0000-0000461E0000}"/>
    <cellStyle name="Normal 10 3 3 8" xfId="4653" xr:uid="{00000000-0005-0000-0000-0000471E0000}"/>
    <cellStyle name="Normal 10 3 3 8 2" xfId="13102" xr:uid="{00000000-0005-0000-0000-0000481E0000}"/>
    <cellStyle name="Normal 10 3 3 8 2 2" xfId="30042" xr:uid="{00000000-0005-0000-0000-0000491E0000}"/>
    <cellStyle name="Normal 10 3 3 8 3" xfId="21594" xr:uid="{00000000-0005-0000-0000-00004A1E0000}"/>
    <cellStyle name="Normal 10 3 3 9" xfId="8878" xr:uid="{00000000-0005-0000-0000-00004B1E0000}"/>
    <cellStyle name="Normal 10 3 3 9 2" xfId="25818" xr:uid="{00000000-0005-0000-0000-00004C1E0000}"/>
    <cellStyle name="Normal 10 3 4" xfId="596" xr:uid="{00000000-0005-0000-0000-00004D1E0000}"/>
    <cellStyle name="Normal 10 3 4 2" xfId="948" xr:uid="{00000000-0005-0000-0000-00004E1E0000}"/>
    <cellStyle name="Normal 10 3 4 2 2" xfId="2010" xr:uid="{00000000-0005-0000-0000-00004F1E0000}"/>
    <cellStyle name="Normal 10 3 4 2 2 2" xfId="4122" xr:uid="{00000000-0005-0000-0000-0000501E0000}"/>
    <cellStyle name="Normal 10 3 4 2 2 2 2" xfId="8348" xr:uid="{00000000-0005-0000-0000-0000511E0000}"/>
    <cellStyle name="Normal 10 3 4 2 2 2 2 2" xfId="16796" xr:uid="{00000000-0005-0000-0000-0000521E0000}"/>
    <cellStyle name="Normal 10 3 4 2 2 2 2 2 2" xfId="33736" xr:uid="{00000000-0005-0000-0000-0000531E0000}"/>
    <cellStyle name="Normal 10 3 4 2 2 2 2 3" xfId="25288" xr:uid="{00000000-0005-0000-0000-0000541E0000}"/>
    <cellStyle name="Normal 10 3 4 2 2 2 3" xfId="12572" xr:uid="{00000000-0005-0000-0000-0000551E0000}"/>
    <cellStyle name="Normal 10 3 4 2 2 2 3 2" xfId="29512" xr:uid="{00000000-0005-0000-0000-0000561E0000}"/>
    <cellStyle name="Normal 10 3 4 2 2 2 4" xfId="21064" xr:uid="{00000000-0005-0000-0000-0000571E0000}"/>
    <cellStyle name="Normal 10 3 4 2 2 3" xfId="6236" xr:uid="{00000000-0005-0000-0000-0000581E0000}"/>
    <cellStyle name="Normal 10 3 4 2 2 3 2" xfId="14684" xr:uid="{00000000-0005-0000-0000-0000591E0000}"/>
    <cellStyle name="Normal 10 3 4 2 2 3 2 2" xfId="31624" xr:uid="{00000000-0005-0000-0000-00005A1E0000}"/>
    <cellStyle name="Normal 10 3 4 2 2 3 3" xfId="23176" xr:uid="{00000000-0005-0000-0000-00005B1E0000}"/>
    <cellStyle name="Normal 10 3 4 2 2 4" xfId="10460" xr:uid="{00000000-0005-0000-0000-00005C1E0000}"/>
    <cellStyle name="Normal 10 3 4 2 2 4 2" xfId="27400" xr:uid="{00000000-0005-0000-0000-00005D1E0000}"/>
    <cellStyle name="Normal 10 3 4 2 2 5" xfId="18952" xr:uid="{00000000-0005-0000-0000-00005E1E0000}"/>
    <cellStyle name="Normal 10 3 4 2 3" xfId="3066" xr:uid="{00000000-0005-0000-0000-00005F1E0000}"/>
    <cellStyle name="Normal 10 3 4 2 3 2" xfId="7292" xr:uid="{00000000-0005-0000-0000-0000601E0000}"/>
    <cellStyle name="Normal 10 3 4 2 3 2 2" xfId="15740" xr:uid="{00000000-0005-0000-0000-0000611E0000}"/>
    <cellStyle name="Normal 10 3 4 2 3 2 2 2" xfId="32680" xr:uid="{00000000-0005-0000-0000-0000621E0000}"/>
    <cellStyle name="Normal 10 3 4 2 3 2 3" xfId="24232" xr:uid="{00000000-0005-0000-0000-0000631E0000}"/>
    <cellStyle name="Normal 10 3 4 2 3 3" xfId="11516" xr:uid="{00000000-0005-0000-0000-0000641E0000}"/>
    <cellStyle name="Normal 10 3 4 2 3 3 2" xfId="28456" xr:uid="{00000000-0005-0000-0000-0000651E0000}"/>
    <cellStyle name="Normal 10 3 4 2 3 4" xfId="20008" xr:uid="{00000000-0005-0000-0000-0000661E0000}"/>
    <cellStyle name="Normal 10 3 4 2 4" xfId="5180" xr:uid="{00000000-0005-0000-0000-0000671E0000}"/>
    <cellStyle name="Normal 10 3 4 2 4 2" xfId="13628" xr:uid="{00000000-0005-0000-0000-0000681E0000}"/>
    <cellStyle name="Normal 10 3 4 2 4 2 2" xfId="30568" xr:uid="{00000000-0005-0000-0000-0000691E0000}"/>
    <cellStyle name="Normal 10 3 4 2 4 3" xfId="22120" xr:uid="{00000000-0005-0000-0000-00006A1E0000}"/>
    <cellStyle name="Normal 10 3 4 2 5" xfId="9404" xr:uid="{00000000-0005-0000-0000-00006B1E0000}"/>
    <cellStyle name="Normal 10 3 4 2 5 2" xfId="26344" xr:uid="{00000000-0005-0000-0000-00006C1E0000}"/>
    <cellStyle name="Normal 10 3 4 2 6" xfId="17896" xr:uid="{00000000-0005-0000-0000-00006D1E0000}"/>
    <cellStyle name="Normal 10 3 4 3" xfId="1658" xr:uid="{00000000-0005-0000-0000-00006E1E0000}"/>
    <cellStyle name="Normal 10 3 4 3 2" xfId="3770" xr:uid="{00000000-0005-0000-0000-00006F1E0000}"/>
    <cellStyle name="Normal 10 3 4 3 2 2" xfId="7996" xr:uid="{00000000-0005-0000-0000-0000701E0000}"/>
    <cellStyle name="Normal 10 3 4 3 2 2 2" xfId="16444" xr:uid="{00000000-0005-0000-0000-0000711E0000}"/>
    <cellStyle name="Normal 10 3 4 3 2 2 2 2" xfId="33384" xr:uid="{00000000-0005-0000-0000-0000721E0000}"/>
    <cellStyle name="Normal 10 3 4 3 2 2 3" xfId="24936" xr:uid="{00000000-0005-0000-0000-0000731E0000}"/>
    <cellStyle name="Normal 10 3 4 3 2 3" xfId="12220" xr:uid="{00000000-0005-0000-0000-0000741E0000}"/>
    <cellStyle name="Normal 10 3 4 3 2 3 2" xfId="29160" xr:uid="{00000000-0005-0000-0000-0000751E0000}"/>
    <cellStyle name="Normal 10 3 4 3 2 4" xfId="20712" xr:uid="{00000000-0005-0000-0000-0000761E0000}"/>
    <cellStyle name="Normal 10 3 4 3 3" xfId="5884" xr:uid="{00000000-0005-0000-0000-0000771E0000}"/>
    <cellStyle name="Normal 10 3 4 3 3 2" xfId="14332" xr:uid="{00000000-0005-0000-0000-0000781E0000}"/>
    <cellStyle name="Normal 10 3 4 3 3 2 2" xfId="31272" xr:uid="{00000000-0005-0000-0000-0000791E0000}"/>
    <cellStyle name="Normal 10 3 4 3 3 3" xfId="22824" xr:uid="{00000000-0005-0000-0000-00007A1E0000}"/>
    <cellStyle name="Normal 10 3 4 3 4" xfId="10108" xr:uid="{00000000-0005-0000-0000-00007B1E0000}"/>
    <cellStyle name="Normal 10 3 4 3 4 2" xfId="27048" xr:uid="{00000000-0005-0000-0000-00007C1E0000}"/>
    <cellStyle name="Normal 10 3 4 3 5" xfId="18600" xr:uid="{00000000-0005-0000-0000-00007D1E0000}"/>
    <cellStyle name="Normal 10 3 4 4" xfId="2714" xr:uid="{00000000-0005-0000-0000-00007E1E0000}"/>
    <cellStyle name="Normal 10 3 4 4 2" xfId="6940" xr:uid="{00000000-0005-0000-0000-00007F1E0000}"/>
    <cellStyle name="Normal 10 3 4 4 2 2" xfId="15388" xr:uid="{00000000-0005-0000-0000-0000801E0000}"/>
    <cellStyle name="Normal 10 3 4 4 2 2 2" xfId="32328" xr:uid="{00000000-0005-0000-0000-0000811E0000}"/>
    <cellStyle name="Normal 10 3 4 4 2 3" xfId="23880" xr:uid="{00000000-0005-0000-0000-0000821E0000}"/>
    <cellStyle name="Normal 10 3 4 4 3" xfId="11164" xr:uid="{00000000-0005-0000-0000-0000831E0000}"/>
    <cellStyle name="Normal 10 3 4 4 3 2" xfId="28104" xr:uid="{00000000-0005-0000-0000-0000841E0000}"/>
    <cellStyle name="Normal 10 3 4 4 4" xfId="19656" xr:uid="{00000000-0005-0000-0000-0000851E0000}"/>
    <cellStyle name="Normal 10 3 4 5" xfId="4828" xr:uid="{00000000-0005-0000-0000-0000861E0000}"/>
    <cellStyle name="Normal 10 3 4 5 2" xfId="13276" xr:uid="{00000000-0005-0000-0000-0000871E0000}"/>
    <cellStyle name="Normal 10 3 4 5 2 2" xfId="30216" xr:uid="{00000000-0005-0000-0000-0000881E0000}"/>
    <cellStyle name="Normal 10 3 4 5 3" xfId="21768" xr:uid="{00000000-0005-0000-0000-0000891E0000}"/>
    <cellStyle name="Normal 10 3 4 6" xfId="9052" xr:uid="{00000000-0005-0000-0000-00008A1E0000}"/>
    <cellStyle name="Normal 10 3 4 6 2" xfId="25992" xr:uid="{00000000-0005-0000-0000-00008B1E0000}"/>
    <cellStyle name="Normal 10 3 4 7" xfId="17544" xr:uid="{00000000-0005-0000-0000-00008C1E0000}"/>
    <cellStyle name="Normal 10 3 5" xfId="772" xr:uid="{00000000-0005-0000-0000-00008D1E0000}"/>
    <cellStyle name="Normal 10 3 5 2" xfId="1834" xr:uid="{00000000-0005-0000-0000-00008E1E0000}"/>
    <cellStyle name="Normal 10 3 5 2 2" xfId="3946" xr:uid="{00000000-0005-0000-0000-00008F1E0000}"/>
    <cellStyle name="Normal 10 3 5 2 2 2" xfId="8172" xr:uid="{00000000-0005-0000-0000-0000901E0000}"/>
    <cellStyle name="Normal 10 3 5 2 2 2 2" xfId="16620" xr:uid="{00000000-0005-0000-0000-0000911E0000}"/>
    <cellStyle name="Normal 10 3 5 2 2 2 2 2" xfId="33560" xr:uid="{00000000-0005-0000-0000-0000921E0000}"/>
    <cellStyle name="Normal 10 3 5 2 2 2 3" xfId="25112" xr:uid="{00000000-0005-0000-0000-0000931E0000}"/>
    <cellStyle name="Normal 10 3 5 2 2 3" xfId="12396" xr:uid="{00000000-0005-0000-0000-0000941E0000}"/>
    <cellStyle name="Normal 10 3 5 2 2 3 2" xfId="29336" xr:uid="{00000000-0005-0000-0000-0000951E0000}"/>
    <cellStyle name="Normal 10 3 5 2 2 4" xfId="20888" xr:uid="{00000000-0005-0000-0000-0000961E0000}"/>
    <cellStyle name="Normal 10 3 5 2 3" xfId="6060" xr:uid="{00000000-0005-0000-0000-0000971E0000}"/>
    <cellStyle name="Normal 10 3 5 2 3 2" xfId="14508" xr:uid="{00000000-0005-0000-0000-0000981E0000}"/>
    <cellStyle name="Normal 10 3 5 2 3 2 2" xfId="31448" xr:uid="{00000000-0005-0000-0000-0000991E0000}"/>
    <cellStyle name="Normal 10 3 5 2 3 3" xfId="23000" xr:uid="{00000000-0005-0000-0000-00009A1E0000}"/>
    <cellStyle name="Normal 10 3 5 2 4" xfId="10284" xr:uid="{00000000-0005-0000-0000-00009B1E0000}"/>
    <cellStyle name="Normal 10 3 5 2 4 2" xfId="27224" xr:uid="{00000000-0005-0000-0000-00009C1E0000}"/>
    <cellStyle name="Normal 10 3 5 2 5" xfId="18776" xr:uid="{00000000-0005-0000-0000-00009D1E0000}"/>
    <cellStyle name="Normal 10 3 5 3" xfId="2890" xr:uid="{00000000-0005-0000-0000-00009E1E0000}"/>
    <cellStyle name="Normal 10 3 5 3 2" xfId="7116" xr:uid="{00000000-0005-0000-0000-00009F1E0000}"/>
    <cellStyle name="Normal 10 3 5 3 2 2" xfId="15564" xr:uid="{00000000-0005-0000-0000-0000A01E0000}"/>
    <cellStyle name="Normal 10 3 5 3 2 2 2" xfId="32504" xr:uid="{00000000-0005-0000-0000-0000A11E0000}"/>
    <cellStyle name="Normal 10 3 5 3 2 3" xfId="24056" xr:uid="{00000000-0005-0000-0000-0000A21E0000}"/>
    <cellStyle name="Normal 10 3 5 3 3" xfId="11340" xr:uid="{00000000-0005-0000-0000-0000A31E0000}"/>
    <cellStyle name="Normal 10 3 5 3 3 2" xfId="28280" xr:uid="{00000000-0005-0000-0000-0000A41E0000}"/>
    <cellStyle name="Normal 10 3 5 3 4" xfId="19832" xr:uid="{00000000-0005-0000-0000-0000A51E0000}"/>
    <cellStyle name="Normal 10 3 5 4" xfId="5004" xr:uid="{00000000-0005-0000-0000-0000A61E0000}"/>
    <cellStyle name="Normal 10 3 5 4 2" xfId="13452" xr:uid="{00000000-0005-0000-0000-0000A71E0000}"/>
    <cellStyle name="Normal 10 3 5 4 2 2" xfId="30392" xr:uid="{00000000-0005-0000-0000-0000A81E0000}"/>
    <cellStyle name="Normal 10 3 5 4 3" xfId="21944" xr:uid="{00000000-0005-0000-0000-0000A91E0000}"/>
    <cellStyle name="Normal 10 3 5 5" xfId="9228" xr:uid="{00000000-0005-0000-0000-0000AA1E0000}"/>
    <cellStyle name="Normal 10 3 5 5 2" xfId="26168" xr:uid="{00000000-0005-0000-0000-0000AB1E0000}"/>
    <cellStyle name="Normal 10 3 5 6" xfId="17720" xr:uid="{00000000-0005-0000-0000-0000AC1E0000}"/>
    <cellStyle name="Normal 10 3 6" xfId="1124" xr:uid="{00000000-0005-0000-0000-0000AD1E0000}"/>
    <cellStyle name="Normal 10 3 6 2" xfId="2186" xr:uid="{00000000-0005-0000-0000-0000AE1E0000}"/>
    <cellStyle name="Normal 10 3 6 2 2" xfId="4298" xr:uid="{00000000-0005-0000-0000-0000AF1E0000}"/>
    <cellStyle name="Normal 10 3 6 2 2 2" xfId="8524" xr:uid="{00000000-0005-0000-0000-0000B01E0000}"/>
    <cellStyle name="Normal 10 3 6 2 2 2 2" xfId="16972" xr:uid="{00000000-0005-0000-0000-0000B11E0000}"/>
    <cellStyle name="Normal 10 3 6 2 2 2 2 2" xfId="33912" xr:uid="{00000000-0005-0000-0000-0000B21E0000}"/>
    <cellStyle name="Normal 10 3 6 2 2 2 3" xfId="25464" xr:uid="{00000000-0005-0000-0000-0000B31E0000}"/>
    <cellStyle name="Normal 10 3 6 2 2 3" xfId="12748" xr:uid="{00000000-0005-0000-0000-0000B41E0000}"/>
    <cellStyle name="Normal 10 3 6 2 2 3 2" xfId="29688" xr:uid="{00000000-0005-0000-0000-0000B51E0000}"/>
    <cellStyle name="Normal 10 3 6 2 2 4" xfId="21240" xr:uid="{00000000-0005-0000-0000-0000B61E0000}"/>
    <cellStyle name="Normal 10 3 6 2 3" xfId="6412" xr:uid="{00000000-0005-0000-0000-0000B71E0000}"/>
    <cellStyle name="Normal 10 3 6 2 3 2" xfId="14860" xr:uid="{00000000-0005-0000-0000-0000B81E0000}"/>
    <cellStyle name="Normal 10 3 6 2 3 2 2" xfId="31800" xr:uid="{00000000-0005-0000-0000-0000B91E0000}"/>
    <cellStyle name="Normal 10 3 6 2 3 3" xfId="23352" xr:uid="{00000000-0005-0000-0000-0000BA1E0000}"/>
    <cellStyle name="Normal 10 3 6 2 4" xfId="10636" xr:uid="{00000000-0005-0000-0000-0000BB1E0000}"/>
    <cellStyle name="Normal 10 3 6 2 4 2" xfId="27576" xr:uid="{00000000-0005-0000-0000-0000BC1E0000}"/>
    <cellStyle name="Normal 10 3 6 2 5" xfId="19128" xr:uid="{00000000-0005-0000-0000-0000BD1E0000}"/>
    <cellStyle name="Normal 10 3 6 3" xfId="3242" xr:uid="{00000000-0005-0000-0000-0000BE1E0000}"/>
    <cellStyle name="Normal 10 3 6 3 2" xfId="7468" xr:uid="{00000000-0005-0000-0000-0000BF1E0000}"/>
    <cellStyle name="Normal 10 3 6 3 2 2" xfId="15916" xr:uid="{00000000-0005-0000-0000-0000C01E0000}"/>
    <cellStyle name="Normal 10 3 6 3 2 2 2" xfId="32856" xr:uid="{00000000-0005-0000-0000-0000C11E0000}"/>
    <cellStyle name="Normal 10 3 6 3 2 3" xfId="24408" xr:uid="{00000000-0005-0000-0000-0000C21E0000}"/>
    <cellStyle name="Normal 10 3 6 3 3" xfId="11692" xr:uid="{00000000-0005-0000-0000-0000C31E0000}"/>
    <cellStyle name="Normal 10 3 6 3 3 2" xfId="28632" xr:uid="{00000000-0005-0000-0000-0000C41E0000}"/>
    <cellStyle name="Normal 10 3 6 3 4" xfId="20184" xr:uid="{00000000-0005-0000-0000-0000C51E0000}"/>
    <cellStyle name="Normal 10 3 6 4" xfId="5356" xr:uid="{00000000-0005-0000-0000-0000C61E0000}"/>
    <cellStyle name="Normal 10 3 6 4 2" xfId="13804" xr:uid="{00000000-0005-0000-0000-0000C71E0000}"/>
    <cellStyle name="Normal 10 3 6 4 2 2" xfId="30744" xr:uid="{00000000-0005-0000-0000-0000C81E0000}"/>
    <cellStyle name="Normal 10 3 6 4 3" xfId="22296" xr:uid="{00000000-0005-0000-0000-0000C91E0000}"/>
    <cellStyle name="Normal 10 3 6 5" xfId="9580" xr:uid="{00000000-0005-0000-0000-0000CA1E0000}"/>
    <cellStyle name="Normal 10 3 6 5 2" xfId="26520" xr:uid="{00000000-0005-0000-0000-0000CB1E0000}"/>
    <cellStyle name="Normal 10 3 6 6" xfId="18072" xr:uid="{00000000-0005-0000-0000-0000CC1E0000}"/>
    <cellStyle name="Normal 10 3 7" xfId="1306" xr:uid="{00000000-0005-0000-0000-0000CD1E0000}"/>
    <cellStyle name="Normal 10 3 7 2" xfId="2362" xr:uid="{00000000-0005-0000-0000-0000CE1E0000}"/>
    <cellStyle name="Normal 10 3 7 2 2" xfId="4474" xr:uid="{00000000-0005-0000-0000-0000CF1E0000}"/>
    <cellStyle name="Normal 10 3 7 2 2 2" xfId="8700" xr:uid="{00000000-0005-0000-0000-0000D01E0000}"/>
    <cellStyle name="Normal 10 3 7 2 2 2 2" xfId="17148" xr:uid="{00000000-0005-0000-0000-0000D11E0000}"/>
    <cellStyle name="Normal 10 3 7 2 2 2 2 2" xfId="34088" xr:uid="{00000000-0005-0000-0000-0000D21E0000}"/>
    <cellStyle name="Normal 10 3 7 2 2 2 3" xfId="25640" xr:uid="{00000000-0005-0000-0000-0000D31E0000}"/>
    <cellStyle name="Normal 10 3 7 2 2 3" xfId="12924" xr:uid="{00000000-0005-0000-0000-0000D41E0000}"/>
    <cellStyle name="Normal 10 3 7 2 2 3 2" xfId="29864" xr:uid="{00000000-0005-0000-0000-0000D51E0000}"/>
    <cellStyle name="Normal 10 3 7 2 2 4" xfId="21416" xr:uid="{00000000-0005-0000-0000-0000D61E0000}"/>
    <cellStyle name="Normal 10 3 7 2 3" xfId="6588" xr:uid="{00000000-0005-0000-0000-0000D71E0000}"/>
    <cellStyle name="Normal 10 3 7 2 3 2" xfId="15036" xr:uid="{00000000-0005-0000-0000-0000D81E0000}"/>
    <cellStyle name="Normal 10 3 7 2 3 2 2" xfId="31976" xr:uid="{00000000-0005-0000-0000-0000D91E0000}"/>
    <cellStyle name="Normal 10 3 7 2 3 3" xfId="23528" xr:uid="{00000000-0005-0000-0000-0000DA1E0000}"/>
    <cellStyle name="Normal 10 3 7 2 4" xfId="10812" xr:uid="{00000000-0005-0000-0000-0000DB1E0000}"/>
    <cellStyle name="Normal 10 3 7 2 4 2" xfId="27752" xr:uid="{00000000-0005-0000-0000-0000DC1E0000}"/>
    <cellStyle name="Normal 10 3 7 2 5" xfId="19304" xr:uid="{00000000-0005-0000-0000-0000DD1E0000}"/>
    <cellStyle name="Normal 10 3 7 3" xfId="3418" xr:uid="{00000000-0005-0000-0000-0000DE1E0000}"/>
    <cellStyle name="Normal 10 3 7 3 2" xfId="7644" xr:uid="{00000000-0005-0000-0000-0000DF1E0000}"/>
    <cellStyle name="Normal 10 3 7 3 2 2" xfId="16092" xr:uid="{00000000-0005-0000-0000-0000E01E0000}"/>
    <cellStyle name="Normal 10 3 7 3 2 2 2" xfId="33032" xr:uid="{00000000-0005-0000-0000-0000E11E0000}"/>
    <cellStyle name="Normal 10 3 7 3 2 3" xfId="24584" xr:uid="{00000000-0005-0000-0000-0000E21E0000}"/>
    <cellStyle name="Normal 10 3 7 3 3" xfId="11868" xr:uid="{00000000-0005-0000-0000-0000E31E0000}"/>
    <cellStyle name="Normal 10 3 7 3 3 2" xfId="28808" xr:uid="{00000000-0005-0000-0000-0000E41E0000}"/>
    <cellStyle name="Normal 10 3 7 3 4" xfId="20360" xr:uid="{00000000-0005-0000-0000-0000E51E0000}"/>
    <cellStyle name="Normal 10 3 7 4" xfId="5532" xr:uid="{00000000-0005-0000-0000-0000E61E0000}"/>
    <cellStyle name="Normal 10 3 7 4 2" xfId="13980" xr:uid="{00000000-0005-0000-0000-0000E71E0000}"/>
    <cellStyle name="Normal 10 3 7 4 2 2" xfId="30920" xr:uid="{00000000-0005-0000-0000-0000E81E0000}"/>
    <cellStyle name="Normal 10 3 7 4 3" xfId="22472" xr:uid="{00000000-0005-0000-0000-0000E91E0000}"/>
    <cellStyle name="Normal 10 3 7 5" xfId="9756" xr:uid="{00000000-0005-0000-0000-0000EA1E0000}"/>
    <cellStyle name="Normal 10 3 7 5 2" xfId="26696" xr:uid="{00000000-0005-0000-0000-0000EB1E0000}"/>
    <cellStyle name="Normal 10 3 7 6" xfId="18248" xr:uid="{00000000-0005-0000-0000-0000EC1E0000}"/>
    <cellStyle name="Normal 10 3 8" xfId="1482" xr:uid="{00000000-0005-0000-0000-0000ED1E0000}"/>
    <cellStyle name="Normal 10 3 8 2" xfId="3594" xr:uid="{00000000-0005-0000-0000-0000EE1E0000}"/>
    <cellStyle name="Normal 10 3 8 2 2" xfId="7820" xr:uid="{00000000-0005-0000-0000-0000EF1E0000}"/>
    <cellStyle name="Normal 10 3 8 2 2 2" xfId="16268" xr:uid="{00000000-0005-0000-0000-0000F01E0000}"/>
    <cellStyle name="Normal 10 3 8 2 2 2 2" xfId="33208" xr:uid="{00000000-0005-0000-0000-0000F11E0000}"/>
    <cellStyle name="Normal 10 3 8 2 2 3" xfId="24760" xr:uid="{00000000-0005-0000-0000-0000F21E0000}"/>
    <cellStyle name="Normal 10 3 8 2 3" xfId="12044" xr:uid="{00000000-0005-0000-0000-0000F31E0000}"/>
    <cellStyle name="Normal 10 3 8 2 3 2" xfId="28984" xr:uid="{00000000-0005-0000-0000-0000F41E0000}"/>
    <cellStyle name="Normal 10 3 8 2 4" xfId="20536" xr:uid="{00000000-0005-0000-0000-0000F51E0000}"/>
    <cellStyle name="Normal 10 3 8 3" xfId="5708" xr:uid="{00000000-0005-0000-0000-0000F61E0000}"/>
    <cellStyle name="Normal 10 3 8 3 2" xfId="14156" xr:uid="{00000000-0005-0000-0000-0000F71E0000}"/>
    <cellStyle name="Normal 10 3 8 3 2 2" xfId="31096" xr:uid="{00000000-0005-0000-0000-0000F81E0000}"/>
    <cellStyle name="Normal 10 3 8 3 3" xfId="22648" xr:uid="{00000000-0005-0000-0000-0000F91E0000}"/>
    <cellStyle name="Normal 10 3 8 4" xfId="9932" xr:uid="{00000000-0005-0000-0000-0000FA1E0000}"/>
    <cellStyle name="Normal 10 3 8 4 2" xfId="26872" xr:uid="{00000000-0005-0000-0000-0000FB1E0000}"/>
    <cellStyle name="Normal 10 3 8 5" xfId="18424" xr:uid="{00000000-0005-0000-0000-0000FC1E0000}"/>
    <cellStyle name="Normal 10 3 9" xfId="2538" xr:uid="{00000000-0005-0000-0000-0000FD1E0000}"/>
    <cellStyle name="Normal 10 3 9 2" xfId="6764" xr:uid="{00000000-0005-0000-0000-0000FE1E0000}"/>
    <cellStyle name="Normal 10 3 9 2 2" xfId="15212" xr:uid="{00000000-0005-0000-0000-0000FF1E0000}"/>
    <cellStyle name="Normal 10 3 9 2 2 2" xfId="32152" xr:uid="{00000000-0005-0000-0000-0000001F0000}"/>
    <cellStyle name="Normal 10 3 9 2 3" xfId="23704" xr:uid="{00000000-0005-0000-0000-0000011F0000}"/>
    <cellStyle name="Normal 10 3 9 3" xfId="10988" xr:uid="{00000000-0005-0000-0000-0000021F0000}"/>
    <cellStyle name="Normal 10 3 9 3 2" xfId="27928" xr:uid="{00000000-0005-0000-0000-0000031F0000}"/>
    <cellStyle name="Normal 10 3 9 4" xfId="19480" xr:uid="{00000000-0005-0000-0000-0000041F0000}"/>
    <cellStyle name="Normal 10 4" xfId="254" xr:uid="{00000000-0005-0000-0000-0000051F0000}"/>
    <cellStyle name="Normal 10 5" xfId="255" xr:uid="{00000000-0005-0000-0000-0000061F0000}"/>
    <cellStyle name="Normal 11" xfId="256" xr:uid="{00000000-0005-0000-0000-0000071F0000}"/>
    <cellStyle name="Normal 11 10" xfId="1485" xr:uid="{00000000-0005-0000-0000-0000081F0000}"/>
    <cellStyle name="Normal 11 10 2" xfId="3597" xr:uid="{00000000-0005-0000-0000-0000091F0000}"/>
    <cellStyle name="Normal 11 10 2 2" xfId="7823" xr:uid="{00000000-0005-0000-0000-00000A1F0000}"/>
    <cellStyle name="Normal 11 10 2 2 2" xfId="16271" xr:uid="{00000000-0005-0000-0000-00000B1F0000}"/>
    <cellStyle name="Normal 11 10 2 2 2 2" xfId="33211" xr:uid="{00000000-0005-0000-0000-00000C1F0000}"/>
    <cellStyle name="Normal 11 10 2 2 3" xfId="24763" xr:uid="{00000000-0005-0000-0000-00000D1F0000}"/>
    <cellStyle name="Normal 11 10 2 3" xfId="12047" xr:uid="{00000000-0005-0000-0000-00000E1F0000}"/>
    <cellStyle name="Normal 11 10 2 3 2" xfId="28987" xr:uid="{00000000-0005-0000-0000-00000F1F0000}"/>
    <cellStyle name="Normal 11 10 2 4" xfId="20539" xr:uid="{00000000-0005-0000-0000-0000101F0000}"/>
    <cellStyle name="Normal 11 10 3" xfId="5711" xr:uid="{00000000-0005-0000-0000-0000111F0000}"/>
    <cellStyle name="Normal 11 10 3 2" xfId="14159" xr:uid="{00000000-0005-0000-0000-0000121F0000}"/>
    <cellStyle name="Normal 11 10 3 2 2" xfId="31099" xr:uid="{00000000-0005-0000-0000-0000131F0000}"/>
    <cellStyle name="Normal 11 10 3 3" xfId="22651" xr:uid="{00000000-0005-0000-0000-0000141F0000}"/>
    <cellStyle name="Normal 11 10 4" xfId="9935" xr:uid="{00000000-0005-0000-0000-0000151F0000}"/>
    <cellStyle name="Normal 11 10 4 2" xfId="26875" xr:uid="{00000000-0005-0000-0000-0000161F0000}"/>
    <cellStyle name="Normal 11 10 5" xfId="18427" xr:uid="{00000000-0005-0000-0000-0000171F0000}"/>
    <cellStyle name="Normal 11 11" xfId="2541" xr:uid="{00000000-0005-0000-0000-0000181F0000}"/>
    <cellStyle name="Normal 11 11 2" xfId="6767" xr:uid="{00000000-0005-0000-0000-0000191F0000}"/>
    <cellStyle name="Normal 11 11 2 2" xfId="15215" xr:uid="{00000000-0005-0000-0000-00001A1F0000}"/>
    <cellStyle name="Normal 11 11 2 2 2" xfId="32155" xr:uid="{00000000-0005-0000-0000-00001B1F0000}"/>
    <cellStyle name="Normal 11 11 2 3" xfId="23707" xr:uid="{00000000-0005-0000-0000-00001C1F0000}"/>
    <cellStyle name="Normal 11 11 3" xfId="10991" xr:uid="{00000000-0005-0000-0000-00001D1F0000}"/>
    <cellStyle name="Normal 11 11 3 2" xfId="27931" xr:uid="{00000000-0005-0000-0000-00001E1F0000}"/>
    <cellStyle name="Normal 11 11 4" xfId="19483" xr:uid="{00000000-0005-0000-0000-00001F1F0000}"/>
    <cellStyle name="Normal 11 12" xfId="4654" xr:uid="{00000000-0005-0000-0000-0000201F0000}"/>
    <cellStyle name="Normal 11 12 2" xfId="13103" xr:uid="{00000000-0005-0000-0000-0000211F0000}"/>
    <cellStyle name="Normal 11 12 2 2" xfId="30043" xr:uid="{00000000-0005-0000-0000-0000221F0000}"/>
    <cellStyle name="Normal 11 12 3" xfId="21595" xr:uid="{00000000-0005-0000-0000-0000231F0000}"/>
    <cellStyle name="Normal 11 13" xfId="8879" xr:uid="{00000000-0005-0000-0000-0000241F0000}"/>
    <cellStyle name="Normal 11 13 2" xfId="25819" xr:uid="{00000000-0005-0000-0000-0000251F0000}"/>
    <cellStyle name="Normal 11 14" xfId="17371" xr:uid="{00000000-0005-0000-0000-0000261F0000}"/>
    <cellStyle name="Normal 11 2" xfId="257" xr:uid="{00000000-0005-0000-0000-0000271F0000}"/>
    <cellStyle name="Normal 11 2 10" xfId="4655" xr:uid="{00000000-0005-0000-0000-0000281F0000}"/>
    <cellStyle name="Normal 11 2 10 2" xfId="13104" xr:uid="{00000000-0005-0000-0000-0000291F0000}"/>
    <cellStyle name="Normal 11 2 10 2 2" xfId="30044" xr:uid="{00000000-0005-0000-0000-00002A1F0000}"/>
    <cellStyle name="Normal 11 2 10 3" xfId="21596" xr:uid="{00000000-0005-0000-0000-00002B1F0000}"/>
    <cellStyle name="Normal 11 2 11" xfId="8880" xr:uid="{00000000-0005-0000-0000-00002C1F0000}"/>
    <cellStyle name="Normal 11 2 11 2" xfId="25820" xr:uid="{00000000-0005-0000-0000-00002D1F0000}"/>
    <cellStyle name="Normal 11 2 12" xfId="17372" xr:uid="{00000000-0005-0000-0000-00002E1F0000}"/>
    <cellStyle name="Normal 11 2 2" xfId="258" xr:uid="{00000000-0005-0000-0000-00002F1F0000}"/>
    <cellStyle name="Normal 11 2 2 10" xfId="17373" xr:uid="{00000000-0005-0000-0000-0000301F0000}"/>
    <cellStyle name="Normal 11 2 2 2" xfId="601" xr:uid="{00000000-0005-0000-0000-0000311F0000}"/>
    <cellStyle name="Normal 11 2 2 2 2" xfId="953" xr:uid="{00000000-0005-0000-0000-0000321F0000}"/>
    <cellStyle name="Normal 11 2 2 2 2 2" xfId="2015" xr:uid="{00000000-0005-0000-0000-0000331F0000}"/>
    <cellStyle name="Normal 11 2 2 2 2 2 2" xfId="4127" xr:uid="{00000000-0005-0000-0000-0000341F0000}"/>
    <cellStyle name="Normal 11 2 2 2 2 2 2 2" xfId="8353" xr:uid="{00000000-0005-0000-0000-0000351F0000}"/>
    <cellStyle name="Normal 11 2 2 2 2 2 2 2 2" xfId="16801" xr:uid="{00000000-0005-0000-0000-0000361F0000}"/>
    <cellStyle name="Normal 11 2 2 2 2 2 2 2 2 2" xfId="33741" xr:uid="{00000000-0005-0000-0000-0000371F0000}"/>
    <cellStyle name="Normal 11 2 2 2 2 2 2 2 3" xfId="25293" xr:uid="{00000000-0005-0000-0000-0000381F0000}"/>
    <cellStyle name="Normal 11 2 2 2 2 2 2 3" xfId="12577" xr:uid="{00000000-0005-0000-0000-0000391F0000}"/>
    <cellStyle name="Normal 11 2 2 2 2 2 2 3 2" xfId="29517" xr:uid="{00000000-0005-0000-0000-00003A1F0000}"/>
    <cellStyle name="Normal 11 2 2 2 2 2 2 4" xfId="21069" xr:uid="{00000000-0005-0000-0000-00003B1F0000}"/>
    <cellStyle name="Normal 11 2 2 2 2 2 3" xfId="6241" xr:uid="{00000000-0005-0000-0000-00003C1F0000}"/>
    <cellStyle name="Normal 11 2 2 2 2 2 3 2" xfId="14689" xr:uid="{00000000-0005-0000-0000-00003D1F0000}"/>
    <cellStyle name="Normal 11 2 2 2 2 2 3 2 2" xfId="31629" xr:uid="{00000000-0005-0000-0000-00003E1F0000}"/>
    <cellStyle name="Normal 11 2 2 2 2 2 3 3" xfId="23181" xr:uid="{00000000-0005-0000-0000-00003F1F0000}"/>
    <cellStyle name="Normal 11 2 2 2 2 2 4" xfId="10465" xr:uid="{00000000-0005-0000-0000-0000401F0000}"/>
    <cellStyle name="Normal 11 2 2 2 2 2 4 2" xfId="27405" xr:uid="{00000000-0005-0000-0000-0000411F0000}"/>
    <cellStyle name="Normal 11 2 2 2 2 2 5" xfId="18957" xr:uid="{00000000-0005-0000-0000-0000421F0000}"/>
    <cellStyle name="Normal 11 2 2 2 2 3" xfId="3071" xr:uid="{00000000-0005-0000-0000-0000431F0000}"/>
    <cellStyle name="Normal 11 2 2 2 2 3 2" xfId="7297" xr:uid="{00000000-0005-0000-0000-0000441F0000}"/>
    <cellStyle name="Normal 11 2 2 2 2 3 2 2" xfId="15745" xr:uid="{00000000-0005-0000-0000-0000451F0000}"/>
    <cellStyle name="Normal 11 2 2 2 2 3 2 2 2" xfId="32685" xr:uid="{00000000-0005-0000-0000-0000461F0000}"/>
    <cellStyle name="Normal 11 2 2 2 2 3 2 3" xfId="24237" xr:uid="{00000000-0005-0000-0000-0000471F0000}"/>
    <cellStyle name="Normal 11 2 2 2 2 3 3" xfId="11521" xr:uid="{00000000-0005-0000-0000-0000481F0000}"/>
    <cellStyle name="Normal 11 2 2 2 2 3 3 2" xfId="28461" xr:uid="{00000000-0005-0000-0000-0000491F0000}"/>
    <cellStyle name="Normal 11 2 2 2 2 3 4" xfId="20013" xr:uid="{00000000-0005-0000-0000-00004A1F0000}"/>
    <cellStyle name="Normal 11 2 2 2 2 4" xfId="5185" xr:uid="{00000000-0005-0000-0000-00004B1F0000}"/>
    <cellStyle name="Normal 11 2 2 2 2 4 2" xfId="13633" xr:uid="{00000000-0005-0000-0000-00004C1F0000}"/>
    <cellStyle name="Normal 11 2 2 2 2 4 2 2" xfId="30573" xr:uid="{00000000-0005-0000-0000-00004D1F0000}"/>
    <cellStyle name="Normal 11 2 2 2 2 4 3" xfId="22125" xr:uid="{00000000-0005-0000-0000-00004E1F0000}"/>
    <cellStyle name="Normal 11 2 2 2 2 5" xfId="9409" xr:uid="{00000000-0005-0000-0000-00004F1F0000}"/>
    <cellStyle name="Normal 11 2 2 2 2 5 2" xfId="26349" xr:uid="{00000000-0005-0000-0000-0000501F0000}"/>
    <cellStyle name="Normal 11 2 2 2 2 6" xfId="17901" xr:uid="{00000000-0005-0000-0000-0000511F0000}"/>
    <cellStyle name="Normal 11 2 2 2 3" xfId="1663" xr:uid="{00000000-0005-0000-0000-0000521F0000}"/>
    <cellStyle name="Normal 11 2 2 2 3 2" xfId="3775" xr:uid="{00000000-0005-0000-0000-0000531F0000}"/>
    <cellStyle name="Normal 11 2 2 2 3 2 2" xfId="8001" xr:uid="{00000000-0005-0000-0000-0000541F0000}"/>
    <cellStyle name="Normal 11 2 2 2 3 2 2 2" xfId="16449" xr:uid="{00000000-0005-0000-0000-0000551F0000}"/>
    <cellStyle name="Normal 11 2 2 2 3 2 2 2 2" xfId="33389" xr:uid="{00000000-0005-0000-0000-0000561F0000}"/>
    <cellStyle name="Normal 11 2 2 2 3 2 2 3" xfId="24941" xr:uid="{00000000-0005-0000-0000-0000571F0000}"/>
    <cellStyle name="Normal 11 2 2 2 3 2 3" xfId="12225" xr:uid="{00000000-0005-0000-0000-0000581F0000}"/>
    <cellStyle name="Normal 11 2 2 2 3 2 3 2" xfId="29165" xr:uid="{00000000-0005-0000-0000-0000591F0000}"/>
    <cellStyle name="Normal 11 2 2 2 3 2 4" xfId="20717" xr:uid="{00000000-0005-0000-0000-00005A1F0000}"/>
    <cellStyle name="Normal 11 2 2 2 3 3" xfId="5889" xr:uid="{00000000-0005-0000-0000-00005B1F0000}"/>
    <cellStyle name="Normal 11 2 2 2 3 3 2" xfId="14337" xr:uid="{00000000-0005-0000-0000-00005C1F0000}"/>
    <cellStyle name="Normal 11 2 2 2 3 3 2 2" xfId="31277" xr:uid="{00000000-0005-0000-0000-00005D1F0000}"/>
    <cellStyle name="Normal 11 2 2 2 3 3 3" xfId="22829" xr:uid="{00000000-0005-0000-0000-00005E1F0000}"/>
    <cellStyle name="Normal 11 2 2 2 3 4" xfId="10113" xr:uid="{00000000-0005-0000-0000-00005F1F0000}"/>
    <cellStyle name="Normal 11 2 2 2 3 4 2" xfId="27053" xr:uid="{00000000-0005-0000-0000-0000601F0000}"/>
    <cellStyle name="Normal 11 2 2 2 3 5" xfId="18605" xr:uid="{00000000-0005-0000-0000-0000611F0000}"/>
    <cellStyle name="Normal 11 2 2 2 4" xfId="2719" xr:uid="{00000000-0005-0000-0000-0000621F0000}"/>
    <cellStyle name="Normal 11 2 2 2 4 2" xfId="6945" xr:uid="{00000000-0005-0000-0000-0000631F0000}"/>
    <cellStyle name="Normal 11 2 2 2 4 2 2" xfId="15393" xr:uid="{00000000-0005-0000-0000-0000641F0000}"/>
    <cellStyle name="Normal 11 2 2 2 4 2 2 2" xfId="32333" xr:uid="{00000000-0005-0000-0000-0000651F0000}"/>
    <cellStyle name="Normal 11 2 2 2 4 2 3" xfId="23885" xr:uid="{00000000-0005-0000-0000-0000661F0000}"/>
    <cellStyle name="Normal 11 2 2 2 4 3" xfId="11169" xr:uid="{00000000-0005-0000-0000-0000671F0000}"/>
    <cellStyle name="Normal 11 2 2 2 4 3 2" xfId="28109" xr:uid="{00000000-0005-0000-0000-0000681F0000}"/>
    <cellStyle name="Normal 11 2 2 2 4 4" xfId="19661" xr:uid="{00000000-0005-0000-0000-0000691F0000}"/>
    <cellStyle name="Normal 11 2 2 2 5" xfId="4833" xr:uid="{00000000-0005-0000-0000-00006A1F0000}"/>
    <cellStyle name="Normal 11 2 2 2 5 2" xfId="13281" xr:uid="{00000000-0005-0000-0000-00006B1F0000}"/>
    <cellStyle name="Normal 11 2 2 2 5 2 2" xfId="30221" xr:uid="{00000000-0005-0000-0000-00006C1F0000}"/>
    <cellStyle name="Normal 11 2 2 2 5 3" xfId="21773" xr:uid="{00000000-0005-0000-0000-00006D1F0000}"/>
    <cellStyle name="Normal 11 2 2 2 6" xfId="9057" xr:uid="{00000000-0005-0000-0000-00006E1F0000}"/>
    <cellStyle name="Normal 11 2 2 2 6 2" xfId="25997" xr:uid="{00000000-0005-0000-0000-00006F1F0000}"/>
    <cellStyle name="Normal 11 2 2 2 7" xfId="17549" xr:uid="{00000000-0005-0000-0000-0000701F0000}"/>
    <cellStyle name="Normal 11 2 2 3" xfId="777" xr:uid="{00000000-0005-0000-0000-0000711F0000}"/>
    <cellStyle name="Normal 11 2 2 3 2" xfId="1839" xr:uid="{00000000-0005-0000-0000-0000721F0000}"/>
    <cellStyle name="Normal 11 2 2 3 2 2" xfId="3951" xr:uid="{00000000-0005-0000-0000-0000731F0000}"/>
    <cellStyle name="Normal 11 2 2 3 2 2 2" xfId="8177" xr:uid="{00000000-0005-0000-0000-0000741F0000}"/>
    <cellStyle name="Normal 11 2 2 3 2 2 2 2" xfId="16625" xr:uid="{00000000-0005-0000-0000-0000751F0000}"/>
    <cellStyle name="Normal 11 2 2 3 2 2 2 2 2" xfId="33565" xr:uid="{00000000-0005-0000-0000-0000761F0000}"/>
    <cellStyle name="Normal 11 2 2 3 2 2 2 3" xfId="25117" xr:uid="{00000000-0005-0000-0000-0000771F0000}"/>
    <cellStyle name="Normal 11 2 2 3 2 2 3" xfId="12401" xr:uid="{00000000-0005-0000-0000-0000781F0000}"/>
    <cellStyle name="Normal 11 2 2 3 2 2 3 2" xfId="29341" xr:uid="{00000000-0005-0000-0000-0000791F0000}"/>
    <cellStyle name="Normal 11 2 2 3 2 2 4" xfId="20893" xr:uid="{00000000-0005-0000-0000-00007A1F0000}"/>
    <cellStyle name="Normal 11 2 2 3 2 3" xfId="6065" xr:uid="{00000000-0005-0000-0000-00007B1F0000}"/>
    <cellStyle name="Normal 11 2 2 3 2 3 2" xfId="14513" xr:uid="{00000000-0005-0000-0000-00007C1F0000}"/>
    <cellStyle name="Normal 11 2 2 3 2 3 2 2" xfId="31453" xr:uid="{00000000-0005-0000-0000-00007D1F0000}"/>
    <cellStyle name="Normal 11 2 2 3 2 3 3" xfId="23005" xr:uid="{00000000-0005-0000-0000-00007E1F0000}"/>
    <cellStyle name="Normal 11 2 2 3 2 4" xfId="10289" xr:uid="{00000000-0005-0000-0000-00007F1F0000}"/>
    <cellStyle name="Normal 11 2 2 3 2 4 2" xfId="27229" xr:uid="{00000000-0005-0000-0000-0000801F0000}"/>
    <cellStyle name="Normal 11 2 2 3 2 5" xfId="18781" xr:uid="{00000000-0005-0000-0000-0000811F0000}"/>
    <cellStyle name="Normal 11 2 2 3 3" xfId="2895" xr:uid="{00000000-0005-0000-0000-0000821F0000}"/>
    <cellStyle name="Normal 11 2 2 3 3 2" xfId="7121" xr:uid="{00000000-0005-0000-0000-0000831F0000}"/>
    <cellStyle name="Normal 11 2 2 3 3 2 2" xfId="15569" xr:uid="{00000000-0005-0000-0000-0000841F0000}"/>
    <cellStyle name="Normal 11 2 2 3 3 2 2 2" xfId="32509" xr:uid="{00000000-0005-0000-0000-0000851F0000}"/>
    <cellStyle name="Normal 11 2 2 3 3 2 3" xfId="24061" xr:uid="{00000000-0005-0000-0000-0000861F0000}"/>
    <cellStyle name="Normal 11 2 2 3 3 3" xfId="11345" xr:uid="{00000000-0005-0000-0000-0000871F0000}"/>
    <cellStyle name="Normal 11 2 2 3 3 3 2" xfId="28285" xr:uid="{00000000-0005-0000-0000-0000881F0000}"/>
    <cellStyle name="Normal 11 2 2 3 3 4" xfId="19837" xr:uid="{00000000-0005-0000-0000-0000891F0000}"/>
    <cellStyle name="Normal 11 2 2 3 4" xfId="5009" xr:uid="{00000000-0005-0000-0000-00008A1F0000}"/>
    <cellStyle name="Normal 11 2 2 3 4 2" xfId="13457" xr:uid="{00000000-0005-0000-0000-00008B1F0000}"/>
    <cellStyle name="Normal 11 2 2 3 4 2 2" xfId="30397" xr:uid="{00000000-0005-0000-0000-00008C1F0000}"/>
    <cellStyle name="Normal 11 2 2 3 4 3" xfId="21949" xr:uid="{00000000-0005-0000-0000-00008D1F0000}"/>
    <cellStyle name="Normal 11 2 2 3 5" xfId="9233" xr:uid="{00000000-0005-0000-0000-00008E1F0000}"/>
    <cellStyle name="Normal 11 2 2 3 5 2" xfId="26173" xr:uid="{00000000-0005-0000-0000-00008F1F0000}"/>
    <cellStyle name="Normal 11 2 2 3 6" xfId="17725" xr:uid="{00000000-0005-0000-0000-0000901F0000}"/>
    <cellStyle name="Normal 11 2 2 4" xfId="1129" xr:uid="{00000000-0005-0000-0000-0000911F0000}"/>
    <cellStyle name="Normal 11 2 2 4 2" xfId="2191" xr:uid="{00000000-0005-0000-0000-0000921F0000}"/>
    <cellStyle name="Normal 11 2 2 4 2 2" xfId="4303" xr:uid="{00000000-0005-0000-0000-0000931F0000}"/>
    <cellStyle name="Normal 11 2 2 4 2 2 2" xfId="8529" xr:uid="{00000000-0005-0000-0000-0000941F0000}"/>
    <cellStyle name="Normal 11 2 2 4 2 2 2 2" xfId="16977" xr:uid="{00000000-0005-0000-0000-0000951F0000}"/>
    <cellStyle name="Normal 11 2 2 4 2 2 2 2 2" xfId="33917" xr:uid="{00000000-0005-0000-0000-0000961F0000}"/>
    <cellStyle name="Normal 11 2 2 4 2 2 2 3" xfId="25469" xr:uid="{00000000-0005-0000-0000-0000971F0000}"/>
    <cellStyle name="Normal 11 2 2 4 2 2 3" xfId="12753" xr:uid="{00000000-0005-0000-0000-0000981F0000}"/>
    <cellStyle name="Normal 11 2 2 4 2 2 3 2" xfId="29693" xr:uid="{00000000-0005-0000-0000-0000991F0000}"/>
    <cellStyle name="Normal 11 2 2 4 2 2 4" xfId="21245" xr:uid="{00000000-0005-0000-0000-00009A1F0000}"/>
    <cellStyle name="Normal 11 2 2 4 2 3" xfId="6417" xr:uid="{00000000-0005-0000-0000-00009B1F0000}"/>
    <cellStyle name="Normal 11 2 2 4 2 3 2" xfId="14865" xr:uid="{00000000-0005-0000-0000-00009C1F0000}"/>
    <cellStyle name="Normal 11 2 2 4 2 3 2 2" xfId="31805" xr:uid="{00000000-0005-0000-0000-00009D1F0000}"/>
    <cellStyle name="Normal 11 2 2 4 2 3 3" xfId="23357" xr:uid="{00000000-0005-0000-0000-00009E1F0000}"/>
    <cellStyle name="Normal 11 2 2 4 2 4" xfId="10641" xr:uid="{00000000-0005-0000-0000-00009F1F0000}"/>
    <cellStyle name="Normal 11 2 2 4 2 4 2" xfId="27581" xr:uid="{00000000-0005-0000-0000-0000A01F0000}"/>
    <cellStyle name="Normal 11 2 2 4 2 5" xfId="19133" xr:uid="{00000000-0005-0000-0000-0000A11F0000}"/>
    <cellStyle name="Normal 11 2 2 4 3" xfId="3247" xr:uid="{00000000-0005-0000-0000-0000A21F0000}"/>
    <cellStyle name="Normal 11 2 2 4 3 2" xfId="7473" xr:uid="{00000000-0005-0000-0000-0000A31F0000}"/>
    <cellStyle name="Normal 11 2 2 4 3 2 2" xfId="15921" xr:uid="{00000000-0005-0000-0000-0000A41F0000}"/>
    <cellStyle name="Normal 11 2 2 4 3 2 2 2" xfId="32861" xr:uid="{00000000-0005-0000-0000-0000A51F0000}"/>
    <cellStyle name="Normal 11 2 2 4 3 2 3" xfId="24413" xr:uid="{00000000-0005-0000-0000-0000A61F0000}"/>
    <cellStyle name="Normal 11 2 2 4 3 3" xfId="11697" xr:uid="{00000000-0005-0000-0000-0000A71F0000}"/>
    <cellStyle name="Normal 11 2 2 4 3 3 2" xfId="28637" xr:uid="{00000000-0005-0000-0000-0000A81F0000}"/>
    <cellStyle name="Normal 11 2 2 4 3 4" xfId="20189" xr:uid="{00000000-0005-0000-0000-0000A91F0000}"/>
    <cellStyle name="Normal 11 2 2 4 4" xfId="5361" xr:uid="{00000000-0005-0000-0000-0000AA1F0000}"/>
    <cellStyle name="Normal 11 2 2 4 4 2" xfId="13809" xr:uid="{00000000-0005-0000-0000-0000AB1F0000}"/>
    <cellStyle name="Normal 11 2 2 4 4 2 2" xfId="30749" xr:uid="{00000000-0005-0000-0000-0000AC1F0000}"/>
    <cellStyle name="Normal 11 2 2 4 4 3" xfId="22301" xr:uid="{00000000-0005-0000-0000-0000AD1F0000}"/>
    <cellStyle name="Normal 11 2 2 4 5" xfId="9585" xr:uid="{00000000-0005-0000-0000-0000AE1F0000}"/>
    <cellStyle name="Normal 11 2 2 4 5 2" xfId="26525" xr:uid="{00000000-0005-0000-0000-0000AF1F0000}"/>
    <cellStyle name="Normal 11 2 2 4 6" xfId="18077" xr:uid="{00000000-0005-0000-0000-0000B01F0000}"/>
    <cellStyle name="Normal 11 2 2 5" xfId="1311" xr:uid="{00000000-0005-0000-0000-0000B11F0000}"/>
    <cellStyle name="Normal 11 2 2 5 2" xfId="2367" xr:uid="{00000000-0005-0000-0000-0000B21F0000}"/>
    <cellStyle name="Normal 11 2 2 5 2 2" xfId="4479" xr:uid="{00000000-0005-0000-0000-0000B31F0000}"/>
    <cellStyle name="Normal 11 2 2 5 2 2 2" xfId="8705" xr:uid="{00000000-0005-0000-0000-0000B41F0000}"/>
    <cellStyle name="Normal 11 2 2 5 2 2 2 2" xfId="17153" xr:uid="{00000000-0005-0000-0000-0000B51F0000}"/>
    <cellStyle name="Normal 11 2 2 5 2 2 2 2 2" xfId="34093" xr:uid="{00000000-0005-0000-0000-0000B61F0000}"/>
    <cellStyle name="Normal 11 2 2 5 2 2 2 3" xfId="25645" xr:uid="{00000000-0005-0000-0000-0000B71F0000}"/>
    <cellStyle name="Normal 11 2 2 5 2 2 3" xfId="12929" xr:uid="{00000000-0005-0000-0000-0000B81F0000}"/>
    <cellStyle name="Normal 11 2 2 5 2 2 3 2" xfId="29869" xr:uid="{00000000-0005-0000-0000-0000B91F0000}"/>
    <cellStyle name="Normal 11 2 2 5 2 2 4" xfId="21421" xr:uid="{00000000-0005-0000-0000-0000BA1F0000}"/>
    <cellStyle name="Normal 11 2 2 5 2 3" xfId="6593" xr:uid="{00000000-0005-0000-0000-0000BB1F0000}"/>
    <cellStyle name="Normal 11 2 2 5 2 3 2" xfId="15041" xr:uid="{00000000-0005-0000-0000-0000BC1F0000}"/>
    <cellStyle name="Normal 11 2 2 5 2 3 2 2" xfId="31981" xr:uid="{00000000-0005-0000-0000-0000BD1F0000}"/>
    <cellStyle name="Normal 11 2 2 5 2 3 3" xfId="23533" xr:uid="{00000000-0005-0000-0000-0000BE1F0000}"/>
    <cellStyle name="Normal 11 2 2 5 2 4" xfId="10817" xr:uid="{00000000-0005-0000-0000-0000BF1F0000}"/>
    <cellStyle name="Normal 11 2 2 5 2 4 2" xfId="27757" xr:uid="{00000000-0005-0000-0000-0000C01F0000}"/>
    <cellStyle name="Normal 11 2 2 5 2 5" xfId="19309" xr:uid="{00000000-0005-0000-0000-0000C11F0000}"/>
    <cellStyle name="Normal 11 2 2 5 3" xfId="3423" xr:uid="{00000000-0005-0000-0000-0000C21F0000}"/>
    <cellStyle name="Normal 11 2 2 5 3 2" xfId="7649" xr:uid="{00000000-0005-0000-0000-0000C31F0000}"/>
    <cellStyle name="Normal 11 2 2 5 3 2 2" xfId="16097" xr:uid="{00000000-0005-0000-0000-0000C41F0000}"/>
    <cellStyle name="Normal 11 2 2 5 3 2 2 2" xfId="33037" xr:uid="{00000000-0005-0000-0000-0000C51F0000}"/>
    <cellStyle name="Normal 11 2 2 5 3 2 3" xfId="24589" xr:uid="{00000000-0005-0000-0000-0000C61F0000}"/>
    <cellStyle name="Normal 11 2 2 5 3 3" xfId="11873" xr:uid="{00000000-0005-0000-0000-0000C71F0000}"/>
    <cellStyle name="Normal 11 2 2 5 3 3 2" xfId="28813" xr:uid="{00000000-0005-0000-0000-0000C81F0000}"/>
    <cellStyle name="Normal 11 2 2 5 3 4" xfId="20365" xr:uid="{00000000-0005-0000-0000-0000C91F0000}"/>
    <cellStyle name="Normal 11 2 2 5 4" xfId="5537" xr:uid="{00000000-0005-0000-0000-0000CA1F0000}"/>
    <cellStyle name="Normal 11 2 2 5 4 2" xfId="13985" xr:uid="{00000000-0005-0000-0000-0000CB1F0000}"/>
    <cellStyle name="Normal 11 2 2 5 4 2 2" xfId="30925" xr:uid="{00000000-0005-0000-0000-0000CC1F0000}"/>
    <cellStyle name="Normal 11 2 2 5 4 3" xfId="22477" xr:uid="{00000000-0005-0000-0000-0000CD1F0000}"/>
    <cellStyle name="Normal 11 2 2 5 5" xfId="9761" xr:uid="{00000000-0005-0000-0000-0000CE1F0000}"/>
    <cellStyle name="Normal 11 2 2 5 5 2" xfId="26701" xr:uid="{00000000-0005-0000-0000-0000CF1F0000}"/>
    <cellStyle name="Normal 11 2 2 5 6" xfId="18253" xr:uid="{00000000-0005-0000-0000-0000D01F0000}"/>
    <cellStyle name="Normal 11 2 2 6" xfId="1487" xr:uid="{00000000-0005-0000-0000-0000D11F0000}"/>
    <cellStyle name="Normal 11 2 2 6 2" xfId="3599" xr:uid="{00000000-0005-0000-0000-0000D21F0000}"/>
    <cellStyle name="Normal 11 2 2 6 2 2" xfId="7825" xr:uid="{00000000-0005-0000-0000-0000D31F0000}"/>
    <cellStyle name="Normal 11 2 2 6 2 2 2" xfId="16273" xr:uid="{00000000-0005-0000-0000-0000D41F0000}"/>
    <cellStyle name="Normal 11 2 2 6 2 2 2 2" xfId="33213" xr:uid="{00000000-0005-0000-0000-0000D51F0000}"/>
    <cellStyle name="Normal 11 2 2 6 2 2 3" xfId="24765" xr:uid="{00000000-0005-0000-0000-0000D61F0000}"/>
    <cellStyle name="Normal 11 2 2 6 2 3" xfId="12049" xr:uid="{00000000-0005-0000-0000-0000D71F0000}"/>
    <cellStyle name="Normal 11 2 2 6 2 3 2" xfId="28989" xr:uid="{00000000-0005-0000-0000-0000D81F0000}"/>
    <cellStyle name="Normal 11 2 2 6 2 4" xfId="20541" xr:uid="{00000000-0005-0000-0000-0000D91F0000}"/>
    <cellStyle name="Normal 11 2 2 6 3" xfId="5713" xr:uid="{00000000-0005-0000-0000-0000DA1F0000}"/>
    <cellStyle name="Normal 11 2 2 6 3 2" xfId="14161" xr:uid="{00000000-0005-0000-0000-0000DB1F0000}"/>
    <cellStyle name="Normal 11 2 2 6 3 2 2" xfId="31101" xr:uid="{00000000-0005-0000-0000-0000DC1F0000}"/>
    <cellStyle name="Normal 11 2 2 6 3 3" xfId="22653" xr:uid="{00000000-0005-0000-0000-0000DD1F0000}"/>
    <cellStyle name="Normal 11 2 2 6 4" xfId="9937" xr:uid="{00000000-0005-0000-0000-0000DE1F0000}"/>
    <cellStyle name="Normal 11 2 2 6 4 2" xfId="26877" xr:uid="{00000000-0005-0000-0000-0000DF1F0000}"/>
    <cellStyle name="Normal 11 2 2 6 5" xfId="18429" xr:uid="{00000000-0005-0000-0000-0000E01F0000}"/>
    <cellStyle name="Normal 11 2 2 7" xfId="2543" xr:uid="{00000000-0005-0000-0000-0000E11F0000}"/>
    <cellStyle name="Normal 11 2 2 7 2" xfId="6769" xr:uid="{00000000-0005-0000-0000-0000E21F0000}"/>
    <cellStyle name="Normal 11 2 2 7 2 2" xfId="15217" xr:uid="{00000000-0005-0000-0000-0000E31F0000}"/>
    <cellStyle name="Normal 11 2 2 7 2 2 2" xfId="32157" xr:uid="{00000000-0005-0000-0000-0000E41F0000}"/>
    <cellStyle name="Normal 11 2 2 7 2 3" xfId="23709" xr:uid="{00000000-0005-0000-0000-0000E51F0000}"/>
    <cellStyle name="Normal 11 2 2 7 3" xfId="10993" xr:uid="{00000000-0005-0000-0000-0000E61F0000}"/>
    <cellStyle name="Normal 11 2 2 7 3 2" xfId="27933" xr:uid="{00000000-0005-0000-0000-0000E71F0000}"/>
    <cellStyle name="Normal 11 2 2 7 4" xfId="19485" xr:uid="{00000000-0005-0000-0000-0000E81F0000}"/>
    <cellStyle name="Normal 11 2 2 8" xfId="4656" xr:uid="{00000000-0005-0000-0000-0000E91F0000}"/>
    <cellStyle name="Normal 11 2 2 8 2" xfId="13105" xr:uid="{00000000-0005-0000-0000-0000EA1F0000}"/>
    <cellStyle name="Normal 11 2 2 8 2 2" xfId="30045" xr:uid="{00000000-0005-0000-0000-0000EB1F0000}"/>
    <cellStyle name="Normal 11 2 2 8 3" xfId="21597" xr:uid="{00000000-0005-0000-0000-0000EC1F0000}"/>
    <cellStyle name="Normal 11 2 2 9" xfId="8881" xr:uid="{00000000-0005-0000-0000-0000ED1F0000}"/>
    <cellStyle name="Normal 11 2 2 9 2" xfId="25821" xr:uid="{00000000-0005-0000-0000-0000EE1F0000}"/>
    <cellStyle name="Normal 11 2 3" xfId="259" xr:uid="{00000000-0005-0000-0000-0000EF1F0000}"/>
    <cellStyle name="Normal 11 2 3 10" xfId="17374" xr:uid="{00000000-0005-0000-0000-0000F01F0000}"/>
    <cellStyle name="Normal 11 2 3 2" xfId="602" xr:uid="{00000000-0005-0000-0000-0000F11F0000}"/>
    <cellStyle name="Normal 11 2 3 2 2" xfId="954" xr:uid="{00000000-0005-0000-0000-0000F21F0000}"/>
    <cellStyle name="Normal 11 2 3 2 2 2" xfId="2016" xr:uid="{00000000-0005-0000-0000-0000F31F0000}"/>
    <cellStyle name="Normal 11 2 3 2 2 2 2" xfId="4128" xr:uid="{00000000-0005-0000-0000-0000F41F0000}"/>
    <cellStyle name="Normal 11 2 3 2 2 2 2 2" xfId="8354" xr:uid="{00000000-0005-0000-0000-0000F51F0000}"/>
    <cellStyle name="Normal 11 2 3 2 2 2 2 2 2" xfId="16802" xr:uid="{00000000-0005-0000-0000-0000F61F0000}"/>
    <cellStyle name="Normal 11 2 3 2 2 2 2 2 2 2" xfId="33742" xr:uid="{00000000-0005-0000-0000-0000F71F0000}"/>
    <cellStyle name="Normal 11 2 3 2 2 2 2 2 3" xfId="25294" xr:uid="{00000000-0005-0000-0000-0000F81F0000}"/>
    <cellStyle name="Normal 11 2 3 2 2 2 2 3" xfId="12578" xr:uid="{00000000-0005-0000-0000-0000F91F0000}"/>
    <cellStyle name="Normal 11 2 3 2 2 2 2 3 2" xfId="29518" xr:uid="{00000000-0005-0000-0000-0000FA1F0000}"/>
    <cellStyle name="Normal 11 2 3 2 2 2 2 4" xfId="21070" xr:uid="{00000000-0005-0000-0000-0000FB1F0000}"/>
    <cellStyle name="Normal 11 2 3 2 2 2 3" xfId="6242" xr:uid="{00000000-0005-0000-0000-0000FC1F0000}"/>
    <cellStyle name="Normal 11 2 3 2 2 2 3 2" xfId="14690" xr:uid="{00000000-0005-0000-0000-0000FD1F0000}"/>
    <cellStyle name="Normal 11 2 3 2 2 2 3 2 2" xfId="31630" xr:uid="{00000000-0005-0000-0000-0000FE1F0000}"/>
    <cellStyle name="Normal 11 2 3 2 2 2 3 3" xfId="23182" xr:uid="{00000000-0005-0000-0000-0000FF1F0000}"/>
    <cellStyle name="Normal 11 2 3 2 2 2 4" xfId="10466" xr:uid="{00000000-0005-0000-0000-000000200000}"/>
    <cellStyle name="Normal 11 2 3 2 2 2 4 2" xfId="27406" xr:uid="{00000000-0005-0000-0000-000001200000}"/>
    <cellStyle name="Normal 11 2 3 2 2 2 5" xfId="18958" xr:uid="{00000000-0005-0000-0000-000002200000}"/>
    <cellStyle name="Normal 11 2 3 2 2 3" xfId="3072" xr:uid="{00000000-0005-0000-0000-000003200000}"/>
    <cellStyle name="Normal 11 2 3 2 2 3 2" xfId="7298" xr:uid="{00000000-0005-0000-0000-000004200000}"/>
    <cellStyle name="Normal 11 2 3 2 2 3 2 2" xfId="15746" xr:uid="{00000000-0005-0000-0000-000005200000}"/>
    <cellStyle name="Normal 11 2 3 2 2 3 2 2 2" xfId="32686" xr:uid="{00000000-0005-0000-0000-000006200000}"/>
    <cellStyle name="Normal 11 2 3 2 2 3 2 3" xfId="24238" xr:uid="{00000000-0005-0000-0000-000007200000}"/>
    <cellStyle name="Normal 11 2 3 2 2 3 3" xfId="11522" xr:uid="{00000000-0005-0000-0000-000008200000}"/>
    <cellStyle name="Normal 11 2 3 2 2 3 3 2" xfId="28462" xr:uid="{00000000-0005-0000-0000-000009200000}"/>
    <cellStyle name="Normal 11 2 3 2 2 3 4" xfId="20014" xr:uid="{00000000-0005-0000-0000-00000A200000}"/>
    <cellStyle name="Normal 11 2 3 2 2 4" xfId="5186" xr:uid="{00000000-0005-0000-0000-00000B200000}"/>
    <cellStyle name="Normal 11 2 3 2 2 4 2" xfId="13634" xr:uid="{00000000-0005-0000-0000-00000C200000}"/>
    <cellStyle name="Normal 11 2 3 2 2 4 2 2" xfId="30574" xr:uid="{00000000-0005-0000-0000-00000D200000}"/>
    <cellStyle name="Normal 11 2 3 2 2 4 3" xfId="22126" xr:uid="{00000000-0005-0000-0000-00000E200000}"/>
    <cellStyle name="Normal 11 2 3 2 2 5" xfId="9410" xr:uid="{00000000-0005-0000-0000-00000F200000}"/>
    <cellStyle name="Normal 11 2 3 2 2 5 2" xfId="26350" xr:uid="{00000000-0005-0000-0000-000010200000}"/>
    <cellStyle name="Normal 11 2 3 2 2 6" xfId="17902" xr:uid="{00000000-0005-0000-0000-000011200000}"/>
    <cellStyle name="Normal 11 2 3 2 3" xfId="1664" xr:uid="{00000000-0005-0000-0000-000012200000}"/>
    <cellStyle name="Normal 11 2 3 2 3 2" xfId="3776" xr:uid="{00000000-0005-0000-0000-000013200000}"/>
    <cellStyle name="Normal 11 2 3 2 3 2 2" xfId="8002" xr:uid="{00000000-0005-0000-0000-000014200000}"/>
    <cellStyle name="Normal 11 2 3 2 3 2 2 2" xfId="16450" xr:uid="{00000000-0005-0000-0000-000015200000}"/>
    <cellStyle name="Normal 11 2 3 2 3 2 2 2 2" xfId="33390" xr:uid="{00000000-0005-0000-0000-000016200000}"/>
    <cellStyle name="Normal 11 2 3 2 3 2 2 3" xfId="24942" xr:uid="{00000000-0005-0000-0000-000017200000}"/>
    <cellStyle name="Normal 11 2 3 2 3 2 3" xfId="12226" xr:uid="{00000000-0005-0000-0000-000018200000}"/>
    <cellStyle name="Normal 11 2 3 2 3 2 3 2" xfId="29166" xr:uid="{00000000-0005-0000-0000-000019200000}"/>
    <cellStyle name="Normal 11 2 3 2 3 2 4" xfId="20718" xr:uid="{00000000-0005-0000-0000-00001A200000}"/>
    <cellStyle name="Normal 11 2 3 2 3 3" xfId="5890" xr:uid="{00000000-0005-0000-0000-00001B200000}"/>
    <cellStyle name="Normal 11 2 3 2 3 3 2" xfId="14338" xr:uid="{00000000-0005-0000-0000-00001C200000}"/>
    <cellStyle name="Normal 11 2 3 2 3 3 2 2" xfId="31278" xr:uid="{00000000-0005-0000-0000-00001D200000}"/>
    <cellStyle name="Normal 11 2 3 2 3 3 3" xfId="22830" xr:uid="{00000000-0005-0000-0000-00001E200000}"/>
    <cellStyle name="Normal 11 2 3 2 3 4" xfId="10114" xr:uid="{00000000-0005-0000-0000-00001F200000}"/>
    <cellStyle name="Normal 11 2 3 2 3 4 2" xfId="27054" xr:uid="{00000000-0005-0000-0000-000020200000}"/>
    <cellStyle name="Normal 11 2 3 2 3 5" xfId="18606" xr:uid="{00000000-0005-0000-0000-000021200000}"/>
    <cellStyle name="Normal 11 2 3 2 4" xfId="2720" xr:uid="{00000000-0005-0000-0000-000022200000}"/>
    <cellStyle name="Normal 11 2 3 2 4 2" xfId="6946" xr:uid="{00000000-0005-0000-0000-000023200000}"/>
    <cellStyle name="Normal 11 2 3 2 4 2 2" xfId="15394" xr:uid="{00000000-0005-0000-0000-000024200000}"/>
    <cellStyle name="Normal 11 2 3 2 4 2 2 2" xfId="32334" xr:uid="{00000000-0005-0000-0000-000025200000}"/>
    <cellStyle name="Normal 11 2 3 2 4 2 3" xfId="23886" xr:uid="{00000000-0005-0000-0000-000026200000}"/>
    <cellStyle name="Normal 11 2 3 2 4 3" xfId="11170" xr:uid="{00000000-0005-0000-0000-000027200000}"/>
    <cellStyle name="Normal 11 2 3 2 4 3 2" xfId="28110" xr:uid="{00000000-0005-0000-0000-000028200000}"/>
    <cellStyle name="Normal 11 2 3 2 4 4" xfId="19662" xr:uid="{00000000-0005-0000-0000-000029200000}"/>
    <cellStyle name="Normal 11 2 3 2 5" xfId="4834" xr:uid="{00000000-0005-0000-0000-00002A200000}"/>
    <cellStyle name="Normal 11 2 3 2 5 2" xfId="13282" xr:uid="{00000000-0005-0000-0000-00002B200000}"/>
    <cellStyle name="Normal 11 2 3 2 5 2 2" xfId="30222" xr:uid="{00000000-0005-0000-0000-00002C200000}"/>
    <cellStyle name="Normal 11 2 3 2 5 3" xfId="21774" xr:uid="{00000000-0005-0000-0000-00002D200000}"/>
    <cellStyle name="Normal 11 2 3 2 6" xfId="9058" xr:uid="{00000000-0005-0000-0000-00002E200000}"/>
    <cellStyle name="Normal 11 2 3 2 6 2" xfId="25998" xr:uid="{00000000-0005-0000-0000-00002F200000}"/>
    <cellStyle name="Normal 11 2 3 2 7" xfId="17550" xr:uid="{00000000-0005-0000-0000-000030200000}"/>
    <cellStyle name="Normal 11 2 3 3" xfId="778" xr:uid="{00000000-0005-0000-0000-000031200000}"/>
    <cellStyle name="Normal 11 2 3 3 2" xfId="1840" xr:uid="{00000000-0005-0000-0000-000032200000}"/>
    <cellStyle name="Normal 11 2 3 3 2 2" xfId="3952" xr:uid="{00000000-0005-0000-0000-000033200000}"/>
    <cellStyle name="Normal 11 2 3 3 2 2 2" xfId="8178" xr:uid="{00000000-0005-0000-0000-000034200000}"/>
    <cellStyle name="Normal 11 2 3 3 2 2 2 2" xfId="16626" xr:uid="{00000000-0005-0000-0000-000035200000}"/>
    <cellStyle name="Normal 11 2 3 3 2 2 2 2 2" xfId="33566" xr:uid="{00000000-0005-0000-0000-000036200000}"/>
    <cellStyle name="Normal 11 2 3 3 2 2 2 3" xfId="25118" xr:uid="{00000000-0005-0000-0000-000037200000}"/>
    <cellStyle name="Normal 11 2 3 3 2 2 3" xfId="12402" xr:uid="{00000000-0005-0000-0000-000038200000}"/>
    <cellStyle name="Normal 11 2 3 3 2 2 3 2" xfId="29342" xr:uid="{00000000-0005-0000-0000-000039200000}"/>
    <cellStyle name="Normal 11 2 3 3 2 2 4" xfId="20894" xr:uid="{00000000-0005-0000-0000-00003A200000}"/>
    <cellStyle name="Normal 11 2 3 3 2 3" xfId="6066" xr:uid="{00000000-0005-0000-0000-00003B200000}"/>
    <cellStyle name="Normal 11 2 3 3 2 3 2" xfId="14514" xr:uid="{00000000-0005-0000-0000-00003C200000}"/>
    <cellStyle name="Normal 11 2 3 3 2 3 2 2" xfId="31454" xr:uid="{00000000-0005-0000-0000-00003D200000}"/>
    <cellStyle name="Normal 11 2 3 3 2 3 3" xfId="23006" xr:uid="{00000000-0005-0000-0000-00003E200000}"/>
    <cellStyle name="Normal 11 2 3 3 2 4" xfId="10290" xr:uid="{00000000-0005-0000-0000-00003F200000}"/>
    <cellStyle name="Normal 11 2 3 3 2 4 2" xfId="27230" xr:uid="{00000000-0005-0000-0000-000040200000}"/>
    <cellStyle name="Normal 11 2 3 3 2 5" xfId="18782" xr:uid="{00000000-0005-0000-0000-000041200000}"/>
    <cellStyle name="Normal 11 2 3 3 3" xfId="2896" xr:uid="{00000000-0005-0000-0000-000042200000}"/>
    <cellStyle name="Normal 11 2 3 3 3 2" xfId="7122" xr:uid="{00000000-0005-0000-0000-000043200000}"/>
    <cellStyle name="Normal 11 2 3 3 3 2 2" xfId="15570" xr:uid="{00000000-0005-0000-0000-000044200000}"/>
    <cellStyle name="Normal 11 2 3 3 3 2 2 2" xfId="32510" xr:uid="{00000000-0005-0000-0000-000045200000}"/>
    <cellStyle name="Normal 11 2 3 3 3 2 3" xfId="24062" xr:uid="{00000000-0005-0000-0000-000046200000}"/>
    <cellStyle name="Normal 11 2 3 3 3 3" xfId="11346" xr:uid="{00000000-0005-0000-0000-000047200000}"/>
    <cellStyle name="Normal 11 2 3 3 3 3 2" xfId="28286" xr:uid="{00000000-0005-0000-0000-000048200000}"/>
    <cellStyle name="Normal 11 2 3 3 3 4" xfId="19838" xr:uid="{00000000-0005-0000-0000-000049200000}"/>
    <cellStyle name="Normal 11 2 3 3 4" xfId="5010" xr:uid="{00000000-0005-0000-0000-00004A200000}"/>
    <cellStyle name="Normal 11 2 3 3 4 2" xfId="13458" xr:uid="{00000000-0005-0000-0000-00004B200000}"/>
    <cellStyle name="Normal 11 2 3 3 4 2 2" xfId="30398" xr:uid="{00000000-0005-0000-0000-00004C200000}"/>
    <cellStyle name="Normal 11 2 3 3 4 3" xfId="21950" xr:uid="{00000000-0005-0000-0000-00004D200000}"/>
    <cellStyle name="Normal 11 2 3 3 5" xfId="9234" xr:uid="{00000000-0005-0000-0000-00004E200000}"/>
    <cellStyle name="Normal 11 2 3 3 5 2" xfId="26174" xr:uid="{00000000-0005-0000-0000-00004F200000}"/>
    <cellStyle name="Normal 11 2 3 3 6" xfId="17726" xr:uid="{00000000-0005-0000-0000-000050200000}"/>
    <cellStyle name="Normal 11 2 3 4" xfId="1130" xr:uid="{00000000-0005-0000-0000-000051200000}"/>
    <cellStyle name="Normal 11 2 3 4 2" xfId="2192" xr:uid="{00000000-0005-0000-0000-000052200000}"/>
    <cellStyle name="Normal 11 2 3 4 2 2" xfId="4304" xr:uid="{00000000-0005-0000-0000-000053200000}"/>
    <cellStyle name="Normal 11 2 3 4 2 2 2" xfId="8530" xr:uid="{00000000-0005-0000-0000-000054200000}"/>
    <cellStyle name="Normal 11 2 3 4 2 2 2 2" xfId="16978" xr:uid="{00000000-0005-0000-0000-000055200000}"/>
    <cellStyle name="Normal 11 2 3 4 2 2 2 2 2" xfId="33918" xr:uid="{00000000-0005-0000-0000-000056200000}"/>
    <cellStyle name="Normal 11 2 3 4 2 2 2 3" xfId="25470" xr:uid="{00000000-0005-0000-0000-000057200000}"/>
    <cellStyle name="Normal 11 2 3 4 2 2 3" xfId="12754" xr:uid="{00000000-0005-0000-0000-000058200000}"/>
    <cellStyle name="Normal 11 2 3 4 2 2 3 2" xfId="29694" xr:uid="{00000000-0005-0000-0000-000059200000}"/>
    <cellStyle name="Normal 11 2 3 4 2 2 4" xfId="21246" xr:uid="{00000000-0005-0000-0000-00005A200000}"/>
    <cellStyle name="Normal 11 2 3 4 2 3" xfId="6418" xr:uid="{00000000-0005-0000-0000-00005B200000}"/>
    <cellStyle name="Normal 11 2 3 4 2 3 2" xfId="14866" xr:uid="{00000000-0005-0000-0000-00005C200000}"/>
    <cellStyle name="Normal 11 2 3 4 2 3 2 2" xfId="31806" xr:uid="{00000000-0005-0000-0000-00005D200000}"/>
    <cellStyle name="Normal 11 2 3 4 2 3 3" xfId="23358" xr:uid="{00000000-0005-0000-0000-00005E200000}"/>
    <cellStyle name="Normal 11 2 3 4 2 4" xfId="10642" xr:uid="{00000000-0005-0000-0000-00005F200000}"/>
    <cellStyle name="Normal 11 2 3 4 2 4 2" xfId="27582" xr:uid="{00000000-0005-0000-0000-000060200000}"/>
    <cellStyle name="Normal 11 2 3 4 2 5" xfId="19134" xr:uid="{00000000-0005-0000-0000-000061200000}"/>
    <cellStyle name="Normal 11 2 3 4 3" xfId="3248" xr:uid="{00000000-0005-0000-0000-000062200000}"/>
    <cellStyle name="Normal 11 2 3 4 3 2" xfId="7474" xr:uid="{00000000-0005-0000-0000-000063200000}"/>
    <cellStyle name="Normal 11 2 3 4 3 2 2" xfId="15922" xr:uid="{00000000-0005-0000-0000-000064200000}"/>
    <cellStyle name="Normal 11 2 3 4 3 2 2 2" xfId="32862" xr:uid="{00000000-0005-0000-0000-000065200000}"/>
    <cellStyle name="Normal 11 2 3 4 3 2 3" xfId="24414" xr:uid="{00000000-0005-0000-0000-000066200000}"/>
    <cellStyle name="Normal 11 2 3 4 3 3" xfId="11698" xr:uid="{00000000-0005-0000-0000-000067200000}"/>
    <cellStyle name="Normal 11 2 3 4 3 3 2" xfId="28638" xr:uid="{00000000-0005-0000-0000-000068200000}"/>
    <cellStyle name="Normal 11 2 3 4 3 4" xfId="20190" xr:uid="{00000000-0005-0000-0000-000069200000}"/>
    <cellStyle name="Normal 11 2 3 4 4" xfId="5362" xr:uid="{00000000-0005-0000-0000-00006A200000}"/>
    <cellStyle name="Normal 11 2 3 4 4 2" xfId="13810" xr:uid="{00000000-0005-0000-0000-00006B200000}"/>
    <cellStyle name="Normal 11 2 3 4 4 2 2" xfId="30750" xr:uid="{00000000-0005-0000-0000-00006C200000}"/>
    <cellStyle name="Normal 11 2 3 4 4 3" xfId="22302" xr:uid="{00000000-0005-0000-0000-00006D200000}"/>
    <cellStyle name="Normal 11 2 3 4 5" xfId="9586" xr:uid="{00000000-0005-0000-0000-00006E200000}"/>
    <cellStyle name="Normal 11 2 3 4 5 2" xfId="26526" xr:uid="{00000000-0005-0000-0000-00006F200000}"/>
    <cellStyle name="Normal 11 2 3 4 6" xfId="18078" xr:uid="{00000000-0005-0000-0000-000070200000}"/>
    <cellStyle name="Normal 11 2 3 5" xfId="1312" xr:uid="{00000000-0005-0000-0000-000071200000}"/>
    <cellStyle name="Normal 11 2 3 5 2" xfId="2368" xr:uid="{00000000-0005-0000-0000-000072200000}"/>
    <cellStyle name="Normal 11 2 3 5 2 2" xfId="4480" xr:uid="{00000000-0005-0000-0000-000073200000}"/>
    <cellStyle name="Normal 11 2 3 5 2 2 2" xfId="8706" xr:uid="{00000000-0005-0000-0000-000074200000}"/>
    <cellStyle name="Normal 11 2 3 5 2 2 2 2" xfId="17154" xr:uid="{00000000-0005-0000-0000-000075200000}"/>
    <cellStyle name="Normal 11 2 3 5 2 2 2 2 2" xfId="34094" xr:uid="{00000000-0005-0000-0000-000076200000}"/>
    <cellStyle name="Normal 11 2 3 5 2 2 2 3" xfId="25646" xr:uid="{00000000-0005-0000-0000-000077200000}"/>
    <cellStyle name="Normal 11 2 3 5 2 2 3" xfId="12930" xr:uid="{00000000-0005-0000-0000-000078200000}"/>
    <cellStyle name="Normal 11 2 3 5 2 2 3 2" xfId="29870" xr:uid="{00000000-0005-0000-0000-000079200000}"/>
    <cellStyle name="Normal 11 2 3 5 2 2 4" xfId="21422" xr:uid="{00000000-0005-0000-0000-00007A200000}"/>
    <cellStyle name="Normal 11 2 3 5 2 3" xfId="6594" xr:uid="{00000000-0005-0000-0000-00007B200000}"/>
    <cellStyle name="Normal 11 2 3 5 2 3 2" xfId="15042" xr:uid="{00000000-0005-0000-0000-00007C200000}"/>
    <cellStyle name="Normal 11 2 3 5 2 3 2 2" xfId="31982" xr:uid="{00000000-0005-0000-0000-00007D200000}"/>
    <cellStyle name="Normal 11 2 3 5 2 3 3" xfId="23534" xr:uid="{00000000-0005-0000-0000-00007E200000}"/>
    <cellStyle name="Normal 11 2 3 5 2 4" xfId="10818" xr:uid="{00000000-0005-0000-0000-00007F200000}"/>
    <cellStyle name="Normal 11 2 3 5 2 4 2" xfId="27758" xr:uid="{00000000-0005-0000-0000-000080200000}"/>
    <cellStyle name="Normal 11 2 3 5 2 5" xfId="19310" xr:uid="{00000000-0005-0000-0000-000081200000}"/>
    <cellStyle name="Normal 11 2 3 5 3" xfId="3424" xr:uid="{00000000-0005-0000-0000-000082200000}"/>
    <cellStyle name="Normal 11 2 3 5 3 2" xfId="7650" xr:uid="{00000000-0005-0000-0000-000083200000}"/>
    <cellStyle name="Normal 11 2 3 5 3 2 2" xfId="16098" xr:uid="{00000000-0005-0000-0000-000084200000}"/>
    <cellStyle name="Normal 11 2 3 5 3 2 2 2" xfId="33038" xr:uid="{00000000-0005-0000-0000-000085200000}"/>
    <cellStyle name="Normal 11 2 3 5 3 2 3" xfId="24590" xr:uid="{00000000-0005-0000-0000-000086200000}"/>
    <cellStyle name="Normal 11 2 3 5 3 3" xfId="11874" xr:uid="{00000000-0005-0000-0000-000087200000}"/>
    <cellStyle name="Normal 11 2 3 5 3 3 2" xfId="28814" xr:uid="{00000000-0005-0000-0000-000088200000}"/>
    <cellStyle name="Normal 11 2 3 5 3 4" xfId="20366" xr:uid="{00000000-0005-0000-0000-000089200000}"/>
    <cellStyle name="Normal 11 2 3 5 4" xfId="5538" xr:uid="{00000000-0005-0000-0000-00008A200000}"/>
    <cellStyle name="Normal 11 2 3 5 4 2" xfId="13986" xr:uid="{00000000-0005-0000-0000-00008B200000}"/>
    <cellStyle name="Normal 11 2 3 5 4 2 2" xfId="30926" xr:uid="{00000000-0005-0000-0000-00008C200000}"/>
    <cellStyle name="Normal 11 2 3 5 4 3" xfId="22478" xr:uid="{00000000-0005-0000-0000-00008D200000}"/>
    <cellStyle name="Normal 11 2 3 5 5" xfId="9762" xr:uid="{00000000-0005-0000-0000-00008E200000}"/>
    <cellStyle name="Normal 11 2 3 5 5 2" xfId="26702" xr:uid="{00000000-0005-0000-0000-00008F200000}"/>
    <cellStyle name="Normal 11 2 3 5 6" xfId="18254" xr:uid="{00000000-0005-0000-0000-000090200000}"/>
    <cellStyle name="Normal 11 2 3 6" xfId="1488" xr:uid="{00000000-0005-0000-0000-000091200000}"/>
    <cellStyle name="Normal 11 2 3 6 2" xfId="3600" xr:uid="{00000000-0005-0000-0000-000092200000}"/>
    <cellStyle name="Normal 11 2 3 6 2 2" xfId="7826" xr:uid="{00000000-0005-0000-0000-000093200000}"/>
    <cellStyle name="Normal 11 2 3 6 2 2 2" xfId="16274" xr:uid="{00000000-0005-0000-0000-000094200000}"/>
    <cellStyle name="Normal 11 2 3 6 2 2 2 2" xfId="33214" xr:uid="{00000000-0005-0000-0000-000095200000}"/>
    <cellStyle name="Normal 11 2 3 6 2 2 3" xfId="24766" xr:uid="{00000000-0005-0000-0000-000096200000}"/>
    <cellStyle name="Normal 11 2 3 6 2 3" xfId="12050" xr:uid="{00000000-0005-0000-0000-000097200000}"/>
    <cellStyle name="Normal 11 2 3 6 2 3 2" xfId="28990" xr:uid="{00000000-0005-0000-0000-000098200000}"/>
    <cellStyle name="Normal 11 2 3 6 2 4" xfId="20542" xr:uid="{00000000-0005-0000-0000-000099200000}"/>
    <cellStyle name="Normal 11 2 3 6 3" xfId="5714" xr:uid="{00000000-0005-0000-0000-00009A200000}"/>
    <cellStyle name="Normal 11 2 3 6 3 2" xfId="14162" xr:uid="{00000000-0005-0000-0000-00009B200000}"/>
    <cellStyle name="Normal 11 2 3 6 3 2 2" xfId="31102" xr:uid="{00000000-0005-0000-0000-00009C200000}"/>
    <cellStyle name="Normal 11 2 3 6 3 3" xfId="22654" xr:uid="{00000000-0005-0000-0000-00009D200000}"/>
    <cellStyle name="Normal 11 2 3 6 4" xfId="9938" xr:uid="{00000000-0005-0000-0000-00009E200000}"/>
    <cellStyle name="Normal 11 2 3 6 4 2" xfId="26878" xr:uid="{00000000-0005-0000-0000-00009F200000}"/>
    <cellStyle name="Normal 11 2 3 6 5" xfId="18430" xr:uid="{00000000-0005-0000-0000-0000A0200000}"/>
    <cellStyle name="Normal 11 2 3 7" xfId="2544" xr:uid="{00000000-0005-0000-0000-0000A1200000}"/>
    <cellStyle name="Normal 11 2 3 7 2" xfId="6770" xr:uid="{00000000-0005-0000-0000-0000A2200000}"/>
    <cellStyle name="Normal 11 2 3 7 2 2" xfId="15218" xr:uid="{00000000-0005-0000-0000-0000A3200000}"/>
    <cellStyle name="Normal 11 2 3 7 2 2 2" xfId="32158" xr:uid="{00000000-0005-0000-0000-0000A4200000}"/>
    <cellStyle name="Normal 11 2 3 7 2 3" xfId="23710" xr:uid="{00000000-0005-0000-0000-0000A5200000}"/>
    <cellStyle name="Normal 11 2 3 7 3" xfId="10994" xr:uid="{00000000-0005-0000-0000-0000A6200000}"/>
    <cellStyle name="Normal 11 2 3 7 3 2" xfId="27934" xr:uid="{00000000-0005-0000-0000-0000A7200000}"/>
    <cellStyle name="Normal 11 2 3 7 4" xfId="19486" xr:uid="{00000000-0005-0000-0000-0000A8200000}"/>
    <cellStyle name="Normal 11 2 3 8" xfId="4657" xr:uid="{00000000-0005-0000-0000-0000A9200000}"/>
    <cellStyle name="Normal 11 2 3 8 2" xfId="13106" xr:uid="{00000000-0005-0000-0000-0000AA200000}"/>
    <cellStyle name="Normal 11 2 3 8 2 2" xfId="30046" xr:uid="{00000000-0005-0000-0000-0000AB200000}"/>
    <cellStyle name="Normal 11 2 3 8 3" xfId="21598" xr:uid="{00000000-0005-0000-0000-0000AC200000}"/>
    <cellStyle name="Normal 11 2 3 9" xfId="8882" xr:uid="{00000000-0005-0000-0000-0000AD200000}"/>
    <cellStyle name="Normal 11 2 3 9 2" xfId="25822" xr:uid="{00000000-0005-0000-0000-0000AE200000}"/>
    <cellStyle name="Normal 11 2 4" xfId="600" xr:uid="{00000000-0005-0000-0000-0000AF200000}"/>
    <cellStyle name="Normal 11 2 4 2" xfId="952" xr:uid="{00000000-0005-0000-0000-0000B0200000}"/>
    <cellStyle name="Normal 11 2 4 2 2" xfId="2014" xr:uid="{00000000-0005-0000-0000-0000B1200000}"/>
    <cellStyle name="Normal 11 2 4 2 2 2" xfId="4126" xr:uid="{00000000-0005-0000-0000-0000B2200000}"/>
    <cellStyle name="Normal 11 2 4 2 2 2 2" xfId="8352" xr:uid="{00000000-0005-0000-0000-0000B3200000}"/>
    <cellStyle name="Normal 11 2 4 2 2 2 2 2" xfId="16800" xr:uid="{00000000-0005-0000-0000-0000B4200000}"/>
    <cellStyle name="Normal 11 2 4 2 2 2 2 2 2" xfId="33740" xr:uid="{00000000-0005-0000-0000-0000B5200000}"/>
    <cellStyle name="Normal 11 2 4 2 2 2 2 3" xfId="25292" xr:uid="{00000000-0005-0000-0000-0000B6200000}"/>
    <cellStyle name="Normal 11 2 4 2 2 2 3" xfId="12576" xr:uid="{00000000-0005-0000-0000-0000B7200000}"/>
    <cellStyle name="Normal 11 2 4 2 2 2 3 2" xfId="29516" xr:uid="{00000000-0005-0000-0000-0000B8200000}"/>
    <cellStyle name="Normal 11 2 4 2 2 2 4" xfId="21068" xr:uid="{00000000-0005-0000-0000-0000B9200000}"/>
    <cellStyle name="Normal 11 2 4 2 2 3" xfId="6240" xr:uid="{00000000-0005-0000-0000-0000BA200000}"/>
    <cellStyle name="Normal 11 2 4 2 2 3 2" xfId="14688" xr:uid="{00000000-0005-0000-0000-0000BB200000}"/>
    <cellStyle name="Normal 11 2 4 2 2 3 2 2" xfId="31628" xr:uid="{00000000-0005-0000-0000-0000BC200000}"/>
    <cellStyle name="Normal 11 2 4 2 2 3 3" xfId="23180" xr:uid="{00000000-0005-0000-0000-0000BD200000}"/>
    <cellStyle name="Normal 11 2 4 2 2 4" xfId="10464" xr:uid="{00000000-0005-0000-0000-0000BE200000}"/>
    <cellStyle name="Normal 11 2 4 2 2 4 2" xfId="27404" xr:uid="{00000000-0005-0000-0000-0000BF200000}"/>
    <cellStyle name="Normal 11 2 4 2 2 5" xfId="18956" xr:uid="{00000000-0005-0000-0000-0000C0200000}"/>
    <cellStyle name="Normal 11 2 4 2 3" xfId="3070" xr:uid="{00000000-0005-0000-0000-0000C1200000}"/>
    <cellStyle name="Normal 11 2 4 2 3 2" xfId="7296" xr:uid="{00000000-0005-0000-0000-0000C2200000}"/>
    <cellStyle name="Normal 11 2 4 2 3 2 2" xfId="15744" xr:uid="{00000000-0005-0000-0000-0000C3200000}"/>
    <cellStyle name="Normal 11 2 4 2 3 2 2 2" xfId="32684" xr:uid="{00000000-0005-0000-0000-0000C4200000}"/>
    <cellStyle name="Normal 11 2 4 2 3 2 3" xfId="24236" xr:uid="{00000000-0005-0000-0000-0000C5200000}"/>
    <cellStyle name="Normal 11 2 4 2 3 3" xfId="11520" xr:uid="{00000000-0005-0000-0000-0000C6200000}"/>
    <cellStyle name="Normal 11 2 4 2 3 3 2" xfId="28460" xr:uid="{00000000-0005-0000-0000-0000C7200000}"/>
    <cellStyle name="Normal 11 2 4 2 3 4" xfId="20012" xr:uid="{00000000-0005-0000-0000-0000C8200000}"/>
    <cellStyle name="Normal 11 2 4 2 4" xfId="5184" xr:uid="{00000000-0005-0000-0000-0000C9200000}"/>
    <cellStyle name="Normal 11 2 4 2 4 2" xfId="13632" xr:uid="{00000000-0005-0000-0000-0000CA200000}"/>
    <cellStyle name="Normal 11 2 4 2 4 2 2" xfId="30572" xr:uid="{00000000-0005-0000-0000-0000CB200000}"/>
    <cellStyle name="Normal 11 2 4 2 4 3" xfId="22124" xr:uid="{00000000-0005-0000-0000-0000CC200000}"/>
    <cellStyle name="Normal 11 2 4 2 5" xfId="9408" xr:uid="{00000000-0005-0000-0000-0000CD200000}"/>
    <cellStyle name="Normal 11 2 4 2 5 2" xfId="26348" xr:uid="{00000000-0005-0000-0000-0000CE200000}"/>
    <cellStyle name="Normal 11 2 4 2 6" xfId="17900" xr:uid="{00000000-0005-0000-0000-0000CF200000}"/>
    <cellStyle name="Normal 11 2 4 3" xfId="1662" xr:uid="{00000000-0005-0000-0000-0000D0200000}"/>
    <cellStyle name="Normal 11 2 4 3 2" xfId="3774" xr:uid="{00000000-0005-0000-0000-0000D1200000}"/>
    <cellStyle name="Normal 11 2 4 3 2 2" xfId="8000" xr:uid="{00000000-0005-0000-0000-0000D2200000}"/>
    <cellStyle name="Normal 11 2 4 3 2 2 2" xfId="16448" xr:uid="{00000000-0005-0000-0000-0000D3200000}"/>
    <cellStyle name="Normal 11 2 4 3 2 2 2 2" xfId="33388" xr:uid="{00000000-0005-0000-0000-0000D4200000}"/>
    <cellStyle name="Normal 11 2 4 3 2 2 3" xfId="24940" xr:uid="{00000000-0005-0000-0000-0000D5200000}"/>
    <cellStyle name="Normal 11 2 4 3 2 3" xfId="12224" xr:uid="{00000000-0005-0000-0000-0000D6200000}"/>
    <cellStyle name="Normal 11 2 4 3 2 3 2" xfId="29164" xr:uid="{00000000-0005-0000-0000-0000D7200000}"/>
    <cellStyle name="Normal 11 2 4 3 2 4" xfId="20716" xr:uid="{00000000-0005-0000-0000-0000D8200000}"/>
    <cellStyle name="Normal 11 2 4 3 3" xfId="5888" xr:uid="{00000000-0005-0000-0000-0000D9200000}"/>
    <cellStyle name="Normal 11 2 4 3 3 2" xfId="14336" xr:uid="{00000000-0005-0000-0000-0000DA200000}"/>
    <cellStyle name="Normal 11 2 4 3 3 2 2" xfId="31276" xr:uid="{00000000-0005-0000-0000-0000DB200000}"/>
    <cellStyle name="Normal 11 2 4 3 3 3" xfId="22828" xr:uid="{00000000-0005-0000-0000-0000DC200000}"/>
    <cellStyle name="Normal 11 2 4 3 4" xfId="10112" xr:uid="{00000000-0005-0000-0000-0000DD200000}"/>
    <cellStyle name="Normal 11 2 4 3 4 2" xfId="27052" xr:uid="{00000000-0005-0000-0000-0000DE200000}"/>
    <cellStyle name="Normal 11 2 4 3 5" xfId="18604" xr:uid="{00000000-0005-0000-0000-0000DF200000}"/>
    <cellStyle name="Normal 11 2 4 4" xfId="2718" xr:uid="{00000000-0005-0000-0000-0000E0200000}"/>
    <cellStyle name="Normal 11 2 4 4 2" xfId="6944" xr:uid="{00000000-0005-0000-0000-0000E1200000}"/>
    <cellStyle name="Normal 11 2 4 4 2 2" xfId="15392" xr:uid="{00000000-0005-0000-0000-0000E2200000}"/>
    <cellStyle name="Normal 11 2 4 4 2 2 2" xfId="32332" xr:uid="{00000000-0005-0000-0000-0000E3200000}"/>
    <cellStyle name="Normal 11 2 4 4 2 3" xfId="23884" xr:uid="{00000000-0005-0000-0000-0000E4200000}"/>
    <cellStyle name="Normal 11 2 4 4 3" xfId="11168" xr:uid="{00000000-0005-0000-0000-0000E5200000}"/>
    <cellStyle name="Normal 11 2 4 4 3 2" xfId="28108" xr:uid="{00000000-0005-0000-0000-0000E6200000}"/>
    <cellStyle name="Normal 11 2 4 4 4" xfId="19660" xr:uid="{00000000-0005-0000-0000-0000E7200000}"/>
    <cellStyle name="Normal 11 2 4 5" xfId="4832" xr:uid="{00000000-0005-0000-0000-0000E8200000}"/>
    <cellStyle name="Normal 11 2 4 5 2" xfId="13280" xr:uid="{00000000-0005-0000-0000-0000E9200000}"/>
    <cellStyle name="Normal 11 2 4 5 2 2" xfId="30220" xr:uid="{00000000-0005-0000-0000-0000EA200000}"/>
    <cellStyle name="Normal 11 2 4 5 3" xfId="21772" xr:uid="{00000000-0005-0000-0000-0000EB200000}"/>
    <cellStyle name="Normal 11 2 4 6" xfId="9056" xr:uid="{00000000-0005-0000-0000-0000EC200000}"/>
    <cellStyle name="Normal 11 2 4 6 2" xfId="25996" xr:uid="{00000000-0005-0000-0000-0000ED200000}"/>
    <cellStyle name="Normal 11 2 4 7" xfId="17548" xr:uid="{00000000-0005-0000-0000-0000EE200000}"/>
    <cellStyle name="Normal 11 2 5" xfId="776" xr:uid="{00000000-0005-0000-0000-0000EF200000}"/>
    <cellStyle name="Normal 11 2 5 2" xfId="1838" xr:uid="{00000000-0005-0000-0000-0000F0200000}"/>
    <cellStyle name="Normal 11 2 5 2 2" xfId="3950" xr:uid="{00000000-0005-0000-0000-0000F1200000}"/>
    <cellStyle name="Normal 11 2 5 2 2 2" xfId="8176" xr:uid="{00000000-0005-0000-0000-0000F2200000}"/>
    <cellStyle name="Normal 11 2 5 2 2 2 2" xfId="16624" xr:uid="{00000000-0005-0000-0000-0000F3200000}"/>
    <cellStyle name="Normal 11 2 5 2 2 2 2 2" xfId="33564" xr:uid="{00000000-0005-0000-0000-0000F4200000}"/>
    <cellStyle name="Normal 11 2 5 2 2 2 3" xfId="25116" xr:uid="{00000000-0005-0000-0000-0000F5200000}"/>
    <cellStyle name="Normal 11 2 5 2 2 3" xfId="12400" xr:uid="{00000000-0005-0000-0000-0000F6200000}"/>
    <cellStyle name="Normal 11 2 5 2 2 3 2" xfId="29340" xr:uid="{00000000-0005-0000-0000-0000F7200000}"/>
    <cellStyle name="Normal 11 2 5 2 2 4" xfId="20892" xr:uid="{00000000-0005-0000-0000-0000F8200000}"/>
    <cellStyle name="Normal 11 2 5 2 3" xfId="6064" xr:uid="{00000000-0005-0000-0000-0000F9200000}"/>
    <cellStyle name="Normal 11 2 5 2 3 2" xfId="14512" xr:uid="{00000000-0005-0000-0000-0000FA200000}"/>
    <cellStyle name="Normal 11 2 5 2 3 2 2" xfId="31452" xr:uid="{00000000-0005-0000-0000-0000FB200000}"/>
    <cellStyle name="Normal 11 2 5 2 3 3" xfId="23004" xr:uid="{00000000-0005-0000-0000-0000FC200000}"/>
    <cellStyle name="Normal 11 2 5 2 4" xfId="10288" xr:uid="{00000000-0005-0000-0000-0000FD200000}"/>
    <cellStyle name="Normal 11 2 5 2 4 2" xfId="27228" xr:uid="{00000000-0005-0000-0000-0000FE200000}"/>
    <cellStyle name="Normal 11 2 5 2 5" xfId="18780" xr:uid="{00000000-0005-0000-0000-0000FF200000}"/>
    <cellStyle name="Normal 11 2 5 3" xfId="2894" xr:uid="{00000000-0005-0000-0000-000000210000}"/>
    <cellStyle name="Normal 11 2 5 3 2" xfId="7120" xr:uid="{00000000-0005-0000-0000-000001210000}"/>
    <cellStyle name="Normal 11 2 5 3 2 2" xfId="15568" xr:uid="{00000000-0005-0000-0000-000002210000}"/>
    <cellStyle name="Normal 11 2 5 3 2 2 2" xfId="32508" xr:uid="{00000000-0005-0000-0000-000003210000}"/>
    <cellStyle name="Normal 11 2 5 3 2 3" xfId="24060" xr:uid="{00000000-0005-0000-0000-000004210000}"/>
    <cellStyle name="Normal 11 2 5 3 3" xfId="11344" xr:uid="{00000000-0005-0000-0000-000005210000}"/>
    <cellStyle name="Normal 11 2 5 3 3 2" xfId="28284" xr:uid="{00000000-0005-0000-0000-000006210000}"/>
    <cellStyle name="Normal 11 2 5 3 4" xfId="19836" xr:uid="{00000000-0005-0000-0000-000007210000}"/>
    <cellStyle name="Normal 11 2 5 4" xfId="5008" xr:uid="{00000000-0005-0000-0000-000008210000}"/>
    <cellStyle name="Normal 11 2 5 4 2" xfId="13456" xr:uid="{00000000-0005-0000-0000-000009210000}"/>
    <cellStyle name="Normal 11 2 5 4 2 2" xfId="30396" xr:uid="{00000000-0005-0000-0000-00000A210000}"/>
    <cellStyle name="Normal 11 2 5 4 3" xfId="21948" xr:uid="{00000000-0005-0000-0000-00000B210000}"/>
    <cellStyle name="Normal 11 2 5 5" xfId="9232" xr:uid="{00000000-0005-0000-0000-00000C210000}"/>
    <cellStyle name="Normal 11 2 5 5 2" xfId="26172" xr:uid="{00000000-0005-0000-0000-00000D210000}"/>
    <cellStyle name="Normal 11 2 5 6" xfId="17724" xr:uid="{00000000-0005-0000-0000-00000E210000}"/>
    <cellStyle name="Normal 11 2 6" xfId="1128" xr:uid="{00000000-0005-0000-0000-00000F210000}"/>
    <cellStyle name="Normal 11 2 6 2" xfId="2190" xr:uid="{00000000-0005-0000-0000-000010210000}"/>
    <cellStyle name="Normal 11 2 6 2 2" xfId="4302" xr:uid="{00000000-0005-0000-0000-000011210000}"/>
    <cellStyle name="Normal 11 2 6 2 2 2" xfId="8528" xr:uid="{00000000-0005-0000-0000-000012210000}"/>
    <cellStyle name="Normal 11 2 6 2 2 2 2" xfId="16976" xr:uid="{00000000-0005-0000-0000-000013210000}"/>
    <cellStyle name="Normal 11 2 6 2 2 2 2 2" xfId="33916" xr:uid="{00000000-0005-0000-0000-000014210000}"/>
    <cellStyle name="Normal 11 2 6 2 2 2 3" xfId="25468" xr:uid="{00000000-0005-0000-0000-000015210000}"/>
    <cellStyle name="Normal 11 2 6 2 2 3" xfId="12752" xr:uid="{00000000-0005-0000-0000-000016210000}"/>
    <cellStyle name="Normal 11 2 6 2 2 3 2" xfId="29692" xr:uid="{00000000-0005-0000-0000-000017210000}"/>
    <cellStyle name="Normal 11 2 6 2 2 4" xfId="21244" xr:uid="{00000000-0005-0000-0000-000018210000}"/>
    <cellStyle name="Normal 11 2 6 2 3" xfId="6416" xr:uid="{00000000-0005-0000-0000-000019210000}"/>
    <cellStyle name="Normal 11 2 6 2 3 2" xfId="14864" xr:uid="{00000000-0005-0000-0000-00001A210000}"/>
    <cellStyle name="Normal 11 2 6 2 3 2 2" xfId="31804" xr:uid="{00000000-0005-0000-0000-00001B210000}"/>
    <cellStyle name="Normal 11 2 6 2 3 3" xfId="23356" xr:uid="{00000000-0005-0000-0000-00001C210000}"/>
    <cellStyle name="Normal 11 2 6 2 4" xfId="10640" xr:uid="{00000000-0005-0000-0000-00001D210000}"/>
    <cellStyle name="Normal 11 2 6 2 4 2" xfId="27580" xr:uid="{00000000-0005-0000-0000-00001E210000}"/>
    <cellStyle name="Normal 11 2 6 2 5" xfId="19132" xr:uid="{00000000-0005-0000-0000-00001F210000}"/>
    <cellStyle name="Normal 11 2 6 3" xfId="3246" xr:uid="{00000000-0005-0000-0000-000020210000}"/>
    <cellStyle name="Normal 11 2 6 3 2" xfId="7472" xr:uid="{00000000-0005-0000-0000-000021210000}"/>
    <cellStyle name="Normal 11 2 6 3 2 2" xfId="15920" xr:uid="{00000000-0005-0000-0000-000022210000}"/>
    <cellStyle name="Normal 11 2 6 3 2 2 2" xfId="32860" xr:uid="{00000000-0005-0000-0000-000023210000}"/>
    <cellStyle name="Normal 11 2 6 3 2 3" xfId="24412" xr:uid="{00000000-0005-0000-0000-000024210000}"/>
    <cellStyle name="Normal 11 2 6 3 3" xfId="11696" xr:uid="{00000000-0005-0000-0000-000025210000}"/>
    <cellStyle name="Normal 11 2 6 3 3 2" xfId="28636" xr:uid="{00000000-0005-0000-0000-000026210000}"/>
    <cellStyle name="Normal 11 2 6 3 4" xfId="20188" xr:uid="{00000000-0005-0000-0000-000027210000}"/>
    <cellStyle name="Normal 11 2 6 4" xfId="5360" xr:uid="{00000000-0005-0000-0000-000028210000}"/>
    <cellStyle name="Normal 11 2 6 4 2" xfId="13808" xr:uid="{00000000-0005-0000-0000-000029210000}"/>
    <cellStyle name="Normal 11 2 6 4 2 2" xfId="30748" xr:uid="{00000000-0005-0000-0000-00002A210000}"/>
    <cellStyle name="Normal 11 2 6 4 3" xfId="22300" xr:uid="{00000000-0005-0000-0000-00002B210000}"/>
    <cellStyle name="Normal 11 2 6 5" xfId="9584" xr:uid="{00000000-0005-0000-0000-00002C210000}"/>
    <cellStyle name="Normal 11 2 6 5 2" xfId="26524" xr:uid="{00000000-0005-0000-0000-00002D210000}"/>
    <cellStyle name="Normal 11 2 6 6" xfId="18076" xr:uid="{00000000-0005-0000-0000-00002E210000}"/>
    <cellStyle name="Normal 11 2 7" xfId="1310" xr:uid="{00000000-0005-0000-0000-00002F210000}"/>
    <cellStyle name="Normal 11 2 7 2" xfId="2366" xr:uid="{00000000-0005-0000-0000-000030210000}"/>
    <cellStyle name="Normal 11 2 7 2 2" xfId="4478" xr:uid="{00000000-0005-0000-0000-000031210000}"/>
    <cellStyle name="Normal 11 2 7 2 2 2" xfId="8704" xr:uid="{00000000-0005-0000-0000-000032210000}"/>
    <cellStyle name="Normal 11 2 7 2 2 2 2" xfId="17152" xr:uid="{00000000-0005-0000-0000-000033210000}"/>
    <cellStyle name="Normal 11 2 7 2 2 2 2 2" xfId="34092" xr:uid="{00000000-0005-0000-0000-000034210000}"/>
    <cellStyle name="Normal 11 2 7 2 2 2 3" xfId="25644" xr:uid="{00000000-0005-0000-0000-000035210000}"/>
    <cellStyle name="Normal 11 2 7 2 2 3" xfId="12928" xr:uid="{00000000-0005-0000-0000-000036210000}"/>
    <cellStyle name="Normal 11 2 7 2 2 3 2" xfId="29868" xr:uid="{00000000-0005-0000-0000-000037210000}"/>
    <cellStyle name="Normal 11 2 7 2 2 4" xfId="21420" xr:uid="{00000000-0005-0000-0000-000038210000}"/>
    <cellStyle name="Normal 11 2 7 2 3" xfId="6592" xr:uid="{00000000-0005-0000-0000-000039210000}"/>
    <cellStyle name="Normal 11 2 7 2 3 2" xfId="15040" xr:uid="{00000000-0005-0000-0000-00003A210000}"/>
    <cellStyle name="Normal 11 2 7 2 3 2 2" xfId="31980" xr:uid="{00000000-0005-0000-0000-00003B210000}"/>
    <cellStyle name="Normal 11 2 7 2 3 3" xfId="23532" xr:uid="{00000000-0005-0000-0000-00003C210000}"/>
    <cellStyle name="Normal 11 2 7 2 4" xfId="10816" xr:uid="{00000000-0005-0000-0000-00003D210000}"/>
    <cellStyle name="Normal 11 2 7 2 4 2" xfId="27756" xr:uid="{00000000-0005-0000-0000-00003E210000}"/>
    <cellStyle name="Normal 11 2 7 2 5" xfId="19308" xr:uid="{00000000-0005-0000-0000-00003F210000}"/>
    <cellStyle name="Normal 11 2 7 3" xfId="3422" xr:uid="{00000000-0005-0000-0000-000040210000}"/>
    <cellStyle name="Normal 11 2 7 3 2" xfId="7648" xr:uid="{00000000-0005-0000-0000-000041210000}"/>
    <cellStyle name="Normal 11 2 7 3 2 2" xfId="16096" xr:uid="{00000000-0005-0000-0000-000042210000}"/>
    <cellStyle name="Normal 11 2 7 3 2 2 2" xfId="33036" xr:uid="{00000000-0005-0000-0000-000043210000}"/>
    <cellStyle name="Normal 11 2 7 3 2 3" xfId="24588" xr:uid="{00000000-0005-0000-0000-000044210000}"/>
    <cellStyle name="Normal 11 2 7 3 3" xfId="11872" xr:uid="{00000000-0005-0000-0000-000045210000}"/>
    <cellStyle name="Normal 11 2 7 3 3 2" xfId="28812" xr:uid="{00000000-0005-0000-0000-000046210000}"/>
    <cellStyle name="Normal 11 2 7 3 4" xfId="20364" xr:uid="{00000000-0005-0000-0000-000047210000}"/>
    <cellStyle name="Normal 11 2 7 4" xfId="5536" xr:uid="{00000000-0005-0000-0000-000048210000}"/>
    <cellStyle name="Normal 11 2 7 4 2" xfId="13984" xr:uid="{00000000-0005-0000-0000-000049210000}"/>
    <cellStyle name="Normal 11 2 7 4 2 2" xfId="30924" xr:uid="{00000000-0005-0000-0000-00004A210000}"/>
    <cellStyle name="Normal 11 2 7 4 3" xfId="22476" xr:uid="{00000000-0005-0000-0000-00004B210000}"/>
    <cellStyle name="Normal 11 2 7 5" xfId="9760" xr:uid="{00000000-0005-0000-0000-00004C210000}"/>
    <cellStyle name="Normal 11 2 7 5 2" xfId="26700" xr:uid="{00000000-0005-0000-0000-00004D210000}"/>
    <cellStyle name="Normal 11 2 7 6" xfId="18252" xr:uid="{00000000-0005-0000-0000-00004E210000}"/>
    <cellStyle name="Normal 11 2 8" xfId="1486" xr:uid="{00000000-0005-0000-0000-00004F210000}"/>
    <cellStyle name="Normal 11 2 8 2" xfId="3598" xr:uid="{00000000-0005-0000-0000-000050210000}"/>
    <cellStyle name="Normal 11 2 8 2 2" xfId="7824" xr:uid="{00000000-0005-0000-0000-000051210000}"/>
    <cellStyle name="Normal 11 2 8 2 2 2" xfId="16272" xr:uid="{00000000-0005-0000-0000-000052210000}"/>
    <cellStyle name="Normal 11 2 8 2 2 2 2" xfId="33212" xr:uid="{00000000-0005-0000-0000-000053210000}"/>
    <cellStyle name="Normal 11 2 8 2 2 3" xfId="24764" xr:uid="{00000000-0005-0000-0000-000054210000}"/>
    <cellStyle name="Normal 11 2 8 2 3" xfId="12048" xr:uid="{00000000-0005-0000-0000-000055210000}"/>
    <cellStyle name="Normal 11 2 8 2 3 2" xfId="28988" xr:uid="{00000000-0005-0000-0000-000056210000}"/>
    <cellStyle name="Normal 11 2 8 2 4" xfId="20540" xr:uid="{00000000-0005-0000-0000-000057210000}"/>
    <cellStyle name="Normal 11 2 8 3" xfId="5712" xr:uid="{00000000-0005-0000-0000-000058210000}"/>
    <cellStyle name="Normal 11 2 8 3 2" xfId="14160" xr:uid="{00000000-0005-0000-0000-000059210000}"/>
    <cellStyle name="Normal 11 2 8 3 2 2" xfId="31100" xr:uid="{00000000-0005-0000-0000-00005A210000}"/>
    <cellStyle name="Normal 11 2 8 3 3" xfId="22652" xr:uid="{00000000-0005-0000-0000-00005B210000}"/>
    <cellStyle name="Normal 11 2 8 4" xfId="9936" xr:uid="{00000000-0005-0000-0000-00005C210000}"/>
    <cellStyle name="Normal 11 2 8 4 2" xfId="26876" xr:uid="{00000000-0005-0000-0000-00005D210000}"/>
    <cellStyle name="Normal 11 2 8 5" xfId="18428" xr:uid="{00000000-0005-0000-0000-00005E210000}"/>
    <cellStyle name="Normal 11 2 9" xfId="2542" xr:uid="{00000000-0005-0000-0000-00005F210000}"/>
    <cellStyle name="Normal 11 2 9 2" xfId="6768" xr:uid="{00000000-0005-0000-0000-000060210000}"/>
    <cellStyle name="Normal 11 2 9 2 2" xfId="15216" xr:uid="{00000000-0005-0000-0000-000061210000}"/>
    <cellStyle name="Normal 11 2 9 2 2 2" xfId="32156" xr:uid="{00000000-0005-0000-0000-000062210000}"/>
    <cellStyle name="Normal 11 2 9 2 3" xfId="23708" xr:uid="{00000000-0005-0000-0000-000063210000}"/>
    <cellStyle name="Normal 11 2 9 3" xfId="10992" xr:uid="{00000000-0005-0000-0000-000064210000}"/>
    <cellStyle name="Normal 11 2 9 3 2" xfId="27932" xr:uid="{00000000-0005-0000-0000-000065210000}"/>
    <cellStyle name="Normal 11 2 9 4" xfId="19484" xr:uid="{00000000-0005-0000-0000-000066210000}"/>
    <cellStyle name="Normal 11 3" xfId="260" xr:uid="{00000000-0005-0000-0000-000067210000}"/>
    <cellStyle name="Normal 11 4" xfId="261" xr:uid="{00000000-0005-0000-0000-000068210000}"/>
    <cellStyle name="Normal 11 4 10" xfId="17375" xr:uid="{00000000-0005-0000-0000-000069210000}"/>
    <cellStyle name="Normal 11 4 2" xfId="603" xr:uid="{00000000-0005-0000-0000-00006A210000}"/>
    <cellStyle name="Normal 11 4 2 2" xfId="955" xr:uid="{00000000-0005-0000-0000-00006B210000}"/>
    <cellStyle name="Normal 11 4 2 2 2" xfId="2017" xr:uid="{00000000-0005-0000-0000-00006C210000}"/>
    <cellStyle name="Normal 11 4 2 2 2 2" xfId="4129" xr:uid="{00000000-0005-0000-0000-00006D210000}"/>
    <cellStyle name="Normal 11 4 2 2 2 2 2" xfId="8355" xr:uid="{00000000-0005-0000-0000-00006E210000}"/>
    <cellStyle name="Normal 11 4 2 2 2 2 2 2" xfId="16803" xr:uid="{00000000-0005-0000-0000-00006F210000}"/>
    <cellStyle name="Normal 11 4 2 2 2 2 2 2 2" xfId="33743" xr:uid="{00000000-0005-0000-0000-000070210000}"/>
    <cellStyle name="Normal 11 4 2 2 2 2 2 3" xfId="25295" xr:uid="{00000000-0005-0000-0000-000071210000}"/>
    <cellStyle name="Normal 11 4 2 2 2 2 3" xfId="12579" xr:uid="{00000000-0005-0000-0000-000072210000}"/>
    <cellStyle name="Normal 11 4 2 2 2 2 3 2" xfId="29519" xr:uid="{00000000-0005-0000-0000-000073210000}"/>
    <cellStyle name="Normal 11 4 2 2 2 2 4" xfId="21071" xr:uid="{00000000-0005-0000-0000-000074210000}"/>
    <cellStyle name="Normal 11 4 2 2 2 3" xfId="6243" xr:uid="{00000000-0005-0000-0000-000075210000}"/>
    <cellStyle name="Normal 11 4 2 2 2 3 2" xfId="14691" xr:uid="{00000000-0005-0000-0000-000076210000}"/>
    <cellStyle name="Normal 11 4 2 2 2 3 2 2" xfId="31631" xr:uid="{00000000-0005-0000-0000-000077210000}"/>
    <cellStyle name="Normal 11 4 2 2 2 3 3" xfId="23183" xr:uid="{00000000-0005-0000-0000-000078210000}"/>
    <cellStyle name="Normal 11 4 2 2 2 4" xfId="10467" xr:uid="{00000000-0005-0000-0000-000079210000}"/>
    <cellStyle name="Normal 11 4 2 2 2 4 2" xfId="27407" xr:uid="{00000000-0005-0000-0000-00007A210000}"/>
    <cellStyle name="Normal 11 4 2 2 2 5" xfId="18959" xr:uid="{00000000-0005-0000-0000-00007B210000}"/>
    <cellStyle name="Normal 11 4 2 2 3" xfId="3073" xr:uid="{00000000-0005-0000-0000-00007C210000}"/>
    <cellStyle name="Normal 11 4 2 2 3 2" xfId="7299" xr:uid="{00000000-0005-0000-0000-00007D210000}"/>
    <cellStyle name="Normal 11 4 2 2 3 2 2" xfId="15747" xr:uid="{00000000-0005-0000-0000-00007E210000}"/>
    <cellStyle name="Normal 11 4 2 2 3 2 2 2" xfId="32687" xr:uid="{00000000-0005-0000-0000-00007F210000}"/>
    <cellStyle name="Normal 11 4 2 2 3 2 3" xfId="24239" xr:uid="{00000000-0005-0000-0000-000080210000}"/>
    <cellStyle name="Normal 11 4 2 2 3 3" xfId="11523" xr:uid="{00000000-0005-0000-0000-000081210000}"/>
    <cellStyle name="Normal 11 4 2 2 3 3 2" xfId="28463" xr:uid="{00000000-0005-0000-0000-000082210000}"/>
    <cellStyle name="Normal 11 4 2 2 3 4" xfId="20015" xr:uid="{00000000-0005-0000-0000-000083210000}"/>
    <cellStyle name="Normal 11 4 2 2 4" xfId="5187" xr:uid="{00000000-0005-0000-0000-000084210000}"/>
    <cellStyle name="Normal 11 4 2 2 4 2" xfId="13635" xr:uid="{00000000-0005-0000-0000-000085210000}"/>
    <cellStyle name="Normal 11 4 2 2 4 2 2" xfId="30575" xr:uid="{00000000-0005-0000-0000-000086210000}"/>
    <cellStyle name="Normal 11 4 2 2 4 3" xfId="22127" xr:uid="{00000000-0005-0000-0000-000087210000}"/>
    <cellStyle name="Normal 11 4 2 2 5" xfId="9411" xr:uid="{00000000-0005-0000-0000-000088210000}"/>
    <cellStyle name="Normal 11 4 2 2 5 2" xfId="26351" xr:uid="{00000000-0005-0000-0000-000089210000}"/>
    <cellStyle name="Normal 11 4 2 2 6" xfId="17903" xr:uid="{00000000-0005-0000-0000-00008A210000}"/>
    <cellStyle name="Normal 11 4 2 3" xfId="1665" xr:uid="{00000000-0005-0000-0000-00008B210000}"/>
    <cellStyle name="Normal 11 4 2 3 2" xfId="3777" xr:uid="{00000000-0005-0000-0000-00008C210000}"/>
    <cellStyle name="Normal 11 4 2 3 2 2" xfId="8003" xr:uid="{00000000-0005-0000-0000-00008D210000}"/>
    <cellStyle name="Normal 11 4 2 3 2 2 2" xfId="16451" xr:uid="{00000000-0005-0000-0000-00008E210000}"/>
    <cellStyle name="Normal 11 4 2 3 2 2 2 2" xfId="33391" xr:uid="{00000000-0005-0000-0000-00008F210000}"/>
    <cellStyle name="Normal 11 4 2 3 2 2 3" xfId="24943" xr:uid="{00000000-0005-0000-0000-000090210000}"/>
    <cellStyle name="Normal 11 4 2 3 2 3" xfId="12227" xr:uid="{00000000-0005-0000-0000-000091210000}"/>
    <cellStyle name="Normal 11 4 2 3 2 3 2" xfId="29167" xr:uid="{00000000-0005-0000-0000-000092210000}"/>
    <cellStyle name="Normal 11 4 2 3 2 4" xfId="20719" xr:uid="{00000000-0005-0000-0000-000093210000}"/>
    <cellStyle name="Normal 11 4 2 3 3" xfId="5891" xr:uid="{00000000-0005-0000-0000-000094210000}"/>
    <cellStyle name="Normal 11 4 2 3 3 2" xfId="14339" xr:uid="{00000000-0005-0000-0000-000095210000}"/>
    <cellStyle name="Normal 11 4 2 3 3 2 2" xfId="31279" xr:uid="{00000000-0005-0000-0000-000096210000}"/>
    <cellStyle name="Normal 11 4 2 3 3 3" xfId="22831" xr:uid="{00000000-0005-0000-0000-000097210000}"/>
    <cellStyle name="Normal 11 4 2 3 4" xfId="10115" xr:uid="{00000000-0005-0000-0000-000098210000}"/>
    <cellStyle name="Normal 11 4 2 3 4 2" xfId="27055" xr:uid="{00000000-0005-0000-0000-000099210000}"/>
    <cellStyle name="Normal 11 4 2 3 5" xfId="18607" xr:uid="{00000000-0005-0000-0000-00009A210000}"/>
    <cellStyle name="Normal 11 4 2 4" xfId="2721" xr:uid="{00000000-0005-0000-0000-00009B210000}"/>
    <cellStyle name="Normal 11 4 2 4 2" xfId="6947" xr:uid="{00000000-0005-0000-0000-00009C210000}"/>
    <cellStyle name="Normal 11 4 2 4 2 2" xfId="15395" xr:uid="{00000000-0005-0000-0000-00009D210000}"/>
    <cellStyle name="Normal 11 4 2 4 2 2 2" xfId="32335" xr:uid="{00000000-0005-0000-0000-00009E210000}"/>
    <cellStyle name="Normal 11 4 2 4 2 3" xfId="23887" xr:uid="{00000000-0005-0000-0000-00009F210000}"/>
    <cellStyle name="Normal 11 4 2 4 3" xfId="11171" xr:uid="{00000000-0005-0000-0000-0000A0210000}"/>
    <cellStyle name="Normal 11 4 2 4 3 2" xfId="28111" xr:uid="{00000000-0005-0000-0000-0000A1210000}"/>
    <cellStyle name="Normal 11 4 2 4 4" xfId="19663" xr:uid="{00000000-0005-0000-0000-0000A2210000}"/>
    <cellStyle name="Normal 11 4 2 5" xfId="4835" xr:uid="{00000000-0005-0000-0000-0000A3210000}"/>
    <cellStyle name="Normal 11 4 2 5 2" xfId="13283" xr:uid="{00000000-0005-0000-0000-0000A4210000}"/>
    <cellStyle name="Normal 11 4 2 5 2 2" xfId="30223" xr:uid="{00000000-0005-0000-0000-0000A5210000}"/>
    <cellStyle name="Normal 11 4 2 5 3" xfId="21775" xr:uid="{00000000-0005-0000-0000-0000A6210000}"/>
    <cellStyle name="Normal 11 4 2 6" xfId="9059" xr:uid="{00000000-0005-0000-0000-0000A7210000}"/>
    <cellStyle name="Normal 11 4 2 6 2" xfId="25999" xr:uid="{00000000-0005-0000-0000-0000A8210000}"/>
    <cellStyle name="Normal 11 4 2 7" xfId="17551" xr:uid="{00000000-0005-0000-0000-0000A9210000}"/>
    <cellStyle name="Normal 11 4 3" xfId="779" xr:uid="{00000000-0005-0000-0000-0000AA210000}"/>
    <cellStyle name="Normal 11 4 3 2" xfId="1841" xr:uid="{00000000-0005-0000-0000-0000AB210000}"/>
    <cellStyle name="Normal 11 4 3 2 2" xfId="3953" xr:uid="{00000000-0005-0000-0000-0000AC210000}"/>
    <cellStyle name="Normal 11 4 3 2 2 2" xfId="8179" xr:uid="{00000000-0005-0000-0000-0000AD210000}"/>
    <cellStyle name="Normal 11 4 3 2 2 2 2" xfId="16627" xr:uid="{00000000-0005-0000-0000-0000AE210000}"/>
    <cellStyle name="Normal 11 4 3 2 2 2 2 2" xfId="33567" xr:uid="{00000000-0005-0000-0000-0000AF210000}"/>
    <cellStyle name="Normal 11 4 3 2 2 2 3" xfId="25119" xr:uid="{00000000-0005-0000-0000-0000B0210000}"/>
    <cellStyle name="Normal 11 4 3 2 2 3" xfId="12403" xr:uid="{00000000-0005-0000-0000-0000B1210000}"/>
    <cellStyle name="Normal 11 4 3 2 2 3 2" xfId="29343" xr:uid="{00000000-0005-0000-0000-0000B2210000}"/>
    <cellStyle name="Normal 11 4 3 2 2 4" xfId="20895" xr:uid="{00000000-0005-0000-0000-0000B3210000}"/>
    <cellStyle name="Normal 11 4 3 2 3" xfId="6067" xr:uid="{00000000-0005-0000-0000-0000B4210000}"/>
    <cellStyle name="Normal 11 4 3 2 3 2" xfId="14515" xr:uid="{00000000-0005-0000-0000-0000B5210000}"/>
    <cellStyle name="Normal 11 4 3 2 3 2 2" xfId="31455" xr:uid="{00000000-0005-0000-0000-0000B6210000}"/>
    <cellStyle name="Normal 11 4 3 2 3 3" xfId="23007" xr:uid="{00000000-0005-0000-0000-0000B7210000}"/>
    <cellStyle name="Normal 11 4 3 2 4" xfId="10291" xr:uid="{00000000-0005-0000-0000-0000B8210000}"/>
    <cellStyle name="Normal 11 4 3 2 4 2" xfId="27231" xr:uid="{00000000-0005-0000-0000-0000B9210000}"/>
    <cellStyle name="Normal 11 4 3 2 5" xfId="18783" xr:uid="{00000000-0005-0000-0000-0000BA210000}"/>
    <cellStyle name="Normal 11 4 3 3" xfId="2897" xr:uid="{00000000-0005-0000-0000-0000BB210000}"/>
    <cellStyle name="Normal 11 4 3 3 2" xfId="7123" xr:uid="{00000000-0005-0000-0000-0000BC210000}"/>
    <cellStyle name="Normal 11 4 3 3 2 2" xfId="15571" xr:uid="{00000000-0005-0000-0000-0000BD210000}"/>
    <cellStyle name="Normal 11 4 3 3 2 2 2" xfId="32511" xr:uid="{00000000-0005-0000-0000-0000BE210000}"/>
    <cellStyle name="Normal 11 4 3 3 2 3" xfId="24063" xr:uid="{00000000-0005-0000-0000-0000BF210000}"/>
    <cellStyle name="Normal 11 4 3 3 3" xfId="11347" xr:uid="{00000000-0005-0000-0000-0000C0210000}"/>
    <cellStyle name="Normal 11 4 3 3 3 2" xfId="28287" xr:uid="{00000000-0005-0000-0000-0000C1210000}"/>
    <cellStyle name="Normal 11 4 3 3 4" xfId="19839" xr:uid="{00000000-0005-0000-0000-0000C2210000}"/>
    <cellStyle name="Normal 11 4 3 4" xfId="5011" xr:uid="{00000000-0005-0000-0000-0000C3210000}"/>
    <cellStyle name="Normal 11 4 3 4 2" xfId="13459" xr:uid="{00000000-0005-0000-0000-0000C4210000}"/>
    <cellStyle name="Normal 11 4 3 4 2 2" xfId="30399" xr:uid="{00000000-0005-0000-0000-0000C5210000}"/>
    <cellStyle name="Normal 11 4 3 4 3" xfId="21951" xr:uid="{00000000-0005-0000-0000-0000C6210000}"/>
    <cellStyle name="Normal 11 4 3 5" xfId="9235" xr:uid="{00000000-0005-0000-0000-0000C7210000}"/>
    <cellStyle name="Normal 11 4 3 5 2" xfId="26175" xr:uid="{00000000-0005-0000-0000-0000C8210000}"/>
    <cellStyle name="Normal 11 4 3 6" xfId="17727" xr:uid="{00000000-0005-0000-0000-0000C9210000}"/>
    <cellStyle name="Normal 11 4 4" xfId="1131" xr:uid="{00000000-0005-0000-0000-0000CA210000}"/>
    <cellStyle name="Normal 11 4 4 2" xfId="2193" xr:uid="{00000000-0005-0000-0000-0000CB210000}"/>
    <cellStyle name="Normal 11 4 4 2 2" xfId="4305" xr:uid="{00000000-0005-0000-0000-0000CC210000}"/>
    <cellStyle name="Normal 11 4 4 2 2 2" xfId="8531" xr:uid="{00000000-0005-0000-0000-0000CD210000}"/>
    <cellStyle name="Normal 11 4 4 2 2 2 2" xfId="16979" xr:uid="{00000000-0005-0000-0000-0000CE210000}"/>
    <cellStyle name="Normal 11 4 4 2 2 2 2 2" xfId="33919" xr:uid="{00000000-0005-0000-0000-0000CF210000}"/>
    <cellStyle name="Normal 11 4 4 2 2 2 3" xfId="25471" xr:uid="{00000000-0005-0000-0000-0000D0210000}"/>
    <cellStyle name="Normal 11 4 4 2 2 3" xfId="12755" xr:uid="{00000000-0005-0000-0000-0000D1210000}"/>
    <cellStyle name="Normal 11 4 4 2 2 3 2" xfId="29695" xr:uid="{00000000-0005-0000-0000-0000D2210000}"/>
    <cellStyle name="Normal 11 4 4 2 2 4" xfId="21247" xr:uid="{00000000-0005-0000-0000-0000D3210000}"/>
    <cellStyle name="Normal 11 4 4 2 3" xfId="6419" xr:uid="{00000000-0005-0000-0000-0000D4210000}"/>
    <cellStyle name="Normal 11 4 4 2 3 2" xfId="14867" xr:uid="{00000000-0005-0000-0000-0000D5210000}"/>
    <cellStyle name="Normal 11 4 4 2 3 2 2" xfId="31807" xr:uid="{00000000-0005-0000-0000-0000D6210000}"/>
    <cellStyle name="Normal 11 4 4 2 3 3" xfId="23359" xr:uid="{00000000-0005-0000-0000-0000D7210000}"/>
    <cellStyle name="Normal 11 4 4 2 4" xfId="10643" xr:uid="{00000000-0005-0000-0000-0000D8210000}"/>
    <cellStyle name="Normal 11 4 4 2 4 2" xfId="27583" xr:uid="{00000000-0005-0000-0000-0000D9210000}"/>
    <cellStyle name="Normal 11 4 4 2 5" xfId="19135" xr:uid="{00000000-0005-0000-0000-0000DA210000}"/>
    <cellStyle name="Normal 11 4 4 3" xfId="3249" xr:uid="{00000000-0005-0000-0000-0000DB210000}"/>
    <cellStyle name="Normal 11 4 4 3 2" xfId="7475" xr:uid="{00000000-0005-0000-0000-0000DC210000}"/>
    <cellStyle name="Normal 11 4 4 3 2 2" xfId="15923" xr:uid="{00000000-0005-0000-0000-0000DD210000}"/>
    <cellStyle name="Normal 11 4 4 3 2 2 2" xfId="32863" xr:uid="{00000000-0005-0000-0000-0000DE210000}"/>
    <cellStyle name="Normal 11 4 4 3 2 3" xfId="24415" xr:uid="{00000000-0005-0000-0000-0000DF210000}"/>
    <cellStyle name="Normal 11 4 4 3 3" xfId="11699" xr:uid="{00000000-0005-0000-0000-0000E0210000}"/>
    <cellStyle name="Normal 11 4 4 3 3 2" xfId="28639" xr:uid="{00000000-0005-0000-0000-0000E1210000}"/>
    <cellStyle name="Normal 11 4 4 3 4" xfId="20191" xr:uid="{00000000-0005-0000-0000-0000E2210000}"/>
    <cellStyle name="Normal 11 4 4 4" xfId="5363" xr:uid="{00000000-0005-0000-0000-0000E3210000}"/>
    <cellStyle name="Normal 11 4 4 4 2" xfId="13811" xr:uid="{00000000-0005-0000-0000-0000E4210000}"/>
    <cellStyle name="Normal 11 4 4 4 2 2" xfId="30751" xr:uid="{00000000-0005-0000-0000-0000E5210000}"/>
    <cellStyle name="Normal 11 4 4 4 3" xfId="22303" xr:uid="{00000000-0005-0000-0000-0000E6210000}"/>
    <cellStyle name="Normal 11 4 4 5" xfId="9587" xr:uid="{00000000-0005-0000-0000-0000E7210000}"/>
    <cellStyle name="Normal 11 4 4 5 2" xfId="26527" xr:uid="{00000000-0005-0000-0000-0000E8210000}"/>
    <cellStyle name="Normal 11 4 4 6" xfId="18079" xr:uid="{00000000-0005-0000-0000-0000E9210000}"/>
    <cellStyle name="Normal 11 4 5" xfId="1313" xr:uid="{00000000-0005-0000-0000-0000EA210000}"/>
    <cellStyle name="Normal 11 4 5 2" xfId="2369" xr:uid="{00000000-0005-0000-0000-0000EB210000}"/>
    <cellStyle name="Normal 11 4 5 2 2" xfId="4481" xr:uid="{00000000-0005-0000-0000-0000EC210000}"/>
    <cellStyle name="Normal 11 4 5 2 2 2" xfId="8707" xr:uid="{00000000-0005-0000-0000-0000ED210000}"/>
    <cellStyle name="Normal 11 4 5 2 2 2 2" xfId="17155" xr:uid="{00000000-0005-0000-0000-0000EE210000}"/>
    <cellStyle name="Normal 11 4 5 2 2 2 2 2" xfId="34095" xr:uid="{00000000-0005-0000-0000-0000EF210000}"/>
    <cellStyle name="Normal 11 4 5 2 2 2 3" xfId="25647" xr:uid="{00000000-0005-0000-0000-0000F0210000}"/>
    <cellStyle name="Normal 11 4 5 2 2 3" xfId="12931" xr:uid="{00000000-0005-0000-0000-0000F1210000}"/>
    <cellStyle name="Normal 11 4 5 2 2 3 2" xfId="29871" xr:uid="{00000000-0005-0000-0000-0000F2210000}"/>
    <cellStyle name="Normal 11 4 5 2 2 4" xfId="21423" xr:uid="{00000000-0005-0000-0000-0000F3210000}"/>
    <cellStyle name="Normal 11 4 5 2 3" xfId="6595" xr:uid="{00000000-0005-0000-0000-0000F4210000}"/>
    <cellStyle name="Normal 11 4 5 2 3 2" xfId="15043" xr:uid="{00000000-0005-0000-0000-0000F5210000}"/>
    <cellStyle name="Normal 11 4 5 2 3 2 2" xfId="31983" xr:uid="{00000000-0005-0000-0000-0000F6210000}"/>
    <cellStyle name="Normal 11 4 5 2 3 3" xfId="23535" xr:uid="{00000000-0005-0000-0000-0000F7210000}"/>
    <cellStyle name="Normal 11 4 5 2 4" xfId="10819" xr:uid="{00000000-0005-0000-0000-0000F8210000}"/>
    <cellStyle name="Normal 11 4 5 2 4 2" xfId="27759" xr:uid="{00000000-0005-0000-0000-0000F9210000}"/>
    <cellStyle name="Normal 11 4 5 2 5" xfId="19311" xr:uid="{00000000-0005-0000-0000-0000FA210000}"/>
    <cellStyle name="Normal 11 4 5 3" xfId="3425" xr:uid="{00000000-0005-0000-0000-0000FB210000}"/>
    <cellStyle name="Normal 11 4 5 3 2" xfId="7651" xr:uid="{00000000-0005-0000-0000-0000FC210000}"/>
    <cellStyle name="Normal 11 4 5 3 2 2" xfId="16099" xr:uid="{00000000-0005-0000-0000-0000FD210000}"/>
    <cellStyle name="Normal 11 4 5 3 2 2 2" xfId="33039" xr:uid="{00000000-0005-0000-0000-0000FE210000}"/>
    <cellStyle name="Normal 11 4 5 3 2 3" xfId="24591" xr:uid="{00000000-0005-0000-0000-0000FF210000}"/>
    <cellStyle name="Normal 11 4 5 3 3" xfId="11875" xr:uid="{00000000-0005-0000-0000-000000220000}"/>
    <cellStyle name="Normal 11 4 5 3 3 2" xfId="28815" xr:uid="{00000000-0005-0000-0000-000001220000}"/>
    <cellStyle name="Normal 11 4 5 3 4" xfId="20367" xr:uid="{00000000-0005-0000-0000-000002220000}"/>
    <cellStyle name="Normal 11 4 5 4" xfId="5539" xr:uid="{00000000-0005-0000-0000-000003220000}"/>
    <cellStyle name="Normal 11 4 5 4 2" xfId="13987" xr:uid="{00000000-0005-0000-0000-000004220000}"/>
    <cellStyle name="Normal 11 4 5 4 2 2" xfId="30927" xr:uid="{00000000-0005-0000-0000-000005220000}"/>
    <cellStyle name="Normal 11 4 5 4 3" xfId="22479" xr:uid="{00000000-0005-0000-0000-000006220000}"/>
    <cellStyle name="Normal 11 4 5 5" xfId="9763" xr:uid="{00000000-0005-0000-0000-000007220000}"/>
    <cellStyle name="Normal 11 4 5 5 2" xfId="26703" xr:uid="{00000000-0005-0000-0000-000008220000}"/>
    <cellStyle name="Normal 11 4 5 6" xfId="18255" xr:uid="{00000000-0005-0000-0000-000009220000}"/>
    <cellStyle name="Normal 11 4 6" xfId="1489" xr:uid="{00000000-0005-0000-0000-00000A220000}"/>
    <cellStyle name="Normal 11 4 6 2" xfId="3601" xr:uid="{00000000-0005-0000-0000-00000B220000}"/>
    <cellStyle name="Normal 11 4 6 2 2" xfId="7827" xr:uid="{00000000-0005-0000-0000-00000C220000}"/>
    <cellStyle name="Normal 11 4 6 2 2 2" xfId="16275" xr:uid="{00000000-0005-0000-0000-00000D220000}"/>
    <cellStyle name="Normal 11 4 6 2 2 2 2" xfId="33215" xr:uid="{00000000-0005-0000-0000-00000E220000}"/>
    <cellStyle name="Normal 11 4 6 2 2 3" xfId="24767" xr:uid="{00000000-0005-0000-0000-00000F220000}"/>
    <cellStyle name="Normal 11 4 6 2 3" xfId="12051" xr:uid="{00000000-0005-0000-0000-000010220000}"/>
    <cellStyle name="Normal 11 4 6 2 3 2" xfId="28991" xr:uid="{00000000-0005-0000-0000-000011220000}"/>
    <cellStyle name="Normal 11 4 6 2 4" xfId="20543" xr:uid="{00000000-0005-0000-0000-000012220000}"/>
    <cellStyle name="Normal 11 4 6 3" xfId="5715" xr:uid="{00000000-0005-0000-0000-000013220000}"/>
    <cellStyle name="Normal 11 4 6 3 2" xfId="14163" xr:uid="{00000000-0005-0000-0000-000014220000}"/>
    <cellStyle name="Normal 11 4 6 3 2 2" xfId="31103" xr:uid="{00000000-0005-0000-0000-000015220000}"/>
    <cellStyle name="Normal 11 4 6 3 3" xfId="22655" xr:uid="{00000000-0005-0000-0000-000016220000}"/>
    <cellStyle name="Normal 11 4 6 4" xfId="9939" xr:uid="{00000000-0005-0000-0000-000017220000}"/>
    <cellStyle name="Normal 11 4 6 4 2" xfId="26879" xr:uid="{00000000-0005-0000-0000-000018220000}"/>
    <cellStyle name="Normal 11 4 6 5" xfId="18431" xr:uid="{00000000-0005-0000-0000-000019220000}"/>
    <cellStyle name="Normal 11 4 7" xfId="2545" xr:uid="{00000000-0005-0000-0000-00001A220000}"/>
    <cellStyle name="Normal 11 4 7 2" xfId="6771" xr:uid="{00000000-0005-0000-0000-00001B220000}"/>
    <cellStyle name="Normal 11 4 7 2 2" xfId="15219" xr:uid="{00000000-0005-0000-0000-00001C220000}"/>
    <cellStyle name="Normal 11 4 7 2 2 2" xfId="32159" xr:uid="{00000000-0005-0000-0000-00001D220000}"/>
    <cellStyle name="Normal 11 4 7 2 3" xfId="23711" xr:uid="{00000000-0005-0000-0000-00001E220000}"/>
    <cellStyle name="Normal 11 4 7 3" xfId="10995" xr:uid="{00000000-0005-0000-0000-00001F220000}"/>
    <cellStyle name="Normal 11 4 7 3 2" xfId="27935" xr:uid="{00000000-0005-0000-0000-000020220000}"/>
    <cellStyle name="Normal 11 4 7 4" xfId="19487" xr:uid="{00000000-0005-0000-0000-000021220000}"/>
    <cellStyle name="Normal 11 4 8" xfId="4658" xr:uid="{00000000-0005-0000-0000-000022220000}"/>
    <cellStyle name="Normal 11 4 8 2" xfId="13107" xr:uid="{00000000-0005-0000-0000-000023220000}"/>
    <cellStyle name="Normal 11 4 8 2 2" xfId="30047" xr:uid="{00000000-0005-0000-0000-000024220000}"/>
    <cellStyle name="Normal 11 4 8 3" xfId="21599" xr:uid="{00000000-0005-0000-0000-000025220000}"/>
    <cellStyle name="Normal 11 4 9" xfId="8883" xr:uid="{00000000-0005-0000-0000-000026220000}"/>
    <cellStyle name="Normal 11 4 9 2" xfId="25823" xr:uid="{00000000-0005-0000-0000-000027220000}"/>
    <cellStyle name="Normal 11 5" xfId="262" xr:uid="{00000000-0005-0000-0000-000028220000}"/>
    <cellStyle name="Normal 11 5 10" xfId="17376" xr:uid="{00000000-0005-0000-0000-000029220000}"/>
    <cellStyle name="Normal 11 5 2" xfId="604" xr:uid="{00000000-0005-0000-0000-00002A220000}"/>
    <cellStyle name="Normal 11 5 2 2" xfId="956" xr:uid="{00000000-0005-0000-0000-00002B220000}"/>
    <cellStyle name="Normal 11 5 2 2 2" xfId="2018" xr:uid="{00000000-0005-0000-0000-00002C220000}"/>
    <cellStyle name="Normal 11 5 2 2 2 2" xfId="4130" xr:uid="{00000000-0005-0000-0000-00002D220000}"/>
    <cellStyle name="Normal 11 5 2 2 2 2 2" xfId="8356" xr:uid="{00000000-0005-0000-0000-00002E220000}"/>
    <cellStyle name="Normal 11 5 2 2 2 2 2 2" xfId="16804" xr:uid="{00000000-0005-0000-0000-00002F220000}"/>
    <cellStyle name="Normal 11 5 2 2 2 2 2 2 2" xfId="33744" xr:uid="{00000000-0005-0000-0000-000030220000}"/>
    <cellStyle name="Normal 11 5 2 2 2 2 2 3" xfId="25296" xr:uid="{00000000-0005-0000-0000-000031220000}"/>
    <cellStyle name="Normal 11 5 2 2 2 2 3" xfId="12580" xr:uid="{00000000-0005-0000-0000-000032220000}"/>
    <cellStyle name="Normal 11 5 2 2 2 2 3 2" xfId="29520" xr:uid="{00000000-0005-0000-0000-000033220000}"/>
    <cellStyle name="Normal 11 5 2 2 2 2 4" xfId="21072" xr:uid="{00000000-0005-0000-0000-000034220000}"/>
    <cellStyle name="Normal 11 5 2 2 2 3" xfId="6244" xr:uid="{00000000-0005-0000-0000-000035220000}"/>
    <cellStyle name="Normal 11 5 2 2 2 3 2" xfId="14692" xr:uid="{00000000-0005-0000-0000-000036220000}"/>
    <cellStyle name="Normal 11 5 2 2 2 3 2 2" xfId="31632" xr:uid="{00000000-0005-0000-0000-000037220000}"/>
    <cellStyle name="Normal 11 5 2 2 2 3 3" xfId="23184" xr:uid="{00000000-0005-0000-0000-000038220000}"/>
    <cellStyle name="Normal 11 5 2 2 2 4" xfId="10468" xr:uid="{00000000-0005-0000-0000-000039220000}"/>
    <cellStyle name="Normal 11 5 2 2 2 4 2" xfId="27408" xr:uid="{00000000-0005-0000-0000-00003A220000}"/>
    <cellStyle name="Normal 11 5 2 2 2 5" xfId="18960" xr:uid="{00000000-0005-0000-0000-00003B220000}"/>
    <cellStyle name="Normal 11 5 2 2 3" xfId="3074" xr:uid="{00000000-0005-0000-0000-00003C220000}"/>
    <cellStyle name="Normal 11 5 2 2 3 2" xfId="7300" xr:uid="{00000000-0005-0000-0000-00003D220000}"/>
    <cellStyle name="Normal 11 5 2 2 3 2 2" xfId="15748" xr:uid="{00000000-0005-0000-0000-00003E220000}"/>
    <cellStyle name="Normal 11 5 2 2 3 2 2 2" xfId="32688" xr:uid="{00000000-0005-0000-0000-00003F220000}"/>
    <cellStyle name="Normal 11 5 2 2 3 2 3" xfId="24240" xr:uid="{00000000-0005-0000-0000-000040220000}"/>
    <cellStyle name="Normal 11 5 2 2 3 3" xfId="11524" xr:uid="{00000000-0005-0000-0000-000041220000}"/>
    <cellStyle name="Normal 11 5 2 2 3 3 2" xfId="28464" xr:uid="{00000000-0005-0000-0000-000042220000}"/>
    <cellStyle name="Normal 11 5 2 2 3 4" xfId="20016" xr:uid="{00000000-0005-0000-0000-000043220000}"/>
    <cellStyle name="Normal 11 5 2 2 4" xfId="5188" xr:uid="{00000000-0005-0000-0000-000044220000}"/>
    <cellStyle name="Normal 11 5 2 2 4 2" xfId="13636" xr:uid="{00000000-0005-0000-0000-000045220000}"/>
    <cellStyle name="Normal 11 5 2 2 4 2 2" xfId="30576" xr:uid="{00000000-0005-0000-0000-000046220000}"/>
    <cellStyle name="Normal 11 5 2 2 4 3" xfId="22128" xr:uid="{00000000-0005-0000-0000-000047220000}"/>
    <cellStyle name="Normal 11 5 2 2 5" xfId="9412" xr:uid="{00000000-0005-0000-0000-000048220000}"/>
    <cellStyle name="Normal 11 5 2 2 5 2" xfId="26352" xr:uid="{00000000-0005-0000-0000-000049220000}"/>
    <cellStyle name="Normal 11 5 2 2 6" xfId="17904" xr:uid="{00000000-0005-0000-0000-00004A220000}"/>
    <cellStyle name="Normal 11 5 2 3" xfId="1666" xr:uid="{00000000-0005-0000-0000-00004B220000}"/>
    <cellStyle name="Normal 11 5 2 3 2" xfId="3778" xr:uid="{00000000-0005-0000-0000-00004C220000}"/>
    <cellStyle name="Normal 11 5 2 3 2 2" xfId="8004" xr:uid="{00000000-0005-0000-0000-00004D220000}"/>
    <cellStyle name="Normal 11 5 2 3 2 2 2" xfId="16452" xr:uid="{00000000-0005-0000-0000-00004E220000}"/>
    <cellStyle name="Normal 11 5 2 3 2 2 2 2" xfId="33392" xr:uid="{00000000-0005-0000-0000-00004F220000}"/>
    <cellStyle name="Normal 11 5 2 3 2 2 3" xfId="24944" xr:uid="{00000000-0005-0000-0000-000050220000}"/>
    <cellStyle name="Normal 11 5 2 3 2 3" xfId="12228" xr:uid="{00000000-0005-0000-0000-000051220000}"/>
    <cellStyle name="Normal 11 5 2 3 2 3 2" xfId="29168" xr:uid="{00000000-0005-0000-0000-000052220000}"/>
    <cellStyle name="Normal 11 5 2 3 2 4" xfId="20720" xr:uid="{00000000-0005-0000-0000-000053220000}"/>
    <cellStyle name="Normal 11 5 2 3 3" xfId="5892" xr:uid="{00000000-0005-0000-0000-000054220000}"/>
    <cellStyle name="Normal 11 5 2 3 3 2" xfId="14340" xr:uid="{00000000-0005-0000-0000-000055220000}"/>
    <cellStyle name="Normal 11 5 2 3 3 2 2" xfId="31280" xr:uid="{00000000-0005-0000-0000-000056220000}"/>
    <cellStyle name="Normal 11 5 2 3 3 3" xfId="22832" xr:uid="{00000000-0005-0000-0000-000057220000}"/>
    <cellStyle name="Normal 11 5 2 3 4" xfId="10116" xr:uid="{00000000-0005-0000-0000-000058220000}"/>
    <cellStyle name="Normal 11 5 2 3 4 2" xfId="27056" xr:uid="{00000000-0005-0000-0000-000059220000}"/>
    <cellStyle name="Normal 11 5 2 3 5" xfId="18608" xr:uid="{00000000-0005-0000-0000-00005A220000}"/>
    <cellStyle name="Normal 11 5 2 4" xfId="2722" xr:uid="{00000000-0005-0000-0000-00005B220000}"/>
    <cellStyle name="Normal 11 5 2 4 2" xfId="6948" xr:uid="{00000000-0005-0000-0000-00005C220000}"/>
    <cellStyle name="Normal 11 5 2 4 2 2" xfId="15396" xr:uid="{00000000-0005-0000-0000-00005D220000}"/>
    <cellStyle name="Normal 11 5 2 4 2 2 2" xfId="32336" xr:uid="{00000000-0005-0000-0000-00005E220000}"/>
    <cellStyle name="Normal 11 5 2 4 2 3" xfId="23888" xr:uid="{00000000-0005-0000-0000-00005F220000}"/>
    <cellStyle name="Normal 11 5 2 4 3" xfId="11172" xr:uid="{00000000-0005-0000-0000-000060220000}"/>
    <cellStyle name="Normal 11 5 2 4 3 2" xfId="28112" xr:uid="{00000000-0005-0000-0000-000061220000}"/>
    <cellStyle name="Normal 11 5 2 4 4" xfId="19664" xr:uid="{00000000-0005-0000-0000-000062220000}"/>
    <cellStyle name="Normal 11 5 2 5" xfId="4836" xr:uid="{00000000-0005-0000-0000-000063220000}"/>
    <cellStyle name="Normal 11 5 2 5 2" xfId="13284" xr:uid="{00000000-0005-0000-0000-000064220000}"/>
    <cellStyle name="Normal 11 5 2 5 2 2" xfId="30224" xr:uid="{00000000-0005-0000-0000-000065220000}"/>
    <cellStyle name="Normal 11 5 2 5 3" xfId="21776" xr:uid="{00000000-0005-0000-0000-000066220000}"/>
    <cellStyle name="Normal 11 5 2 6" xfId="9060" xr:uid="{00000000-0005-0000-0000-000067220000}"/>
    <cellStyle name="Normal 11 5 2 6 2" xfId="26000" xr:uid="{00000000-0005-0000-0000-000068220000}"/>
    <cellStyle name="Normal 11 5 2 7" xfId="17552" xr:uid="{00000000-0005-0000-0000-000069220000}"/>
    <cellStyle name="Normal 11 5 3" xfId="780" xr:uid="{00000000-0005-0000-0000-00006A220000}"/>
    <cellStyle name="Normal 11 5 3 2" xfId="1842" xr:uid="{00000000-0005-0000-0000-00006B220000}"/>
    <cellStyle name="Normal 11 5 3 2 2" xfId="3954" xr:uid="{00000000-0005-0000-0000-00006C220000}"/>
    <cellStyle name="Normal 11 5 3 2 2 2" xfId="8180" xr:uid="{00000000-0005-0000-0000-00006D220000}"/>
    <cellStyle name="Normal 11 5 3 2 2 2 2" xfId="16628" xr:uid="{00000000-0005-0000-0000-00006E220000}"/>
    <cellStyle name="Normal 11 5 3 2 2 2 2 2" xfId="33568" xr:uid="{00000000-0005-0000-0000-00006F220000}"/>
    <cellStyle name="Normal 11 5 3 2 2 2 3" xfId="25120" xr:uid="{00000000-0005-0000-0000-000070220000}"/>
    <cellStyle name="Normal 11 5 3 2 2 3" xfId="12404" xr:uid="{00000000-0005-0000-0000-000071220000}"/>
    <cellStyle name="Normal 11 5 3 2 2 3 2" xfId="29344" xr:uid="{00000000-0005-0000-0000-000072220000}"/>
    <cellStyle name="Normal 11 5 3 2 2 4" xfId="20896" xr:uid="{00000000-0005-0000-0000-000073220000}"/>
    <cellStyle name="Normal 11 5 3 2 3" xfId="6068" xr:uid="{00000000-0005-0000-0000-000074220000}"/>
    <cellStyle name="Normal 11 5 3 2 3 2" xfId="14516" xr:uid="{00000000-0005-0000-0000-000075220000}"/>
    <cellStyle name="Normal 11 5 3 2 3 2 2" xfId="31456" xr:uid="{00000000-0005-0000-0000-000076220000}"/>
    <cellStyle name="Normal 11 5 3 2 3 3" xfId="23008" xr:uid="{00000000-0005-0000-0000-000077220000}"/>
    <cellStyle name="Normal 11 5 3 2 4" xfId="10292" xr:uid="{00000000-0005-0000-0000-000078220000}"/>
    <cellStyle name="Normal 11 5 3 2 4 2" xfId="27232" xr:uid="{00000000-0005-0000-0000-000079220000}"/>
    <cellStyle name="Normal 11 5 3 2 5" xfId="18784" xr:uid="{00000000-0005-0000-0000-00007A220000}"/>
    <cellStyle name="Normal 11 5 3 3" xfId="2898" xr:uid="{00000000-0005-0000-0000-00007B220000}"/>
    <cellStyle name="Normal 11 5 3 3 2" xfId="7124" xr:uid="{00000000-0005-0000-0000-00007C220000}"/>
    <cellStyle name="Normal 11 5 3 3 2 2" xfId="15572" xr:uid="{00000000-0005-0000-0000-00007D220000}"/>
    <cellStyle name="Normal 11 5 3 3 2 2 2" xfId="32512" xr:uid="{00000000-0005-0000-0000-00007E220000}"/>
    <cellStyle name="Normal 11 5 3 3 2 3" xfId="24064" xr:uid="{00000000-0005-0000-0000-00007F220000}"/>
    <cellStyle name="Normal 11 5 3 3 3" xfId="11348" xr:uid="{00000000-0005-0000-0000-000080220000}"/>
    <cellStyle name="Normal 11 5 3 3 3 2" xfId="28288" xr:uid="{00000000-0005-0000-0000-000081220000}"/>
    <cellStyle name="Normal 11 5 3 3 4" xfId="19840" xr:uid="{00000000-0005-0000-0000-000082220000}"/>
    <cellStyle name="Normal 11 5 3 4" xfId="5012" xr:uid="{00000000-0005-0000-0000-000083220000}"/>
    <cellStyle name="Normal 11 5 3 4 2" xfId="13460" xr:uid="{00000000-0005-0000-0000-000084220000}"/>
    <cellStyle name="Normal 11 5 3 4 2 2" xfId="30400" xr:uid="{00000000-0005-0000-0000-000085220000}"/>
    <cellStyle name="Normal 11 5 3 4 3" xfId="21952" xr:uid="{00000000-0005-0000-0000-000086220000}"/>
    <cellStyle name="Normal 11 5 3 5" xfId="9236" xr:uid="{00000000-0005-0000-0000-000087220000}"/>
    <cellStyle name="Normal 11 5 3 5 2" xfId="26176" xr:uid="{00000000-0005-0000-0000-000088220000}"/>
    <cellStyle name="Normal 11 5 3 6" xfId="17728" xr:uid="{00000000-0005-0000-0000-000089220000}"/>
    <cellStyle name="Normal 11 5 4" xfId="1132" xr:uid="{00000000-0005-0000-0000-00008A220000}"/>
    <cellStyle name="Normal 11 5 4 2" xfId="2194" xr:uid="{00000000-0005-0000-0000-00008B220000}"/>
    <cellStyle name="Normal 11 5 4 2 2" xfId="4306" xr:uid="{00000000-0005-0000-0000-00008C220000}"/>
    <cellStyle name="Normal 11 5 4 2 2 2" xfId="8532" xr:uid="{00000000-0005-0000-0000-00008D220000}"/>
    <cellStyle name="Normal 11 5 4 2 2 2 2" xfId="16980" xr:uid="{00000000-0005-0000-0000-00008E220000}"/>
    <cellStyle name="Normal 11 5 4 2 2 2 2 2" xfId="33920" xr:uid="{00000000-0005-0000-0000-00008F220000}"/>
    <cellStyle name="Normal 11 5 4 2 2 2 3" xfId="25472" xr:uid="{00000000-0005-0000-0000-000090220000}"/>
    <cellStyle name="Normal 11 5 4 2 2 3" xfId="12756" xr:uid="{00000000-0005-0000-0000-000091220000}"/>
    <cellStyle name="Normal 11 5 4 2 2 3 2" xfId="29696" xr:uid="{00000000-0005-0000-0000-000092220000}"/>
    <cellStyle name="Normal 11 5 4 2 2 4" xfId="21248" xr:uid="{00000000-0005-0000-0000-000093220000}"/>
    <cellStyle name="Normal 11 5 4 2 3" xfId="6420" xr:uid="{00000000-0005-0000-0000-000094220000}"/>
    <cellStyle name="Normal 11 5 4 2 3 2" xfId="14868" xr:uid="{00000000-0005-0000-0000-000095220000}"/>
    <cellStyle name="Normal 11 5 4 2 3 2 2" xfId="31808" xr:uid="{00000000-0005-0000-0000-000096220000}"/>
    <cellStyle name="Normal 11 5 4 2 3 3" xfId="23360" xr:uid="{00000000-0005-0000-0000-000097220000}"/>
    <cellStyle name="Normal 11 5 4 2 4" xfId="10644" xr:uid="{00000000-0005-0000-0000-000098220000}"/>
    <cellStyle name="Normal 11 5 4 2 4 2" xfId="27584" xr:uid="{00000000-0005-0000-0000-000099220000}"/>
    <cellStyle name="Normal 11 5 4 2 5" xfId="19136" xr:uid="{00000000-0005-0000-0000-00009A220000}"/>
    <cellStyle name="Normal 11 5 4 3" xfId="3250" xr:uid="{00000000-0005-0000-0000-00009B220000}"/>
    <cellStyle name="Normal 11 5 4 3 2" xfId="7476" xr:uid="{00000000-0005-0000-0000-00009C220000}"/>
    <cellStyle name="Normal 11 5 4 3 2 2" xfId="15924" xr:uid="{00000000-0005-0000-0000-00009D220000}"/>
    <cellStyle name="Normal 11 5 4 3 2 2 2" xfId="32864" xr:uid="{00000000-0005-0000-0000-00009E220000}"/>
    <cellStyle name="Normal 11 5 4 3 2 3" xfId="24416" xr:uid="{00000000-0005-0000-0000-00009F220000}"/>
    <cellStyle name="Normal 11 5 4 3 3" xfId="11700" xr:uid="{00000000-0005-0000-0000-0000A0220000}"/>
    <cellStyle name="Normal 11 5 4 3 3 2" xfId="28640" xr:uid="{00000000-0005-0000-0000-0000A1220000}"/>
    <cellStyle name="Normal 11 5 4 3 4" xfId="20192" xr:uid="{00000000-0005-0000-0000-0000A2220000}"/>
    <cellStyle name="Normal 11 5 4 4" xfId="5364" xr:uid="{00000000-0005-0000-0000-0000A3220000}"/>
    <cellStyle name="Normal 11 5 4 4 2" xfId="13812" xr:uid="{00000000-0005-0000-0000-0000A4220000}"/>
    <cellStyle name="Normal 11 5 4 4 2 2" xfId="30752" xr:uid="{00000000-0005-0000-0000-0000A5220000}"/>
    <cellStyle name="Normal 11 5 4 4 3" xfId="22304" xr:uid="{00000000-0005-0000-0000-0000A6220000}"/>
    <cellStyle name="Normal 11 5 4 5" xfId="9588" xr:uid="{00000000-0005-0000-0000-0000A7220000}"/>
    <cellStyle name="Normal 11 5 4 5 2" xfId="26528" xr:uid="{00000000-0005-0000-0000-0000A8220000}"/>
    <cellStyle name="Normal 11 5 4 6" xfId="18080" xr:uid="{00000000-0005-0000-0000-0000A9220000}"/>
    <cellStyle name="Normal 11 5 5" xfId="1314" xr:uid="{00000000-0005-0000-0000-0000AA220000}"/>
    <cellStyle name="Normal 11 5 5 2" xfId="2370" xr:uid="{00000000-0005-0000-0000-0000AB220000}"/>
    <cellStyle name="Normal 11 5 5 2 2" xfId="4482" xr:uid="{00000000-0005-0000-0000-0000AC220000}"/>
    <cellStyle name="Normal 11 5 5 2 2 2" xfId="8708" xr:uid="{00000000-0005-0000-0000-0000AD220000}"/>
    <cellStyle name="Normal 11 5 5 2 2 2 2" xfId="17156" xr:uid="{00000000-0005-0000-0000-0000AE220000}"/>
    <cellStyle name="Normal 11 5 5 2 2 2 2 2" xfId="34096" xr:uid="{00000000-0005-0000-0000-0000AF220000}"/>
    <cellStyle name="Normal 11 5 5 2 2 2 3" xfId="25648" xr:uid="{00000000-0005-0000-0000-0000B0220000}"/>
    <cellStyle name="Normal 11 5 5 2 2 3" xfId="12932" xr:uid="{00000000-0005-0000-0000-0000B1220000}"/>
    <cellStyle name="Normal 11 5 5 2 2 3 2" xfId="29872" xr:uid="{00000000-0005-0000-0000-0000B2220000}"/>
    <cellStyle name="Normal 11 5 5 2 2 4" xfId="21424" xr:uid="{00000000-0005-0000-0000-0000B3220000}"/>
    <cellStyle name="Normal 11 5 5 2 3" xfId="6596" xr:uid="{00000000-0005-0000-0000-0000B4220000}"/>
    <cellStyle name="Normal 11 5 5 2 3 2" xfId="15044" xr:uid="{00000000-0005-0000-0000-0000B5220000}"/>
    <cellStyle name="Normal 11 5 5 2 3 2 2" xfId="31984" xr:uid="{00000000-0005-0000-0000-0000B6220000}"/>
    <cellStyle name="Normal 11 5 5 2 3 3" xfId="23536" xr:uid="{00000000-0005-0000-0000-0000B7220000}"/>
    <cellStyle name="Normal 11 5 5 2 4" xfId="10820" xr:uid="{00000000-0005-0000-0000-0000B8220000}"/>
    <cellStyle name="Normal 11 5 5 2 4 2" xfId="27760" xr:uid="{00000000-0005-0000-0000-0000B9220000}"/>
    <cellStyle name="Normal 11 5 5 2 5" xfId="19312" xr:uid="{00000000-0005-0000-0000-0000BA220000}"/>
    <cellStyle name="Normal 11 5 5 3" xfId="3426" xr:uid="{00000000-0005-0000-0000-0000BB220000}"/>
    <cellStyle name="Normal 11 5 5 3 2" xfId="7652" xr:uid="{00000000-0005-0000-0000-0000BC220000}"/>
    <cellStyle name="Normal 11 5 5 3 2 2" xfId="16100" xr:uid="{00000000-0005-0000-0000-0000BD220000}"/>
    <cellStyle name="Normal 11 5 5 3 2 2 2" xfId="33040" xr:uid="{00000000-0005-0000-0000-0000BE220000}"/>
    <cellStyle name="Normal 11 5 5 3 2 3" xfId="24592" xr:uid="{00000000-0005-0000-0000-0000BF220000}"/>
    <cellStyle name="Normal 11 5 5 3 3" xfId="11876" xr:uid="{00000000-0005-0000-0000-0000C0220000}"/>
    <cellStyle name="Normal 11 5 5 3 3 2" xfId="28816" xr:uid="{00000000-0005-0000-0000-0000C1220000}"/>
    <cellStyle name="Normal 11 5 5 3 4" xfId="20368" xr:uid="{00000000-0005-0000-0000-0000C2220000}"/>
    <cellStyle name="Normal 11 5 5 4" xfId="5540" xr:uid="{00000000-0005-0000-0000-0000C3220000}"/>
    <cellStyle name="Normal 11 5 5 4 2" xfId="13988" xr:uid="{00000000-0005-0000-0000-0000C4220000}"/>
    <cellStyle name="Normal 11 5 5 4 2 2" xfId="30928" xr:uid="{00000000-0005-0000-0000-0000C5220000}"/>
    <cellStyle name="Normal 11 5 5 4 3" xfId="22480" xr:uid="{00000000-0005-0000-0000-0000C6220000}"/>
    <cellStyle name="Normal 11 5 5 5" xfId="9764" xr:uid="{00000000-0005-0000-0000-0000C7220000}"/>
    <cellStyle name="Normal 11 5 5 5 2" xfId="26704" xr:uid="{00000000-0005-0000-0000-0000C8220000}"/>
    <cellStyle name="Normal 11 5 5 6" xfId="18256" xr:uid="{00000000-0005-0000-0000-0000C9220000}"/>
    <cellStyle name="Normal 11 5 6" xfId="1490" xr:uid="{00000000-0005-0000-0000-0000CA220000}"/>
    <cellStyle name="Normal 11 5 6 2" xfId="3602" xr:uid="{00000000-0005-0000-0000-0000CB220000}"/>
    <cellStyle name="Normal 11 5 6 2 2" xfId="7828" xr:uid="{00000000-0005-0000-0000-0000CC220000}"/>
    <cellStyle name="Normal 11 5 6 2 2 2" xfId="16276" xr:uid="{00000000-0005-0000-0000-0000CD220000}"/>
    <cellStyle name="Normal 11 5 6 2 2 2 2" xfId="33216" xr:uid="{00000000-0005-0000-0000-0000CE220000}"/>
    <cellStyle name="Normal 11 5 6 2 2 3" xfId="24768" xr:uid="{00000000-0005-0000-0000-0000CF220000}"/>
    <cellStyle name="Normal 11 5 6 2 3" xfId="12052" xr:uid="{00000000-0005-0000-0000-0000D0220000}"/>
    <cellStyle name="Normal 11 5 6 2 3 2" xfId="28992" xr:uid="{00000000-0005-0000-0000-0000D1220000}"/>
    <cellStyle name="Normal 11 5 6 2 4" xfId="20544" xr:uid="{00000000-0005-0000-0000-0000D2220000}"/>
    <cellStyle name="Normal 11 5 6 3" xfId="5716" xr:uid="{00000000-0005-0000-0000-0000D3220000}"/>
    <cellStyle name="Normal 11 5 6 3 2" xfId="14164" xr:uid="{00000000-0005-0000-0000-0000D4220000}"/>
    <cellStyle name="Normal 11 5 6 3 2 2" xfId="31104" xr:uid="{00000000-0005-0000-0000-0000D5220000}"/>
    <cellStyle name="Normal 11 5 6 3 3" xfId="22656" xr:uid="{00000000-0005-0000-0000-0000D6220000}"/>
    <cellStyle name="Normal 11 5 6 4" xfId="9940" xr:uid="{00000000-0005-0000-0000-0000D7220000}"/>
    <cellStyle name="Normal 11 5 6 4 2" xfId="26880" xr:uid="{00000000-0005-0000-0000-0000D8220000}"/>
    <cellStyle name="Normal 11 5 6 5" xfId="18432" xr:uid="{00000000-0005-0000-0000-0000D9220000}"/>
    <cellStyle name="Normal 11 5 7" xfId="2546" xr:uid="{00000000-0005-0000-0000-0000DA220000}"/>
    <cellStyle name="Normal 11 5 7 2" xfId="6772" xr:uid="{00000000-0005-0000-0000-0000DB220000}"/>
    <cellStyle name="Normal 11 5 7 2 2" xfId="15220" xr:uid="{00000000-0005-0000-0000-0000DC220000}"/>
    <cellStyle name="Normal 11 5 7 2 2 2" xfId="32160" xr:uid="{00000000-0005-0000-0000-0000DD220000}"/>
    <cellStyle name="Normal 11 5 7 2 3" xfId="23712" xr:uid="{00000000-0005-0000-0000-0000DE220000}"/>
    <cellStyle name="Normal 11 5 7 3" xfId="10996" xr:uid="{00000000-0005-0000-0000-0000DF220000}"/>
    <cellStyle name="Normal 11 5 7 3 2" xfId="27936" xr:uid="{00000000-0005-0000-0000-0000E0220000}"/>
    <cellStyle name="Normal 11 5 7 4" xfId="19488" xr:uid="{00000000-0005-0000-0000-0000E1220000}"/>
    <cellStyle name="Normal 11 5 8" xfId="4659" xr:uid="{00000000-0005-0000-0000-0000E2220000}"/>
    <cellStyle name="Normal 11 5 8 2" xfId="13108" xr:uid="{00000000-0005-0000-0000-0000E3220000}"/>
    <cellStyle name="Normal 11 5 8 2 2" xfId="30048" xr:uid="{00000000-0005-0000-0000-0000E4220000}"/>
    <cellStyle name="Normal 11 5 8 3" xfId="21600" xr:uid="{00000000-0005-0000-0000-0000E5220000}"/>
    <cellStyle name="Normal 11 5 9" xfId="8884" xr:uid="{00000000-0005-0000-0000-0000E6220000}"/>
    <cellStyle name="Normal 11 5 9 2" xfId="25824" xr:uid="{00000000-0005-0000-0000-0000E7220000}"/>
    <cellStyle name="Normal 11 6" xfId="599" xr:uid="{00000000-0005-0000-0000-0000E8220000}"/>
    <cellStyle name="Normal 11 6 2" xfId="951" xr:uid="{00000000-0005-0000-0000-0000E9220000}"/>
    <cellStyle name="Normal 11 6 2 2" xfId="2013" xr:uid="{00000000-0005-0000-0000-0000EA220000}"/>
    <cellStyle name="Normal 11 6 2 2 2" xfId="4125" xr:uid="{00000000-0005-0000-0000-0000EB220000}"/>
    <cellStyle name="Normal 11 6 2 2 2 2" xfId="8351" xr:uid="{00000000-0005-0000-0000-0000EC220000}"/>
    <cellStyle name="Normal 11 6 2 2 2 2 2" xfId="16799" xr:uid="{00000000-0005-0000-0000-0000ED220000}"/>
    <cellStyle name="Normal 11 6 2 2 2 2 2 2" xfId="33739" xr:uid="{00000000-0005-0000-0000-0000EE220000}"/>
    <cellStyle name="Normal 11 6 2 2 2 2 3" xfId="25291" xr:uid="{00000000-0005-0000-0000-0000EF220000}"/>
    <cellStyle name="Normal 11 6 2 2 2 3" xfId="12575" xr:uid="{00000000-0005-0000-0000-0000F0220000}"/>
    <cellStyle name="Normal 11 6 2 2 2 3 2" xfId="29515" xr:uid="{00000000-0005-0000-0000-0000F1220000}"/>
    <cellStyle name="Normal 11 6 2 2 2 4" xfId="21067" xr:uid="{00000000-0005-0000-0000-0000F2220000}"/>
    <cellStyle name="Normal 11 6 2 2 3" xfId="6239" xr:uid="{00000000-0005-0000-0000-0000F3220000}"/>
    <cellStyle name="Normal 11 6 2 2 3 2" xfId="14687" xr:uid="{00000000-0005-0000-0000-0000F4220000}"/>
    <cellStyle name="Normal 11 6 2 2 3 2 2" xfId="31627" xr:uid="{00000000-0005-0000-0000-0000F5220000}"/>
    <cellStyle name="Normal 11 6 2 2 3 3" xfId="23179" xr:uid="{00000000-0005-0000-0000-0000F6220000}"/>
    <cellStyle name="Normal 11 6 2 2 4" xfId="10463" xr:uid="{00000000-0005-0000-0000-0000F7220000}"/>
    <cellStyle name="Normal 11 6 2 2 4 2" xfId="27403" xr:uid="{00000000-0005-0000-0000-0000F8220000}"/>
    <cellStyle name="Normal 11 6 2 2 5" xfId="18955" xr:uid="{00000000-0005-0000-0000-0000F9220000}"/>
    <cellStyle name="Normal 11 6 2 3" xfId="3069" xr:uid="{00000000-0005-0000-0000-0000FA220000}"/>
    <cellStyle name="Normal 11 6 2 3 2" xfId="7295" xr:uid="{00000000-0005-0000-0000-0000FB220000}"/>
    <cellStyle name="Normal 11 6 2 3 2 2" xfId="15743" xr:uid="{00000000-0005-0000-0000-0000FC220000}"/>
    <cellStyle name="Normal 11 6 2 3 2 2 2" xfId="32683" xr:uid="{00000000-0005-0000-0000-0000FD220000}"/>
    <cellStyle name="Normal 11 6 2 3 2 3" xfId="24235" xr:uid="{00000000-0005-0000-0000-0000FE220000}"/>
    <cellStyle name="Normal 11 6 2 3 3" xfId="11519" xr:uid="{00000000-0005-0000-0000-0000FF220000}"/>
    <cellStyle name="Normal 11 6 2 3 3 2" xfId="28459" xr:uid="{00000000-0005-0000-0000-000000230000}"/>
    <cellStyle name="Normal 11 6 2 3 4" xfId="20011" xr:uid="{00000000-0005-0000-0000-000001230000}"/>
    <cellStyle name="Normal 11 6 2 4" xfId="5183" xr:uid="{00000000-0005-0000-0000-000002230000}"/>
    <cellStyle name="Normal 11 6 2 4 2" xfId="13631" xr:uid="{00000000-0005-0000-0000-000003230000}"/>
    <cellStyle name="Normal 11 6 2 4 2 2" xfId="30571" xr:uid="{00000000-0005-0000-0000-000004230000}"/>
    <cellStyle name="Normal 11 6 2 4 3" xfId="22123" xr:uid="{00000000-0005-0000-0000-000005230000}"/>
    <cellStyle name="Normal 11 6 2 5" xfId="9407" xr:uid="{00000000-0005-0000-0000-000006230000}"/>
    <cellStyle name="Normal 11 6 2 5 2" xfId="26347" xr:uid="{00000000-0005-0000-0000-000007230000}"/>
    <cellStyle name="Normal 11 6 2 6" xfId="17899" xr:uid="{00000000-0005-0000-0000-000008230000}"/>
    <cellStyle name="Normal 11 6 3" xfId="1661" xr:uid="{00000000-0005-0000-0000-000009230000}"/>
    <cellStyle name="Normal 11 6 3 2" xfId="3773" xr:uid="{00000000-0005-0000-0000-00000A230000}"/>
    <cellStyle name="Normal 11 6 3 2 2" xfId="7999" xr:uid="{00000000-0005-0000-0000-00000B230000}"/>
    <cellStyle name="Normal 11 6 3 2 2 2" xfId="16447" xr:uid="{00000000-0005-0000-0000-00000C230000}"/>
    <cellStyle name="Normal 11 6 3 2 2 2 2" xfId="33387" xr:uid="{00000000-0005-0000-0000-00000D230000}"/>
    <cellStyle name="Normal 11 6 3 2 2 3" xfId="24939" xr:uid="{00000000-0005-0000-0000-00000E230000}"/>
    <cellStyle name="Normal 11 6 3 2 3" xfId="12223" xr:uid="{00000000-0005-0000-0000-00000F230000}"/>
    <cellStyle name="Normal 11 6 3 2 3 2" xfId="29163" xr:uid="{00000000-0005-0000-0000-000010230000}"/>
    <cellStyle name="Normal 11 6 3 2 4" xfId="20715" xr:uid="{00000000-0005-0000-0000-000011230000}"/>
    <cellStyle name="Normal 11 6 3 3" xfId="5887" xr:uid="{00000000-0005-0000-0000-000012230000}"/>
    <cellStyle name="Normal 11 6 3 3 2" xfId="14335" xr:uid="{00000000-0005-0000-0000-000013230000}"/>
    <cellStyle name="Normal 11 6 3 3 2 2" xfId="31275" xr:uid="{00000000-0005-0000-0000-000014230000}"/>
    <cellStyle name="Normal 11 6 3 3 3" xfId="22827" xr:uid="{00000000-0005-0000-0000-000015230000}"/>
    <cellStyle name="Normal 11 6 3 4" xfId="10111" xr:uid="{00000000-0005-0000-0000-000016230000}"/>
    <cellStyle name="Normal 11 6 3 4 2" xfId="27051" xr:uid="{00000000-0005-0000-0000-000017230000}"/>
    <cellStyle name="Normal 11 6 3 5" xfId="18603" xr:uid="{00000000-0005-0000-0000-000018230000}"/>
    <cellStyle name="Normal 11 6 4" xfId="2717" xr:uid="{00000000-0005-0000-0000-000019230000}"/>
    <cellStyle name="Normal 11 6 4 2" xfId="6943" xr:uid="{00000000-0005-0000-0000-00001A230000}"/>
    <cellStyle name="Normal 11 6 4 2 2" xfId="15391" xr:uid="{00000000-0005-0000-0000-00001B230000}"/>
    <cellStyle name="Normal 11 6 4 2 2 2" xfId="32331" xr:uid="{00000000-0005-0000-0000-00001C230000}"/>
    <cellStyle name="Normal 11 6 4 2 3" xfId="23883" xr:uid="{00000000-0005-0000-0000-00001D230000}"/>
    <cellStyle name="Normal 11 6 4 3" xfId="11167" xr:uid="{00000000-0005-0000-0000-00001E230000}"/>
    <cellStyle name="Normal 11 6 4 3 2" xfId="28107" xr:uid="{00000000-0005-0000-0000-00001F230000}"/>
    <cellStyle name="Normal 11 6 4 4" xfId="19659" xr:uid="{00000000-0005-0000-0000-000020230000}"/>
    <cellStyle name="Normal 11 6 5" xfId="4831" xr:uid="{00000000-0005-0000-0000-000021230000}"/>
    <cellStyle name="Normal 11 6 5 2" xfId="13279" xr:uid="{00000000-0005-0000-0000-000022230000}"/>
    <cellStyle name="Normal 11 6 5 2 2" xfId="30219" xr:uid="{00000000-0005-0000-0000-000023230000}"/>
    <cellStyle name="Normal 11 6 5 3" xfId="21771" xr:uid="{00000000-0005-0000-0000-000024230000}"/>
    <cellStyle name="Normal 11 6 6" xfId="9055" xr:uid="{00000000-0005-0000-0000-000025230000}"/>
    <cellStyle name="Normal 11 6 6 2" xfId="25995" xr:uid="{00000000-0005-0000-0000-000026230000}"/>
    <cellStyle name="Normal 11 6 7" xfId="17547" xr:uid="{00000000-0005-0000-0000-000027230000}"/>
    <cellStyle name="Normal 11 7" xfId="775" xr:uid="{00000000-0005-0000-0000-000028230000}"/>
    <cellStyle name="Normal 11 7 2" xfId="1837" xr:uid="{00000000-0005-0000-0000-000029230000}"/>
    <cellStyle name="Normal 11 7 2 2" xfId="3949" xr:uid="{00000000-0005-0000-0000-00002A230000}"/>
    <cellStyle name="Normal 11 7 2 2 2" xfId="8175" xr:uid="{00000000-0005-0000-0000-00002B230000}"/>
    <cellStyle name="Normal 11 7 2 2 2 2" xfId="16623" xr:uid="{00000000-0005-0000-0000-00002C230000}"/>
    <cellStyle name="Normal 11 7 2 2 2 2 2" xfId="33563" xr:uid="{00000000-0005-0000-0000-00002D230000}"/>
    <cellStyle name="Normal 11 7 2 2 2 3" xfId="25115" xr:uid="{00000000-0005-0000-0000-00002E230000}"/>
    <cellStyle name="Normal 11 7 2 2 3" xfId="12399" xr:uid="{00000000-0005-0000-0000-00002F230000}"/>
    <cellStyle name="Normal 11 7 2 2 3 2" xfId="29339" xr:uid="{00000000-0005-0000-0000-000030230000}"/>
    <cellStyle name="Normal 11 7 2 2 4" xfId="20891" xr:uid="{00000000-0005-0000-0000-000031230000}"/>
    <cellStyle name="Normal 11 7 2 3" xfId="6063" xr:uid="{00000000-0005-0000-0000-000032230000}"/>
    <cellStyle name="Normal 11 7 2 3 2" xfId="14511" xr:uid="{00000000-0005-0000-0000-000033230000}"/>
    <cellStyle name="Normal 11 7 2 3 2 2" xfId="31451" xr:uid="{00000000-0005-0000-0000-000034230000}"/>
    <cellStyle name="Normal 11 7 2 3 3" xfId="23003" xr:uid="{00000000-0005-0000-0000-000035230000}"/>
    <cellStyle name="Normal 11 7 2 4" xfId="10287" xr:uid="{00000000-0005-0000-0000-000036230000}"/>
    <cellStyle name="Normal 11 7 2 4 2" xfId="27227" xr:uid="{00000000-0005-0000-0000-000037230000}"/>
    <cellStyle name="Normal 11 7 2 5" xfId="18779" xr:uid="{00000000-0005-0000-0000-000038230000}"/>
    <cellStyle name="Normal 11 7 3" xfId="2893" xr:uid="{00000000-0005-0000-0000-000039230000}"/>
    <cellStyle name="Normal 11 7 3 2" xfId="7119" xr:uid="{00000000-0005-0000-0000-00003A230000}"/>
    <cellStyle name="Normal 11 7 3 2 2" xfId="15567" xr:uid="{00000000-0005-0000-0000-00003B230000}"/>
    <cellStyle name="Normal 11 7 3 2 2 2" xfId="32507" xr:uid="{00000000-0005-0000-0000-00003C230000}"/>
    <cellStyle name="Normal 11 7 3 2 3" xfId="24059" xr:uid="{00000000-0005-0000-0000-00003D230000}"/>
    <cellStyle name="Normal 11 7 3 3" xfId="11343" xr:uid="{00000000-0005-0000-0000-00003E230000}"/>
    <cellStyle name="Normal 11 7 3 3 2" xfId="28283" xr:uid="{00000000-0005-0000-0000-00003F230000}"/>
    <cellStyle name="Normal 11 7 3 4" xfId="19835" xr:uid="{00000000-0005-0000-0000-000040230000}"/>
    <cellStyle name="Normal 11 7 4" xfId="5007" xr:uid="{00000000-0005-0000-0000-000041230000}"/>
    <cellStyle name="Normal 11 7 4 2" xfId="13455" xr:uid="{00000000-0005-0000-0000-000042230000}"/>
    <cellStyle name="Normal 11 7 4 2 2" xfId="30395" xr:uid="{00000000-0005-0000-0000-000043230000}"/>
    <cellStyle name="Normal 11 7 4 3" xfId="21947" xr:uid="{00000000-0005-0000-0000-000044230000}"/>
    <cellStyle name="Normal 11 7 5" xfId="9231" xr:uid="{00000000-0005-0000-0000-000045230000}"/>
    <cellStyle name="Normal 11 7 5 2" xfId="26171" xr:uid="{00000000-0005-0000-0000-000046230000}"/>
    <cellStyle name="Normal 11 7 6" xfId="17723" xr:uid="{00000000-0005-0000-0000-000047230000}"/>
    <cellStyle name="Normal 11 8" xfId="1127" xr:uid="{00000000-0005-0000-0000-000048230000}"/>
    <cellStyle name="Normal 11 8 2" xfId="2189" xr:uid="{00000000-0005-0000-0000-000049230000}"/>
    <cellStyle name="Normal 11 8 2 2" xfId="4301" xr:uid="{00000000-0005-0000-0000-00004A230000}"/>
    <cellStyle name="Normal 11 8 2 2 2" xfId="8527" xr:uid="{00000000-0005-0000-0000-00004B230000}"/>
    <cellStyle name="Normal 11 8 2 2 2 2" xfId="16975" xr:uid="{00000000-0005-0000-0000-00004C230000}"/>
    <cellStyle name="Normal 11 8 2 2 2 2 2" xfId="33915" xr:uid="{00000000-0005-0000-0000-00004D230000}"/>
    <cellStyle name="Normal 11 8 2 2 2 3" xfId="25467" xr:uid="{00000000-0005-0000-0000-00004E230000}"/>
    <cellStyle name="Normal 11 8 2 2 3" xfId="12751" xr:uid="{00000000-0005-0000-0000-00004F230000}"/>
    <cellStyle name="Normal 11 8 2 2 3 2" xfId="29691" xr:uid="{00000000-0005-0000-0000-000050230000}"/>
    <cellStyle name="Normal 11 8 2 2 4" xfId="21243" xr:uid="{00000000-0005-0000-0000-000051230000}"/>
    <cellStyle name="Normal 11 8 2 3" xfId="6415" xr:uid="{00000000-0005-0000-0000-000052230000}"/>
    <cellStyle name="Normal 11 8 2 3 2" xfId="14863" xr:uid="{00000000-0005-0000-0000-000053230000}"/>
    <cellStyle name="Normal 11 8 2 3 2 2" xfId="31803" xr:uid="{00000000-0005-0000-0000-000054230000}"/>
    <cellStyle name="Normal 11 8 2 3 3" xfId="23355" xr:uid="{00000000-0005-0000-0000-000055230000}"/>
    <cellStyle name="Normal 11 8 2 4" xfId="10639" xr:uid="{00000000-0005-0000-0000-000056230000}"/>
    <cellStyle name="Normal 11 8 2 4 2" xfId="27579" xr:uid="{00000000-0005-0000-0000-000057230000}"/>
    <cellStyle name="Normal 11 8 2 5" xfId="19131" xr:uid="{00000000-0005-0000-0000-000058230000}"/>
    <cellStyle name="Normal 11 8 3" xfId="3245" xr:uid="{00000000-0005-0000-0000-000059230000}"/>
    <cellStyle name="Normal 11 8 3 2" xfId="7471" xr:uid="{00000000-0005-0000-0000-00005A230000}"/>
    <cellStyle name="Normal 11 8 3 2 2" xfId="15919" xr:uid="{00000000-0005-0000-0000-00005B230000}"/>
    <cellStyle name="Normal 11 8 3 2 2 2" xfId="32859" xr:uid="{00000000-0005-0000-0000-00005C230000}"/>
    <cellStyle name="Normal 11 8 3 2 3" xfId="24411" xr:uid="{00000000-0005-0000-0000-00005D230000}"/>
    <cellStyle name="Normal 11 8 3 3" xfId="11695" xr:uid="{00000000-0005-0000-0000-00005E230000}"/>
    <cellStyle name="Normal 11 8 3 3 2" xfId="28635" xr:uid="{00000000-0005-0000-0000-00005F230000}"/>
    <cellStyle name="Normal 11 8 3 4" xfId="20187" xr:uid="{00000000-0005-0000-0000-000060230000}"/>
    <cellStyle name="Normal 11 8 4" xfId="5359" xr:uid="{00000000-0005-0000-0000-000061230000}"/>
    <cellStyle name="Normal 11 8 4 2" xfId="13807" xr:uid="{00000000-0005-0000-0000-000062230000}"/>
    <cellStyle name="Normal 11 8 4 2 2" xfId="30747" xr:uid="{00000000-0005-0000-0000-000063230000}"/>
    <cellStyle name="Normal 11 8 4 3" xfId="22299" xr:uid="{00000000-0005-0000-0000-000064230000}"/>
    <cellStyle name="Normal 11 8 5" xfId="9583" xr:uid="{00000000-0005-0000-0000-000065230000}"/>
    <cellStyle name="Normal 11 8 5 2" xfId="26523" xr:uid="{00000000-0005-0000-0000-000066230000}"/>
    <cellStyle name="Normal 11 8 6" xfId="18075" xr:uid="{00000000-0005-0000-0000-000067230000}"/>
    <cellStyle name="Normal 11 9" xfId="1309" xr:uid="{00000000-0005-0000-0000-000068230000}"/>
    <cellStyle name="Normal 11 9 2" xfId="2365" xr:uid="{00000000-0005-0000-0000-000069230000}"/>
    <cellStyle name="Normal 11 9 2 2" xfId="4477" xr:uid="{00000000-0005-0000-0000-00006A230000}"/>
    <cellStyle name="Normal 11 9 2 2 2" xfId="8703" xr:uid="{00000000-0005-0000-0000-00006B230000}"/>
    <cellStyle name="Normal 11 9 2 2 2 2" xfId="17151" xr:uid="{00000000-0005-0000-0000-00006C230000}"/>
    <cellStyle name="Normal 11 9 2 2 2 2 2" xfId="34091" xr:uid="{00000000-0005-0000-0000-00006D230000}"/>
    <cellStyle name="Normal 11 9 2 2 2 3" xfId="25643" xr:uid="{00000000-0005-0000-0000-00006E230000}"/>
    <cellStyle name="Normal 11 9 2 2 3" xfId="12927" xr:uid="{00000000-0005-0000-0000-00006F230000}"/>
    <cellStyle name="Normal 11 9 2 2 3 2" xfId="29867" xr:uid="{00000000-0005-0000-0000-000070230000}"/>
    <cellStyle name="Normal 11 9 2 2 4" xfId="21419" xr:uid="{00000000-0005-0000-0000-000071230000}"/>
    <cellStyle name="Normal 11 9 2 3" xfId="6591" xr:uid="{00000000-0005-0000-0000-000072230000}"/>
    <cellStyle name="Normal 11 9 2 3 2" xfId="15039" xr:uid="{00000000-0005-0000-0000-000073230000}"/>
    <cellStyle name="Normal 11 9 2 3 2 2" xfId="31979" xr:uid="{00000000-0005-0000-0000-000074230000}"/>
    <cellStyle name="Normal 11 9 2 3 3" xfId="23531" xr:uid="{00000000-0005-0000-0000-000075230000}"/>
    <cellStyle name="Normal 11 9 2 4" xfId="10815" xr:uid="{00000000-0005-0000-0000-000076230000}"/>
    <cellStyle name="Normal 11 9 2 4 2" xfId="27755" xr:uid="{00000000-0005-0000-0000-000077230000}"/>
    <cellStyle name="Normal 11 9 2 5" xfId="19307" xr:uid="{00000000-0005-0000-0000-000078230000}"/>
    <cellStyle name="Normal 11 9 3" xfId="3421" xr:uid="{00000000-0005-0000-0000-000079230000}"/>
    <cellStyle name="Normal 11 9 3 2" xfId="7647" xr:uid="{00000000-0005-0000-0000-00007A230000}"/>
    <cellStyle name="Normal 11 9 3 2 2" xfId="16095" xr:uid="{00000000-0005-0000-0000-00007B230000}"/>
    <cellStyle name="Normal 11 9 3 2 2 2" xfId="33035" xr:uid="{00000000-0005-0000-0000-00007C230000}"/>
    <cellStyle name="Normal 11 9 3 2 3" xfId="24587" xr:uid="{00000000-0005-0000-0000-00007D230000}"/>
    <cellStyle name="Normal 11 9 3 3" xfId="11871" xr:uid="{00000000-0005-0000-0000-00007E230000}"/>
    <cellStyle name="Normal 11 9 3 3 2" xfId="28811" xr:uid="{00000000-0005-0000-0000-00007F230000}"/>
    <cellStyle name="Normal 11 9 3 4" xfId="20363" xr:uid="{00000000-0005-0000-0000-000080230000}"/>
    <cellStyle name="Normal 11 9 4" xfId="5535" xr:uid="{00000000-0005-0000-0000-000081230000}"/>
    <cellStyle name="Normal 11 9 4 2" xfId="13983" xr:uid="{00000000-0005-0000-0000-000082230000}"/>
    <cellStyle name="Normal 11 9 4 2 2" xfId="30923" xr:uid="{00000000-0005-0000-0000-000083230000}"/>
    <cellStyle name="Normal 11 9 4 3" xfId="22475" xr:uid="{00000000-0005-0000-0000-000084230000}"/>
    <cellStyle name="Normal 11 9 5" xfId="9759" xr:uid="{00000000-0005-0000-0000-000085230000}"/>
    <cellStyle name="Normal 11 9 5 2" xfId="26699" xr:uid="{00000000-0005-0000-0000-000086230000}"/>
    <cellStyle name="Normal 11 9 6" xfId="18251" xr:uid="{00000000-0005-0000-0000-000087230000}"/>
    <cellStyle name="Normal 12" xfId="263" xr:uid="{00000000-0005-0000-0000-000088230000}"/>
    <cellStyle name="Normal 12 10" xfId="1491" xr:uid="{00000000-0005-0000-0000-000089230000}"/>
    <cellStyle name="Normal 12 10 2" xfId="3603" xr:uid="{00000000-0005-0000-0000-00008A230000}"/>
    <cellStyle name="Normal 12 10 2 2" xfId="7829" xr:uid="{00000000-0005-0000-0000-00008B230000}"/>
    <cellStyle name="Normal 12 10 2 2 2" xfId="16277" xr:uid="{00000000-0005-0000-0000-00008C230000}"/>
    <cellStyle name="Normal 12 10 2 2 2 2" xfId="33217" xr:uid="{00000000-0005-0000-0000-00008D230000}"/>
    <cellStyle name="Normal 12 10 2 2 3" xfId="24769" xr:uid="{00000000-0005-0000-0000-00008E230000}"/>
    <cellStyle name="Normal 12 10 2 3" xfId="12053" xr:uid="{00000000-0005-0000-0000-00008F230000}"/>
    <cellStyle name="Normal 12 10 2 3 2" xfId="28993" xr:uid="{00000000-0005-0000-0000-000090230000}"/>
    <cellStyle name="Normal 12 10 2 4" xfId="20545" xr:uid="{00000000-0005-0000-0000-000091230000}"/>
    <cellStyle name="Normal 12 10 3" xfId="5717" xr:uid="{00000000-0005-0000-0000-000092230000}"/>
    <cellStyle name="Normal 12 10 3 2" xfId="14165" xr:uid="{00000000-0005-0000-0000-000093230000}"/>
    <cellStyle name="Normal 12 10 3 2 2" xfId="31105" xr:uid="{00000000-0005-0000-0000-000094230000}"/>
    <cellStyle name="Normal 12 10 3 3" xfId="22657" xr:uid="{00000000-0005-0000-0000-000095230000}"/>
    <cellStyle name="Normal 12 10 4" xfId="9941" xr:uid="{00000000-0005-0000-0000-000096230000}"/>
    <cellStyle name="Normal 12 10 4 2" xfId="26881" xr:uid="{00000000-0005-0000-0000-000097230000}"/>
    <cellStyle name="Normal 12 10 5" xfId="18433" xr:uid="{00000000-0005-0000-0000-000098230000}"/>
    <cellStyle name="Normal 12 11" xfId="2547" xr:uid="{00000000-0005-0000-0000-000099230000}"/>
    <cellStyle name="Normal 12 11 2" xfId="6773" xr:uid="{00000000-0005-0000-0000-00009A230000}"/>
    <cellStyle name="Normal 12 11 2 2" xfId="15221" xr:uid="{00000000-0005-0000-0000-00009B230000}"/>
    <cellStyle name="Normal 12 11 2 2 2" xfId="32161" xr:uid="{00000000-0005-0000-0000-00009C230000}"/>
    <cellStyle name="Normal 12 11 2 3" xfId="23713" xr:uid="{00000000-0005-0000-0000-00009D230000}"/>
    <cellStyle name="Normal 12 11 3" xfId="10997" xr:uid="{00000000-0005-0000-0000-00009E230000}"/>
    <cellStyle name="Normal 12 11 3 2" xfId="27937" xr:uid="{00000000-0005-0000-0000-00009F230000}"/>
    <cellStyle name="Normal 12 11 4" xfId="19489" xr:uid="{00000000-0005-0000-0000-0000A0230000}"/>
    <cellStyle name="Normal 12 12" xfId="4660" xr:uid="{00000000-0005-0000-0000-0000A1230000}"/>
    <cellStyle name="Normal 12 12 2" xfId="13109" xr:uid="{00000000-0005-0000-0000-0000A2230000}"/>
    <cellStyle name="Normal 12 12 2 2" xfId="30049" xr:uid="{00000000-0005-0000-0000-0000A3230000}"/>
    <cellStyle name="Normal 12 12 3" xfId="21601" xr:uid="{00000000-0005-0000-0000-0000A4230000}"/>
    <cellStyle name="Normal 12 13" xfId="8885" xr:uid="{00000000-0005-0000-0000-0000A5230000}"/>
    <cellStyle name="Normal 12 13 2" xfId="25825" xr:uid="{00000000-0005-0000-0000-0000A6230000}"/>
    <cellStyle name="Normal 12 14" xfId="17377" xr:uid="{00000000-0005-0000-0000-0000A7230000}"/>
    <cellStyle name="Normal 12 2" xfId="264" xr:uid="{00000000-0005-0000-0000-0000A8230000}"/>
    <cellStyle name="Normal 12 2 10" xfId="4661" xr:uid="{00000000-0005-0000-0000-0000A9230000}"/>
    <cellStyle name="Normal 12 2 10 2" xfId="13110" xr:uid="{00000000-0005-0000-0000-0000AA230000}"/>
    <cellStyle name="Normal 12 2 10 2 2" xfId="30050" xr:uid="{00000000-0005-0000-0000-0000AB230000}"/>
    <cellStyle name="Normal 12 2 10 3" xfId="21602" xr:uid="{00000000-0005-0000-0000-0000AC230000}"/>
    <cellStyle name="Normal 12 2 11" xfId="8886" xr:uid="{00000000-0005-0000-0000-0000AD230000}"/>
    <cellStyle name="Normal 12 2 11 2" xfId="25826" xr:uid="{00000000-0005-0000-0000-0000AE230000}"/>
    <cellStyle name="Normal 12 2 12" xfId="17378" xr:uid="{00000000-0005-0000-0000-0000AF230000}"/>
    <cellStyle name="Normal 12 2 2" xfId="265" xr:uid="{00000000-0005-0000-0000-0000B0230000}"/>
    <cellStyle name="Normal 12 2 2 10" xfId="17379" xr:uid="{00000000-0005-0000-0000-0000B1230000}"/>
    <cellStyle name="Normal 12 2 2 2" xfId="607" xr:uid="{00000000-0005-0000-0000-0000B2230000}"/>
    <cellStyle name="Normal 12 2 2 2 2" xfId="959" xr:uid="{00000000-0005-0000-0000-0000B3230000}"/>
    <cellStyle name="Normal 12 2 2 2 2 2" xfId="2021" xr:uid="{00000000-0005-0000-0000-0000B4230000}"/>
    <cellStyle name="Normal 12 2 2 2 2 2 2" xfId="4133" xr:uid="{00000000-0005-0000-0000-0000B5230000}"/>
    <cellStyle name="Normal 12 2 2 2 2 2 2 2" xfId="8359" xr:uid="{00000000-0005-0000-0000-0000B6230000}"/>
    <cellStyle name="Normal 12 2 2 2 2 2 2 2 2" xfId="16807" xr:uid="{00000000-0005-0000-0000-0000B7230000}"/>
    <cellStyle name="Normal 12 2 2 2 2 2 2 2 2 2" xfId="33747" xr:uid="{00000000-0005-0000-0000-0000B8230000}"/>
    <cellStyle name="Normal 12 2 2 2 2 2 2 2 3" xfId="25299" xr:uid="{00000000-0005-0000-0000-0000B9230000}"/>
    <cellStyle name="Normal 12 2 2 2 2 2 2 3" xfId="12583" xr:uid="{00000000-0005-0000-0000-0000BA230000}"/>
    <cellStyle name="Normal 12 2 2 2 2 2 2 3 2" xfId="29523" xr:uid="{00000000-0005-0000-0000-0000BB230000}"/>
    <cellStyle name="Normal 12 2 2 2 2 2 2 4" xfId="21075" xr:uid="{00000000-0005-0000-0000-0000BC230000}"/>
    <cellStyle name="Normal 12 2 2 2 2 2 3" xfId="6247" xr:uid="{00000000-0005-0000-0000-0000BD230000}"/>
    <cellStyle name="Normal 12 2 2 2 2 2 3 2" xfId="14695" xr:uid="{00000000-0005-0000-0000-0000BE230000}"/>
    <cellStyle name="Normal 12 2 2 2 2 2 3 2 2" xfId="31635" xr:uid="{00000000-0005-0000-0000-0000BF230000}"/>
    <cellStyle name="Normal 12 2 2 2 2 2 3 3" xfId="23187" xr:uid="{00000000-0005-0000-0000-0000C0230000}"/>
    <cellStyle name="Normal 12 2 2 2 2 2 4" xfId="10471" xr:uid="{00000000-0005-0000-0000-0000C1230000}"/>
    <cellStyle name="Normal 12 2 2 2 2 2 4 2" xfId="27411" xr:uid="{00000000-0005-0000-0000-0000C2230000}"/>
    <cellStyle name="Normal 12 2 2 2 2 2 5" xfId="18963" xr:uid="{00000000-0005-0000-0000-0000C3230000}"/>
    <cellStyle name="Normal 12 2 2 2 2 3" xfId="3077" xr:uid="{00000000-0005-0000-0000-0000C4230000}"/>
    <cellStyle name="Normal 12 2 2 2 2 3 2" xfId="7303" xr:uid="{00000000-0005-0000-0000-0000C5230000}"/>
    <cellStyle name="Normal 12 2 2 2 2 3 2 2" xfId="15751" xr:uid="{00000000-0005-0000-0000-0000C6230000}"/>
    <cellStyle name="Normal 12 2 2 2 2 3 2 2 2" xfId="32691" xr:uid="{00000000-0005-0000-0000-0000C7230000}"/>
    <cellStyle name="Normal 12 2 2 2 2 3 2 3" xfId="24243" xr:uid="{00000000-0005-0000-0000-0000C8230000}"/>
    <cellStyle name="Normal 12 2 2 2 2 3 3" xfId="11527" xr:uid="{00000000-0005-0000-0000-0000C9230000}"/>
    <cellStyle name="Normal 12 2 2 2 2 3 3 2" xfId="28467" xr:uid="{00000000-0005-0000-0000-0000CA230000}"/>
    <cellStyle name="Normal 12 2 2 2 2 3 4" xfId="20019" xr:uid="{00000000-0005-0000-0000-0000CB230000}"/>
    <cellStyle name="Normal 12 2 2 2 2 4" xfId="5191" xr:uid="{00000000-0005-0000-0000-0000CC230000}"/>
    <cellStyle name="Normal 12 2 2 2 2 4 2" xfId="13639" xr:uid="{00000000-0005-0000-0000-0000CD230000}"/>
    <cellStyle name="Normal 12 2 2 2 2 4 2 2" xfId="30579" xr:uid="{00000000-0005-0000-0000-0000CE230000}"/>
    <cellStyle name="Normal 12 2 2 2 2 4 3" xfId="22131" xr:uid="{00000000-0005-0000-0000-0000CF230000}"/>
    <cellStyle name="Normal 12 2 2 2 2 5" xfId="9415" xr:uid="{00000000-0005-0000-0000-0000D0230000}"/>
    <cellStyle name="Normal 12 2 2 2 2 5 2" xfId="26355" xr:uid="{00000000-0005-0000-0000-0000D1230000}"/>
    <cellStyle name="Normal 12 2 2 2 2 6" xfId="17907" xr:uid="{00000000-0005-0000-0000-0000D2230000}"/>
    <cellStyle name="Normal 12 2 2 2 3" xfId="1669" xr:uid="{00000000-0005-0000-0000-0000D3230000}"/>
    <cellStyle name="Normal 12 2 2 2 3 2" xfId="3781" xr:uid="{00000000-0005-0000-0000-0000D4230000}"/>
    <cellStyle name="Normal 12 2 2 2 3 2 2" xfId="8007" xr:uid="{00000000-0005-0000-0000-0000D5230000}"/>
    <cellStyle name="Normal 12 2 2 2 3 2 2 2" xfId="16455" xr:uid="{00000000-0005-0000-0000-0000D6230000}"/>
    <cellStyle name="Normal 12 2 2 2 3 2 2 2 2" xfId="33395" xr:uid="{00000000-0005-0000-0000-0000D7230000}"/>
    <cellStyle name="Normal 12 2 2 2 3 2 2 3" xfId="24947" xr:uid="{00000000-0005-0000-0000-0000D8230000}"/>
    <cellStyle name="Normal 12 2 2 2 3 2 3" xfId="12231" xr:uid="{00000000-0005-0000-0000-0000D9230000}"/>
    <cellStyle name="Normal 12 2 2 2 3 2 3 2" xfId="29171" xr:uid="{00000000-0005-0000-0000-0000DA230000}"/>
    <cellStyle name="Normal 12 2 2 2 3 2 4" xfId="20723" xr:uid="{00000000-0005-0000-0000-0000DB230000}"/>
    <cellStyle name="Normal 12 2 2 2 3 3" xfId="5895" xr:uid="{00000000-0005-0000-0000-0000DC230000}"/>
    <cellStyle name="Normal 12 2 2 2 3 3 2" xfId="14343" xr:uid="{00000000-0005-0000-0000-0000DD230000}"/>
    <cellStyle name="Normal 12 2 2 2 3 3 2 2" xfId="31283" xr:uid="{00000000-0005-0000-0000-0000DE230000}"/>
    <cellStyle name="Normal 12 2 2 2 3 3 3" xfId="22835" xr:uid="{00000000-0005-0000-0000-0000DF230000}"/>
    <cellStyle name="Normal 12 2 2 2 3 4" xfId="10119" xr:uid="{00000000-0005-0000-0000-0000E0230000}"/>
    <cellStyle name="Normal 12 2 2 2 3 4 2" xfId="27059" xr:uid="{00000000-0005-0000-0000-0000E1230000}"/>
    <cellStyle name="Normal 12 2 2 2 3 5" xfId="18611" xr:uid="{00000000-0005-0000-0000-0000E2230000}"/>
    <cellStyle name="Normal 12 2 2 2 4" xfId="2725" xr:uid="{00000000-0005-0000-0000-0000E3230000}"/>
    <cellStyle name="Normal 12 2 2 2 4 2" xfId="6951" xr:uid="{00000000-0005-0000-0000-0000E4230000}"/>
    <cellStyle name="Normal 12 2 2 2 4 2 2" xfId="15399" xr:uid="{00000000-0005-0000-0000-0000E5230000}"/>
    <cellStyle name="Normal 12 2 2 2 4 2 2 2" xfId="32339" xr:uid="{00000000-0005-0000-0000-0000E6230000}"/>
    <cellStyle name="Normal 12 2 2 2 4 2 3" xfId="23891" xr:uid="{00000000-0005-0000-0000-0000E7230000}"/>
    <cellStyle name="Normal 12 2 2 2 4 3" xfId="11175" xr:uid="{00000000-0005-0000-0000-0000E8230000}"/>
    <cellStyle name="Normal 12 2 2 2 4 3 2" xfId="28115" xr:uid="{00000000-0005-0000-0000-0000E9230000}"/>
    <cellStyle name="Normal 12 2 2 2 4 4" xfId="19667" xr:uid="{00000000-0005-0000-0000-0000EA230000}"/>
    <cellStyle name="Normal 12 2 2 2 5" xfId="4839" xr:uid="{00000000-0005-0000-0000-0000EB230000}"/>
    <cellStyle name="Normal 12 2 2 2 5 2" xfId="13287" xr:uid="{00000000-0005-0000-0000-0000EC230000}"/>
    <cellStyle name="Normal 12 2 2 2 5 2 2" xfId="30227" xr:uid="{00000000-0005-0000-0000-0000ED230000}"/>
    <cellStyle name="Normal 12 2 2 2 5 3" xfId="21779" xr:uid="{00000000-0005-0000-0000-0000EE230000}"/>
    <cellStyle name="Normal 12 2 2 2 6" xfId="9063" xr:uid="{00000000-0005-0000-0000-0000EF230000}"/>
    <cellStyle name="Normal 12 2 2 2 6 2" xfId="26003" xr:uid="{00000000-0005-0000-0000-0000F0230000}"/>
    <cellStyle name="Normal 12 2 2 2 7" xfId="17555" xr:uid="{00000000-0005-0000-0000-0000F1230000}"/>
    <cellStyle name="Normal 12 2 2 3" xfId="783" xr:uid="{00000000-0005-0000-0000-0000F2230000}"/>
    <cellStyle name="Normal 12 2 2 3 2" xfId="1845" xr:uid="{00000000-0005-0000-0000-0000F3230000}"/>
    <cellStyle name="Normal 12 2 2 3 2 2" xfId="3957" xr:uid="{00000000-0005-0000-0000-0000F4230000}"/>
    <cellStyle name="Normal 12 2 2 3 2 2 2" xfId="8183" xr:uid="{00000000-0005-0000-0000-0000F5230000}"/>
    <cellStyle name="Normal 12 2 2 3 2 2 2 2" xfId="16631" xr:uid="{00000000-0005-0000-0000-0000F6230000}"/>
    <cellStyle name="Normal 12 2 2 3 2 2 2 2 2" xfId="33571" xr:uid="{00000000-0005-0000-0000-0000F7230000}"/>
    <cellStyle name="Normal 12 2 2 3 2 2 2 3" xfId="25123" xr:uid="{00000000-0005-0000-0000-0000F8230000}"/>
    <cellStyle name="Normal 12 2 2 3 2 2 3" xfId="12407" xr:uid="{00000000-0005-0000-0000-0000F9230000}"/>
    <cellStyle name="Normal 12 2 2 3 2 2 3 2" xfId="29347" xr:uid="{00000000-0005-0000-0000-0000FA230000}"/>
    <cellStyle name="Normal 12 2 2 3 2 2 4" xfId="20899" xr:uid="{00000000-0005-0000-0000-0000FB230000}"/>
    <cellStyle name="Normal 12 2 2 3 2 3" xfId="6071" xr:uid="{00000000-0005-0000-0000-0000FC230000}"/>
    <cellStyle name="Normal 12 2 2 3 2 3 2" xfId="14519" xr:uid="{00000000-0005-0000-0000-0000FD230000}"/>
    <cellStyle name="Normal 12 2 2 3 2 3 2 2" xfId="31459" xr:uid="{00000000-0005-0000-0000-0000FE230000}"/>
    <cellStyle name="Normal 12 2 2 3 2 3 3" xfId="23011" xr:uid="{00000000-0005-0000-0000-0000FF230000}"/>
    <cellStyle name="Normal 12 2 2 3 2 4" xfId="10295" xr:uid="{00000000-0005-0000-0000-000000240000}"/>
    <cellStyle name="Normal 12 2 2 3 2 4 2" xfId="27235" xr:uid="{00000000-0005-0000-0000-000001240000}"/>
    <cellStyle name="Normal 12 2 2 3 2 5" xfId="18787" xr:uid="{00000000-0005-0000-0000-000002240000}"/>
    <cellStyle name="Normal 12 2 2 3 3" xfId="2901" xr:uid="{00000000-0005-0000-0000-000003240000}"/>
    <cellStyle name="Normal 12 2 2 3 3 2" xfId="7127" xr:uid="{00000000-0005-0000-0000-000004240000}"/>
    <cellStyle name="Normal 12 2 2 3 3 2 2" xfId="15575" xr:uid="{00000000-0005-0000-0000-000005240000}"/>
    <cellStyle name="Normal 12 2 2 3 3 2 2 2" xfId="32515" xr:uid="{00000000-0005-0000-0000-000006240000}"/>
    <cellStyle name="Normal 12 2 2 3 3 2 3" xfId="24067" xr:uid="{00000000-0005-0000-0000-000007240000}"/>
    <cellStyle name="Normal 12 2 2 3 3 3" xfId="11351" xr:uid="{00000000-0005-0000-0000-000008240000}"/>
    <cellStyle name="Normal 12 2 2 3 3 3 2" xfId="28291" xr:uid="{00000000-0005-0000-0000-000009240000}"/>
    <cellStyle name="Normal 12 2 2 3 3 4" xfId="19843" xr:uid="{00000000-0005-0000-0000-00000A240000}"/>
    <cellStyle name="Normal 12 2 2 3 4" xfId="5015" xr:uid="{00000000-0005-0000-0000-00000B240000}"/>
    <cellStyle name="Normal 12 2 2 3 4 2" xfId="13463" xr:uid="{00000000-0005-0000-0000-00000C240000}"/>
    <cellStyle name="Normal 12 2 2 3 4 2 2" xfId="30403" xr:uid="{00000000-0005-0000-0000-00000D240000}"/>
    <cellStyle name="Normal 12 2 2 3 4 3" xfId="21955" xr:uid="{00000000-0005-0000-0000-00000E240000}"/>
    <cellStyle name="Normal 12 2 2 3 5" xfId="9239" xr:uid="{00000000-0005-0000-0000-00000F240000}"/>
    <cellStyle name="Normal 12 2 2 3 5 2" xfId="26179" xr:uid="{00000000-0005-0000-0000-000010240000}"/>
    <cellStyle name="Normal 12 2 2 3 6" xfId="17731" xr:uid="{00000000-0005-0000-0000-000011240000}"/>
    <cellStyle name="Normal 12 2 2 4" xfId="1135" xr:uid="{00000000-0005-0000-0000-000012240000}"/>
    <cellStyle name="Normal 12 2 2 4 2" xfId="2197" xr:uid="{00000000-0005-0000-0000-000013240000}"/>
    <cellStyle name="Normal 12 2 2 4 2 2" xfId="4309" xr:uid="{00000000-0005-0000-0000-000014240000}"/>
    <cellStyle name="Normal 12 2 2 4 2 2 2" xfId="8535" xr:uid="{00000000-0005-0000-0000-000015240000}"/>
    <cellStyle name="Normal 12 2 2 4 2 2 2 2" xfId="16983" xr:uid="{00000000-0005-0000-0000-000016240000}"/>
    <cellStyle name="Normal 12 2 2 4 2 2 2 2 2" xfId="33923" xr:uid="{00000000-0005-0000-0000-000017240000}"/>
    <cellStyle name="Normal 12 2 2 4 2 2 2 3" xfId="25475" xr:uid="{00000000-0005-0000-0000-000018240000}"/>
    <cellStyle name="Normal 12 2 2 4 2 2 3" xfId="12759" xr:uid="{00000000-0005-0000-0000-000019240000}"/>
    <cellStyle name="Normal 12 2 2 4 2 2 3 2" xfId="29699" xr:uid="{00000000-0005-0000-0000-00001A240000}"/>
    <cellStyle name="Normal 12 2 2 4 2 2 4" xfId="21251" xr:uid="{00000000-0005-0000-0000-00001B240000}"/>
    <cellStyle name="Normal 12 2 2 4 2 3" xfId="6423" xr:uid="{00000000-0005-0000-0000-00001C240000}"/>
    <cellStyle name="Normal 12 2 2 4 2 3 2" xfId="14871" xr:uid="{00000000-0005-0000-0000-00001D240000}"/>
    <cellStyle name="Normal 12 2 2 4 2 3 2 2" xfId="31811" xr:uid="{00000000-0005-0000-0000-00001E240000}"/>
    <cellStyle name="Normal 12 2 2 4 2 3 3" xfId="23363" xr:uid="{00000000-0005-0000-0000-00001F240000}"/>
    <cellStyle name="Normal 12 2 2 4 2 4" xfId="10647" xr:uid="{00000000-0005-0000-0000-000020240000}"/>
    <cellStyle name="Normal 12 2 2 4 2 4 2" xfId="27587" xr:uid="{00000000-0005-0000-0000-000021240000}"/>
    <cellStyle name="Normal 12 2 2 4 2 5" xfId="19139" xr:uid="{00000000-0005-0000-0000-000022240000}"/>
    <cellStyle name="Normal 12 2 2 4 3" xfId="3253" xr:uid="{00000000-0005-0000-0000-000023240000}"/>
    <cellStyle name="Normal 12 2 2 4 3 2" xfId="7479" xr:uid="{00000000-0005-0000-0000-000024240000}"/>
    <cellStyle name="Normal 12 2 2 4 3 2 2" xfId="15927" xr:uid="{00000000-0005-0000-0000-000025240000}"/>
    <cellStyle name="Normal 12 2 2 4 3 2 2 2" xfId="32867" xr:uid="{00000000-0005-0000-0000-000026240000}"/>
    <cellStyle name="Normal 12 2 2 4 3 2 3" xfId="24419" xr:uid="{00000000-0005-0000-0000-000027240000}"/>
    <cellStyle name="Normal 12 2 2 4 3 3" xfId="11703" xr:uid="{00000000-0005-0000-0000-000028240000}"/>
    <cellStyle name="Normal 12 2 2 4 3 3 2" xfId="28643" xr:uid="{00000000-0005-0000-0000-000029240000}"/>
    <cellStyle name="Normal 12 2 2 4 3 4" xfId="20195" xr:uid="{00000000-0005-0000-0000-00002A240000}"/>
    <cellStyle name="Normal 12 2 2 4 4" xfId="5367" xr:uid="{00000000-0005-0000-0000-00002B240000}"/>
    <cellStyle name="Normal 12 2 2 4 4 2" xfId="13815" xr:uid="{00000000-0005-0000-0000-00002C240000}"/>
    <cellStyle name="Normal 12 2 2 4 4 2 2" xfId="30755" xr:uid="{00000000-0005-0000-0000-00002D240000}"/>
    <cellStyle name="Normal 12 2 2 4 4 3" xfId="22307" xr:uid="{00000000-0005-0000-0000-00002E240000}"/>
    <cellStyle name="Normal 12 2 2 4 5" xfId="9591" xr:uid="{00000000-0005-0000-0000-00002F240000}"/>
    <cellStyle name="Normal 12 2 2 4 5 2" xfId="26531" xr:uid="{00000000-0005-0000-0000-000030240000}"/>
    <cellStyle name="Normal 12 2 2 4 6" xfId="18083" xr:uid="{00000000-0005-0000-0000-000031240000}"/>
    <cellStyle name="Normal 12 2 2 5" xfId="1317" xr:uid="{00000000-0005-0000-0000-000032240000}"/>
    <cellStyle name="Normal 12 2 2 5 2" xfId="2373" xr:uid="{00000000-0005-0000-0000-000033240000}"/>
    <cellStyle name="Normal 12 2 2 5 2 2" xfId="4485" xr:uid="{00000000-0005-0000-0000-000034240000}"/>
    <cellStyle name="Normal 12 2 2 5 2 2 2" xfId="8711" xr:uid="{00000000-0005-0000-0000-000035240000}"/>
    <cellStyle name="Normal 12 2 2 5 2 2 2 2" xfId="17159" xr:uid="{00000000-0005-0000-0000-000036240000}"/>
    <cellStyle name="Normal 12 2 2 5 2 2 2 2 2" xfId="34099" xr:uid="{00000000-0005-0000-0000-000037240000}"/>
    <cellStyle name="Normal 12 2 2 5 2 2 2 3" xfId="25651" xr:uid="{00000000-0005-0000-0000-000038240000}"/>
    <cellStyle name="Normal 12 2 2 5 2 2 3" xfId="12935" xr:uid="{00000000-0005-0000-0000-000039240000}"/>
    <cellStyle name="Normal 12 2 2 5 2 2 3 2" xfId="29875" xr:uid="{00000000-0005-0000-0000-00003A240000}"/>
    <cellStyle name="Normal 12 2 2 5 2 2 4" xfId="21427" xr:uid="{00000000-0005-0000-0000-00003B240000}"/>
    <cellStyle name="Normal 12 2 2 5 2 3" xfId="6599" xr:uid="{00000000-0005-0000-0000-00003C240000}"/>
    <cellStyle name="Normal 12 2 2 5 2 3 2" xfId="15047" xr:uid="{00000000-0005-0000-0000-00003D240000}"/>
    <cellStyle name="Normal 12 2 2 5 2 3 2 2" xfId="31987" xr:uid="{00000000-0005-0000-0000-00003E240000}"/>
    <cellStyle name="Normal 12 2 2 5 2 3 3" xfId="23539" xr:uid="{00000000-0005-0000-0000-00003F240000}"/>
    <cellStyle name="Normal 12 2 2 5 2 4" xfId="10823" xr:uid="{00000000-0005-0000-0000-000040240000}"/>
    <cellStyle name="Normal 12 2 2 5 2 4 2" xfId="27763" xr:uid="{00000000-0005-0000-0000-000041240000}"/>
    <cellStyle name="Normal 12 2 2 5 2 5" xfId="19315" xr:uid="{00000000-0005-0000-0000-000042240000}"/>
    <cellStyle name="Normal 12 2 2 5 3" xfId="3429" xr:uid="{00000000-0005-0000-0000-000043240000}"/>
    <cellStyle name="Normal 12 2 2 5 3 2" xfId="7655" xr:uid="{00000000-0005-0000-0000-000044240000}"/>
    <cellStyle name="Normal 12 2 2 5 3 2 2" xfId="16103" xr:uid="{00000000-0005-0000-0000-000045240000}"/>
    <cellStyle name="Normal 12 2 2 5 3 2 2 2" xfId="33043" xr:uid="{00000000-0005-0000-0000-000046240000}"/>
    <cellStyle name="Normal 12 2 2 5 3 2 3" xfId="24595" xr:uid="{00000000-0005-0000-0000-000047240000}"/>
    <cellStyle name="Normal 12 2 2 5 3 3" xfId="11879" xr:uid="{00000000-0005-0000-0000-000048240000}"/>
    <cellStyle name="Normal 12 2 2 5 3 3 2" xfId="28819" xr:uid="{00000000-0005-0000-0000-000049240000}"/>
    <cellStyle name="Normal 12 2 2 5 3 4" xfId="20371" xr:uid="{00000000-0005-0000-0000-00004A240000}"/>
    <cellStyle name="Normal 12 2 2 5 4" xfId="5543" xr:uid="{00000000-0005-0000-0000-00004B240000}"/>
    <cellStyle name="Normal 12 2 2 5 4 2" xfId="13991" xr:uid="{00000000-0005-0000-0000-00004C240000}"/>
    <cellStyle name="Normal 12 2 2 5 4 2 2" xfId="30931" xr:uid="{00000000-0005-0000-0000-00004D240000}"/>
    <cellStyle name="Normal 12 2 2 5 4 3" xfId="22483" xr:uid="{00000000-0005-0000-0000-00004E240000}"/>
    <cellStyle name="Normal 12 2 2 5 5" xfId="9767" xr:uid="{00000000-0005-0000-0000-00004F240000}"/>
    <cellStyle name="Normal 12 2 2 5 5 2" xfId="26707" xr:uid="{00000000-0005-0000-0000-000050240000}"/>
    <cellStyle name="Normal 12 2 2 5 6" xfId="18259" xr:uid="{00000000-0005-0000-0000-000051240000}"/>
    <cellStyle name="Normal 12 2 2 6" xfId="1493" xr:uid="{00000000-0005-0000-0000-000052240000}"/>
    <cellStyle name="Normal 12 2 2 6 2" xfId="3605" xr:uid="{00000000-0005-0000-0000-000053240000}"/>
    <cellStyle name="Normal 12 2 2 6 2 2" xfId="7831" xr:uid="{00000000-0005-0000-0000-000054240000}"/>
    <cellStyle name="Normal 12 2 2 6 2 2 2" xfId="16279" xr:uid="{00000000-0005-0000-0000-000055240000}"/>
    <cellStyle name="Normal 12 2 2 6 2 2 2 2" xfId="33219" xr:uid="{00000000-0005-0000-0000-000056240000}"/>
    <cellStyle name="Normal 12 2 2 6 2 2 3" xfId="24771" xr:uid="{00000000-0005-0000-0000-000057240000}"/>
    <cellStyle name="Normal 12 2 2 6 2 3" xfId="12055" xr:uid="{00000000-0005-0000-0000-000058240000}"/>
    <cellStyle name="Normal 12 2 2 6 2 3 2" xfId="28995" xr:uid="{00000000-0005-0000-0000-000059240000}"/>
    <cellStyle name="Normal 12 2 2 6 2 4" xfId="20547" xr:uid="{00000000-0005-0000-0000-00005A240000}"/>
    <cellStyle name="Normal 12 2 2 6 3" xfId="5719" xr:uid="{00000000-0005-0000-0000-00005B240000}"/>
    <cellStyle name="Normal 12 2 2 6 3 2" xfId="14167" xr:uid="{00000000-0005-0000-0000-00005C240000}"/>
    <cellStyle name="Normal 12 2 2 6 3 2 2" xfId="31107" xr:uid="{00000000-0005-0000-0000-00005D240000}"/>
    <cellStyle name="Normal 12 2 2 6 3 3" xfId="22659" xr:uid="{00000000-0005-0000-0000-00005E240000}"/>
    <cellStyle name="Normal 12 2 2 6 4" xfId="9943" xr:uid="{00000000-0005-0000-0000-00005F240000}"/>
    <cellStyle name="Normal 12 2 2 6 4 2" xfId="26883" xr:uid="{00000000-0005-0000-0000-000060240000}"/>
    <cellStyle name="Normal 12 2 2 6 5" xfId="18435" xr:uid="{00000000-0005-0000-0000-000061240000}"/>
    <cellStyle name="Normal 12 2 2 7" xfId="2549" xr:uid="{00000000-0005-0000-0000-000062240000}"/>
    <cellStyle name="Normal 12 2 2 7 2" xfId="6775" xr:uid="{00000000-0005-0000-0000-000063240000}"/>
    <cellStyle name="Normal 12 2 2 7 2 2" xfId="15223" xr:uid="{00000000-0005-0000-0000-000064240000}"/>
    <cellStyle name="Normal 12 2 2 7 2 2 2" xfId="32163" xr:uid="{00000000-0005-0000-0000-000065240000}"/>
    <cellStyle name="Normal 12 2 2 7 2 3" xfId="23715" xr:uid="{00000000-0005-0000-0000-000066240000}"/>
    <cellStyle name="Normal 12 2 2 7 3" xfId="10999" xr:uid="{00000000-0005-0000-0000-000067240000}"/>
    <cellStyle name="Normal 12 2 2 7 3 2" xfId="27939" xr:uid="{00000000-0005-0000-0000-000068240000}"/>
    <cellStyle name="Normal 12 2 2 7 4" xfId="19491" xr:uid="{00000000-0005-0000-0000-000069240000}"/>
    <cellStyle name="Normal 12 2 2 8" xfId="4662" xr:uid="{00000000-0005-0000-0000-00006A240000}"/>
    <cellStyle name="Normal 12 2 2 8 2" xfId="13111" xr:uid="{00000000-0005-0000-0000-00006B240000}"/>
    <cellStyle name="Normal 12 2 2 8 2 2" xfId="30051" xr:uid="{00000000-0005-0000-0000-00006C240000}"/>
    <cellStyle name="Normal 12 2 2 8 3" xfId="21603" xr:uid="{00000000-0005-0000-0000-00006D240000}"/>
    <cellStyle name="Normal 12 2 2 9" xfId="8887" xr:uid="{00000000-0005-0000-0000-00006E240000}"/>
    <cellStyle name="Normal 12 2 2 9 2" xfId="25827" xr:uid="{00000000-0005-0000-0000-00006F240000}"/>
    <cellStyle name="Normal 12 2 3" xfId="266" xr:uid="{00000000-0005-0000-0000-000070240000}"/>
    <cellStyle name="Normal 12 2 3 10" xfId="17380" xr:uid="{00000000-0005-0000-0000-000071240000}"/>
    <cellStyle name="Normal 12 2 3 2" xfId="608" xr:uid="{00000000-0005-0000-0000-000072240000}"/>
    <cellStyle name="Normal 12 2 3 2 2" xfId="960" xr:uid="{00000000-0005-0000-0000-000073240000}"/>
    <cellStyle name="Normal 12 2 3 2 2 2" xfId="2022" xr:uid="{00000000-0005-0000-0000-000074240000}"/>
    <cellStyle name="Normal 12 2 3 2 2 2 2" xfId="4134" xr:uid="{00000000-0005-0000-0000-000075240000}"/>
    <cellStyle name="Normal 12 2 3 2 2 2 2 2" xfId="8360" xr:uid="{00000000-0005-0000-0000-000076240000}"/>
    <cellStyle name="Normal 12 2 3 2 2 2 2 2 2" xfId="16808" xr:uid="{00000000-0005-0000-0000-000077240000}"/>
    <cellStyle name="Normal 12 2 3 2 2 2 2 2 2 2" xfId="33748" xr:uid="{00000000-0005-0000-0000-000078240000}"/>
    <cellStyle name="Normal 12 2 3 2 2 2 2 2 3" xfId="25300" xr:uid="{00000000-0005-0000-0000-000079240000}"/>
    <cellStyle name="Normal 12 2 3 2 2 2 2 3" xfId="12584" xr:uid="{00000000-0005-0000-0000-00007A240000}"/>
    <cellStyle name="Normal 12 2 3 2 2 2 2 3 2" xfId="29524" xr:uid="{00000000-0005-0000-0000-00007B240000}"/>
    <cellStyle name="Normal 12 2 3 2 2 2 2 4" xfId="21076" xr:uid="{00000000-0005-0000-0000-00007C240000}"/>
    <cellStyle name="Normal 12 2 3 2 2 2 3" xfId="6248" xr:uid="{00000000-0005-0000-0000-00007D240000}"/>
    <cellStyle name="Normal 12 2 3 2 2 2 3 2" xfId="14696" xr:uid="{00000000-0005-0000-0000-00007E240000}"/>
    <cellStyle name="Normal 12 2 3 2 2 2 3 2 2" xfId="31636" xr:uid="{00000000-0005-0000-0000-00007F240000}"/>
    <cellStyle name="Normal 12 2 3 2 2 2 3 3" xfId="23188" xr:uid="{00000000-0005-0000-0000-000080240000}"/>
    <cellStyle name="Normal 12 2 3 2 2 2 4" xfId="10472" xr:uid="{00000000-0005-0000-0000-000081240000}"/>
    <cellStyle name="Normal 12 2 3 2 2 2 4 2" xfId="27412" xr:uid="{00000000-0005-0000-0000-000082240000}"/>
    <cellStyle name="Normal 12 2 3 2 2 2 5" xfId="18964" xr:uid="{00000000-0005-0000-0000-000083240000}"/>
    <cellStyle name="Normal 12 2 3 2 2 3" xfId="3078" xr:uid="{00000000-0005-0000-0000-000084240000}"/>
    <cellStyle name="Normal 12 2 3 2 2 3 2" xfId="7304" xr:uid="{00000000-0005-0000-0000-000085240000}"/>
    <cellStyle name="Normal 12 2 3 2 2 3 2 2" xfId="15752" xr:uid="{00000000-0005-0000-0000-000086240000}"/>
    <cellStyle name="Normal 12 2 3 2 2 3 2 2 2" xfId="32692" xr:uid="{00000000-0005-0000-0000-000087240000}"/>
    <cellStyle name="Normal 12 2 3 2 2 3 2 3" xfId="24244" xr:uid="{00000000-0005-0000-0000-000088240000}"/>
    <cellStyle name="Normal 12 2 3 2 2 3 3" xfId="11528" xr:uid="{00000000-0005-0000-0000-000089240000}"/>
    <cellStyle name="Normal 12 2 3 2 2 3 3 2" xfId="28468" xr:uid="{00000000-0005-0000-0000-00008A240000}"/>
    <cellStyle name="Normal 12 2 3 2 2 3 4" xfId="20020" xr:uid="{00000000-0005-0000-0000-00008B240000}"/>
    <cellStyle name="Normal 12 2 3 2 2 4" xfId="5192" xr:uid="{00000000-0005-0000-0000-00008C240000}"/>
    <cellStyle name="Normal 12 2 3 2 2 4 2" xfId="13640" xr:uid="{00000000-0005-0000-0000-00008D240000}"/>
    <cellStyle name="Normal 12 2 3 2 2 4 2 2" xfId="30580" xr:uid="{00000000-0005-0000-0000-00008E240000}"/>
    <cellStyle name="Normal 12 2 3 2 2 4 3" xfId="22132" xr:uid="{00000000-0005-0000-0000-00008F240000}"/>
    <cellStyle name="Normal 12 2 3 2 2 5" xfId="9416" xr:uid="{00000000-0005-0000-0000-000090240000}"/>
    <cellStyle name="Normal 12 2 3 2 2 5 2" xfId="26356" xr:uid="{00000000-0005-0000-0000-000091240000}"/>
    <cellStyle name="Normal 12 2 3 2 2 6" xfId="17908" xr:uid="{00000000-0005-0000-0000-000092240000}"/>
    <cellStyle name="Normal 12 2 3 2 3" xfId="1670" xr:uid="{00000000-0005-0000-0000-000093240000}"/>
    <cellStyle name="Normal 12 2 3 2 3 2" xfId="3782" xr:uid="{00000000-0005-0000-0000-000094240000}"/>
    <cellStyle name="Normal 12 2 3 2 3 2 2" xfId="8008" xr:uid="{00000000-0005-0000-0000-000095240000}"/>
    <cellStyle name="Normal 12 2 3 2 3 2 2 2" xfId="16456" xr:uid="{00000000-0005-0000-0000-000096240000}"/>
    <cellStyle name="Normal 12 2 3 2 3 2 2 2 2" xfId="33396" xr:uid="{00000000-0005-0000-0000-000097240000}"/>
    <cellStyle name="Normal 12 2 3 2 3 2 2 3" xfId="24948" xr:uid="{00000000-0005-0000-0000-000098240000}"/>
    <cellStyle name="Normal 12 2 3 2 3 2 3" xfId="12232" xr:uid="{00000000-0005-0000-0000-000099240000}"/>
    <cellStyle name="Normal 12 2 3 2 3 2 3 2" xfId="29172" xr:uid="{00000000-0005-0000-0000-00009A240000}"/>
    <cellStyle name="Normal 12 2 3 2 3 2 4" xfId="20724" xr:uid="{00000000-0005-0000-0000-00009B240000}"/>
    <cellStyle name="Normal 12 2 3 2 3 3" xfId="5896" xr:uid="{00000000-0005-0000-0000-00009C240000}"/>
    <cellStyle name="Normal 12 2 3 2 3 3 2" xfId="14344" xr:uid="{00000000-0005-0000-0000-00009D240000}"/>
    <cellStyle name="Normal 12 2 3 2 3 3 2 2" xfId="31284" xr:uid="{00000000-0005-0000-0000-00009E240000}"/>
    <cellStyle name="Normal 12 2 3 2 3 3 3" xfId="22836" xr:uid="{00000000-0005-0000-0000-00009F240000}"/>
    <cellStyle name="Normal 12 2 3 2 3 4" xfId="10120" xr:uid="{00000000-0005-0000-0000-0000A0240000}"/>
    <cellStyle name="Normal 12 2 3 2 3 4 2" xfId="27060" xr:uid="{00000000-0005-0000-0000-0000A1240000}"/>
    <cellStyle name="Normal 12 2 3 2 3 5" xfId="18612" xr:uid="{00000000-0005-0000-0000-0000A2240000}"/>
    <cellStyle name="Normal 12 2 3 2 4" xfId="2726" xr:uid="{00000000-0005-0000-0000-0000A3240000}"/>
    <cellStyle name="Normal 12 2 3 2 4 2" xfId="6952" xr:uid="{00000000-0005-0000-0000-0000A4240000}"/>
    <cellStyle name="Normal 12 2 3 2 4 2 2" xfId="15400" xr:uid="{00000000-0005-0000-0000-0000A5240000}"/>
    <cellStyle name="Normal 12 2 3 2 4 2 2 2" xfId="32340" xr:uid="{00000000-0005-0000-0000-0000A6240000}"/>
    <cellStyle name="Normal 12 2 3 2 4 2 3" xfId="23892" xr:uid="{00000000-0005-0000-0000-0000A7240000}"/>
    <cellStyle name="Normal 12 2 3 2 4 3" xfId="11176" xr:uid="{00000000-0005-0000-0000-0000A8240000}"/>
    <cellStyle name="Normal 12 2 3 2 4 3 2" xfId="28116" xr:uid="{00000000-0005-0000-0000-0000A9240000}"/>
    <cellStyle name="Normal 12 2 3 2 4 4" xfId="19668" xr:uid="{00000000-0005-0000-0000-0000AA240000}"/>
    <cellStyle name="Normal 12 2 3 2 5" xfId="4840" xr:uid="{00000000-0005-0000-0000-0000AB240000}"/>
    <cellStyle name="Normal 12 2 3 2 5 2" xfId="13288" xr:uid="{00000000-0005-0000-0000-0000AC240000}"/>
    <cellStyle name="Normal 12 2 3 2 5 2 2" xfId="30228" xr:uid="{00000000-0005-0000-0000-0000AD240000}"/>
    <cellStyle name="Normal 12 2 3 2 5 3" xfId="21780" xr:uid="{00000000-0005-0000-0000-0000AE240000}"/>
    <cellStyle name="Normal 12 2 3 2 6" xfId="9064" xr:uid="{00000000-0005-0000-0000-0000AF240000}"/>
    <cellStyle name="Normal 12 2 3 2 6 2" xfId="26004" xr:uid="{00000000-0005-0000-0000-0000B0240000}"/>
    <cellStyle name="Normal 12 2 3 2 7" xfId="17556" xr:uid="{00000000-0005-0000-0000-0000B1240000}"/>
    <cellStyle name="Normal 12 2 3 3" xfId="784" xr:uid="{00000000-0005-0000-0000-0000B2240000}"/>
    <cellStyle name="Normal 12 2 3 3 2" xfId="1846" xr:uid="{00000000-0005-0000-0000-0000B3240000}"/>
    <cellStyle name="Normal 12 2 3 3 2 2" xfId="3958" xr:uid="{00000000-0005-0000-0000-0000B4240000}"/>
    <cellStyle name="Normal 12 2 3 3 2 2 2" xfId="8184" xr:uid="{00000000-0005-0000-0000-0000B5240000}"/>
    <cellStyle name="Normal 12 2 3 3 2 2 2 2" xfId="16632" xr:uid="{00000000-0005-0000-0000-0000B6240000}"/>
    <cellStyle name="Normal 12 2 3 3 2 2 2 2 2" xfId="33572" xr:uid="{00000000-0005-0000-0000-0000B7240000}"/>
    <cellStyle name="Normal 12 2 3 3 2 2 2 3" xfId="25124" xr:uid="{00000000-0005-0000-0000-0000B8240000}"/>
    <cellStyle name="Normal 12 2 3 3 2 2 3" xfId="12408" xr:uid="{00000000-0005-0000-0000-0000B9240000}"/>
    <cellStyle name="Normal 12 2 3 3 2 2 3 2" xfId="29348" xr:uid="{00000000-0005-0000-0000-0000BA240000}"/>
    <cellStyle name="Normal 12 2 3 3 2 2 4" xfId="20900" xr:uid="{00000000-0005-0000-0000-0000BB240000}"/>
    <cellStyle name="Normal 12 2 3 3 2 3" xfId="6072" xr:uid="{00000000-0005-0000-0000-0000BC240000}"/>
    <cellStyle name="Normal 12 2 3 3 2 3 2" xfId="14520" xr:uid="{00000000-0005-0000-0000-0000BD240000}"/>
    <cellStyle name="Normal 12 2 3 3 2 3 2 2" xfId="31460" xr:uid="{00000000-0005-0000-0000-0000BE240000}"/>
    <cellStyle name="Normal 12 2 3 3 2 3 3" xfId="23012" xr:uid="{00000000-0005-0000-0000-0000BF240000}"/>
    <cellStyle name="Normal 12 2 3 3 2 4" xfId="10296" xr:uid="{00000000-0005-0000-0000-0000C0240000}"/>
    <cellStyle name="Normal 12 2 3 3 2 4 2" xfId="27236" xr:uid="{00000000-0005-0000-0000-0000C1240000}"/>
    <cellStyle name="Normal 12 2 3 3 2 5" xfId="18788" xr:uid="{00000000-0005-0000-0000-0000C2240000}"/>
    <cellStyle name="Normal 12 2 3 3 3" xfId="2902" xr:uid="{00000000-0005-0000-0000-0000C3240000}"/>
    <cellStyle name="Normal 12 2 3 3 3 2" xfId="7128" xr:uid="{00000000-0005-0000-0000-0000C4240000}"/>
    <cellStyle name="Normal 12 2 3 3 3 2 2" xfId="15576" xr:uid="{00000000-0005-0000-0000-0000C5240000}"/>
    <cellStyle name="Normal 12 2 3 3 3 2 2 2" xfId="32516" xr:uid="{00000000-0005-0000-0000-0000C6240000}"/>
    <cellStyle name="Normal 12 2 3 3 3 2 3" xfId="24068" xr:uid="{00000000-0005-0000-0000-0000C7240000}"/>
    <cellStyle name="Normal 12 2 3 3 3 3" xfId="11352" xr:uid="{00000000-0005-0000-0000-0000C8240000}"/>
    <cellStyle name="Normal 12 2 3 3 3 3 2" xfId="28292" xr:uid="{00000000-0005-0000-0000-0000C9240000}"/>
    <cellStyle name="Normal 12 2 3 3 3 4" xfId="19844" xr:uid="{00000000-0005-0000-0000-0000CA240000}"/>
    <cellStyle name="Normal 12 2 3 3 4" xfId="5016" xr:uid="{00000000-0005-0000-0000-0000CB240000}"/>
    <cellStyle name="Normal 12 2 3 3 4 2" xfId="13464" xr:uid="{00000000-0005-0000-0000-0000CC240000}"/>
    <cellStyle name="Normal 12 2 3 3 4 2 2" xfId="30404" xr:uid="{00000000-0005-0000-0000-0000CD240000}"/>
    <cellStyle name="Normal 12 2 3 3 4 3" xfId="21956" xr:uid="{00000000-0005-0000-0000-0000CE240000}"/>
    <cellStyle name="Normal 12 2 3 3 5" xfId="9240" xr:uid="{00000000-0005-0000-0000-0000CF240000}"/>
    <cellStyle name="Normal 12 2 3 3 5 2" xfId="26180" xr:uid="{00000000-0005-0000-0000-0000D0240000}"/>
    <cellStyle name="Normal 12 2 3 3 6" xfId="17732" xr:uid="{00000000-0005-0000-0000-0000D1240000}"/>
    <cellStyle name="Normal 12 2 3 4" xfId="1136" xr:uid="{00000000-0005-0000-0000-0000D2240000}"/>
    <cellStyle name="Normal 12 2 3 4 2" xfId="2198" xr:uid="{00000000-0005-0000-0000-0000D3240000}"/>
    <cellStyle name="Normal 12 2 3 4 2 2" xfId="4310" xr:uid="{00000000-0005-0000-0000-0000D4240000}"/>
    <cellStyle name="Normal 12 2 3 4 2 2 2" xfId="8536" xr:uid="{00000000-0005-0000-0000-0000D5240000}"/>
    <cellStyle name="Normal 12 2 3 4 2 2 2 2" xfId="16984" xr:uid="{00000000-0005-0000-0000-0000D6240000}"/>
    <cellStyle name="Normal 12 2 3 4 2 2 2 2 2" xfId="33924" xr:uid="{00000000-0005-0000-0000-0000D7240000}"/>
    <cellStyle name="Normal 12 2 3 4 2 2 2 3" xfId="25476" xr:uid="{00000000-0005-0000-0000-0000D8240000}"/>
    <cellStyle name="Normal 12 2 3 4 2 2 3" xfId="12760" xr:uid="{00000000-0005-0000-0000-0000D9240000}"/>
    <cellStyle name="Normal 12 2 3 4 2 2 3 2" xfId="29700" xr:uid="{00000000-0005-0000-0000-0000DA240000}"/>
    <cellStyle name="Normal 12 2 3 4 2 2 4" xfId="21252" xr:uid="{00000000-0005-0000-0000-0000DB240000}"/>
    <cellStyle name="Normal 12 2 3 4 2 3" xfId="6424" xr:uid="{00000000-0005-0000-0000-0000DC240000}"/>
    <cellStyle name="Normal 12 2 3 4 2 3 2" xfId="14872" xr:uid="{00000000-0005-0000-0000-0000DD240000}"/>
    <cellStyle name="Normal 12 2 3 4 2 3 2 2" xfId="31812" xr:uid="{00000000-0005-0000-0000-0000DE240000}"/>
    <cellStyle name="Normal 12 2 3 4 2 3 3" xfId="23364" xr:uid="{00000000-0005-0000-0000-0000DF240000}"/>
    <cellStyle name="Normal 12 2 3 4 2 4" xfId="10648" xr:uid="{00000000-0005-0000-0000-0000E0240000}"/>
    <cellStyle name="Normal 12 2 3 4 2 4 2" xfId="27588" xr:uid="{00000000-0005-0000-0000-0000E1240000}"/>
    <cellStyle name="Normal 12 2 3 4 2 5" xfId="19140" xr:uid="{00000000-0005-0000-0000-0000E2240000}"/>
    <cellStyle name="Normal 12 2 3 4 3" xfId="3254" xr:uid="{00000000-0005-0000-0000-0000E3240000}"/>
    <cellStyle name="Normal 12 2 3 4 3 2" xfId="7480" xr:uid="{00000000-0005-0000-0000-0000E4240000}"/>
    <cellStyle name="Normal 12 2 3 4 3 2 2" xfId="15928" xr:uid="{00000000-0005-0000-0000-0000E5240000}"/>
    <cellStyle name="Normal 12 2 3 4 3 2 2 2" xfId="32868" xr:uid="{00000000-0005-0000-0000-0000E6240000}"/>
    <cellStyle name="Normal 12 2 3 4 3 2 3" xfId="24420" xr:uid="{00000000-0005-0000-0000-0000E7240000}"/>
    <cellStyle name="Normal 12 2 3 4 3 3" xfId="11704" xr:uid="{00000000-0005-0000-0000-0000E8240000}"/>
    <cellStyle name="Normal 12 2 3 4 3 3 2" xfId="28644" xr:uid="{00000000-0005-0000-0000-0000E9240000}"/>
    <cellStyle name="Normal 12 2 3 4 3 4" xfId="20196" xr:uid="{00000000-0005-0000-0000-0000EA240000}"/>
    <cellStyle name="Normal 12 2 3 4 4" xfId="5368" xr:uid="{00000000-0005-0000-0000-0000EB240000}"/>
    <cellStyle name="Normal 12 2 3 4 4 2" xfId="13816" xr:uid="{00000000-0005-0000-0000-0000EC240000}"/>
    <cellStyle name="Normal 12 2 3 4 4 2 2" xfId="30756" xr:uid="{00000000-0005-0000-0000-0000ED240000}"/>
    <cellStyle name="Normal 12 2 3 4 4 3" xfId="22308" xr:uid="{00000000-0005-0000-0000-0000EE240000}"/>
    <cellStyle name="Normal 12 2 3 4 5" xfId="9592" xr:uid="{00000000-0005-0000-0000-0000EF240000}"/>
    <cellStyle name="Normal 12 2 3 4 5 2" xfId="26532" xr:uid="{00000000-0005-0000-0000-0000F0240000}"/>
    <cellStyle name="Normal 12 2 3 4 6" xfId="18084" xr:uid="{00000000-0005-0000-0000-0000F1240000}"/>
    <cellStyle name="Normal 12 2 3 5" xfId="1318" xr:uid="{00000000-0005-0000-0000-0000F2240000}"/>
    <cellStyle name="Normal 12 2 3 5 2" xfId="2374" xr:uid="{00000000-0005-0000-0000-0000F3240000}"/>
    <cellStyle name="Normal 12 2 3 5 2 2" xfId="4486" xr:uid="{00000000-0005-0000-0000-0000F4240000}"/>
    <cellStyle name="Normal 12 2 3 5 2 2 2" xfId="8712" xr:uid="{00000000-0005-0000-0000-0000F5240000}"/>
    <cellStyle name="Normal 12 2 3 5 2 2 2 2" xfId="17160" xr:uid="{00000000-0005-0000-0000-0000F6240000}"/>
    <cellStyle name="Normal 12 2 3 5 2 2 2 2 2" xfId="34100" xr:uid="{00000000-0005-0000-0000-0000F7240000}"/>
    <cellStyle name="Normal 12 2 3 5 2 2 2 3" xfId="25652" xr:uid="{00000000-0005-0000-0000-0000F8240000}"/>
    <cellStyle name="Normal 12 2 3 5 2 2 3" xfId="12936" xr:uid="{00000000-0005-0000-0000-0000F9240000}"/>
    <cellStyle name="Normal 12 2 3 5 2 2 3 2" xfId="29876" xr:uid="{00000000-0005-0000-0000-0000FA240000}"/>
    <cellStyle name="Normal 12 2 3 5 2 2 4" xfId="21428" xr:uid="{00000000-0005-0000-0000-0000FB240000}"/>
    <cellStyle name="Normal 12 2 3 5 2 3" xfId="6600" xr:uid="{00000000-0005-0000-0000-0000FC240000}"/>
    <cellStyle name="Normal 12 2 3 5 2 3 2" xfId="15048" xr:uid="{00000000-0005-0000-0000-0000FD240000}"/>
    <cellStyle name="Normal 12 2 3 5 2 3 2 2" xfId="31988" xr:uid="{00000000-0005-0000-0000-0000FE240000}"/>
    <cellStyle name="Normal 12 2 3 5 2 3 3" xfId="23540" xr:uid="{00000000-0005-0000-0000-0000FF240000}"/>
    <cellStyle name="Normal 12 2 3 5 2 4" xfId="10824" xr:uid="{00000000-0005-0000-0000-000000250000}"/>
    <cellStyle name="Normal 12 2 3 5 2 4 2" xfId="27764" xr:uid="{00000000-0005-0000-0000-000001250000}"/>
    <cellStyle name="Normal 12 2 3 5 2 5" xfId="19316" xr:uid="{00000000-0005-0000-0000-000002250000}"/>
    <cellStyle name="Normal 12 2 3 5 3" xfId="3430" xr:uid="{00000000-0005-0000-0000-000003250000}"/>
    <cellStyle name="Normal 12 2 3 5 3 2" xfId="7656" xr:uid="{00000000-0005-0000-0000-000004250000}"/>
    <cellStyle name="Normal 12 2 3 5 3 2 2" xfId="16104" xr:uid="{00000000-0005-0000-0000-000005250000}"/>
    <cellStyle name="Normal 12 2 3 5 3 2 2 2" xfId="33044" xr:uid="{00000000-0005-0000-0000-000006250000}"/>
    <cellStyle name="Normal 12 2 3 5 3 2 3" xfId="24596" xr:uid="{00000000-0005-0000-0000-000007250000}"/>
    <cellStyle name="Normal 12 2 3 5 3 3" xfId="11880" xr:uid="{00000000-0005-0000-0000-000008250000}"/>
    <cellStyle name="Normal 12 2 3 5 3 3 2" xfId="28820" xr:uid="{00000000-0005-0000-0000-000009250000}"/>
    <cellStyle name="Normal 12 2 3 5 3 4" xfId="20372" xr:uid="{00000000-0005-0000-0000-00000A250000}"/>
    <cellStyle name="Normal 12 2 3 5 4" xfId="5544" xr:uid="{00000000-0005-0000-0000-00000B250000}"/>
    <cellStyle name="Normal 12 2 3 5 4 2" xfId="13992" xr:uid="{00000000-0005-0000-0000-00000C250000}"/>
    <cellStyle name="Normal 12 2 3 5 4 2 2" xfId="30932" xr:uid="{00000000-0005-0000-0000-00000D250000}"/>
    <cellStyle name="Normal 12 2 3 5 4 3" xfId="22484" xr:uid="{00000000-0005-0000-0000-00000E250000}"/>
    <cellStyle name="Normal 12 2 3 5 5" xfId="9768" xr:uid="{00000000-0005-0000-0000-00000F250000}"/>
    <cellStyle name="Normal 12 2 3 5 5 2" xfId="26708" xr:uid="{00000000-0005-0000-0000-000010250000}"/>
    <cellStyle name="Normal 12 2 3 5 6" xfId="18260" xr:uid="{00000000-0005-0000-0000-000011250000}"/>
    <cellStyle name="Normal 12 2 3 6" xfId="1494" xr:uid="{00000000-0005-0000-0000-000012250000}"/>
    <cellStyle name="Normal 12 2 3 6 2" xfId="3606" xr:uid="{00000000-0005-0000-0000-000013250000}"/>
    <cellStyle name="Normal 12 2 3 6 2 2" xfId="7832" xr:uid="{00000000-0005-0000-0000-000014250000}"/>
    <cellStyle name="Normal 12 2 3 6 2 2 2" xfId="16280" xr:uid="{00000000-0005-0000-0000-000015250000}"/>
    <cellStyle name="Normal 12 2 3 6 2 2 2 2" xfId="33220" xr:uid="{00000000-0005-0000-0000-000016250000}"/>
    <cellStyle name="Normal 12 2 3 6 2 2 3" xfId="24772" xr:uid="{00000000-0005-0000-0000-000017250000}"/>
    <cellStyle name="Normal 12 2 3 6 2 3" xfId="12056" xr:uid="{00000000-0005-0000-0000-000018250000}"/>
    <cellStyle name="Normal 12 2 3 6 2 3 2" xfId="28996" xr:uid="{00000000-0005-0000-0000-000019250000}"/>
    <cellStyle name="Normal 12 2 3 6 2 4" xfId="20548" xr:uid="{00000000-0005-0000-0000-00001A250000}"/>
    <cellStyle name="Normal 12 2 3 6 3" xfId="5720" xr:uid="{00000000-0005-0000-0000-00001B250000}"/>
    <cellStyle name="Normal 12 2 3 6 3 2" xfId="14168" xr:uid="{00000000-0005-0000-0000-00001C250000}"/>
    <cellStyle name="Normal 12 2 3 6 3 2 2" xfId="31108" xr:uid="{00000000-0005-0000-0000-00001D250000}"/>
    <cellStyle name="Normal 12 2 3 6 3 3" xfId="22660" xr:uid="{00000000-0005-0000-0000-00001E250000}"/>
    <cellStyle name="Normal 12 2 3 6 4" xfId="9944" xr:uid="{00000000-0005-0000-0000-00001F250000}"/>
    <cellStyle name="Normal 12 2 3 6 4 2" xfId="26884" xr:uid="{00000000-0005-0000-0000-000020250000}"/>
    <cellStyle name="Normal 12 2 3 6 5" xfId="18436" xr:uid="{00000000-0005-0000-0000-000021250000}"/>
    <cellStyle name="Normal 12 2 3 7" xfId="2550" xr:uid="{00000000-0005-0000-0000-000022250000}"/>
    <cellStyle name="Normal 12 2 3 7 2" xfId="6776" xr:uid="{00000000-0005-0000-0000-000023250000}"/>
    <cellStyle name="Normal 12 2 3 7 2 2" xfId="15224" xr:uid="{00000000-0005-0000-0000-000024250000}"/>
    <cellStyle name="Normal 12 2 3 7 2 2 2" xfId="32164" xr:uid="{00000000-0005-0000-0000-000025250000}"/>
    <cellStyle name="Normal 12 2 3 7 2 3" xfId="23716" xr:uid="{00000000-0005-0000-0000-000026250000}"/>
    <cellStyle name="Normal 12 2 3 7 3" xfId="11000" xr:uid="{00000000-0005-0000-0000-000027250000}"/>
    <cellStyle name="Normal 12 2 3 7 3 2" xfId="27940" xr:uid="{00000000-0005-0000-0000-000028250000}"/>
    <cellStyle name="Normal 12 2 3 7 4" xfId="19492" xr:uid="{00000000-0005-0000-0000-000029250000}"/>
    <cellStyle name="Normal 12 2 3 8" xfId="4663" xr:uid="{00000000-0005-0000-0000-00002A250000}"/>
    <cellStyle name="Normal 12 2 3 8 2" xfId="13112" xr:uid="{00000000-0005-0000-0000-00002B250000}"/>
    <cellStyle name="Normal 12 2 3 8 2 2" xfId="30052" xr:uid="{00000000-0005-0000-0000-00002C250000}"/>
    <cellStyle name="Normal 12 2 3 8 3" xfId="21604" xr:uid="{00000000-0005-0000-0000-00002D250000}"/>
    <cellStyle name="Normal 12 2 3 9" xfId="8888" xr:uid="{00000000-0005-0000-0000-00002E250000}"/>
    <cellStyle name="Normal 12 2 3 9 2" xfId="25828" xr:uid="{00000000-0005-0000-0000-00002F250000}"/>
    <cellStyle name="Normal 12 2 4" xfId="606" xr:uid="{00000000-0005-0000-0000-000030250000}"/>
    <cellStyle name="Normal 12 2 4 2" xfId="958" xr:uid="{00000000-0005-0000-0000-000031250000}"/>
    <cellStyle name="Normal 12 2 4 2 2" xfId="2020" xr:uid="{00000000-0005-0000-0000-000032250000}"/>
    <cellStyle name="Normal 12 2 4 2 2 2" xfId="4132" xr:uid="{00000000-0005-0000-0000-000033250000}"/>
    <cellStyle name="Normal 12 2 4 2 2 2 2" xfId="8358" xr:uid="{00000000-0005-0000-0000-000034250000}"/>
    <cellStyle name="Normal 12 2 4 2 2 2 2 2" xfId="16806" xr:uid="{00000000-0005-0000-0000-000035250000}"/>
    <cellStyle name="Normal 12 2 4 2 2 2 2 2 2" xfId="33746" xr:uid="{00000000-0005-0000-0000-000036250000}"/>
    <cellStyle name="Normal 12 2 4 2 2 2 2 3" xfId="25298" xr:uid="{00000000-0005-0000-0000-000037250000}"/>
    <cellStyle name="Normal 12 2 4 2 2 2 3" xfId="12582" xr:uid="{00000000-0005-0000-0000-000038250000}"/>
    <cellStyle name="Normal 12 2 4 2 2 2 3 2" xfId="29522" xr:uid="{00000000-0005-0000-0000-000039250000}"/>
    <cellStyle name="Normal 12 2 4 2 2 2 4" xfId="21074" xr:uid="{00000000-0005-0000-0000-00003A250000}"/>
    <cellStyle name="Normal 12 2 4 2 2 3" xfId="6246" xr:uid="{00000000-0005-0000-0000-00003B250000}"/>
    <cellStyle name="Normal 12 2 4 2 2 3 2" xfId="14694" xr:uid="{00000000-0005-0000-0000-00003C250000}"/>
    <cellStyle name="Normal 12 2 4 2 2 3 2 2" xfId="31634" xr:uid="{00000000-0005-0000-0000-00003D250000}"/>
    <cellStyle name="Normal 12 2 4 2 2 3 3" xfId="23186" xr:uid="{00000000-0005-0000-0000-00003E250000}"/>
    <cellStyle name="Normal 12 2 4 2 2 4" xfId="10470" xr:uid="{00000000-0005-0000-0000-00003F250000}"/>
    <cellStyle name="Normal 12 2 4 2 2 4 2" xfId="27410" xr:uid="{00000000-0005-0000-0000-000040250000}"/>
    <cellStyle name="Normal 12 2 4 2 2 5" xfId="18962" xr:uid="{00000000-0005-0000-0000-000041250000}"/>
    <cellStyle name="Normal 12 2 4 2 3" xfId="3076" xr:uid="{00000000-0005-0000-0000-000042250000}"/>
    <cellStyle name="Normal 12 2 4 2 3 2" xfId="7302" xr:uid="{00000000-0005-0000-0000-000043250000}"/>
    <cellStyle name="Normal 12 2 4 2 3 2 2" xfId="15750" xr:uid="{00000000-0005-0000-0000-000044250000}"/>
    <cellStyle name="Normal 12 2 4 2 3 2 2 2" xfId="32690" xr:uid="{00000000-0005-0000-0000-000045250000}"/>
    <cellStyle name="Normal 12 2 4 2 3 2 3" xfId="24242" xr:uid="{00000000-0005-0000-0000-000046250000}"/>
    <cellStyle name="Normal 12 2 4 2 3 3" xfId="11526" xr:uid="{00000000-0005-0000-0000-000047250000}"/>
    <cellStyle name="Normal 12 2 4 2 3 3 2" xfId="28466" xr:uid="{00000000-0005-0000-0000-000048250000}"/>
    <cellStyle name="Normal 12 2 4 2 3 4" xfId="20018" xr:uid="{00000000-0005-0000-0000-000049250000}"/>
    <cellStyle name="Normal 12 2 4 2 4" xfId="5190" xr:uid="{00000000-0005-0000-0000-00004A250000}"/>
    <cellStyle name="Normal 12 2 4 2 4 2" xfId="13638" xr:uid="{00000000-0005-0000-0000-00004B250000}"/>
    <cellStyle name="Normal 12 2 4 2 4 2 2" xfId="30578" xr:uid="{00000000-0005-0000-0000-00004C250000}"/>
    <cellStyle name="Normal 12 2 4 2 4 3" xfId="22130" xr:uid="{00000000-0005-0000-0000-00004D250000}"/>
    <cellStyle name="Normal 12 2 4 2 5" xfId="9414" xr:uid="{00000000-0005-0000-0000-00004E250000}"/>
    <cellStyle name="Normal 12 2 4 2 5 2" xfId="26354" xr:uid="{00000000-0005-0000-0000-00004F250000}"/>
    <cellStyle name="Normal 12 2 4 2 6" xfId="17906" xr:uid="{00000000-0005-0000-0000-000050250000}"/>
    <cellStyle name="Normal 12 2 4 3" xfId="1668" xr:uid="{00000000-0005-0000-0000-000051250000}"/>
    <cellStyle name="Normal 12 2 4 3 2" xfId="3780" xr:uid="{00000000-0005-0000-0000-000052250000}"/>
    <cellStyle name="Normal 12 2 4 3 2 2" xfId="8006" xr:uid="{00000000-0005-0000-0000-000053250000}"/>
    <cellStyle name="Normal 12 2 4 3 2 2 2" xfId="16454" xr:uid="{00000000-0005-0000-0000-000054250000}"/>
    <cellStyle name="Normal 12 2 4 3 2 2 2 2" xfId="33394" xr:uid="{00000000-0005-0000-0000-000055250000}"/>
    <cellStyle name="Normal 12 2 4 3 2 2 3" xfId="24946" xr:uid="{00000000-0005-0000-0000-000056250000}"/>
    <cellStyle name="Normal 12 2 4 3 2 3" xfId="12230" xr:uid="{00000000-0005-0000-0000-000057250000}"/>
    <cellStyle name="Normal 12 2 4 3 2 3 2" xfId="29170" xr:uid="{00000000-0005-0000-0000-000058250000}"/>
    <cellStyle name="Normal 12 2 4 3 2 4" xfId="20722" xr:uid="{00000000-0005-0000-0000-000059250000}"/>
    <cellStyle name="Normal 12 2 4 3 3" xfId="5894" xr:uid="{00000000-0005-0000-0000-00005A250000}"/>
    <cellStyle name="Normal 12 2 4 3 3 2" xfId="14342" xr:uid="{00000000-0005-0000-0000-00005B250000}"/>
    <cellStyle name="Normal 12 2 4 3 3 2 2" xfId="31282" xr:uid="{00000000-0005-0000-0000-00005C250000}"/>
    <cellStyle name="Normal 12 2 4 3 3 3" xfId="22834" xr:uid="{00000000-0005-0000-0000-00005D250000}"/>
    <cellStyle name="Normal 12 2 4 3 4" xfId="10118" xr:uid="{00000000-0005-0000-0000-00005E250000}"/>
    <cellStyle name="Normal 12 2 4 3 4 2" xfId="27058" xr:uid="{00000000-0005-0000-0000-00005F250000}"/>
    <cellStyle name="Normal 12 2 4 3 5" xfId="18610" xr:uid="{00000000-0005-0000-0000-000060250000}"/>
    <cellStyle name="Normal 12 2 4 4" xfId="2724" xr:uid="{00000000-0005-0000-0000-000061250000}"/>
    <cellStyle name="Normal 12 2 4 4 2" xfId="6950" xr:uid="{00000000-0005-0000-0000-000062250000}"/>
    <cellStyle name="Normal 12 2 4 4 2 2" xfId="15398" xr:uid="{00000000-0005-0000-0000-000063250000}"/>
    <cellStyle name="Normal 12 2 4 4 2 2 2" xfId="32338" xr:uid="{00000000-0005-0000-0000-000064250000}"/>
    <cellStyle name="Normal 12 2 4 4 2 3" xfId="23890" xr:uid="{00000000-0005-0000-0000-000065250000}"/>
    <cellStyle name="Normal 12 2 4 4 3" xfId="11174" xr:uid="{00000000-0005-0000-0000-000066250000}"/>
    <cellStyle name="Normal 12 2 4 4 3 2" xfId="28114" xr:uid="{00000000-0005-0000-0000-000067250000}"/>
    <cellStyle name="Normal 12 2 4 4 4" xfId="19666" xr:uid="{00000000-0005-0000-0000-000068250000}"/>
    <cellStyle name="Normal 12 2 4 5" xfId="4838" xr:uid="{00000000-0005-0000-0000-000069250000}"/>
    <cellStyle name="Normal 12 2 4 5 2" xfId="13286" xr:uid="{00000000-0005-0000-0000-00006A250000}"/>
    <cellStyle name="Normal 12 2 4 5 2 2" xfId="30226" xr:uid="{00000000-0005-0000-0000-00006B250000}"/>
    <cellStyle name="Normal 12 2 4 5 3" xfId="21778" xr:uid="{00000000-0005-0000-0000-00006C250000}"/>
    <cellStyle name="Normal 12 2 4 6" xfId="9062" xr:uid="{00000000-0005-0000-0000-00006D250000}"/>
    <cellStyle name="Normal 12 2 4 6 2" xfId="26002" xr:uid="{00000000-0005-0000-0000-00006E250000}"/>
    <cellStyle name="Normal 12 2 4 7" xfId="17554" xr:uid="{00000000-0005-0000-0000-00006F250000}"/>
    <cellStyle name="Normal 12 2 5" xfId="782" xr:uid="{00000000-0005-0000-0000-000070250000}"/>
    <cellStyle name="Normal 12 2 5 2" xfId="1844" xr:uid="{00000000-0005-0000-0000-000071250000}"/>
    <cellStyle name="Normal 12 2 5 2 2" xfId="3956" xr:uid="{00000000-0005-0000-0000-000072250000}"/>
    <cellStyle name="Normal 12 2 5 2 2 2" xfId="8182" xr:uid="{00000000-0005-0000-0000-000073250000}"/>
    <cellStyle name="Normal 12 2 5 2 2 2 2" xfId="16630" xr:uid="{00000000-0005-0000-0000-000074250000}"/>
    <cellStyle name="Normal 12 2 5 2 2 2 2 2" xfId="33570" xr:uid="{00000000-0005-0000-0000-000075250000}"/>
    <cellStyle name="Normal 12 2 5 2 2 2 3" xfId="25122" xr:uid="{00000000-0005-0000-0000-000076250000}"/>
    <cellStyle name="Normal 12 2 5 2 2 3" xfId="12406" xr:uid="{00000000-0005-0000-0000-000077250000}"/>
    <cellStyle name="Normal 12 2 5 2 2 3 2" xfId="29346" xr:uid="{00000000-0005-0000-0000-000078250000}"/>
    <cellStyle name="Normal 12 2 5 2 2 4" xfId="20898" xr:uid="{00000000-0005-0000-0000-000079250000}"/>
    <cellStyle name="Normal 12 2 5 2 3" xfId="6070" xr:uid="{00000000-0005-0000-0000-00007A250000}"/>
    <cellStyle name="Normal 12 2 5 2 3 2" xfId="14518" xr:uid="{00000000-0005-0000-0000-00007B250000}"/>
    <cellStyle name="Normal 12 2 5 2 3 2 2" xfId="31458" xr:uid="{00000000-0005-0000-0000-00007C250000}"/>
    <cellStyle name="Normal 12 2 5 2 3 3" xfId="23010" xr:uid="{00000000-0005-0000-0000-00007D250000}"/>
    <cellStyle name="Normal 12 2 5 2 4" xfId="10294" xr:uid="{00000000-0005-0000-0000-00007E250000}"/>
    <cellStyle name="Normal 12 2 5 2 4 2" xfId="27234" xr:uid="{00000000-0005-0000-0000-00007F250000}"/>
    <cellStyle name="Normal 12 2 5 2 5" xfId="18786" xr:uid="{00000000-0005-0000-0000-000080250000}"/>
    <cellStyle name="Normal 12 2 5 3" xfId="2900" xr:uid="{00000000-0005-0000-0000-000081250000}"/>
    <cellStyle name="Normal 12 2 5 3 2" xfId="7126" xr:uid="{00000000-0005-0000-0000-000082250000}"/>
    <cellStyle name="Normal 12 2 5 3 2 2" xfId="15574" xr:uid="{00000000-0005-0000-0000-000083250000}"/>
    <cellStyle name="Normal 12 2 5 3 2 2 2" xfId="32514" xr:uid="{00000000-0005-0000-0000-000084250000}"/>
    <cellStyle name="Normal 12 2 5 3 2 3" xfId="24066" xr:uid="{00000000-0005-0000-0000-000085250000}"/>
    <cellStyle name="Normal 12 2 5 3 3" xfId="11350" xr:uid="{00000000-0005-0000-0000-000086250000}"/>
    <cellStyle name="Normal 12 2 5 3 3 2" xfId="28290" xr:uid="{00000000-0005-0000-0000-000087250000}"/>
    <cellStyle name="Normal 12 2 5 3 4" xfId="19842" xr:uid="{00000000-0005-0000-0000-000088250000}"/>
    <cellStyle name="Normal 12 2 5 4" xfId="5014" xr:uid="{00000000-0005-0000-0000-000089250000}"/>
    <cellStyle name="Normal 12 2 5 4 2" xfId="13462" xr:uid="{00000000-0005-0000-0000-00008A250000}"/>
    <cellStyle name="Normal 12 2 5 4 2 2" xfId="30402" xr:uid="{00000000-0005-0000-0000-00008B250000}"/>
    <cellStyle name="Normal 12 2 5 4 3" xfId="21954" xr:uid="{00000000-0005-0000-0000-00008C250000}"/>
    <cellStyle name="Normal 12 2 5 5" xfId="9238" xr:uid="{00000000-0005-0000-0000-00008D250000}"/>
    <cellStyle name="Normal 12 2 5 5 2" xfId="26178" xr:uid="{00000000-0005-0000-0000-00008E250000}"/>
    <cellStyle name="Normal 12 2 5 6" xfId="17730" xr:uid="{00000000-0005-0000-0000-00008F250000}"/>
    <cellStyle name="Normal 12 2 6" xfId="1134" xr:uid="{00000000-0005-0000-0000-000090250000}"/>
    <cellStyle name="Normal 12 2 6 2" xfId="2196" xr:uid="{00000000-0005-0000-0000-000091250000}"/>
    <cellStyle name="Normal 12 2 6 2 2" xfId="4308" xr:uid="{00000000-0005-0000-0000-000092250000}"/>
    <cellStyle name="Normal 12 2 6 2 2 2" xfId="8534" xr:uid="{00000000-0005-0000-0000-000093250000}"/>
    <cellStyle name="Normal 12 2 6 2 2 2 2" xfId="16982" xr:uid="{00000000-0005-0000-0000-000094250000}"/>
    <cellStyle name="Normal 12 2 6 2 2 2 2 2" xfId="33922" xr:uid="{00000000-0005-0000-0000-000095250000}"/>
    <cellStyle name="Normal 12 2 6 2 2 2 3" xfId="25474" xr:uid="{00000000-0005-0000-0000-000096250000}"/>
    <cellStyle name="Normal 12 2 6 2 2 3" xfId="12758" xr:uid="{00000000-0005-0000-0000-000097250000}"/>
    <cellStyle name="Normal 12 2 6 2 2 3 2" xfId="29698" xr:uid="{00000000-0005-0000-0000-000098250000}"/>
    <cellStyle name="Normal 12 2 6 2 2 4" xfId="21250" xr:uid="{00000000-0005-0000-0000-000099250000}"/>
    <cellStyle name="Normal 12 2 6 2 3" xfId="6422" xr:uid="{00000000-0005-0000-0000-00009A250000}"/>
    <cellStyle name="Normal 12 2 6 2 3 2" xfId="14870" xr:uid="{00000000-0005-0000-0000-00009B250000}"/>
    <cellStyle name="Normal 12 2 6 2 3 2 2" xfId="31810" xr:uid="{00000000-0005-0000-0000-00009C250000}"/>
    <cellStyle name="Normal 12 2 6 2 3 3" xfId="23362" xr:uid="{00000000-0005-0000-0000-00009D250000}"/>
    <cellStyle name="Normal 12 2 6 2 4" xfId="10646" xr:uid="{00000000-0005-0000-0000-00009E250000}"/>
    <cellStyle name="Normal 12 2 6 2 4 2" xfId="27586" xr:uid="{00000000-0005-0000-0000-00009F250000}"/>
    <cellStyle name="Normal 12 2 6 2 5" xfId="19138" xr:uid="{00000000-0005-0000-0000-0000A0250000}"/>
    <cellStyle name="Normal 12 2 6 3" xfId="3252" xr:uid="{00000000-0005-0000-0000-0000A1250000}"/>
    <cellStyle name="Normal 12 2 6 3 2" xfId="7478" xr:uid="{00000000-0005-0000-0000-0000A2250000}"/>
    <cellStyle name="Normal 12 2 6 3 2 2" xfId="15926" xr:uid="{00000000-0005-0000-0000-0000A3250000}"/>
    <cellStyle name="Normal 12 2 6 3 2 2 2" xfId="32866" xr:uid="{00000000-0005-0000-0000-0000A4250000}"/>
    <cellStyle name="Normal 12 2 6 3 2 3" xfId="24418" xr:uid="{00000000-0005-0000-0000-0000A5250000}"/>
    <cellStyle name="Normal 12 2 6 3 3" xfId="11702" xr:uid="{00000000-0005-0000-0000-0000A6250000}"/>
    <cellStyle name="Normal 12 2 6 3 3 2" xfId="28642" xr:uid="{00000000-0005-0000-0000-0000A7250000}"/>
    <cellStyle name="Normal 12 2 6 3 4" xfId="20194" xr:uid="{00000000-0005-0000-0000-0000A8250000}"/>
    <cellStyle name="Normal 12 2 6 4" xfId="5366" xr:uid="{00000000-0005-0000-0000-0000A9250000}"/>
    <cellStyle name="Normal 12 2 6 4 2" xfId="13814" xr:uid="{00000000-0005-0000-0000-0000AA250000}"/>
    <cellStyle name="Normal 12 2 6 4 2 2" xfId="30754" xr:uid="{00000000-0005-0000-0000-0000AB250000}"/>
    <cellStyle name="Normal 12 2 6 4 3" xfId="22306" xr:uid="{00000000-0005-0000-0000-0000AC250000}"/>
    <cellStyle name="Normal 12 2 6 5" xfId="9590" xr:uid="{00000000-0005-0000-0000-0000AD250000}"/>
    <cellStyle name="Normal 12 2 6 5 2" xfId="26530" xr:uid="{00000000-0005-0000-0000-0000AE250000}"/>
    <cellStyle name="Normal 12 2 6 6" xfId="18082" xr:uid="{00000000-0005-0000-0000-0000AF250000}"/>
    <cellStyle name="Normal 12 2 7" xfId="1316" xr:uid="{00000000-0005-0000-0000-0000B0250000}"/>
    <cellStyle name="Normal 12 2 7 2" xfId="2372" xr:uid="{00000000-0005-0000-0000-0000B1250000}"/>
    <cellStyle name="Normal 12 2 7 2 2" xfId="4484" xr:uid="{00000000-0005-0000-0000-0000B2250000}"/>
    <cellStyle name="Normal 12 2 7 2 2 2" xfId="8710" xr:uid="{00000000-0005-0000-0000-0000B3250000}"/>
    <cellStyle name="Normal 12 2 7 2 2 2 2" xfId="17158" xr:uid="{00000000-0005-0000-0000-0000B4250000}"/>
    <cellStyle name="Normal 12 2 7 2 2 2 2 2" xfId="34098" xr:uid="{00000000-0005-0000-0000-0000B5250000}"/>
    <cellStyle name="Normal 12 2 7 2 2 2 3" xfId="25650" xr:uid="{00000000-0005-0000-0000-0000B6250000}"/>
    <cellStyle name="Normal 12 2 7 2 2 3" xfId="12934" xr:uid="{00000000-0005-0000-0000-0000B7250000}"/>
    <cellStyle name="Normal 12 2 7 2 2 3 2" xfId="29874" xr:uid="{00000000-0005-0000-0000-0000B8250000}"/>
    <cellStyle name="Normal 12 2 7 2 2 4" xfId="21426" xr:uid="{00000000-0005-0000-0000-0000B9250000}"/>
    <cellStyle name="Normal 12 2 7 2 3" xfId="6598" xr:uid="{00000000-0005-0000-0000-0000BA250000}"/>
    <cellStyle name="Normal 12 2 7 2 3 2" xfId="15046" xr:uid="{00000000-0005-0000-0000-0000BB250000}"/>
    <cellStyle name="Normal 12 2 7 2 3 2 2" xfId="31986" xr:uid="{00000000-0005-0000-0000-0000BC250000}"/>
    <cellStyle name="Normal 12 2 7 2 3 3" xfId="23538" xr:uid="{00000000-0005-0000-0000-0000BD250000}"/>
    <cellStyle name="Normal 12 2 7 2 4" xfId="10822" xr:uid="{00000000-0005-0000-0000-0000BE250000}"/>
    <cellStyle name="Normal 12 2 7 2 4 2" xfId="27762" xr:uid="{00000000-0005-0000-0000-0000BF250000}"/>
    <cellStyle name="Normal 12 2 7 2 5" xfId="19314" xr:uid="{00000000-0005-0000-0000-0000C0250000}"/>
    <cellStyle name="Normal 12 2 7 3" xfId="3428" xr:uid="{00000000-0005-0000-0000-0000C1250000}"/>
    <cellStyle name="Normal 12 2 7 3 2" xfId="7654" xr:uid="{00000000-0005-0000-0000-0000C2250000}"/>
    <cellStyle name="Normal 12 2 7 3 2 2" xfId="16102" xr:uid="{00000000-0005-0000-0000-0000C3250000}"/>
    <cellStyle name="Normal 12 2 7 3 2 2 2" xfId="33042" xr:uid="{00000000-0005-0000-0000-0000C4250000}"/>
    <cellStyle name="Normal 12 2 7 3 2 3" xfId="24594" xr:uid="{00000000-0005-0000-0000-0000C5250000}"/>
    <cellStyle name="Normal 12 2 7 3 3" xfId="11878" xr:uid="{00000000-0005-0000-0000-0000C6250000}"/>
    <cellStyle name="Normal 12 2 7 3 3 2" xfId="28818" xr:uid="{00000000-0005-0000-0000-0000C7250000}"/>
    <cellStyle name="Normal 12 2 7 3 4" xfId="20370" xr:uid="{00000000-0005-0000-0000-0000C8250000}"/>
    <cellStyle name="Normal 12 2 7 4" xfId="5542" xr:uid="{00000000-0005-0000-0000-0000C9250000}"/>
    <cellStyle name="Normal 12 2 7 4 2" xfId="13990" xr:uid="{00000000-0005-0000-0000-0000CA250000}"/>
    <cellStyle name="Normal 12 2 7 4 2 2" xfId="30930" xr:uid="{00000000-0005-0000-0000-0000CB250000}"/>
    <cellStyle name="Normal 12 2 7 4 3" xfId="22482" xr:uid="{00000000-0005-0000-0000-0000CC250000}"/>
    <cellStyle name="Normal 12 2 7 5" xfId="9766" xr:uid="{00000000-0005-0000-0000-0000CD250000}"/>
    <cellStyle name="Normal 12 2 7 5 2" xfId="26706" xr:uid="{00000000-0005-0000-0000-0000CE250000}"/>
    <cellStyle name="Normal 12 2 7 6" xfId="18258" xr:uid="{00000000-0005-0000-0000-0000CF250000}"/>
    <cellStyle name="Normal 12 2 8" xfId="1492" xr:uid="{00000000-0005-0000-0000-0000D0250000}"/>
    <cellStyle name="Normal 12 2 8 2" xfId="3604" xr:uid="{00000000-0005-0000-0000-0000D1250000}"/>
    <cellStyle name="Normal 12 2 8 2 2" xfId="7830" xr:uid="{00000000-0005-0000-0000-0000D2250000}"/>
    <cellStyle name="Normal 12 2 8 2 2 2" xfId="16278" xr:uid="{00000000-0005-0000-0000-0000D3250000}"/>
    <cellStyle name="Normal 12 2 8 2 2 2 2" xfId="33218" xr:uid="{00000000-0005-0000-0000-0000D4250000}"/>
    <cellStyle name="Normal 12 2 8 2 2 3" xfId="24770" xr:uid="{00000000-0005-0000-0000-0000D5250000}"/>
    <cellStyle name="Normal 12 2 8 2 3" xfId="12054" xr:uid="{00000000-0005-0000-0000-0000D6250000}"/>
    <cellStyle name="Normal 12 2 8 2 3 2" xfId="28994" xr:uid="{00000000-0005-0000-0000-0000D7250000}"/>
    <cellStyle name="Normal 12 2 8 2 4" xfId="20546" xr:uid="{00000000-0005-0000-0000-0000D8250000}"/>
    <cellStyle name="Normal 12 2 8 3" xfId="5718" xr:uid="{00000000-0005-0000-0000-0000D9250000}"/>
    <cellStyle name="Normal 12 2 8 3 2" xfId="14166" xr:uid="{00000000-0005-0000-0000-0000DA250000}"/>
    <cellStyle name="Normal 12 2 8 3 2 2" xfId="31106" xr:uid="{00000000-0005-0000-0000-0000DB250000}"/>
    <cellStyle name="Normal 12 2 8 3 3" xfId="22658" xr:uid="{00000000-0005-0000-0000-0000DC250000}"/>
    <cellStyle name="Normal 12 2 8 4" xfId="9942" xr:uid="{00000000-0005-0000-0000-0000DD250000}"/>
    <cellStyle name="Normal 12 2 8 4 2" xfId="26882" xr:uid="{00000000-0005-0000-0000-0000DE250000}"/>
    <cellStyle name="Normal 12 2 8 5" xfId="18434" xr:uid="{00000000-0005-0000-0000-0000DF250000}"/>
    <cellStyle name="Normal 12 2 9" xfId="2548" xr:uid="{00000000-0005-0000-0000-0000E0250000}"/>
    <cellStyle name="Normal 12 2 9 2" xfId="6774" xr:uid="{00000000-0005-0000-0000-0000E1250000}"/>
    <cellStyle name="Normal 12 2 9 2 2" xfId="15222" xr:uid="{00000000-0005-0000-0000-0000E2250000}"/>
    <cellStyle name="Normal 12 2 9 2 2 2" xfId="32162" xr:uid="{00000000-0005-0000-0000-0000E3250000}"/>
    <cellStyle name="Normal 12 2 9 2 3" xfId="23714" xr:uid="{00000000-0005-0000-0000-0000E4250000}"/>
    <cellStyle name="Normal 12 2 9 3" xfId="10998" xr:uid="{00000000-0005-0000-0000-0000E5250000}"/>
    <cellStyle name="Normal 12 2 9 3 2" xfId="27938" xr:uid="{00000000-0005-0000-0000-0000E6250000}"/>
    <cellStyle name="Normal 12 2 9 4" xfId="19490" xr:uid="{00000000-0005-0000-0000-0000E7250000}"/>
    <cellStyle name="Normal 12 3" xfId="267" xr:uid="{00000000-0005-0000-0000-0000E8250000}"/>
    <cellStyle name="Normal 12 4" xfId="268" xr:uid="{00000000-0005-0000-0000-0000E9250000}"/>
    <cellStyle name="Normal 12 4 10" xfId="17381" xr:uid="{00000000-0005-0000-0000-0000EA250000}"/>
    <cellStyle name="Normal 12 4 2" xfId="609" xr:uid="{00000000-0005-0000-0000-0000EB250000}"/>
    <cellStyle name="Normal 12 4 2 2" xfId="961" xr:uid="{00000000-0005-0000-0000-0000EC250000}"/>
    <cellStyle name="Normal 12 4 2 2 2" xfId="2023" xr:uid="{00000000-0005-0000-0000-0000ED250000}"/>
    <cellStyle name="Normal 12 4 2 2 2 2" xfId="4135" xr:uid="{00000000-0005-0000-0000-0000EE250000}"/>
    <cellStyle name="Normal 12 4 2 2 2 2 2" xfId="8361" xr:uid="{00000000-0005-0000-0000-0000EF250000}"/>
    <cellStyle name="Normal 12 4 2 2 2 2 2 2" xfId="16809" xr:uid="{00000000-0005-0000-0000-0000F0250000}"/>
    <cellStyle name="Normal 12 4 2 2 2 2 2 2 2" xfId="33749" xr:uid="{00000000-0005-0000-0000-0000F1250000}"/>
    <cellStyle name="Normal 12 4 2 2 2 2 2 3" xfId="25301" xr:uid="{00000000-0005-0000-0000-0000F2250000}"/>
    <cellStyle name="Normal 12 4 2 2 2 2 3" xfId="12585" xr:uid="{00000000-0005-0000-0000-0000F3250000}"/>
    <cellStyle name="Normal 12 4 2 2 2 2 3 2" xfId="29525" xr:uid="{00000000-0005-0000-0000-0000F4250000}"/>
    <cellStyle name="Normal 12 4 2 2 2 2 4" xfId="21077" xr:uid="{00000000-0005-0000-0000-0000F5250000}"/>
    <cellStyle name="Normal 12 4 2 2 2 3" xfId="6249" xr:uid="{00000000-0005-0000-0000-0000F6250000}"/>
    <cellStyle name="Normal 12 4 2 2 2 3 2" xfId="14697" xr:uid="{00000000-0005-0000-0000-0000F7250000}"/>
    <cellStyle name="Normal 12 4 2 2 2 3 2 2" xfId="31637" xr:uid="{00000000-0005-0000-0000-0000F8250000}"/>
    <cellStyle name="Normal 12 4 2 2 2 3 3" xfId="23189" xr:uid="{00000000-0005-0000-0000-0000F9250000}"/>
    <cellStyle name="Normal 12 4 2 2 2 4" xfId="10473" xr:uid="{00000000-0005-0000-0000-0000FA250000}"/>
    <cellStyle name="Normal 12 4 2 2 2 4 2" xfId="27413" xr:uid="{00000000-0005-0000-0000-0000FB250000}"/>
    <cellStyle name="Normal 12 4 2 2 2 5" xfId="18965" xr:uid="{00000000-0005-0000-0000-0000FC250000}"/>
    <cellStyle name="Normal 12 4 2 2 3" xfId="3079" xr:uid="{00000000-0005-0000-0000-0000FD250000}"/>
    <cellStyle name="Normal 12 4 2 2 3 2" xfId="7305" xr:uid="{00000000-0005-0000-0000-0000FE250000}"/>
    <cellStyle name="Normal 12 4 2 2 3 2 2" xfId="15753" xr:uid="{00000000-0005-0000-0000-0000FF250000}"/>
    <cellStyle name="Normal 12 4 2 2 3 2 2 2" xfId="32693" xr:uid="{00000000-0005-0000-0000-000000260000}"/>
    <cellStyle name="Normal 12 4 2 2 3 2 3" xfId="24245" xr:uid="{00000000-0005-0000-0000-000001260000}"/>
    <cellStyle name="Normal 12 4 2 2 3 3" xfId="11529" xr:uid="{00000000-0005-0000-0000-000002260000}"/>
    <cellStyle name="Normal 12 4 2 2 3 3 2" xfId="28469" xr:uid="{00000000-0005-0000-0000-000003260000}"/>
    <cellStyle name="Normal 12 4 2 2 3 4" xfId="20021" xr:uid="{00000000-0005-0000-0000-000004260000}"/>
    <cellStyle name="Normal 12 4 2 2 4" xfId="5193" xr:uid="{00000000-0005-0000-0000-000005260000}"/>
    <cellStyle name="Normal 12 4 2 2 4 2" xfId="13641" xr:uid="{00000000-0005-0000-0000-000006260000}"/>
    <cellStyle name="Normal 12 4 2 2 4 2 2" xfId="30581" xr:uid="{00000000-0005-0000-0000-000007260000}"/>
    <cellStyle name="Normal 12 4 2 2 4 3" xfId="22133" xr:uid="{00000000-0005-0000-0000-000008260000}"/>
    <cellStyle name="Normal 12 4 2 2 5" xfId="9417" xr:uid="{00000000-0005-0000-0000-000009260000}"/>
    <cellStyle name="Normal 12 4 2 2 5 2" xfId="26357" xr:uid="{00000000-0005-0000-0000-00000A260000}"/>
    <cellStyle name="Normal 12 4 2 2 6" xfId="17909" xr:uid="{00000000-0005-0000-0000-00000B260000}"/>
    <cellStyle name="Normal 12 4 2 3" xfId="1671" xr:uid="{00000000-0005-0000-0000-00000C260000}"/>
    <cellStyle name="Normal 12 4 2 3 2" xfId="3783" xr:uid="{00000000-0005-0000-0000-00000D260000}"/>
    <cellStyle name="Normal 12 4 2 3 2 2" xfId="8009" xr:uid="{00000000-0005-0000-0000-00000E260000}"/>
    <cellStyle name="Normal 12 4 2 3 2 2 2" xfId="16457" xr:uid="{00000000-0005-0000-0000-00000F260000}"/>
    <cellStyle name="Normal 12 4 2 3 2 2 2 2" xfId="33397" xr:uid="{00000000-0005-0000-0000-000010260000}"/>
    <cellStyle name="Normal 12 4 2 3 2 2 3" xfId="24949" xr:uid="{00000000-0005-0000-0000-000011260000}"/>
    <cellStyle name="Normal 12 4 2 3 2 3" xfId="12233" xr:uid="{00000000-0005-0000-0000-000012260000}"/>
    <cellStyle name="Normal 12 4 2 3 2 3 2" xfId="29173" xr:uid="{00000000-0005-0000-0000-000013260000}"/>
    <cellStyle name="Normal 12 4 2 3 2 4" xfId="20725" xr:uid="{00000000-0005-0000-0000-000014260000}"/>
    <cellStyle name="Normal 12 4 2 3 3" xfId="5897" xr:uid="{00000000-0005-0000-0000-000015260000}"/>
    <cellStyle name="Normal 12 4 2 3 3 2" xfId="14345" xr:uid="{00000000-0005-0000-0000-000016260000}"/>
    <cellStyle name="Normal 12 4 2 3 3 2 2" xfId="31285" xr:uid="{00000000-0005-0000-0000-000017260000}"/>
    <cellStyle name="Normal 12 4 2 3 3 3" xfId="22837" xr:uid="{00000000-0005-0000-0000-000018260000}"/>
    <cellStyle name="Normal 12 4 2 3 4" xfId="10121" xr:uid="{00000000-0005-0000-0000-000019260000}"/>
    <cellStyle name="Normal 12 4 2 3 4 2" xfId="27061" xr:uid="{00000000-0005-0000-0000-00001A260000}"/>
    <cellStyle name="Normal 12 4 2 3 5" xfId="18613" xr:uid="{00000000-0005-0000-0000-00001B260000}"/>
    <cellStyle name="Normal 12 4 2 4" xfId="2727" xr:uid="{00000000-0005-0000-0000-00001C260000}"/>
    <cellStyle name="Normal 12 4 2 4 2" xfId="6953" xr:uid="{00000000-0005-0000-0000-00001D260000}"/>
    <cellStyle name="Normal 12 4 2 4 2 2" xfId="15401" xr:uid="{00000000-0005-0000-0000-00001E260000}"/>
    <cellStyle name="Normal 12 4 2 4 2 2 2" xfId="32341" xr:uid="{00000000-0005-0000-0000-00001F260000}"/>
    <cellStyle name="Normal 12 4 2 4 2 3" xfId="23893" xr:uid="{00000000-0005-0000-0000-000020260000}"/>
    <cellStyle name="Normal 12 4 2 4 3" xfId="11177" xr:uid="{00000000-0005-0000-0000-000021260000}"/>
    <cellStyle name="Normal 12 4 2 4 3 2" xfId="28117" xr:uid="{00000000-0005-0000-0000-000022260000}"/>
    <cellStyle name="Normal 12 4 2 4 4" xfId="19669" xr:uid="{00000000-0005-0000-0000-000023260000}"/>
    <cellStyle name="Normal 12 4 2 5" xfId="4841" xr:uid="{00000000-0005-0000-0000-000024260000}"/>
    <cellStyle name="Normal 12 4 2 5 2" xfId="13289" xr:uid="{00000000-0005-0000-0000-000025260000}"/>
    <cellStyle name="Normal 12 4 2 5 2 2" xfId="30229" xr:uid="{00000000-0005-0000-0000-000026260000}"/>
    <cellStyle name="Normal 12 4 2 5 3" xfId="21781" xr:uid="{00000000-0005-0000-0000-000027260000}"/>
    <cellStyle name="Normal 12 4 2 6" xfId="9065" xr:uid="{00000000-0005-0000-0000-000028260000}"/>
    <cellStyle name="Normal 12 4 2 6 2" xfId="26005" xr:uid="{00000000-0005-0000-0000-000029260000}"/>
    <cellStyle name="Normal 12 4 2 7" xfId="17557" xr:uid="{00000000-0005-0000-0000-00002A260000}"/>
    <cellStyle name="Normal 12 4 3" xfId="785" xr:uid="{00000000-0005-0000-0000-00002B260000}"/>
    <cellStyle name="Normal 12 4 3 2" xfId="1847" xr:uid="{00000000-0005-0000-0000-00002C260000}"/>
    <cellStyle name="Normal 12 4 3 2 2" xfId="3959" xr:uid="{00000000-0005-0000-0000-00002D260000}"/>
    <cellStyle name="Normal 12 4 3 2 2 2" xfId="8185" xr:uid="{00000000-0005-0000-0000-00002E260000}"/>
    <cellStyle name="Normal 12 4 3 2 2 2 2" xfId="16633" xr:uid="{00000000-0005-0000-0000-00002F260000}"/>
    <cellStyle name="Normal 12 4 3 2 2 2 2 2" xfId="33573" xr:uid="{00000000-0005-0000-0000-000030260000}"/>
    <cellStyle name="Normal 12 4 3 2 2 2 3" xfId="25125" xr:uid="{00000000-0005-0000-0000-000031260000}"/>
    <cellStyle name="Normal 12 4 3 2 2 3" xfId="12409" xr:uid="{00000000-0005-0000-0000-000032260000}"/>
    <cellStyle name="Normal 12 4 3 2 2 3 2" xfId="29349" xr:uid="{00000000-0005-0000-0000-000033260000}"/>
    <cellStyle name="Normal 12 4 3 2 2 4" xfId="20901" xr:uid="{00000000-0005-0000-0000-000034260000}"/>
    <cellStyle name="Normal 12 4 3 2 3" xfId="6073" xr:uid="{00000000-0005-0000-0000-000035260000}"/>
    <cellStyle name="Normal 12 4 3 2 3 2" xfId="14521" xr:uid="{00000000-0005-0000-0000-000036260000}"/>
    <cellStyle name="Normal 12 4 3 2 3 2 2" xfId="31461" xr:uid="{00000000-0005-0000-0000-000037260000}"/>
    <cellStyle name="Normal 12 4 3 2 3 3" xfId="23013" xr:uid="{00000000-0005-0000-0000-000038260000}"/>
    <cellStyle name="Normal 12 4 3 2 4" xfId="10297" xr:uid="{00000000-0005-0000-0000-000039260000}"/>
    <cellStyle name="Normal 12 4 3 2 4 2" xfId="27237" xr:uid="{00000000-0005-0000-0000-00003A260000}"/>
    <cellStyle name="Normal 12 4 3 2 5" xfId="18789" xr:uid="{00000000-0005-0000-0000-00003B260000}"/>
    <cellStyle name="Normal 12 4 3 3" xfId="2903" xr:uid="{00000000-0005-0000-0000-00003C260000}"/>
    <cellStyle name="Normal 12 4 3 3 2" xfId="7129" xr:uid="{00000000-0005-0000-0000-00003D260000}"/>
    <cellStyle name="Normal 12 4 3 3 2 2" xfId="15577" xr:uid="{00000000-0005-0000-0000-00003E260000}"/>
    <cellStyle name="Normal 12 4 3 3 2 2 2" xfId="32517" xr:uid="{00000000-0005-0000-0000-00003F260000}"/>
    <cellStyle name="Normal 12 4 3 3 2 3" xfId="24069" xr:uid="{00000000-0005-0000-0000-000040260000}"/>
    <cellStyle name="Normal 12 4 3 3 3" xfId="11353" xr:uid="{00000000-0005-0000-0000-000041260000}"/>
    <cellStyle name="Normal 12 4 3 3 3 2" xfId="28293" xr:uid="{00000000-0005-0000-0000-000042260000}"/>
    <cellStyle name="Normal 12 4 3 3 4" xfId="19845" xr:uid="{00000000-0005-0000-0000-000043260000}"/>
    <cellStyle name="Normal 12 4 3 4" xfId="5017" xr:uid="{00000000-0005-0000-0000-000044260000}"/>
    <cellStyle name="Normal 12 4 3 4 2" xfId="13465" xr:uid="{00000000-0005-0000-0000-000045260000}"/>
    <cellStyle name="Normal 12 4 3 4 2 2" xfId="30405" xr:uid="{00000000-0005-0000-0000-000046260000}"/>
    <cellStyle name="Normal 12 4 3 4 3" xfId="21957" xr:uid="{00000000-0005-0000-0000-000047260000}"/>
    <cellStyle name="Normal 12 4 3 5" xfId="9241" xr:uid="{00000000-0005-0000-0000-000048260000}"/>
    <cellStyle name="Normal 12 4 3 5 2" xfId="26181" xr:uid="{00000000-0005-0000-0000-000049260000}"/>
    <cellStyle name="Normal 12 4 3 6" xfId="17733" xr:uid="{00000000-0005-0000-0000-00004A260000}"/>
    <cellStyle name="Normal 12 4 4" xfId="1137" xr:uid="{00000000-0005-0000-0000-00004B260000}"/>
    <cellStyle name="Normal 12 4 4 2" xfId="2199" xr:uid="{00000000-0005-0000-0000-00004C260000}"/>
    <cellStyle name="Normal 12 4 4 2 2" xfId="4311" xr:uid="{00000000-0005-0000-0000-00004D260000}"/>
    <cellStyle name="Normal 12 4 4 2 2 2" xfId="8537" xr:uid="{00000000-0005-0000-0000-00004E260000}"/>
    <cellStyle name="Normal 12 4 4 2 2 2 2" xfId="16985" xr:uid="{00000000-0005-0000-0000-00004F260000}"/>
    <cellStyle name="Normal 12 4 4 2 2 2 2 2" xfId="33925" xr:uid="{00000000-0005-0000-0000-000050260000}"/>
    <cellStyle name="Normal 12 4 4 2 2 2 3" xfId="25477" xr:uid="{00000000-0005-0000-0000-000051260000}"/>
    <cellStyle name="Normal 12 4 4 2 2 3" xfId="12761" xr:uid="{00000000-0005-0000-0000-000052260000}"/>
    <cellStyle name="Normal 12 4 4 2 2 3 2" xfId="29701" xr:uid="{00000000-0005-0000-0000-000053260000}"/>
    <cellStyle name="Normal 12 4 4 2 2 4" xfId="21253" xr:uid="{00000000-0005-0000-0000-000054260000}"/>
    <cellStyle name="Normal 12 4 4 2 3" xfId="6425" xr:uid="{00000000-0005-0000-0000-000055260000}"/>
    <cellStyle name="Normal 12 4 4 2 3 2" xfId="14873" xr:uid="{00000000-0005-0000-0000-000056260000}"/>
    <cellStyle name="Normal 12 4 4 2 3 2 2" xfId="31813" xr:uid="{00000000-0005-0000-0000-000057260000}"/>
    <cellStyle name="Normal 12 4 4 2 3 3" xfId="23365" xr:uid="{00000000-0005-0000-0000-000058260000}"/>
    <cellStyle name="Normal 12 4 4 2 4" xfId="10649" xr:uid="{00000000-0005-0000-0000-000059260000}"/>
    <cellStyle name="Normal 12 4 4 2 4 2" xfId="27589" xr:uid="{00000000-0005-0000-0000-00005A260000}"/>
    <cellStyle name="Normal 12 4 4 2 5" xfId="19141" xr:uid="{00000000-0005-0000-0000-00005B260000}"/>
    <cellStyle name="Normal 12 4 4 3" xfId="3255" xr:uid="{00000000-0005-0000-0000-00005C260000}"/>
    <cellStyle name="Normal 12 4 4 3 2" xfId="7481" xr:uid="{00000000-0005-0000-0000-00005D260000}"/>
    <cellStyle name="Normal 12 4 4 3 2 2" xfId="15929" xr:uid="{00000000-0005-0000-0000-00005E260000}"/>
    <cellStyle name="Normal 12 4 4 3 2 2 2" xfId="32869" xr:uid="{00000000-0005-0000-0000-00005F260000}"/>
    <cellStyle name="Normal 12 4 4 3 2 3" xfId="24421" xr:uid="{00000000-0005-0000-0000-000060260000}"/>
    <cellStyle name="Normal 12 4 4 3 3" xfId="11705" xr:uid="{00000000-0005-0000-0000-000061260000}"/>
    <cellStyle name="Normal 12 4 4 3 3 2" xfId="28645" xr:uid="{00000000-0005-0000-0000-000062260000}"/>
    <cellStyle name="Normal 12 4 4 3 4" xfId="20197" xr:uid="{00000000-0005-0000-0000-000063260000}"/>
    <cellStyle name="Normal 12 4 4 4" xfId="5369" xr:uid="{00000000-0005-0000-0000-000064260000}"/>
    <cellStyle name="Normal 12 4 4 4 2" xfId="13817" xr:uid="{00000000-0005-0000-0000-000065260000}"/>
    <cellStyle name="Normal 12 4 4 4 2 2" xfId="30757" xr:uid="{00000000-0005-0000-0000-000066260000}"/>
    <cellStyle name="Normal 12 4 4 4 3" xfId="22309" xr:uid="{00000000-0005-0000-0000-000067260000}"/>
    <cellStyle name="Normal 12 4 4 5" xfId="9593" xr:uid="{00000000-0005-0000-0000-000068260000}"/>
    <cellStyle name="Normal 12 4 4 5 2" xfId="26533" xr:uid="{00000000-0005-0000-0000-000069260000}"/>
    <cellStyle name="Normal 12 4 4 6" xfId="18085" xr:uid="{00000000-0005-0000-0000-00006A260000}"/>
    <cellStyle name="Normal 12 4 5" xfId="1319" xr:uid="{00000000-0005-0000-0000-00006B260000}"/>
    <cellStyle name="Normal 12 4 5 2" xfId="2375" xr:uid="{00000000-0005-0000-0000-00006C260000}"/>
    <cellStyle name="Normal 12 4 5 2 2" xfId="4487" xr:uid="{00000000-0005-0000-0000-00006D260000}"/>
    <cellStyle name="Normal 12 4 5 2 2 2" xfId="8713" xr:uid="{00000000-0005-0000-0000-00006E260000}"/>
    <cellStyle name="Normal 12 4 5 2 2 2 2" xfId="17161" xr:uid="{00000000-0005-0000-0000-00006F260000}"/>
    <cellStyle name="Normal 12 4 5 2 2 2 2 2" xfId="34101" xr:uid="{00000000-0005-0000-0000-000070260000}"/>
    <cellStyle name="Normal 12 4 5 2 2 2 3" xfId="25653" xr:uid="{00000000-0005-0000-0000-000071260000}"/>
    <cellStyle name="Normal 12 4 5 2 2 3" xfId="12937" xr:uid="{00000000-0005-0000-0000-000072260000}"/>
    <cellStyle name="Normal 12 4 5 2 2 3 2" xfId="29877" xr:uid="{00000000-0005-0000-0000-000073260000}"/>
    <cellStyle name="Normal 12 4 5 2 2 4" xfId="21429" xr:uid="{00000000-0005-0000-0000-000074260000}"/>
    <cellStyle name="Normal 12 4 5 2 3" xfId="6601" xr:uid="{00000000-0005-0000-0000-000075260000}"/>
    <cellStyle name="Normal 12 4 5 2 3 2" xfId="15049" xr:uid="{00000000-0005-0000-0000-000076260000}"/>
    <cellStyle name="Normal 12 4 5 2 3 2 2" xfId="31989" xr:uid="{00000000-0005-0000-0000-000077260000}"/>
    <cellStyle name="Normal 12 4 5 2 3 3" xfId="23541" xr:uid="{00000000-0005-0000-0000-000078260000}"/>
    <cellStyle name="Normal 12 4 5 2 4" xfId="10825" xr:uid="{00000000-0005-0000-0000-000079260000}"/>
    <cellStyle name="Normal 12 4 5 2 4 2" xfId="27765" xr:uid="{00000000-0005-0000-0000-00007A260000}"/>
    <cellStyle name="Normal 12 4 5 2 5" xfId="19317" xr:uid="{00000000-0005-0000-0000-00007B260000}"/>
    <cellStyle name="Normal 12 4 5 3" xfId="3431" xr:uid="{00000000-0005-0000-0000-00007C260000}"/>
    <cellStyle name="Normal 12 4 5 3 2" xfId="7657" xr:uid="{00000000-0005-0000-0000-00007D260000}"/>
    <cellStyle name="Normal 12 4 5 3 2 2" xfId="16105" xr:uid="{00000000-0005-0000-0000-00007E260000}"/>
    <cellStyle name="Normal 12 4 5 3 2 2 2" xfId="33045" xr:uid="{00000000-0005-0000-0000-00007F260000}"/>
    <cellStyle name="Normal 12 4 5 3 2 3" xfId="24597" xr:uid="{00000000-0005-0000-0000-000080260000}"/>
    <cellStyle name="Normal 12 4 5 3 3" xfId="11881" xr:uid="{00000000-0005-0000-0000-000081260000}"/>
    <cellStyle name="Normal 12 4 5 3 3 2" xfId="28821" xr:uid="{00000000-0005-0000-0000-000082260000}"/>
    <cellStyle name="Normal 12 4 5 3 4" xfId="20373" xr:uid="{00000000-0005-0000-0000-000083260000}"/>
    <cellStyle name="Normal 12 4 5 4" xfId="5545" xr:uid="{00000000-0005-0000-0000-000084260000}"/>
    <cellStyle name="Normal 12 4 5 4 2" xfId="13993" xr:uid="{00000000-0005-0000-0000-000085260000}"/>
    <cellStyle name="Normal 12 4 5 4 2 2" xfId="30933" xr:uid="{00000000-0005-0000-0000-000086260000}"/>
    <cellStyle name="Normal 12 4 5 4 3" xfId="22485" xr:uid="{00000000-0005-0000-0000-000087260000}"/>
    <cellStyle name="Normal 12 4 5 5" xfId="9769" xr:uid="{00000000-0005-0000-0000-000088260000}"/>
    <cellStyle name="Normal 12 4 5 5 2" xfId="26709" xr:uid="{00000000-0005-0000-0000-000089260000}"/>
    <cellStyle name="Normal 12 4 5 6" xfId="18261" xr:uid="{00000000-0005-0000-0000-00008A260000}"/>
    <cellStyle name="Normal 12 4 6" xfId="1495" xr:uid="{00000000-0005-0000-0000-00008B260000}"/>
    <cellStyle name="Normal 12 4 6 2" xfId="3607" xr:uid="{00000000-0005-0000-0000-00008C260000}"/>
    <cellStyle name="Normal 12 4 6 2 2" xfId="7833" xr:uid="{00000000-0005-0000-0000-00008D260000}"/>
    <cellStyle name="Normal 12 4 6 2 2 2" xfId="16281" xr:uid="{00000000-0005-0000-0000-00008E260000}"/>
    <cellStyle name="Normal 12 4 6 2 2 2 2" xfId="33221" xr:uid="{00000000-0005-0000-0000-00008F260000}"/>
    <cellStyle name="Normal 12 4 6 2 2 3" xfId="24773" xr:uid="{00000000-0005-0000-0000-000090260000}"/>
    <cellStyle name="Normal 12 4 6 2 3" xfId="12057" xr:uid="{00000000-0005-0000-0000-000091260000}"/>
    <cellStyle name="Normal 12 4 6 2 3 2" xfId="28997" xr:uid="{00000000-0005-0000-0000-000092260000}"/>
    <cellStyle name="Normal 12 4 6 2 4" xfId="20549" xr:uid="{00000000-0005-0000-0000-000093260000}"/>
    <cellStyle name="Normal 12 4 6 3" xfId="5721" xr:uid="{00000000-0005-0000-0000-000094260000}"/>
    <cellStyle name="Normal 12 4 6 3 2" xfId="14169" xr:uid="{00000000-0005-0000-0000-000095260000}"/>
    <cellStyle name="Normal 12 4 6 3 2 2" xfId="31109" xr:uid="{00000000-0005-0000-0000-000096260000}"/>
    <cellStyle name="Normal 12 4 6 3 3" xfId="22661" xr:uid="{00000000-0005-0000-0000-000097260000}"/>
    <cellStyle name="Normal 12 4 6 4" xfId="9945" xr:uid="{00000000-0005-0000-0000-000098260000}"/>
    <cellStyle name="Normal 12 4 6 4 2" xfId="26885" xr:uid="{00000000-0005-0000-0000-000099260000}"/>
    <cellStyle name="Normal 12 4 6 5" xfId="18437" xr:uid="{00000000-0005-0000-0000-00009A260000}"/>
    <cellStyle name="Normal 12 4 7" xfId="2551" xr:uid="{00000000-0005-0000-0000-00009B260000}"/>
    <cellStyle name="Normal 12 4 7 2" xfId="6777" xr:uid="{00000000-0005-0000-0000-00009C260000}"/>
    <cellStyle name="Normal 12 4 7 2 2" xfId="15225" xr:uid="{00000000-0005-0000-0000-00009D260000}"/>
    <cellStyle name="Normal 12 4 7 2 2 2" xfId="32165" xr:uid="{00000000-0005-0000-0000-00009E260000}"/>
    <cellStyle name="Normal 12 4 7 2 3" xfId="23717" xr:uid="{00000000-0005-0000-0000-00009F260000}"/>
    <cellStyle name="Normal 12 4 7 3" xfId="11001" xr:uid="{00000000-0005-0000-0000-0000A0260000}"/>
    <cellStyle name="Normal 12 4 7 3 2" xfId="27941" xr:uid="{00000000-0005-0000-0000-0000A1260000}"/>
    <cellStyle name="Normal 12 4 7 4" xfId="19493" xr:uid="{00000000-0005-0000-0000-0000A2260000}"/>
    <cellStyle name="Normal 12 4 8" xfId="4664" xr:uid="{00000000-0005-0000-0000-0000A3260000}"/>
    <cellStyle name="Normal 12 4 8 2" xfId="13113" xr:uid="{00000000-0005-0000-0000-0000A4260000}"/>
    <cellStyle name="Normal 12 4 8 2 2" xfId="30053" xr:uid="{00000000-0005-0000-0000-0000A5260000}"/>
    <cellStyle name="Normal 12 4 8 3" xfId="21605" xr:uid="{00000000-0005-0000-0000-0000A6260000}"/>
    <cellStyle name="Normal 12 4 9" xfId="8889" xr:uid="{00000000-0005-0000-0000-0000A7260000}"/>
    <cellStyle name="Normal 12 4 9 2" xfId="25829" xr:uid="{00000000-0005-0000-0000-0000A8260000}"/>
    <cellStyle name="Normal 12 5" xfId="269" xr:uid="{00000000-0005-0000-0000-0000A9260000}"/>
    <cellStyle name="Normal 12 5 10" xfId="17382" xr:uid="{00000000-0005-0000-0000-0000AA260000}"/>
    <cellStyle name="Normal 12 5 2" xfId="610" xr:uid="{00000000-0005-0000-0000-0000AB260000}"/>
    <cellStyle name="Normal 12 5 2 2" xfId="962" xr:uid="{00000000-0005-0000-0000-0000AC260000}"/>
    <cellStyle name="Normal 12 5 2 2 2" xfId="2024" xr:uid="{00000000-0005-0000-0000-0000AD260000}"/>
    <cellStyle name="Normal 12 5 2 2 2 2" xfId="4136" xr:uid="{00000000-0005-0000-0000-0000AE260000}"/>
    <cellStyle name="Normal 12 5 2 2 2 2 2" xfId="8362" xr:uid="{00000000-0005-0000-0000-0000AF260000}"/>
    <cellStyle name="Normal 12 5 2 2 2 2 2 2" xfId="16810" xr:uid="{00000000-0005-0000-0000-0000B0260000}"/>
    <cellStyle name="Normal 12 5 2 2 2 2 2 2 2" xfId="33750" xr:uid="{00000000-0005-0000-0000-0000B1260000}"/>
    <cellStyle name="Normal 12 5 2 2 2 2 2 3" xfId="25302" xr:uid="{00000000-0005-0000-0000-0000B2260000}"/>
    <cellStyle name="Normal 12 5 2 2 2 2 3" xfId="12586" xr:uid="{00000000-0005-0000-0000-0000B3260000}"/>
    <cellStyle name="Normal 12 5 2 2 2 2 3 2" xfId="29526" xr:uid="{00000000-0005-0000-0000-0000B4260000}"/>
    <cellStyle name="Normal 12 5 2 2 2 2 4" xfId="21078" xr:uid="{00000000-0005-0000-0000-0000B5260000}"/>
    <cellStyle name="Normal 12 5 2 2 2 3" xfId="6250" xr:uid="{00000000-0005-0000-0000-0000B6260000}"/>
    <cellStyle name="Normal 12 5 2 2 2 3 2" xfId="14698" xr:uid="{00000000-0005-0000-0000-0000B7260000}"/>
    <cellStyle name="Normal 12 5 2 2 2 3 2 2" xfId="31638" xr:uid="{00000000-0005-0000-0000-0000B8260000}"/>
    <cellStyle name="Normal 12 5 2 2 2 3 3" xfId="23190" xr:uid="{00000000-0005-0000-0000-0000B9260000}"/>
    <cellStyle name="Normal 12 5 2 2 2 4" xfId="10474" xr:uid="{00000000-0005-0000-0000-0000BA260000}"/>
    <cellStyle name="Normal 12 5 2 2 2 4 2" xfId="27414" xr:uid="{00000000-0005-0000-0000-0000BB260000}"/>
    <cellStyle name="Normal 12 5 2 2 2 5" xfId="18966" xr:uid="{00000000-0005-0000-0000-0000BC260000}"/>
    <cellStyle name="Normal 12 5 2 2 3" xfId="3080" xr:uid="{00000000-0005-0000-0000-0000BD260000}"/>
    <cellStyle name="Normal 12 5 2 2 3 2" xfId="7306" xr:uid="{00000000-0005-0000-0000-0000BE260000}"/>
    <cellStyle name="Normal 12 5 2 2 3 2 2" xfId="15754" xr:uid="{00000000-0005-0000-0000-0000BF260000}"/>
    <cellStyle name="Normal 12 5 2 2 3 2 2 2" xfId="32694" xr:uid="{00000000-0005-0000-0000-0000C0260000}"/>
    <cellStyle name="Normal 12 5 2 2 3 2 3" xfId="24246" xr:uid="{00000000-0005-0000-0000-0000C1260000}"/>
    <cellStyle name="Normal 12 5 2 2 3 3" xfId="11530" xr:uid="{00000000-0005-0000-0000-0000C2260000}"/>
    <cellStyle name="Normal 12 5 2 2 3 3 2" xfId="28470" xr:uid="{00000000-0005-0000-0000-0000C3260000}"/>
    <cellStyle name="Normal 12 5 2 2 3 4" xfId="20022" xr:uid="{00000000-0005-0000-0000-0000C4260000}"/>
    <cellStyle name="Normal 12 5 2 2 4" xfId="5194" xr:uid="{00000000-0005-0000-0000-0000C5260000}"/>
    <cellStyle name="Normal 12 5 2 2 4 2" xfId="13642" xr:uid="{00000000-0005-0000-0000-0000C6260000}"/>
    <cellStyle name="Normal 12 5 2 2 4 2 2" xfId="30582" xr:uid="{00000000-0005-0000-0000-0000C7260000}"/>
    <cellStyle name="Normal 12 5 2 2 4 3" xfId="22134" xr:uid="{00000000-0005-0000-0000-0000C8260000}"/>
    <cellStyle name="Normal 12 5 2 2 5" xfId="9418" xr:uid="{00000000-0005-0000-0000-0000C9260000}"/>
    <cellStyle name="Normal 12 5 2 2 5 2" xfId="26358" xr:uid="{00000000-0005-0000-0000-0000CA260000}"/>
    <cellStyle name="Normal 12 5 2 2 6" xfId="17910" xr:uid="{00000000-0005-0000-0000-0000CB260000}"/>
    <cellStyle name="Normal 12 5 2 3" xfId="1672" xr:uid="{00000000-0005-0000-0000-0000CC260000}"/>
    <cellStyle name="Normal 12 5 2 3 2" xfId="3784" xr:uid="{00000000-0005-0000-0000-0000CD260000}"/>
    <cellStyle name="Normal 12 5 2 3 2 2" xfId="8010" xr:uid="{00000000-0005-0000-0000-0000CE260000}"/>
    <cellStyle name="Normal 12 5 2 3 2 2 2" xfId="16458" xr:uid="{00000000-0005-0000-0000-0000CF260000}"/>
    <cellStyle name="Normal 12 5 2 3 2 2 2 2" xfId="33398" xr:uid="{00000000-0005-0000-0000-0000D0260000}"/>
    <cellStyle name="Normal 12 5 2 3 2 2 3" xfId="24950" xr:uid="{00000000-0005-0000-0000-0000D1260000}"/>
    <cellStyle name="Normal 12 5 2 3 2 3" xfId="12234" xr:uid="{00000000-0005-0000-0000-0000D2260000}"/>
    <cellStyle name="Normal 12 5 2 3 2 3 2" xfId="29174" xr:uid="{00000000-0005-0000-0000-0000D3260000}"/>
    <cellStyle name="Normal 12 5 2 3 2 4" xfId="20726" xr:uid="{00000000-0005-0000-0000-0000D4260000}"/>
    <cellStyle name="Normal 12 5 2 3 3" xfId="5898" xr:uid="{00000000-0005-0000-0000-0000D5260000}"/>
    <cellStyle name="Normal 12 5 2 3 3 2" xfId="14346" xr:uid="{00000000-0005-0000-0000-0000D6260000}"/>
    <cellStyle name="Normal 12 5 2 3 3 2 2" xfId="31286" xr:uid="{00000000-0005-0000-0000-0000D7260000}"/>
    <cellStyle name="Normal 12 5 2 3 3 3" xfId="22838" xr:uid="{00000000-0005-0000-0000-0000D8260000}"/>
    <cellStyle name="Normal 12 5 2 3 4" xfId="10122" xr:uid="{00000000-0005-0000-0000-0000D9260000}"/>
    <cellStyle name="Normal 12 5 2 3 4 2" xfId="27062" xr:uid="{00000000-0005-0000-0000-0000DA260000}"/>
    <cellStyle name="Normal 12 5 2 3 5" xfId="18614" xr:uid="{00000000-0005-0000-0000-0000DB260000}"/>
    <cellStyle name="Normal 12 5 2 4" xfId="2728" xr:uid="{00000000-0005-0000-0000-0000DC260000}"/>
    <cellStyle name="Normal 12 5 2 4 2" xfId="6954" xr:uid="{00000000-0005-0000-0000-0000DD260000}"/>
    <cellStyle name="Normal 12 5 2 4 2 2" xfId="15402" xr:uid="{00000000-0005-0000-0000-0000DE260000}"/>
    <cellStyle name="Normal 12 5 2 4 2 2 2" xfId="32342" xr:uid="{00000000-0005-0000-0000-0000DF260000}"/>
    <cellStyle name="Normal 12 5 2 4 2 3" xfId="23894" xr:uid="{00000000-0005-0000-0000-0000E0260000}"/>
    <cellStyle name="Normal 12 5 2 4 3" xfId="11178" xr:uid="{00000000-0005-0000-0000-0000E1260000}"/>
    <cellStyle name="Normal 12 5 2 4 3 2" xfId="28118" xr:uid="{00000000-0005-0000-0000-0000E2260000}"/>
    <cellStyle name="Normal 12 5 2 4 4" xfId="19670" xr:uid="{00000000-0005-0000-0000-0000E3260000}"/>
    <cellStyle name="Normal 12 5 2 5" xfId="4842" xr:uid="{00000000-0005-0000-0000-0000E4260000}"/>
    <cellStyle name="Normal 12 5 2 5 2" xfId="13290" xr:uid="{00000000-0005-0000-0000-0000E5260000}"/>
    <cellStyle name="Normal 12 5 2 5 2 2" xfId="30230" xr:uid="{00000000-0005-0000-0000-0000E6260000}"/>
    <cellStyle name="Normal 12 5 2 5 3" xfId="21782" xr:uid="{00000000-0005-0000-0000-0000E7260000}"/>
    <cellStyle name="Normal 12 5 2 6" xfId="9066" xr:uid="{00000000-0005-0000-0000-0000E8260000}"/>
    <cellStyle name="Normal 12 5 2 6 2" xfId="26006" xr:uid="{00000000-0005-0000-0000-0000E9260000}"/>
    <cellStyle name="Normal 12 5 2 7" xfId="17558" xr:uid="{00000000-0005-0000-0000-0000EA260000}"/>
    <cellStyle name="Normal 12 5 3" xfId="786" xr:uid="{00000000-0005-0000-0000-0000EB260000}"/>
    <cellStyle name="Normal 12 5 3 2" xfId="1848" xr:uid="{00000000-0005-0000-0000-0000EC260000}"/>
    <cellStyle name="Normal 12 5 3 2 2" xfId="3960" xr:uid="{00000000-0005-0000-0000-0000ED260000}"/>
    <cellStyle name="Normal 12 5 3 2 2 2" xfId="8186" xr:uid="{00000000-0005-0000-0000-0000EE260000}"/>
    <cellStyle name="Normal 12 5 3 2 2 2 2" xfId="16634" xr:uid="{00000000-0005-0000-0000-0000EF260000}"/>
    <cellStyle name="Normal 12 5 3 2 2 2 2 2" xfId="33574" xr:uid="{00000000-0005-0000-0000-0000F0260000}"/>
    <cellStyle name="Normal 12 5 3 2 2 2 3" xfId="25126" xr:uid="{00000000-0005-0000-0000-0000F1260000}"/>
    <cellStyle name="Normal 12 5 3 2 2 3" xfId="12410" xr:uid="{00000000-0005-0000-0000-0000F2260000}"/>
    <cellStyle name="Normal 12 5 3 2 2 3 2" xfId="29350" xr:uid="{00000000-0005-0000-0000-0000F3260000}"/>
    <cellStyle name="Normal 12 5 3 2 2 4" xfId="20902" xr:uid="{00000000-0005-0000-0000-0000F4260000}"/>
    <cellStyle name="Normal 12 5 3 2 3" xfId="6074" xr:uid="{00000000-0005-0000-0000-0000F5260000}"/>
    <cellStyle name="Normal 12 5 3 2 3 2" xfId="14522" xr:uid="{00000000-0005-0000-0000-0000F6260000}"/>
    <cellStyle name="Normal 12 5 3 2 3 2 2" xfId="31462" xr:uid="{00000000-0005-0000-0000-0000F7260000}"/>
    <cellStyle name="Normal 12 5 3 2 3 3" xfId="23014" xr:uid="{00000000-0005-0000-0000-0000F8260000}"/>
    <cellStyle name="Normal 12 5 3 2 4" xfId="10298" xr:uid="{00000000-0005-0000-0000-0000F9260000}"/>
    <cellStyle name="Normal 12 5 3 2 4 2" xfId="27238" xr:uid="{00000000-0005-0000-0000-0000FA260000}"/>
    <cellStyle name="Normal 12 5 3 2 5" xfId="18790" xr:uid="{00000000-0005-0000-0000-0000FB260000}"/>
    <cellStyle name="Normal 12 5 3 3" xfId="2904" xr:uid="{00000000-0005-0000-0000-0000FC260000}"/>
    <cellStyle name="Normal 12 5 3 3 2" xfId="7130" xr:uid="{00000000-0005-0000-0000-0000FD260000}"/>
    <cellStyle name="Normal 12 5 3 3 2 2" xfId="15578" xr:uid="{00000000-0005-0000-0000-0000FE260000}"/>
    <cellStyle name="Normal 12 5 3 3 2 2 2" xfId="32518" xr:uid="{00000000-0005-0000-0000-0000FF260000}"/>
    <cellStyle name="Normal 12 5 3 3 2 3" xfId="24070" xr:uid="{00000000-0005-0000-0000-000000270000}"/>
    <cellStyle name="Normal 12 5 3 3 3" xfId="11354" xr:uid="{00000000-0005-0000-0000-000001270000}"/>
    <cellStyle name="Normal 12 5 3 3 3 2" xfId="28294" xr:uid="{00000000-0005-0000-0000-000002270000}"/>
    <cellStyle name="Normal 12 5 3 3 4" xfId="19846" xr:uid="{00000000-0005-0000-0000-000003270000}"/>
    <cellStyle name="Normal 12 5 3 4" xfId="5018" xr:uid="{00000000-0005-0000-0000-000004270000}"/>
    <cellStyle name="Normal 12 5 3 4 2" xfId="13466" xr:uid="{00000000-0005-0000-0000-000005270000}"/>
    <cellStyle name="Normal 12 5 3 4 2 2" xfId="30406" xr:uid="{00000000-0005-0000-0000-000006270000}"/>
    <cellStyle name="Normal 12 5 3 4 3" xfId="21958" xr:uid="{00000000-0005-0000-0000-000007270000}"/>
    <cellStyle name="Normal 12 5 3 5" xfId="9242" xr:uid="{00000000-0005-0000-0000-000008270000}"/>
    <cellStyle name="Normal 12 5 3 5 2" xfId="26182" xr:uid="{00000000-0005-0000-0000-000009270000}"/>
    <cellStyle name="Normal 12 5 3 6" xfId="17734" xr:uid="{00000000-0005-0000-0000-00000A270000}"/>
    <cellStyle name="Normal 12 5 4" xfId="1138" xr:uid="{00000000-0005-0000-0000-00000B270000}"/>
    <cellStyle name="Normal 12 5 4 2" xfId="2200" xr:uid="{00000000-0005-0000-0000-00000C270000}"/>
    <cellStyle name="Normal 12 5 4 2 2" xfId="4312" xr:uid="{00000000-0005-0000-0000-00000D270000}"/>
    <cellStyle name="Normal 12 5 4 2 2 2" xfId="8538" xr:uid="{00000000-0005-0000-0000-00000E270000}"/>
    <cellStyle name="Normal 12 5 4 2 2 2 2" xfId="16986" xr:uid="{00000000-0005-0000-0000-00000F270000}"/>
    <cellStyle name="Normal 12 5 4 2 2 2 2 2" xfId="33926" xr:uid="{00000000-0005-0000-0000-000010270000}"/>
    <cellStyle name="Normal 12 5 4 2 2 2 3" xfId="25478" xr:uid="{00000000-0005-0000-0000-000011270000}"/>
    <cellStyle name="Normal 12 5 4 2 2 3" xfId="12762" xr:uid="{00000000-0005-0000-0000-000012270000}"/>
    <cellStyle name="Normal 12 5 4 2 2 3 2" xfId="29702" xr:uid="{00000000-0005-0000-0000-000013270000}"/>
    <cellStyle name="Normal 12 5 4 2 2 4" xfId="21254" xr:uid="{00000000-0005-0000-0000-000014270000}"/>
    <cellStyle name="Normal 12 5 4 2 3" xfId="6426" xr:uid="{00000000-0005-0000-0000-000015270000}"/>
    <cellStyle name="Normal 12 5 4 2 3 2" xfId="14874" xr:uid="{00000000-0005-0000-0000-000016270000}"/>
    <cellStyle name="Normal 12 5 4 2 3 2 2" xfId="31814" xr:uid="{00000000-0005-0000-0000-000017270000}"/>
    <cellStyle name="Normal 12 5 4 2 3 3" xfId="23366" xr:uid="{00000000-0005-0000-0000-000018270000}"/>
    <cellStyle name="Normal 12 5 4 2 4" xfId="10650" xr:uid="{00000000-0005-0000-0000-000019270000}"/>
    <cellStyle name="Normal 12 5 4 2 4 2" xfId="27590" xr:uid="{00000000-0005-0000-0000-00001A270000}"/>
    <cellStyle name="Normal 12 5 4 2 5" xfId="19142" xr:uid="{00000000-0005-0000-0000-00001B270000}"/>
    <cellStyle name="Normal 12 5 4 3" xfId="3256" xr:uid="{00000000-0005-0000-0000-00001C270000}"/>
    <cellStyle name="Normal 12 5 4 3 2" xfId="7482" xr:uid="{00000000-0005-0000-0000-00001D270000}"/>
    <cellStyle name="Normal 12 5 4 3 2 2" xfId="15930" xr:uid="{00000000-0005-0000-0000-00001E270000}"/>
    <cellStyle name="Normal 12 5 4 3 2 2 2" xfId="32870" xr:uid="{00000000-0005-0000-0000-00001F270000}"/>
    <cellStyle name="Normal 12 5 4 3 2 3" xfId="24422" xr:uid="{00000000-0005-0000-0000-000020270000}"/>
    <cellStyle name="Normal 12 5 4 3 3" xfId="11706" xr:uid="{00000000-0005-0000-0000-000021270000}"/>
    <cellStyle name="Normal 12 5 4 3 3 2" xfId="28646" xr:uid="{00000000-0005-0000-0000-000022270000}"/>
    <cellStyle name="Normal 12 5 4 3 4" xfId="20198" xr:uid="{00000000-0005-0000-0000-000023270000}"/>
    <cellStyle name="Normal 12 5 4 4" xfId="5370" xr:uid="{00000000-0005-0000-0000-000024270000}"/>
    <cellStyle name="Normal 12 5 4 4 2" xfId="13818" xr:uid="{00000000-0005-0000-0000-000025270000}"/>
    <cellStyle name="Normal 12 5 4 4 2 2" xfId="30758" xr:uid="{00000000-0005-0000-0000-000026270000}"/>
    <cellStyle name="Normal 12 5 4 4 3" xfId="22310" xr:uid="{00000000-0005-0000-0000-000027270000}"/>
    <cellStyle name="Normal 12 5 4 5" xfId="9594" xr:uid="{00000000-0005-0000-0000-000028270000}"/>
    <cellStyle name="Normal 12 5 4 5 2" xfId="26534" xr:uid="{00000000-0005-0000-0000-000029270000}"/>
    <cellStyle name="Normal 12 5 4 6" xfId="18086" xr:uid="{00000000-0005-0000-0000-00002A270000}"/>
    <cellStyle name="Normal 12 5 5" xfId="1320" xr:uid="{00000000-0005-0000-0000-00002B270000}"/>
    <cellStyle name="Normal 12 5 5 2" xfId="2376" xr:uid="{00000000-0005-0000-0000-00002C270000}"/>
    <cellStyle name="Normal 12 5 5 2 2" xfId="4488" xr:uid="{00000000-0005-0000-0000-00002D270000}"/>
    <cellStyle name="Normal 12 5 5 2 2 2" xfId="8714" xr:uid="{00000000-0005-0000-0000-00002E270000}"/>
    <cellStyle name="Normal 12 5 5 2 2 2 2" xfId="17162" xr:uid="{00000000-0005-0000-0000-00002F270000}"/>
    <cellStyle name="Normal 12 5 5 2 2 2 2 2" xfId="34102" xr:uid="{00000000-0005-0000-0000-000030270000}"/>
    <cellStyle name="Normal 12 5 5 2 2 2 3" xfId="25654" xr:uid="{00000000-0005-0000-0000-000031270000}"/>
    <cellStyle name="Normal 12 5 5 2 2 3" xfId="12938" xr:uid="{00000000-0005-0000-0000-000032270000}"/>
    <cellStyle name="Normal 12 5 5 2 2 3 2" xfId="29878" xr:uid="{00000000-0005-0000-0000-000033270000}"/>
    <cellStyle name="Normal 12 5 5 2 2 4" xfId="21430" xr:uid="{00000000-0005-0000-0000-000034270000}"/>
    <cellStyle name="Normal 12 5 5 2 3" xfId="6602" xr:uid="{00000000-0005-0000-0000-000035270000}"/>
    <cellStyle name="Normal 12 5 5 2 3 2" xfId="15050" xr:uid="{00000000-0005-0000-0000-000036270000}"/>
    <cellStyle name="Normal 12 5 5 2 3 2 2" xfId="31990" xr:uid="{00000000-0005-0000-0000-000037270000}"/>
    <cellStyle name="Normal 12 5 5 2 3 3" xfId="23542" xr:uid="{00000000-0005-0000-0000-000038270000}"/>
    <cellStyle name="Normal 12 5 5 2 4" xfId="10826" xr:uid="{00000000-0005-0000-0000-000039270000}"/>
    <cellStyle name="Normal 12 5 5 2 4 2" xfId="27766" xr:uid="{00000000-0005-0000-0000-00003A270000}"/>
    <cellStyle name="Normal 12 5 5 2 5" xfId="19318" xr:uid="{00000000-0005-0000-0000-00003B270000}"/>
    <cellStyle name="Normal 12 5 5 3" xfId="3432" xr:uid="{00000000-0005-0000-0000-00003C270000}"/>
    <cellStyle name="Normal 12 5 5 3 2" xfId="7658" xr:uid="{00000000-0005-0000-0000-00003D270000}"/>
    <cellStyle name="Normal 12 5 5 3 2 2" xfId="16106" xr:uid="{00000000-0005-0000-0000-00003E270000}"/>
    <cellStyle name="Normal 12 5 5 3 2 2 2" xfId="33046" xr:uid="{00000000-0005-0000-0000-00003F270000}"/>
    <cellStyle name="Normal 12 5 5 3 2 3" xfId="24598" xr:uid="{00000000-0005-0000-0000-000040270000}"/>
    <cellStyle name="Normal 12 5 5 3 3" xfId="11882" xr:uid="{00000000-0005-0000-0000-000041270000}"/>
    <cellStyle name="Normal 12 5 5 3 3 2" xfId="28822" xr:uid="{00000000-0005-0000-0000-000042270000}"/>
    <cellStyle name="Normal 12 5 5 3 4" xfId="20374" xr:uid="{00000000-0005-0000-0000-000043270000}"/>
    <cellStyle name="Normal 12 5 5 4" xfId="5546" xr:uid="{00000000-0005-0000-0000-000044270000}"/>
    <cellStyle name="Normal 12 5 5 4 2" xfId="13994" xr:uid="{00000000-0005-0000-0000-000045270000}"/>
    <cellStyle name="Normal 12 5 5 4 2 2" xfId="30934" xr:uid="{00000000-0005-0000-0000-000046270000}"/>
    <cellStyle name="Normal 12 5 5 4 3" xfId="22486" xr:uid="{00000000-0005-0000-0000-000047270000}"/>
    <cellStyle name="Normal 12 5 5 5" xfId="9770" xr:uid="{00000000-0005-0000-0000-000048270000}"/>
    <cellStyle name="Normal 12 5 5 5 2" xfId="26710" xr:uid="{00000000-0005-0000-0000-000049270000}"/>
    <cellStyle name="Normal 12 5 5 6" xfId="18262" xr:uid="{00000000-0005-0000-0000-00004A270000}"/>
    <cellStyle name="Normal 12 5 6" xfId="1496" xr:uid="{00000000-0005-0000-0000-00004B270000}"/>
    <cellStyle name="Normal 12 5 6 2" xfId="3608" xr:uid="{00000000-0005-0000-0000-00004C270000}"/>
    <cellStyle name="Normal 12 5 6 2 2" xfId="7834" xr:uid="{00000000-0005-0000-0000-00004D270000}"/>
    <cellStyle name="Normal 12 5 6 2 2 2" xfId="16282" xr:uid="{00000000-0005-0000-0000-00004E270000}"/>
    <cellStyle name="Normal 12 5 6 2 2 2 2" xfId="33222" xr:uid="{00000000-0005-0000-0000-00004F270000}"/>
    <cellStyle name="Normal 12 5 6 2 2 3" xfId="24774" xr:uid="{00000000-0005-0000-0000-000050270000}"/>
    <cellStyle name="Normal 12 5 6 2 3" xfId="12058" xr:uid="{00000000-0005-0000-0000-000051270000}"/>
    <cellStyle name="Normal 12 5 6 2 3 2" xfId="28998" xr:uid="{00000000-0005-0000-0000-000052270000}"/>
    <cellStyle name="Normal 12 5 6 2 4" xfId="20550" xr:uid="{00000000-0005-0000-0000-000053270000}"/>
    <cellStyle name="Normal 12 5 6 3" xfId="5722" xr:uid="{00000000-0005-0000-0000-000054270000}"/>
    <cellStyle name="Normal 12 5 6 3 2" xfId="14170" xr:uid="{00000000-0005-0000-0000-000055270000}"/>
    <cellStyle name="Normal 12 5 6 3 2 2" xfId="31110" xr:uid="{00000000-0005-0000-0000-000056270000}"/>
    <cellStyle name="Normal 12 5 6 3 3" xfId="22662" xr:uid="{00000000-0005-0000-0000-000057270000}"/>
    <cellStyle name="Normal 12 5 6 4" xfId="9946" xr:uid="{00000000-0005-0000-0000-000058270000}"/>
    <cellStyle name="Normal 12 5 6 4 2" xfId="26886" xr:uid="{00000000-0005-0000-0000-000059270000}"/>
    <cellStyle name="Normal 12 5 6 5" xfId="18438" xr:uid="{00000000-0005-0000-0000-00005A270000}"/>
    <cellStyle name="Normal 12 5 7" xfId="2552" xr:uid="{00000000-0005-0000-0000-00005B270000}"/>
    <cellStyle name="Normal 12 5 7 2" xfId="6778" xr:uid="{00000000-0005-0000-0000-00005C270000}"/>
    <cellStyle name="Normal 12 5 7 2 2" xfId="15226" xr:uid="{00000000-0005-0000-0000-00005D270000}"/>
    <cellStyle name="Normal 12 5 7 2 2 2" xfId="32166" xr:uid="{00000000-0005-0000-0000-00005E270000}"/>
    <cellStyle name="Normal 12 5 7 2 3" xfId="23718" xr:uid="{00000000-0005-0000-0000-00005F270000}"/>
    <cellStyle name="Normal 12 5 7 3" xfId="11002" xr:uid="{00000000-0005-0000-0000-000060270000}"/>
    <cellStyle name="Normal 12 5 7 3 2" xfId="27942" xr:uid="{00000000-0005-0000-0000-000061270000}"/>
    <cellStyle name="Normal 12 5 7 4" xfId="19494" xr:uid="{00000000-0005-0000-0000-000062270000}"/>
    <cellStyle name="Normal 12 5 8" xfId="4665" xr:uid="{00000000-0005-0000-0000-000063270000}"/>
    <cellStyle name="Normal 12 5 8 2" xfId="13114" xr:uid="{00000000-0005-0000-0000-000064270000}"/>
    <cellStyle name="Normal 12 5 8 2 2" xfId="30054" xr:uid="{00000000-0005-0000-0000-000065270000}"/>
    <cellStyle name="Normal 12 5 8 3" xfId="21606" xr:uid="{00000000-0005-0000-0000-000066270000}"/>
    <cellStyle name="Normal 12 5 9" xfId="8890" xr:uid="{00000000-0005-0000-0000-000067270000}"/>
    <cellStyle name="Normal 12 5 9 2" xfId="25830" xr:uid="{00000000-0005-0000-0000-000068270000}"/>
    <cellStyle name="Normal 12 6" xfId="605" xr:uid="{00000000-0005-0000-0000-000069270000}"/>
    <cellStyle name="Normal 12 6 2" xfId="957" xr:uid="{00000000-0005-0000-0000-00006A270000}"/>
    <cellStyle name="Normal 12 6 2 2" xfId="2019" xr:uid="{00000000-0005-0000-0000-00006B270000}"/>
    <cellStyle name="Normal 12 6 2 2 2" xfId="4131" xr:uid="{00000000-0005-0000-0000-00006C270000}"/>
    <cellStyle name="Normal 12 6 2 2 2 2" xfId="8357" xr:uid="{00000000-0005-0000-0000-00006D270000}"/>
    <cellStyle name="Normal 12 6 2 2 2 2 2" xfId="16805" xr:uid="{00000000-0005-0000-0000-00006E270000}"/>
    <cellStyle name="Normal 12 6 2 2 2 2 2 2" xfId="33745" xr:uid="{00000000-0005-0000-0000-00006F270000}"/>
    <cellStyle name="Normal 12 6 2 2 2 2 3" xfId="25297" xr:uid="{00000000-0005-0000-0000-000070270000}"/>
    <cellStyle name="Normal 12 6 2 2 2 3" xfId="12581" xr:uid="{00000000-0005-0000-0000-000071270000}"/>
    <cellStyle name="Normal 12 6 2 2 2 3 2" xfId="29521" xr:uid="{00000000-0005-0000-0000-000072270000}"/>
    <cellStyle name="Normal 12 6 2 2 2 4" xfId="21073" xr:uid="{00000000-0005-0000-0000-000073270000}"/>
    <cellStyle name="Normal 12 6 2 2 3" xfId="6245" xr:uid="{00000000-0005-0000-0000-000074270000}"/>
    <cellStyle name="Normal 12 6 2 2 3 2" xfId="14693" xr:uid="{00000000-0005-0000-0000-000075270000}"/>
    <cellStyle name="Normal 12 6 2 2 3 2 2" xfId="31633" xr:uid="{00000000-0005-0000-0000-000076270000}"/>
    <cellStyle name="Normal 12 6 2 2 3 3" xfId="23185" xr:uid="{00000000-0005-0000-0000-000077270000}"/>
    <cellStyle name="Normal 12 6 2 2 4" xfId="10469" xr:uid="{00000000-0005-0000-0000-000078270000}"/>
    <cellStyle name="Normal 12 6 2 2 4 2" xfId="27409" xr:uid="{00000000-0005-0000-0000-000079270000}"/>
    <cellStyle name="Normal 12 6 2 2 5" xfId="18961" xr:uid="{00000000-0005-0000-0000-00007A270000}"/>
    <cellStyle name="Normal 12 6 2 3" xfId="3075" xr:uid="{00000000-0005-0000-0000-00007B270000}"/>
    <cellStyle name="Normal 12 6 2 3 2" xfId="7301" xr:uid="{00000000-0005-0000-0000-00007C270000}"/>
    <cellStyle name="Normal 12 6 2 3 2 2" xfId="15749" xr:uid="{00000000-0005-0000-0000-00007D270000}"/>
    <cellStyle name="Normal 12 6 2 3 2 2 2" xfId="32689" xr:uid="{00000000-0005-0000-0000-00007E270000}"/>
    <cellStyle name="Normal 12 6 2 3 2 3" xfId="24241" xr:uid="{00000000-0005-0000-0000-00007F270000}"/>
    <cellStyle name="Normal 12 6 2 3 3" xfId="11525" xr:uid="{00000000-0005-0000-0000-000080270000}"/>
    <cellStyle name="Normal 12 6 2 3 3 2" xfId="28465" xr:uid="{00000000-0005-0000-0000-000081270000}"/>
    <cellStyle name="Normal 12 6 2 3 4" xfId="20017" xr:uid="{00000000-0005-0000-0000-000082270000}"/>
    <cellStyle name="Normal 12 6 2 4" xfId="5189" xr:uid="{00000000-0005-0000-0000-000083270000}"/>
    <cellStyle name="Normal 12 6 2 4 2" xfId="13637" xr:uid="{00000000-0005-0000-0000-000084270000}"/>
    <cellStyle name="Normal 12 6 2 4 2 2" xfId="30577" xr:uid="{00000000-0005-0000-0000-000085270000}"/>
    <cellStyle name="Normal 12 6 2 4 3" xfId="22129" xr:uid="{00000000-0005-0000-0000-000086270000}"/>
    <cellStyle name="Normal 12 6 2 5" xfId="9413" xr:uid="{00000000-0005-0000-0000-000087270000}"/>
    <cellStyle name="Normal 12 6 2 5 2" xfId="26353" xr:uid="{00000000-0005-0000-0000-000088270000}"/>
    <cellStyle name="Normal 12 6 2 6" xfId="17905" xr:uid="{00000000-0005-0000-0000-000089270000}"/>
    <cellStyle name="Normal 12 6 3" xfId="1667" xr:uid="{00000000-0005-0000-0000-00008A270000}"/>
    <cellStyle name="Normal 12 6 3 2" xfId="3779" xr:uid="{00000000-0005-0000-0000-00008B270000}"/>
    <cellStyle name="Normal 12 6 3 2 2" xfId="8005" xr:uid="{00000000-0005-0000-0000-00008C270000}"/>
    <cellStyle name="Normal 12 6 3 2 2 2" xfId="16453" xr:uid="{00000000-0005-0000-0000-00008D270000}"/>
    <cellStyle name="Normal 12 6 3 2 2 2 2" xfId="33393" xr:uid="{00000000-0005-0000-0000-00008E270000}"/>
    <cellStyle name="Normal 12 6 3 2 2 3" xfId="24945" xr:uid="{00000000-0005-0000-0000-00008F270000}"/>
    <cellStyle name="Normal 12 6 3 2 3" xfId="12229" xr:uid="{00000000-0005-0000-0000-000090270000}"/>
    <cellStyle name="Normal 12 6 3 2 3 2" xfId="29169" xr:uid="{00000000-0005-0000-0000-000091270000}"/>
    <cellStyle name="Normal 12 6 3 2 4" xfId="20721" xr:uid="{00000000-0005-0000-0000-000092270000}"/>
    <cellStyle name="Normal 12 6 3 3" xfId="5893" xr:uid="{00000000-0005-0000-0000-000093270000}"/>
    <cellStyle name="Normal 12 6 3 3 2" xfId="14341" xr:uid="{00000000-0005-0000-0000-000094270000}"/>
    <cellStyle name="Normal 12 6 3 3 2 2" xfId="31281" xr:uid="{00000000-0005-0000-0000-000095270000}"/>
    <cellStyle name="Normal 12 6 3 3 3" xfId="22833" xr:uid="{00000000-0005-0000-0000-000096270000}"/>
    <cellStyle name="Normal 12 6 3 4" xfId="10117" xr:uid="{00000000-0005-0000-0000-000097270000}"/>
    <cellStyle name="Normal 12 6 3 4 2" xfId="27057" xr:uid="{00000000-0005-0000-0000-000098270000}"/>
    <cellStyle name="Normal 12 6 3 5" xfId="18609" xr:uid="{00000000-0005-0000-0000-000099270000}"/>
    <cellStyle name="Normal 12 6 4" xfId="2723" xr:uid="{00000000-0005-0000-0000-00009A270000}"/>
    <cellStyle name="Normal 12 6 4 2" xfId="6949" xr:uid="{00000000-0005-0000-0000-00009B270000}"/>
    <cellStyle name="Normal 12 6 4 2 2" xfId="15397" xr:uid="{00000000-0005-0000-0000-00009C270000}"/>
    <cellStyle name="Normal 12 6 4 2 2 2" xfId="32337" xr:uid="{00000000-0005-0000-0000-00009D270000}"/>
    <cellStyle name="Normal 12 6 4 2 3" xfId="23889" xr:uid="{00000000-0005-0000-0000-00009E270000}"/>
    <cellStyle name="Normal 12 6 4 3" xfId="11173" xr:uid="{00000000-0005-0000-0000-00009F270000}"/>
    <cellStyle name="Normal 12 6 4 3 2" xfId="28113" xr:uid="{00000000-0005-0000-0000-0000A0270000}"/>
    <cellStyle name="Normal 12 6 4 4" xfId="19665" xr:uid="{00000000-0005-0000-0000-0000A1270000}"/>
    <cellStyle name="Normal 12 6 5" xfId="4837" xr:uid="{00000000-0005-0000-0000-0000A2270000}"/>
    <cellStyle name="Normal 12 6 5 2" xfId="13285" xr:uid="{00000000-0005-0000-0000-0000A3270000}"/>
    <cellStyle name="Normal 12 6 5 2 2" xfId="30225" xr:uid="{00000000-0005-0000-0000-0000A4270000}"/>
    <cellStyle name="Normal 12 6 5 3" xfId="21777" xr:uid="{00000000-0005-0000-0000-0000A5270000}"/>
    <cellStyle name="Normal 12 6 6" xfId="9061" xr:uid="{00000000-0005-0000-0000-0000A6270000}"/>
    <cellStyle name="Normal 12 6 6 2" xfId="26001" xr:uid="{00000000-0005-0000-0000-0000A7270000}"/>
    <cellStyle name="Normal 12 6 7" xfId="17553" xr:uid="{00000000-0005-0000-0000-0000A8270000}"/>
    <cellStyle name="Normal 12 7" xfId="781" xr:uid="{00000000-0005-0000-0000-0000A9270000}"/>
    <cellStyle name="Normal 12 7 2" xfId="1843" xr:uid="{00000000-0005-0000-0000-0000AA270000}"/>
    <cellStyle name="Normal 12 7 2 2" xfId="3955" xr:uid="{00000000-0005-0000-0000-0000AB270000}"/>
    <cellStyle name="Normal 12 7 2 2 2" xfId="8181" xr:uid="{00000000-0005-0000-0000-0000AC270000}"/>
    <cellStyle name="Normal 12 7 2 2 2 2" xfId="16629" xr:uid="{00000000-0005-0000-0000-0000AD270000}"/>
    <cellStyle name="Normal 12 7 2 2 2 2 2" xfId="33569" xr:uid="{00000000-0005-0000-0000-0000AE270000}"/>
    <cellStyle name="Normal 12 7 2 2 2 3" xfId="25121" xr:uid="{00000000-0005-0000-0000-0000AF270000}"/>
    <cellStyle name="Normal 12 7 2 2 3" xfId="12405" xr:uid="{00000000-0005-0000-0000-0000B0270000}"/>
    <cellStyle name="Normal 12 7 2 2 3 2" xfId="29345" xr:uid="{00000000-0005-0000-0000-0000B1270000}"/>
    <cellStyle name="Normal 12 7 2 2 4" xfId="20897" xr:uid="{00000000-0005-0000-0000-0000B2270000}"/>
    <cellStyle name="Normal 12 7 2 3" xfId="6069" xr:uid="{00000000-0005-0000-0000-0000B3270000}"/>
    <cellStyle name="Normal 12 7 2 3 2" xfId="14517" xr:uid="{00000000-0005-0000-0000-0000B4270000}"/>
    <cellStyle name="Normal 12 7 2 3 2 2" xfId="31457" xr:uid="{00000000-0005-0000-0000-0000B5270000}"/>
    <cellStyle name="Normal 12 7 2 3 3" xfId="23009" xr:uid="{00000000-0005-0000-0000-0000B6270000}"/>
    <cellStyle name="Normal 12 7 2 4" xfId="10293" xr:uid="{00000000-0005-0000-0000-0000B7270000}"/>
    <cellStyle name="Normal 12 7 2 4 2" xfId="27233" xr:uid="{00000000-0005-0000-0000-0000B8270000}"/>
    <cellStyle name="Normal 12 7 2 5" xfId="18785" xr:uid="{00000000-0005-0000-0000-0000B9270000}"/>
    <cellStyle name="Normal 12 7 3" xfId="2899" xr:uid="{00000000-0005-0000-0000-0000BA270000}"/>
    <cellStyle name="Normal 12 7 3 2" xfId="7125" xr:uid="{00000000-0005-0000-0000-0000BB270000}"/>
    <cellStyle name="Normal 12 7 3 2 2" xfId="15573" xr:uid="{00000000-0005-0000-0000-0000BC270000}"/>
    <cellStyle name="Normal 12 7 3 2 2 2" xfId="32513" xr:uid="{00000000-0005-0000-0000-0000BD270000}"/>
    <cellStyle name="Normal 12 7 3 2 3" xfId="24065" xr:uid="{00000000-0005-0000-0000-0000BE270000}"/>
    <cellStyle name="Normal 12 7 3 3" xfId="11349" xr:uid="{00000000-0005-0000-0000-0000BF270000}"/>
    <cellStyle name="Normal 12 7 3 3 2" xfId="28289" xr:uid="{00000000-0005-0000-0000-0000C0270000}"/>
    <cellStyle name="Normal 12 7 3 4" xfId="19841" xr:uid="{00000000-0005-0000-0000-0000C1270000}"/>
    <cellStyle name="Normal 12 7 4" xfId="5013" xr:uid="{00000000-0005-0000-0000-0000C2270000}"/>
    <cellStyle name="Normal 12 7 4 2" xfId="13461" xr:uid="{00000000-0005-0000-0000-0000C3270000}"/>
    <cellStyle name="Normal 12 7 4 2 2" xfId="30401" xr:uid="{00000000-0005-0000-0000-0000C4270000}"/>
    <cellStyle name="Normal 12 7 4 3" xfId="21953" xr:uid="{00000000-0005-0000-0000-0000C5270000}"/>
    <cellStyle name="Normal 12 7 5" xfId="9237" xr:uid="{00000000-0005-0000-0000-0000C6270000}"/>
    <cellStyle name="Normal 12 7 5 2" xfId="26177" xr:uid="{00000000-0005-0000-0000-0000C7270000}"/>
    <cellStyle name="Normal 12 7 6" xfId="17729" xr:uid="{00000000-0005-0000-0000-0000C8270000}"/>
    <cellStyle name="Normal 12 8" xfId="1133" xr:uid="{00000000-0005-0000-0000-0000C9270000}"/>
    <cellStyle name="Normal 12 8 2" xfId="2195" xr:uid="{00000000-0005-0000-0000-0000CA270000}"/>
    <cellStyle name="Normal 12 8 2 2" xfId="4307" xr:uid="{00000000-0005-0000-0000-0000CB270000}"/>
    <cellStyle name="Normal 12 8 2 2 2" xfId="8533" xr:uid="{00000000-0005-0000-0000-0000CC270000}"/>
    <cellStyle name="Normal 12 8 2 2 2 2" xfId="16981" xr:uid="{00000000-0005-0000-0000-0000CD270000}"/>
    <cellStyle name="Normal 12 8 2 2 2 2 2" xfId="33921" xr:uid="{00000000-0005-0000-0000-0000CE270000}"/>
    <cellStyle name="Normal 12 8 2 2 2 3" xfId="25473" xr:uid="{00000000-0005-0000-0000-0000CF270000}"/>
    <cellStyle name="Normal 12 8 2 2 3" xfId="12757" xr:uid="{00000000-0005-0000-0000-0000D0270000}"/>
    <cellStyle name="Normal 12 8 2 2 3 2" xfId="29697" xr:uid="{00000000-0005-0000-0000-0000D1270000}"/>
    <cellStyle name="Normal 12 8 2 2 4" xfId="21249" xr:uid="{00000000-0005-0000-0000-0000D2270000}"/>
    <cellStyle name="Normal 12 8 2 3" xfId="6421" xr:uid="{00000000-0005-0000-0000-0000D3270000}"/>
    <cellStyle name="Normal 12 8 2 3 2" xfId="14869" xr:uid="{00000000-0005-0000-0000-0000D4270000}"/>
    <cellStyle name="Normal 12 8 2 3 2 2" xfId="31809" xr:uid="{00000000-0005-0000-0000-0000D5270000}"/>
    <cellStyle name="Normal 12 8 2 3 3" xfId="23361" xr:uid="{00000000-0005-0000-0000-0000D6270000}"/>
    <cellStyle name="Normal 12 8 2 4" xfId="10645" xr:uid="{00000000-0005-0000-0000-0000D7270000}"/>
    <cellStyle name="Normal 12 8 2 4 2" xfId="27585" xr:uid="{00000000-0005-0000-0000-0000D8270000}"/>
    <cellStyle name="Normal 12 8 2 5" xfId="19137" xr:uid="{00000000-0005-0000-0000-0000D9270000}"/>
    <cellStyle name="Normal 12 8 3" xfId="3251" xr:uid="{00000000-0005-0000-0000-0000DA270000}"/>
    <cellStyle name="Normal 12 8 3 2" xfId="7477" xr:uid="{00000000-0005-0000-0000-0000DB270000}"/>
    <cellStyle name="Normal 12 8 3 2 2" xfId="15925" xr:uid="{00000000-0005-0000-0000-0000DC270000}"/>
    <cellStyle name="Normal 12 8 3 2 2 2" xfId="32865" xr:uid="{00000000-0005-0000-0000-0000DD270000}"/>
    <cellStyle name="Normal 12 8 3 2 3" xfId="24417" xr:uid="{00000000-0005-0000-0000-0000DE270000}"/>
    <cellStyle name="Normal 12 8 3 3" xfId="11701" xr:uid="{00000000-0005-0000-0000-0000DF270000}"/>
    <cellStyle name="Normal 12 8 3 3 2" xfId="28641" xr:uid="{00000000-0005-0000-0000-0000E0270000}"/>
    <cellStyle name="Normal 12 8 3 4" xfId="20193" xr:uid="{00000000-0005-0000-0000-0000E1270000}"/>
    <cellStyle name="Normal 12 8 4" xfId="5365" xr:uid="{00000000-0005-0000-0000-0000E2270000}"/>
    <cellStyle name="Normal 12 8 4 2" xfId="13813" xr:uid="{00000000-0005-0000-0000-0000E3270000}"/>
    <cellStyle name="Normal 12 8 4 2 2" xfId="30753" xr:uid="{00000000-0005-0000-0000-0000E4270000}"/>
    <cellStyle name="Normal 12 8 4 3" xfId="22305" xr:uid="{00000000-0005-0000-0000-0000E5270000}"/>
    <cellStyle name="Normal 12 8 5" xfId="9589" xr:uid="{00000000-0005-0000-0000-0000E6270000}"/>
    <cellStyle name="Normal 12 8 5 2" xfId="26529" xr:uid="{00000000-0005-0000-0000-0000E7270000}"/>
    <cellStyle name="Normal 12 8 6" xfId="18081" xr:uid="{00000000-0005-0000-0000-0000E8270000}"/>
    <cellStyle name="Normal 12 9" xfId="1315" xr:uid="{00000000-0005-0000-0000-0000E9270000}"/>
    <cellStyle name="Normal 12 9 2" xfId="2371" xr:uid="{00000000-0005-0000-0000-0000EA270000}"/>
    <cellStyle name="Normal 12 9 2 2" xfId="4483" xr:uid="{00000000-0005-0000-0000-0000EB270000}"/>
    <cellStyle name="Normal 12 9 2 2 2" xfId="8709" xr:uid="{00000000-0005-0000-0000-0000EC270000}"/>
    <cellStyle name="Normal 12 9 2 2 2 2" xfId="17157" xr:uid="{00000000-0005-0000-0000-0000ED270000}"/>
    <cellStyle name="Normal 12 9 2 2 2 2 2" xfId="34097" xr:uid="{00000000-0005-0000-0000-0000EE270000}"/>
    <cellStyle name="Normal 12 9 2 2 2 3" xfId="25649" xr:uid="{00000000-0005-0000-0000-0000EF270000}"/>
    <cellStyle name="Normal 12 9 2 2 3" xfId="12933" xr:uid="{00000000-0005-0000-0000-0000F0270000}"/>
    <cellStyle name="Normal 12 9 2 2 3 2" xfId="29873" xr:uid="{00000000-0005-0000-0000-0000F1270000}"/>
    <cellStyle name="Normal 12 9 2 2 4" xfId="21425" xr:uid="{00000000-0005-0000-0000-0000F2270000}"/>
    <cellStyle name="Normal 12 9 2 3" xfId="6597" xr:uid="{00000000-0005-0000-0000-0000F3270000}"/>
    <cellStyle name="Normal 12 9 2 3 2" xfId="15045" xr:uid="{00000000-0005-0000-0000-0000F4270000}"/>
    <cellStyle name="Normal 12 9 2 3 2 2" xfId="31985" xr:uid="{00000000-0005-0000-0000-0000F5270000}"/>
    <cellStyle name="Normal 12 9 2 3 3" xfId="23537" xr:uid="{00000000-0005-0000-0000-0000F6270000}"/>
    <cellStyle name="Normal 12 9 2 4" xfId="10821" xr:uid="{00000000-0005-0000-0000-0000F7270000}"/>
    <cellStyle name="Normal 12 9 2 4 2" xfId="27761" xr:uid="{00000000-0005-0000-0000-0000F8270000}"/>
    <cellStyle name="Normal 12 9 2 5" xfId="19313" xr:uid="{00000000-0005-0000-0000-0000F9270000}"/>
    <cellStyle name="Normal 12 9 3" xfId="3427" xr:uid="{00000000-0005-0000-0000-0000FA270000}"/>
    <cellStyle name="Normal 12 9 3 2" xfId="7653" xr:uid="{00000000-0005-0000-0000-0000FB270000}"/>
    <cellStyle name="Normal 12 9 3 2 2" xfId="16101" xr:uid="{00000000-0005-0000-0000-0000FC270000}"/>
    <cellStyle name="Normal 12 9 3 2 2 2" xfId="33041" xr:uid="{00000000-0005-0000-0000-0000FD270000}"/>
    <cellStyle name="Normal 12 9 3 2 3" xfId="24593" xr:uid="{00000000-0005-0000-0000-0000FE270000}"/>
    <cellStyle name="Normal 12 9 3 3" xfId="11877" xr:uid="{00000000-0005-0000-0000-0000FF270000}"/>
    <cellStyle name="Normal 12 9 3 3 2" xfId="28817" xr:uid="{00000000-0005-0000-0000-000000280000}"/>
    <cellStyle name="Normal 12 9 3 4" xfId="20369" xr:uid="{00000000-0005-0000-0000-000001280000}"/>
    <cellStyle name="Normal 12 9 4" xfId="5541" xr:uid="{00000000-0005-0000-0000-000002280000}"/>
    <cellStyle name="Normal 12 9 4 2" xfId="13989" xr:uid="{00000000-0005-0000-0000-000003280000}"/>
    <cellStyle name="Normal 12 9 4 2 2" xfId="30929" xr:uid="{00000000-0005-0000-0000-000004280000}"/>
    <cellStyle name="Normal 12 9 4 3" xfId="22481" xr:uid="{00000000-0005-0000-0000-000005280000}"/>
    <cellStyle name="Normal 12 9 5" xfId="9765" xr:uid="{00000000-0005-0000-0000-000006280000}"/>
    <cellStyle name="Normal 12 9 5 2" xfId="26705" xr:uid="{00000000-0005-0000-0000-000007280000}"/>
    <cellStyle name="Normal 12 9 6" xfId="18257" xr:uid="{00000000-0005-0000-0000-000008280000}"/>
    <cellStyle name="Normal 13" xfId="270" xr:uid="{00000000-0005-0000-0000-000009280000}"/>
    <cellStyle name="Normal 13 10" xfId="1497" xr:uid="{00000000-0005-0000-0000-00000A280000}"/>
    <cellStyle name="Normal 13 10 2" xfId="3609" xr:uid="{00000000-0005-0000-0000-00000B280000}"/>
    <cellStyle name="Normal 13 10 2 2" xfId="7835" xr:uid="{00000000-0005-0000-0000-00000C280000}"/>
    <cellStyle name="Normal 13 10 2 2 2" xfId="16283" xr:uid="{00000000-0005-0000-0000-00000D280000}"/>
    <cellStyle name="Normal 13 10 2 2 2 2" xfId="33223" xr:uid="{00000000-0005-0000-0000-00000E280000}"/>
    <cellStyle name="Normal 13 10 2 2 3" xfId="24775" xr:uid="{00000000-0005-0000-0000-00000F280000}"/>
    <cellStyle name="Normal 13 10 2 3" xfId="12059" xr:uid="{00000000-0005-0000-0000-000010280000}"/>
    <cellStyle name="Normal 13 10 2 3 2" xfId="28999" xr:uid="{00000000-0005-0000-0000-000011280000}"/>
    <cellStyle name="Normal 13 10 2 4" xfId="20551" xr:uid="{00000000-0005-0000-0000-000012280000}"/>
    <cellStyle name="Normal 13 10 3" xfId="5723" xr:uid="{00000000-0005-0000-0000-000013280000}"/>
    <cellStyle name="Normal 13 10 3 2" xfId="14171" xr:uid="{00000000-0005-0000-0000-000014280000}"/>
    <cellStyle name="Normal 13 10 3 2 2" xfId="31111" xr:uid="{00000000-0005-0000-0000-000015280000}"/>
    <cellStyle name="Normal 13 10 3 3" xfId="22663" xr:uid="{00000000-0005-0000-0000-000016280000}"/>
    <cellStyle name="Normal 13 10 4" xfId="9947" xr:uid="{00000000-0005-0000-0000-000017280000}"/>
    <cellStyle name="Normal 13 10 4 2" xfId="26887" xr:uid="{00000000-0005-0000-0000-000018280000}"/>
    <cellStyle name="Normal 13 10 5" xfId="18439" xr:uid="{00000000-0005-0000-0000-000019280000}"/>
    <cellStyle name="Normal 13 11" xfId="2553" xr:uid="{00000000-0005-0000-0000-00001A280000}"/>
    <cellStyle name="Normal 13 11 2" xfId="6779" xr:uid="{00000000-0005-0000-0000-00001B280000}"/>
    <cellStyle name="Normal 13 11 2 2" xfId="15227" xr:uid="{00000000-0005-0000-0000-00001C280000}"/>
    <cellStyle name="Normal 13 11 2 2 2" xfId="32167" xr:uid="{00000000-0005-0000-0000-00001D280000}"/>
    <cellStyle name="Normal 13 11 2 3" xfId="23719" xr:uid="{00000000-0005-0000-0000-00001E280000}"/>
    <cellStyle name="Normal 13 11 3" xfId="11003" xr:uid="{00000000-0005-0000-0000-00001F280000}"/>
    <cellStyle name="Normal 13 11 3 2" xfId="27943" xr:uid="{00000000-0005-0000-0000-000020280000}"/>
    <cellStyle name="Normal 13 11 4" xfId="19495" xr:uid="{00000000-0005-0000-0000-000021280000}"/>
    <cellStyle name="Normal 13 12" xfId="4666" xr:uid="{00000000-0005-0000-0000-000022280000}"/>
    <cellStyle name="Normal 13 12 2" xfId="13115" xr:uid="{00000000-0005-0000-0000-000023280000}"/>
    <cellStyle name="Normal 13 12 2 2" xfId="30055" xr:uid="{00000000-0005-0000-0000-000024280000}"/>
    <cellStyle name="Normal 13 12 3" xfId="21607" xr:uid="{00000000-0005-0000-0000-000025280000}"/>
    <cellStyle name="Normal 13 13" xfId="8891" xr:uid="{00000000-0005-0000-0000-000026280000}"/>
    <cellStyle name="Normal 13 13 2" xfId="25831" xr:uid="{00000000-0005-0000-0000-000027280000}"/>
    <cellStyle name="Normal 13 14" xfId="17383" xr:uid="{00000000-0005-0000-0000-000028280000}"/>
    <cellStyle name="Normal 13 2" xfId="271" xr:uid="{00000000-0005-0000-0000-000029280000}"/>
    <cellStyle name="Normal 13 2 10" xfId="4667" xr:uid="{00000000-0005-0000-0000-00002A280000}"/>
    <cellStyle name="Normal 13 2 10 2" xfId="13116" xr:uid="{00000000-0005-0000-0000-00002B280000}"/>
    <cellStyle name="Normal 13 2 10 2 2" xfId="30056" xr:uid="{00000000-0005-0000-0000-00002C280000}"/>
    <cellStyle name="Normal 13 2 10 3" xfId="21608" xr:uid="{00000000-0005-0000-0000-00002D280000}"/>
    <cellStyle name="Normal 13 2 11" xfId="8892" xr:uid="{00000000-0005-0000-0000-00002E280000}"/>
    <cellStyle name="Normal 13 2 11 2" xfId="25832" xr:uid="{00000000-0005-0000-0000-00002F280000}"/>
    <cellStyle name="Normal 13 2 12" xfId="17384" xr:uid="{00000000-0005-0000-0000-000030280000}"/>
    <cellStyle name="Normal 13 2 2" xfId="272" xr:uid="{00000000-0005-0000-0000-000031280000}"/>
    <cellStyle name="Normal 13 2 2 10" xfId="17385" xr:uid="{00000000-0005-0000-0000-000032280000}"/>
    <cellStyle name="Normal 13 2 2 2" xfId="613" xr:uid="{00000000-0005-0000-0000-000033280000}"/>
    <cellStyle name="Normal 13 2 2 2 2" xfId="965" xr:uid="{00000000-0005-0000-0000-000034280000}"/>
    <cellStyle name="Normal 13 2 2 2 2 2" xfId="2027" xr:uid="{00000000-0005-0000-0000-000035280000}"/>
    <cellStyle name="Normal 13 2 2 2 2 2 2" xfId="4139" xr:uid="{00000000-0005-0000-0000-000036280000}"/>
    <cellStyle name="Normal 13 2 2 2 2 2 2 2" xfId="8365" xr:uid="{00000000-0005-0000-0000-000037280000}"/>
    <cellStyle name="Normal 13 2 2 2 2 2 2 2 2" xfId="16813" xr:uid="{00000000-0005-0000-0000-000038280000}"/>
    <cellStyle name="Normal 13 2 2 2 2 2 2 2 2 2" xfId="33753" xr:uid="{00000000-0005-0000-0000-000039280000}"/>
    <cellStyle name="Normal 13 2 2 2 2 2 2 2 3" xfId="25305" xr:uid="{00000000-0005-0000-0000-00003A280000}"/>
    <cellStyle name="Normal 13 2 2 2 2 2 2 3" xfId="12589" xr:uid="{00000000-0005-0000-0000-00003B280000}"/>
    <cellStyle name="Normal 13 2 2 2 2 2 2 3 2" xfId="29529" xr:uid="{00000000-0005-0000-0000-00003C280000}"/>
    <cellStyle name="Normal 13 2 2 2 2 2 2 4" xfId="21081" xr:uid="{00000000-0005-0000-0000-00003D280000}"/>
    <cellStyle name="Normal 13 2 2 2 2 2 3" xfId="6253" xr:uid="{00000000-0005-0000-0000-00003E280000}"/>
    <cellStyle name="Normal 13 2 2 2 2 2 3 2" xfId="14701" xr:uid="{00000000-0005-0000-0000-00003F280000}"/>
    <cellStyle name="Normal 13 2 2 2 2 2 3 2 2" xfId="31641" xr:uid="{00000000-0005-0000-0000-000040280000}"/>
    <cellStyle name="Normal 13 2 2 2 2 2 3 3" xfId="23193" xr:uid="{00000000-0005-0000-0000-000041280000}"/>
    <cellStyle name="Normal 13 2 2 2 2 2 4" xfId="10477" xr:uid="{00000000-0005-0000-0000-000042280000}"/>
    <cellStyle name="Normal 13 2 2 2 2 2 4 2" xfId="27417" xr:uid="{00000000-0005-0000-0000-000043280000}"/>
    <cellStyle name="Normal 13 2 2 2 2 2 5" xfId="18969" xr:uid="{00000000-0005-0000-0000-000044280000}"/>
    <cellStyle name="Normal 13 2 2 2 2 3" xfId="3083" xr:uid="{00000000-0005-0000-0000-000045280000}"/>
    <cellStyle name="Normal 13 2 2 2 2 3 2" xfId="7309" xr:uid="{00000000-0005-0000-0000-000046280000}"/>
    <cellStyle name="Normal 13 2 2 2 2 3 2 2" xfId="15757" xr:uid="{00000000-0005-0000-0000-000047280000}"/>
    <cellStyle name="Normal 13 2 2 2 2 3 2 2 2" xfId="32697" xr:uid="{00000000-0005-0000-0000-000048280000}"/>
    <cellStyle name="Normal 13 2 2 2 2 3 2 3" xfId="24249" xr:uid="{00000000-0005-0000-0000-000049280000}"/>
    <cellStyle name="Normal 13 2 2 2 2 3 3" xfId="11533" xr:uid="{00000000-0005-0000-0000-00004A280000}"/>
    <cellStyle name="Normal 13 2 2 2 2 3 3 2" xfId="28473" xr:uid="{00000000-0005-0000-0000-00004B280000}"/>
    <cellStyle name="Normal 13 2 2 2 2 3 4" xfId="20025" xr:uid="{00000000-0005-0000-0000-00004C280000}"/>
    <cellStyle name="Normal 13 2 2 2 2 4" xfId="5197" xr:uid="{00000000-0005-0000-0000-00004D280000}"/>
    <cellStyle name="Normal 13 2 2 2 2 4 2" xfId="13645" xr:uid="{00000000-0005-0000-0000-00004E280000}"/>
    <cellStyle name="Normal 13 2 2 2 2 4 2 2" xfId="30585" xr:uid="{00000000-0005-0000-0000-00004F280000}"/>
    <cellStyle name="Normal 13 2 2 2 2 4 3" xfId="22137" xr:uid="{00000000-0005-0000-0000-000050280000}"/>
    <cellStyle name="Normal 13 2 2 2 2 5" xfId="9421" xr:uid="{00000000-0005-0000-0000-000051280000}"/>
    <cellStyle name="Normal 13 2 2 2 2 5 2" xfId="26361" xr:uid="{00000000-0005-0000-0000-000052280000}"/>
    <cellStyle name="Normal 13 2 2 2 2 6" xfId="17913" xr:uid="{00000000-0005-0000-0000-000053280000}"/>
    <cellStyle name="Normal 13 2 2 2 3" xfId="1675" xr:uid="{00000000-0005-0000-0000-000054280000}"/>
    <cellStyle name="Normal 13 2 2 2 3 2" xfId="3787" xr:uid="{00000000-0005-0000-0000-000055280000}"/>
    <cellStyle name="Normal 13 2 2 2 3 2 2" xfId="8013" xr:uid="{00000000-0005-0000-0000-000056280000}"/>
    <cellStyle name="Normal 13 2 2 2 3 2 2 2" xfId="16461" xr:uid="{00000000-0005-0000-0000-000057280000}"/>
    <cellStyle name="Normal 13 2 2 2 3 2 2 2 2" xfId="33401" xr:uid="{00000000-0005-0000-0000-000058280000}"/>
    <cellStyle name="Normal 13 2 2 2 3 2 2 3" xfId="24953" xr:uid="{00000000-0005-0000-0000-000059280000}"/>
    <cellStyle name="Normal 13 2 2 2 3 2 3" xfId="12237" xr:uid="{00000000-0005-0000-0000-00005A280000}"/>
    <cellStyle name="Normal 13 2 2 2 3 2 3 2" xfId="29177" xr:uid="{00000000-0005-0000-0000-00005B280000}"/>
    <cellStyle name="Normal 13 2 2 2 3 2 4" xfId="20729" xr:uid="{00000000-0005-0000-0000-00005C280000}"/>
    <cellStyle name="Normal 13 2 2 2 3 3" xfId="5901" xr:uid="{00000000-0005-0000-0000-00005D280000}"/>
    <cellStyle name="Normal 13 2 2 2 3 3 2" xfId="14349" xr:uid="{00000000-0005-0000-0000-00005E280000}"/>
    <cellStyle name="Normal 13 2 2 2 3 3 2 2" xfId="31289" xr:uid="{00000000-0005-0000-0000-00005F280000}"/>
    <cellStyle name="Normal 13 2 2 2 3 3 3" xfId="22841" xr:uid="{00000000-0005-0000-0000-000060280000}"/>
    <cellStyle name="Normal 13 2 2 2 3 4" xfId="10125" xr:uid="{00000000-0005-0000-0000-000061280000}"/>
    <cellStyle name="Normal 13 2 2 2 3 4 2" xfId="27065" xr:uid="{00000000-0005-0000-0000-000062280000}"/>
    <cellStyle name="Normal 13 2 2 2 3 5" xfId="18617" xr:uid="{00000000-0005-0000-0000-000063280000}"/>
    <cellStyle name="Normal 13 2 2 2 4" xfId="2731" xr:uid="{00000000-0005-0000-0000-000064280000}"/>
    <cellStyle name="Normal 13 2 2 2 4 2" xfId="6957" xr:uid="{00000000-0005-0000-0000-000065280000}"/>
    <cellStyle name="Normal 13 2 2 2 4 2 2" xfId="15405" xr:uid="{00000000-0005-0000-0000-000066280000}"/>
    <cellStyle name="Normal 13 2 2 2 4 2 2 2" xfId="32345" xr:uid="{00000000-0005-0000-0000-000067280000}"/>
    <cellStyle name="Normal 13 2 2 2 4 2 3" xfId="23897" xr:uid="{00000000-0005-0000-0000-000068280000}"/>
    <cellStyle name="Normal 13 2 2 2 4 3" xfId="11181" xr:uid="{00000000-0005-0000-0000-000069280000}"/>
    <cellStyle name="Normal 13 2 2 2 4 3 2" xfId="28121" xr:uid="{00000000-0005-0000-0000-00006A280000}"/>
    <cellStyle name="Normal 13 2 2 2 4 4" xfId="19673" xr:uid="{00000000-0005-0000-0000-00006B280000}"/>
    <cellStyle name="Normal 13 2 2 2 5" xfId="4845" xr:uid="{00000000-0005-0000-0000-00006C280000}"/>
    <cellStyle name="Normal 13 2 2 2 5 2" xfId="13293" xr:uid="{00000000-0005-0000-0000-00006D280000}"/>
    <cellStyle name="Normal 13 2 2 2 5 2 2" xfId="30233" xr:uid="{00000000-0005-0000-0000-00006E280000}"/>
    <cellStyle name="Normal 13 2 2 2 5 3" xfId="21785" xr:uid="{00000000-0005-0000-0000-00006F280000}"/>
    <cellStyle name="Normal 13 2 2 2 6" xfId="9069" xr:uid="{00000000-0005-0000-0000-000070280000}"/>
    <cellStyle name="Normal 13 2 2 2 6 2" xfId="26009" xr:uid="{00000000-0005-0000-0000-000071280000}"/>
    <cellStyle name="Normal 13 2 2 2 7" xfId="17561" xr:uid="{00000000-0005-0000-0000-000072280000}"/>
    <cellStyle name="Normal 13 2 2 3" xfId="789" xr:uid="{00000000-0005-0000-0000-000073280000}"/>
    <cellStyle name="Normal 13 2 2 3 2" xfId="1851" xr:uid="{00000000-0005-0000-0000-000074280000}"/>
    <cellStyle name="Normal 13 2 2 3 2 2" xfId="3963" xr:uid="{00000000-0005-0000-0000-000075280000}"/>
    <cellStyle name="Normal 13 2 2 3 2 2 2" xfId="8189" xr:uid="{00000000-0005-0000-0000-000076280000}"/>
    <cellStyle name="Normal 13 2 2 3 2 2 2 2" xfId="16637" xr:uid="{00000000-0005-0000-0000-000077280000}"/>
    <cellStyle name="Normal 13 2 2 3 2 2 2 2 2" xfId="33577" xr:uid="{00000000-0005-0000-0000-000078280000}"/>
    <cellStyle name="Normal 13 2 2 3 2 2 2 3" xfId="25129" xr:uid="{00000000-0005-0000-0000-000079280000}"/>
    <cellStyle name="Normal 13 2 2 3 2 2 3" xfId="12413" xr:uid="{00000000-0005-0000-0000-00007A280000}"/>
    <cellStyle name="Normal 13 2 2 3 2 2 3 2" xfId="29353" xr:uid="{00000000-0005-0000-0000-00007B280000}"/>
    <cellStyle name="Normal 13 2 2 3 2 2 4" xfId="20905" xr:uid="{00000000-0005-0000-0000-00007C280000}"/>
    <cellStyle name="Normal 13 2 2 3 2 3" xfId="6077" xr:uid="{00000000-0005-0000-0000-00007D280000}"/>
    <cellStyle name="Normal 13 2 2 3 2 3 2" xfId="14525" xr:uid="{00000000-0005-0000-0000-00007E280000}"/>
    <cellStyle name="Normal 13 2 2 3 2 3 2 2" xfId="31465" xr:uid="{00000000-0005-0000-0000-00007F280000}"/>
    <cellStyle name="Normal 13 2 2 3 2 3 3" xfId="23017" xr:uid="{00000000-0005-0000-0000-000080280000}"/>
    <cellStyle name="Normal 13 2 2 3 2 4" xfId="10301" xr:uid="{00000000-0005-0000-0000-000081280000}"/>
    <cellStyle name="Normal 13 2 2 3 2 4 2" xfId="27241" xr:uid="{00000000-0005-0000-0000-000082280000}"/>
    <cellStyle name="Normal 13 2 2 3 2 5" xfId="18793" xr:uid="{00000000-0005-0000-0000-000083280000}"/>
    <cellStyle name="Normal 13 2 2 3 3" xfId="2907" xr:uid="{00000000-0005-0000-0000-000084280000}"/>
    <cellStyle name="Normal 13 2 2 3 3 2" xfId="7133" xr:uid="{00000000-0005-0000-0000-000085280000}"/>
    <cellStyle name="Normal 13 2 2 3 3 2 2" xfId="15581" xr:uid="{00000000-0005-0000-0000-000086280000}"/>
    <cellStyle name="Normal 13 2 2 3 3 2 2 2" xfId="32521" xr:uid="{00000000-0005-0000-0000-000087280000}"/>
    <cellStyle name="Normal 13 2 2 3 3 2 3" xfId="24073" xr:uid="{00000000-0005-0000-0000-000088280000}"/>
    <cellStyle name="Normal 13 2 2 3 3 3" xfId="11357" xr:uid="{00000000-0005-0000-0000-000089280000}"/>
    <cellStyle name="Normal 13 2 2 3 3 3 2" xfId="28297" xr:uid="{00000000-0005-0000-0000-00008A280000}"/>
    <cellStyle name="Normal 13 2 2 3 3 4" xfId="19849" xr:uid="{00000000-0005-0000-0000-00008B280000}"/>
    <cellStyle name="Normal 13 2 2 3 4" xfId="5021" xr:uid="{00000000-0005-0000-0000-00008C280000}"/>
    <cellStyle name="Normal 13 2 2 3 4 2" xfId="13469" xr:uid="{00000000-0005-0000-0000-00008D280000}"/>
    <cellStyle name="Normal 13 2 2 3 4 2 2" xfId="30409" xr:uid="{00000000-0005-0000-0000-00008E280000}"/>
    <cellStyle name="Normal 13 2 2 3 4 3" xfId="21961" xr:uid="{00000000-0005-0000-0000-00008F280000}"/>
    <cellStyle name="Normal 13 2 2 3 5" xfId="9245" xr:uid="{00000000-0005-0000-0000-000090280000}"/>
    <cellStyle name="Normal 13 2 2 3 5 2" xfId="26185" xr:uid="{00000000-0005-0000-0000-000091280000}"/>
    <cellStyle name="Normal 13 2 2 3 6" xfId="17737" xr:uid="{00000000-0005-0000-0000-000092280000}"/>
    <cellStyle name="Normal 13 2 2 4" xfId="1141" xr:uid="{00000000-0005-0000-0000-000093280000}"/>
    <cellStyle name="Normal 13 2 2 4 2" xfId="2203" xr:uid="{00000000-0005-0000-0000-000094280000}"/>
    <cellStyle name="Normal 13 2 2 4 2 2" xfId="4315" xr:uid="{00000000-0005-0000-0000-000095280000}"/>
    <cellStyle name="Normal 13 2 2 4 2 2 2" xfId="8541" xr:uid="{00000000-0005-0000-0000-000096280000}"/>
    <cellStyle name="Normal 13 2 2 4 2 2 2 2" xfId="16989" xr:uid="{00000000-0005-0000-0000-000097280000}"/>
    <cellStyle name="Normal 13 2 2 4 2 2 2 2 2" xfId="33929" xr:uid="{00000000-0005-0000-0000-000098280000}"/>
    <cellStyle name="Normal 13 2 2 4 2 2 2 3" xfId="25481" xr:uid="{00000000-0005-0000-0000-000099280000}"/>
    <cellStyle name="Normal 13 2 2 4 2 2 3" xfId="12765" xr:uid="{00000000-0005-0000-0000-00009A280000}"/>
    <cellStyle name="Normal 13 2 2 4 2 2 3 2" xfId="29705" xr:uid="{00000000-0005-0000-0000-00009B280000}"/>
    <cellStyle name="Normal 13 2 2 4 2 2 4" xfId="21257" xr:uid="{00000000-0005-0000-0000-00009C280000}"/>
    <cellStyle name="Normal 13 2 2 4 2 3" xfId="6429" xr:uid="{00000000-0005-0000-0000-00009D280000}"/>
    <cellStyle name="Normal 13 2 2 4 2 3 2" xfId="14877" xr:uid="{00000000-0005-0000-0000-00009E280000}"/>
    <cellStyle name="Normal 13 2 2 4 2 3 2 2" xfId="31817" xr:uid="{00000000-0005-0000-0000-00009F280000}"/>
    <cellStyle name="Normal 13 2 2 4 2 3 3" xfId="23369" xr:uid="{00000000-0005-0000-0000-0000A0280000}"/>
    <cellStyle name="Normal 13 2 2 4 2 4" xfId="10653" xr:uid="{00000000-0005-0000-0000-0000A1280000}"/>
    <cellStyle name="Normal 13 2 2 4 2 4 2" xfId="27593" xr:uid="{00000000-0005-0000-0000-0000A2280000}"/>
    <cellStyle name="Normal 13 2 2 4 2 5" xfId="19145" xr:uid="{00000000-0005-0000-0000-0000A3280000}"/>
    <cellStyle name="Normal 13 2 2 4 3" xfId="3259" xr:uid="{00000000-0005-0000-0000-0000A4280000}"/>
    <cellStyle name="Normal 13 2 2 4 3 2" xfId="7485" xr:uid="{00000000-0005-0000-0000-0000A5280000}"/>
    <cellStyle name="Normal 13 2 2 4 3 2 2" xfId="15933" xr:uid="{00000000-0005-0000-0000-0000A6280000}"/>
    <cellStyle name="Normal 13 2 2 4 3 2 2 2" xfId="32873" xr:uid="{00000000-0005-0000-0000-0000A7280000}"/>
    <cellStyle name="Normal 13 2 2 4 3 2 3" xfId="24425" xr:uid="{00000000-0005-0000-0000-0000A8280000}"/>
    <cellStyle name="Normal 13 2 2 4 3 3" xfId="11709" xr:uid="{00000000-0005-0000-0000-0000A9280000}"/>
    <cellStyle name="Normal 13 2 2 4 3 3 2" xfId="28649" xr:uid="{00000000-0005-0000-0000-0000AA280000}"/>
    <cellStyle name="Normal 13 2 2 4 3 4" xfId="20201" xr:uid="{00000000-0005-0000-0000-0000AB280000}"/>
    <cellStyle name="Normal 13 2 2 4 4" xfId="5373" xr:uid="{00000000-0005-0000-0000-0000AC280000}"/>
    <cellStyle name="Normal 13 2 2 4 4 2" xfId="13821" xr:uid="{00000000-0005-0000-0000-0000AD280000}"/>
    <cellStyle name="Normal 13 2 2 4 4 2 2" xfId="30761" xr:uid="{00000000-0005-0000-0000-0000AE280000}"/>
    <cellStyle name="Normal 13 2 2 4 4 3" xfId="22313" xr:uid="{00000000-0005-0000-0000-0000AF280000}"/>
    <cellStyle name="Normal 13 2 2 4 5" xfId="9597" xr:uid="{00000000-0005-0000-0000-0000B0280000}"/>
    <cellStyle name="Normal 13 2 2 4 5 2" xfId="26537" xr:uid="{00000000-0005-0000-0000-0000B1280000}"/>
    <cellStyle name="Normal 13 2 2 4 6" xfId="18089" xr:uid="{00000000-0005-0000-0000-0000B2280000}"/>
    <cellStyle name="Normal 13 2 2 5" xfId="1323" xr:uid="{00000000-0005-0000-0000-0000B3280000}"/>
    <cellStyle name="Normal 13 2 2 5 2" xfId="2379" xr:uid="{00000000-0005-0000-0000-0000B4280000}"/>
    <cellStyle name="Normal 13 2 2 5 2 2" xfId="4491" xr:uid="{00000000-0005-0000-0000-0000B5280000}"/>
    <cellStyle name="Normal 13 2 2 5 2 2 2" xfId="8717" xr:uid="{00000000-0005-0000-0000-0000B6280000}"/>
    <cellStyle name="Normal 13 2 2 5 2 2 2 2" xfId="17165" xr:uid="{00000000-0005-0000-0000-0000B7280000}"/>
    <cellStyle name="Normal 13 2 2 5 2 2 2 2 2" xfId="34105" xr:uid="{00000000-0005-0000-0000-0000B8280000}"/>
    <cellStyle name="Normal 13 2 2 5 2 2 2 3" xfId="25657" xr:uid="{00000000-0005-0000-0000-0000B9280000}"/>
    <cellStyle name="Normal 13 2 2 5 2 2 3" xfId="12941" xr:uid="{00000000-0005-0000-0000-0000BA280000}"/>
    <cellStyle name="Normal 13 2 2 5 2 2 3 2" xfId="29881" xr:uid="{00000000-0005-0000-0000-0000BB280000}"/>
    <cellStyle name="Normal 13 2 2 5 2 2 4" xfId="21433" xr:uid="{00000000-0005-0000-0000-0000BC280000}"/>
    <cellStyle name="Normal 13 2 2 5 2 3" xfId="6605" xr:uid="{00000000-0005-0000-0000-0000BD280000}"/>
    <cellStyle name="Normal 13 2 2 5 2 3 2" xfId="15053" xr:uid="{00000000-0005-0000-0000-0000BE280000}"/>
    <cellStyle name="Normal 13 2 2 5 2 3 2 2" xfId="31993" xr:uid="{00000000-0005-0000-0000-0000BF280000}"/>
    <cellStyle name="Normal 13 2 2 5 2 3 3" xfId="23545" xr:uid="{00000000-0005-0000-0000-0000C0280000}"/>
    <cellStyle name="Normal 13 2 2 5 2 4" xfId="10829" xr:uid="{00000000-0005-0000-0000-0000C1280000}"/>
    <cellStyle name="Normal 13 2 2 5 2 4 2" xfId="27769" xr:uid="{00000000-0005-0000-0000-0000C2280000}"/>
    <cellStyle name="Normal 13 2 2 5 2 5" xfId="19321" xr:uid="{00000000-0005-0000-0000-0000C3280000}"/>
    <cellStyle name="Normal 13 2 2 5 3" xfId="3435" xr:uid="{00000000-0005-0000-0000-0000C4280000}"/>
    <cellStyle name="Normal 13 2 2 5 3 2" xfId="7661" xr:uid="{00000000-0005-0000-0000-0000C5280000}"/>
    <cellStyle name="Normal 13 2 2 5 3 2 2" xfId="16109" xr:uid="{00000000-0005-0000-0000-0000C6280000}"/>
    <cellStyle name="Normal 13 2 2 5 3 2 2 2" xfId="33049" xr:uid="{00000000-0005-0000-0000-0000C7280000}"/>
    <cellStyle name="Normal 13 2 2 5 3 2 3" xfId="24601" xr:uid="{00000000-0005-0000-0000-0000C8280000}"/>
    <cellStyle name="Normal 13 2 2 5 3 3" xfId="11885" xr:uid="{00000000-0005-0000-0000-0000C9280000}"/>
    <cellStyle name="Normal 13 2 2 5 3 3 2" xfId="28825" xr:uid="{00000000-0005-0000-0000-0000CA280000}"/>
    <cellStyle name="Normal 13 2 2 5 3 4" xfId="20377" xr:uid="{00000000-0005-0000-0000-0000CB280000}"/>
    <cellStyle name="Normal 13 2 2 5 4" xfId="5549" xr:uid="{00000000-0005-0000-0000-0000CC280000}"/>
    <cellStyle name="Normal 13 2 2 5 4 2" xfId="13997" xr:uid="{00000000-0005-0000-0000-0000CD280000}"/>
    <cellStyle name="Normal 13 2 2 5 4 2 2" xfId="30937" xr:uid="{00000000-0005-0000-0000-0000CE280000}"/>
    <cellStyle name="Normal 13 2 2 5 4 3" xfId="22489" xr:uid="{00000000-0005-0000-0000-0000CF280000}"/>
    <cellStyle name="Normal 13 2 2 5 5" xfId="9773" xr:uid="{00000000-0005-0000-0000-0000D0280000}"/>
    <cellStyle name="Normal 13 2 2 5 5 2" xfId="26713" xr:uid="{00000000-0005-0000-0000-0000D1280000}"/>
    <cellStyle name="Normal 13 2 2 5 6" xfId="18265" xr:uid="{00000000-0005-0000-0000-0000D2280000}"/>
    <cellStyle name="Normal 13 2 2 6" xfId="1499" xr:uid="{00000000-0005-0000-0000-0000D3280000}"/>
    <cellStyle name="Normal 13 2 2 6 2" xfId="3611" xr:uid="{00000000-0005-0000-0000-0000D4280000}"/>
    <cellStyle name="Normal 13 2 2 6 2 2" xfId="7837" xr:uid="{00000000-0005-0000-0000-0000D5280000}"/>
    <cellStyle name="Normal 13 2 2 6 2 2 2" xfId="16285" xr:uid="{00000000-0005-0000-0000-0000D6280000}"/>
    <cellStyle name="Normal 13 2 2 6 2 2 2 2" xfId="33225" xr:uid="{00000000-0005-0000-0000-0000D7280000}"/>
    <cellStyle name="Normal 13 2 2 6 2 2 3" xfId="24777" xr:uid="{00000000-0005-0000-0000-0000D8280000}"/>
    <cellStyle name="Normal 13 2 2 6 2 3" xfId="12061" xr:uid="{00000000-0005-0000-0000-0000D9280000}"/>
    <cellStyle name="Normal 13 2 2 6 2 3 2" xfId="29001" xr:uid="{00000000-0005-0000-0000-0000DA280000}"/>
    <cellStyle name="Normal 13 2 2 6 2 4" xfId="20553" xr:uid="{00000000-0005-0000-0000-0000DB280000}"/>
    <cellStyle name="Normal 13 2 2 6 3" xfId="5725" xr:uid="{00000000-0005-0000-0000-0000DC280000}"/>
    <cellStyle name="Normal 13 2 2 6 3 2" xfId="14173" xr:uid="{00000000-0005-0000-0000-0000DD280000}"/>
    <cellStyle name="Normal 13 2 2 6 3 2 2" xfId="31113" xr:uid="{00000000-0005-0000-0000-0000DE280000}"/>
    <cellStyle name="Normal 13 2 2 6 3 3" xfId="22665" xr:uid="{00000000-0005-0000-0000-0000DF280000}"/>
    <cellStyle name="Normal 13 2 2 6 4" xfId="9949" xr:uid="{00000000-0005-0000-0000-0000E0280000}"/>
    <cellStyle name="Normal 13 2 2 6 4 2" xfId="26889" xr:uid="{00000000-0005-0000-0000-0000E1280000}"/>
    <cellStyle name="Normal 13 2 2 6 5" xfId="18441" xr:uid="{00000000-0005-0000-0000-0000E2280000}"/>
    <cellStyle name="Normal 13 2 2 7" xfId="2555" xr:uid="{00000000-0005-0000-0000-0000E3280000}"/>
    <cellStyle name="Normal 13 2 2 7 2" xfId="6781" xr:uid="{00000000-0005-0000-0000-0000E4280000}"/>
    <cellStyle name="Normal 13 2 2 7 2 2" xfId="15229" xr:uid="{00000000-0005-0000-0000-0000E5280000}"/>
    <cellStyle name="Normal 13 2 2 7 2 2 2" xfId="32169" xr:uid="{00000000-0005-0000-0000-0000E6280000}"/>
    <cellStyle name="Normal 13 2 2 7 2 3" xfId="23721" xr:uid="{00000000-0005-0000-0000-0000E7280000}"/>
    <cellStyle name="Normal 13 2 2 7 3" xfId="11005" xr:uid="{00000000-0005-0000-0000-0000E8280000}"/>
    <cellStyle name="Normal 13 2 2 7 3 2" xfId="27945" xr:uid="{00000000-0005-0000-0000-0000E9280000}"/>
    <cellStyle name="Normal 13 2 2 7 4" xfId="19497" xr:uid="{00000000-0005-0000-0000-0000EA280000}"/>
    <cellStyle name="Normal 13 2 2 8" xfId="4668" xr:uid="{00000000-0005-0000-0000-0000EB280000}"/>
    <cellStyle name="Normal 13 2 2 8 2" xfId="13117" xr:uid="{00000000-0005-0000-0000-0000EC280000}"/>
    <cellStyle name="Normal 13 2 2 8 2 2" xfId="30057" xr:uid="{00000000-0005-0000-0000-0000ED280000}"/>
    <cellStyle name="Normal 13 2 2 8 3" xfId="21609" xr:uid="{00000000-0005-0000-0000-0000EE280000}"/>
    <cellStyle name="Normal 13 2 2 9" xfId="8893" xr:uid="{00000000-0005-0000-0000-0000EF280000}"/>
    <cellStyle name="Normal 13 2 2 9 2" xfId="25833" xr:uid="{00000000-0005-0000-0000-0000F0280000}"/>
    <cellStyle name="Normal 13 2 3" xfId="273" xr:uid="{00000000-0005-0000-0000-0000F1280000}"/>
    <cellStyle name="Normal 13 2 3 10" xfId="17386" xr:uid="{00000000-0005-0000-0000-0000F2280000}"/>
    <cellStyle name="Normal 13 2 3 2" xfId="614" xr:uid="{00000000-0005-0000-0000-0000F3280000}"/>
    <cellStyle name="Normal 13 2 3 2 2" xfId="966" xr:uid="{00000000-0005-0000-0000-0000F4280000}"/>
    <cellStyle name="Normal 13 2 3 2 2 2" xfId="2028" xr:uid="{00000000-0005-0000-0000-0000F5280000}"/>
    <cellStyle name="Normal 13 2 3 2 2 2 2" xfId="4140" xr:uid="{00000000-0005-0000-0000-0000F6280000}"/>
    <cellStyle name="Normal 13 2 3 2 2 2 2 2" xfId="8366" xr:uid="{00000000-0005-0000-0000-0000F7280000}"/>
    <cellStyle name="Normal 13 2 3 2 2 2 2 2 2" xfId="16814" xr:uid="{00000000-0005-0000-0000-0000F8280000}"/>
    <cellStyle name="Normal 13 2 3 2 2 2 2 2 2 2" xfId="33754" xr:uid="{00000000-0005-0000-0000-0000F9280000}"/>
    <cellStyle name="Normal 13 2 3 2 2 2 2 2 3" xfId="25306" xr:uid="{00000000-0005-0000-0000-0000FA280000}"/>
    <cellStyle name="Normal 13 2 3 2 2 2 2 3" xfId="12590" xr:uid="{00000000-0005-0000-0000-0000FB280000}"/>
    <cellStyle name="Normal 13 2 3 2 2 2 2 3 2" xfId="29530" xr:uid="{00000000-0005-0000-0000-0000FC280000}"/>
    <cellStyle name="Normal 13 2 3 2 2 2 2 4" xfId="21082" xr:uid="{00000000-0005-0000-0000-0000FD280000}"/>
    <cellStyle name="Normal 13 2 3 2 2 2 3" xfId="6254" xr:uid="{00000000-0005-0000-0000-0000FE280000}"/>
    <cellStyle name="Normal 13 2 3 2 2 2 3 2" xfId="14702" xr:uid="{00000000-0005-0000-0000-0000FF280000}"/>
    <cellStyle name="Normal 13 2 3 2 2 2 3 2 2" xfId="31642" xr:uid="{00000000-0005-0000-0000-000000290000}"/>
    <cellStyle name="Normal 13 2 3 2 2 2 3 3" xfId="23194" xr:uid="{00000000-0005-0000-0000-000001290000}"/>
    <cellStyle name="Normal 13 2 3 2 2 2 4" xfId="10478" xr:uid="{00000000-0005-0000-0000-000002290000}"/>
    <cellStyle name="Normal 13 2 3 2 2 2 4 2" xfId="27418" xr:uid="{00000000-0005-0000-0000-000003290000}"/>
    <cellStyle name="Normal 13 2 3 2 2 2 5" xfId="18970" xr:uid="{00000000-0005-0000-0000-000004290000}"/>
    <cellStyle name="Normal 13 2 3 2 2 3" xfId="3084" xr:uid="{00000000-0005-0000-0000-000005290000}"/>
    <cellStyle name="Normal 13 2 3 2 2 3 2" xfId="7310" xr:uid="{00000000-0005-0000-0000-000006290000}"/>
    <cellStyle name="Normal 13 2 3 2 2 3 2 2" xfId="15758" xr:uid="{00000000-0005-0000-0000-000007290000}"/>
    <cellStyle name="Normal 13 2 3 2 2 3 2 2 2" xfId="32698" xr:uid="{00000000-0005-0000-0000-000008290000}"/>
    <cellStyle name="Normal 13 2 3 2 2 3 2 3" xfId="24250" xr:uid="{00000000-0005-0000-0000-000009290000}"/>
    <cellStyle name="Normal 13 2 3 2 2 3 3" xfId="11534" xr:uid="{00000000-0005-0000-0000-00000A290000}"/>
    <cellStyle name="Normal 13 2 3 2 2 3 3 2" xfId="28474" xr:uid="{00000000-0005-0000-0000-00000B290000}"/>
    <cellStyle name="Normal 13 2 3 2 2 3 4" xfId="20026" xr:uid="{00000000-0005-0000-0000-00000C290000}"/>
    <cellStyle name="Normal 13 2 3 2 2 4" xfId="5198" xr:uid="{00000000-0005-0000-0000-00000D290000}"/>
    <cellStyle name="Normal 13 2 3 2 2 4 2" xfId="13646" xr:uid="{00000000-0005-0000-0000-00000E290000}"/>
    <cellStyle name="Normal 13 2 3 2 2 4 2 2" xfId="30586" xr:uid="{00000000-0005-0000-0000-00000F290000}"/>
    <cellStyle name="Normal 13 2 3 2 2 4 3" xfId="22138" xr:uid="{00000000-0005-0000-0000-000010290000}"/>
    <cellStyle name="Normal 13 2 3 2 2 5" xfId="9422" xr:uid="{00000000-0005-0000-0000-000011290000}"/>
    <cellStyle name="Normal 13 2 3 2 2 5 2" xfId="26362" xr:uid="{00000000-0005-0000-0000-000012290000}"/>
    <cellStyle name="Normal 13 2 3 2 2 6" xfId="17914" xr:uid="{00000000-0005-0000-0000-000013290000}"/>
    <cellStyle name="Normal 13 2 3 2 3" xfId="1676" xr:uid="{00000000-0005-0000-0000-000014290000}"/>
    <cellStyle name="Normal 13 2 3 2 3 2" xfId="3788" xr:uid="{00000000-0005-0000-0000-000015290000}"/>
    <cellStyle name="Normal 13 2 3 2 3 2 2" xfId="8014" xr:uid="{00000000-0005-0000-0000-000016290000}"/>
    <cellStyle name="Normal 13 2 3 2 3 2 2 2" xfId="16462" xr:uid="{00000000-0005-0000-0000-000017290000}"/>
    <cellStyle name="Normal 13 2 3 2 3 2 2 2 2" xfId="33402" xr:uid="{00000000-0005-0000-0000-000018290000}"/>
    <cellStyle name="Normal 13 2 3 2 3 2 2 3" xfId="24954" xr:uid="{00000000-0005-0000-0000-000019290000}"/>
    <cellStyle name="Normal 13 2 3 2 3 2 3" xfId="12238" xr:uid="{00000000-0005-0000-0000-00001A290000}"/>
    <cellStyle name="Normal 13 2 3 2 3 2 3 2" xfId="29178" xr:uid="{00000000-0005-0000-0000-00001B290000}"/>
    <cellStyle name="Normal 13 2 3 2 3 2 4" xfId="20730" xr:uid="{00000000-0005-0000-0000-00001C290000}"/>
    <cellStyle name="Normal 13 2 3 2 3 3" xfId="5902" xr:uid="{00000000-0005-0000-0000-00001D290000}"/>
    <cellStyle name="Normal 13 2 3 2 3 3 2" xfId="14350" xr:uid="{00000000-0005-0000-0000-00001E290000}"/>
    <cellStyle name="Normal 13 2 3 2 3 3 2 2" xfId="31290" xr:uid="{00000000-0005-0000-0000-00001F290000}"/>
    <cellStyle name="Normal 13 2 3 2 3 3 3" xfId="22842" xr:uid="{00000000-0005-0000-0000-000020290000}"/>
    <cellStyle name="Normal 13 2 3 2 3 4" xfId="10126" xr:uid="{00000000-0005-0000-0000-000021290000}"/>
    <cellStyle name="Normal 13 2 3 2 3 4 2" xfId="27066" xr:uid="{00000000-0005-0000-0000-000022290000}"/>
    <cellStyle name="Normal 13 2 3 2 3 5" xfId="18618" xr:uid="{00000000-0005-0000-0000-000023290000}"/>
    <cellStyle name="Normal 13 2 3 2 4" xfId="2732" xr:uid="{00000000-0005-0000-0000-000024290000}"/>
    <cellStyle name="Normal 13 2 3 2 4 2" xfId="6958" xr:uid="{00000000-0005-0000-0000-000025290000}"/>
    <cellStyle name="Normal 13 2 3 2 4 2 2" xfId="15406" xr:uid="{00000000-0005-0000-0000-000026290000}"/>
    <cellStyle name="Normal 13 2 3 2 4 2 2 2" xfId="32346" xr:uid="{00000000-0005-0000-0000-000027290000}"/>
    <cellStyle name="Normal 13 2 3 2 4 2 3" xfId="23898" xr:uid="{00000000-0005-0000-0000-000028290000}"/>
    <cellStyle name="Normal 13 2 3 2 4 3" xfId="11182" xr:uid="{00000000-0005-0000-0000-000029290000}"/>
    <cellStyle name="Normal 13 2 3 2 4 3 2" xfId="28122" xr:uid="{00000000-0005-0000-0000-00002A290000}"/>
    <cellStyle name="Normal 13 2 3 2 4 4" xfId="19674" xr:uid="{00000000-0005-0000-0000-00002B290000}"/>
    <cellStyle name="Normal 13 2 3 2 5" xfId="4846" xr:uid="{00000000-0005-0000-0000-00002C290000}"/>
    <cellStyle name="Normal 13 2 3 2 5 2" xfId="13294" xr:uid="{00000000-0005-0000-0000-00002D290000}"/>
    <cellStyle name="Normal 13 2 3 2 5 2 2" xfId="30234" xr:uid="{00000000-0005-0000-0000-00002E290000}"/>
    <cellStyle name="Normal 13 2 3 2 5 3" xfId="21786" xr:uid="{00000000-0005-0000-0000-00002F290000}"/>
    <cellStyle name="Normal 13 2 3 2 6" xfId="9070" xr:uid="{00000000-0005-0000-0000-000030290000}"/>
    <cellStyle name="Normal 13 2 3 2 6 2" xfId="26010" xr:uid="{00000000-0005-0000-0000-000031290000}"/>
    <cellStyle name="Normal 13 2 3 2 7" xfId="17562" xr:uid="{00000000-0005-0000-0000-000032290000}"/>
    <cellStyle name="Normal 13 2 3 3" xfId="790" xr:uid="{00000000-0005-0000-0000-000033290000}"/>
    <cellStyle name="Normal 13 2 3 3 2" xfId="1852" xr:uid="{00000000-0005-0000-0000-000034290000}"/>
    <cellStyle name="Normal 13 2 3 3 2 2" xfId="3964" xr:uid="{00000000-0005-0000-0000-000035290000}"/>
    <cellStyle name="Normal 13 2 3 3 2 2 2" xfId="8190" xr:uid="{00000000-0005-0000-0000-000036290000}"/>
    <cellStyle name="Normal 13 2 3 3 2 2 2 2" xfId="16638" xr:uid="{00000000-0005-0000-0000-000037290000}"/>
    <cellStyle name="Normal 13 2 3 3 2 2 2 2 2" xfId="33578" xr:uid="{00000000-0005-0000-0000-000038290000}"/>
    <cellStyle name="Normal 13 2 3 3 2 2 2 3" xfId="25130" xr:uid="{00000000-0005-0000-0000-000039290000}"/>
    <cellStyle name="Normal 13 2 3 3 2 2 3" xfId="12414" xr:uid="{00000000-0005-0000-0000-00003A290000}"/>
    <cellStyle name="Normal 13 2 3 3 2 2 3 2" xfId="29354" xr:uid="{00000000-0005-0000-0000-00003B290000}"/>
    <cellStyle name="Normal 13 2 3 3 2 2 4" xfId="20906" xr:uid="{00000000-0005-0000-0000-00003C290000}"/>
    <cellStyle name="Normal 13 2 3 3 2 3" xfId="6078" xr:uid="{00000000-0005-0000-0000-00003D290000}"/>
    <cellStyle name="Normal 13 2 3 3 2 3 2" xfId="14526" xr:uid="{00000000-0005-0000-0000-00003E290000}"/>
    <cellStyle name="Normal 13 2 3 3 2 3 2 2" xfId="31466" xr:uid="{00000000-0005-0000-0000-00003F290000}"/>
    <cellStyle name="Normal 13 2 3 3 2 3 3" xfId="23018" xr:uid="{00000000-0005-0000-0000-000040290000}"/>
    <cellStyle name="Normal 13 2 3 3 2 4" xfId="10302" xr:uid="{00000000-0005-0000-0000-000041290000}"/>
    <cellStyle name="Normal 13 2 3 3 2 4 2" xfId="27242" xr:uid="{00000000-0005-0000-0000-000042290000}"/>
    <cellStyle name="Normal 13 2 3 3 2 5" xfId="18794" xr:uid="{00000000-0005-0000-0000-000043290000}"/>
    <cellStyle name="Normal 13 2 3 3 3" xfId="2908" xr:uid="{00000000-0005-0000-0000-000044290000}"/>
    <cellStyle name="Normal 13 2 3 3 3 2" xfId="7134" xr:uid="{00000000-0005-0000-0000-000045290000}"/>
    <cellStyle name="Normal 13 2 3 3 3 2 2" xfId="15582" xr:uid="{00000000-0005-0000-0000-000046290000}"/>
    <cellStyle name="Normal 13 2 3 3 3 2 2 2" xfId="32522" xr:uid="{00000000-0005-0000-0000-000047290000}"/>
    <cellStyle name="Normal 13 2 3 3 3 2 3" xfId="24074" xr:uid="{00000000-0005-0000-0000-000048290000}"/>
    <cellStyle name="Normal 13 2 3 3 3 3" xfId="11358" xr:uid="{00000000-0005-0000-0000-000049290000}"/>
    <cellStyle name="Normal 13 2 3 3 3 3 2" xfId="28298" xr:uid="{00000000-0005-0000-0000-00004A290000}"/>
    <cellStyle name="Normal 13 2 3 3 3 4" xfId="19850" xr:uid="{00000000-0005-0000-0000-00004B290000}"/>
    <cellStyle name="Normal 13 2 3 3 4" xfId="5022" xr:uid="{00000000-0005-0000-0000-00004C290000}"/>
    <cellStyle name="Normal 13 2 3 3 4 2" xfId="13470" xr:uid="{00000000-0005-0000-0000-00004D290000}"/>
    <cellStyle name="Normal 13 2 3 3 4 2 2" xfId="30410" xr:uid="{00000000-0005-0000-0000-00004E290000}"/>
    <cellStyle name="Normal 13 2 3 3 4 3" xfId="21962" xr:uid="{00000000-0005-0000-0000-00004F290000}"/>
    <cellStyle name="Normal 13 2 3 3 5" xfId="9246" xr:uid="{00000000-0005-0000-0000-000050290000}"/>
    <cellStyle name="Normal 13 2 3 3 5 2" xfId="26186" xr:uid="{00000000-0005-0000-0000-000051290000}"/>
    <cellStyle name="Normal 13 2 3 3 6" xfId="17738" xr:uid="{00000000-0005-0000-0000-000052290000}"/>
    <cellStyle name="Normal 13 2 3 4" xfId="1142" xr:uid="{00000000-0005-0000-0000-000053290000}"/>
    <cellStyle name="Normal 13 2 3 4 2" xfId="2204" xr:uid="{00000000-0005-0000-0000-000054290000}"/>
    <cellStyle name="Normal 13 2 3 4 2 2" xfId="4316" xr:uid="{00000000-0005-0000-0000-000055290000}"/>
    <cellStyle name="Normal 13 2 3 4 2 2 2" xfId="8542" xr:uid="{00000000-0005-0000-0000-000056290000}"/>
    <cellStyle name="Normal 13 2 3 4 2 2 2 2" xfId="16990" xr:uid="{00000000-0005-0000-0000-000057290000}"/>
    <cellStyle name="Normal 13 2 3 4 2 2 2 2 2" xfId="33930" xr:uid="{00000000-0005-0000-0000-000058290000}"/>
    <cellStyle name="Normal 13 2 3 4 2 2 2 3" xfId="25482" xr:uid="{00000000-0005-0000-0000-000059290000}"/>
    <cellStyle name="Normal 13 2 3 4 2 2 3" xfId="12766" xr:uid="{00000000-0005-0000-0000-00005A290000}"/>
    <cellStyle name="Normal 13 2 3 4 2 2 3 2" xfId="29706" xr:uid="{00000000-0005-0000-0000-00005B290000}"/>
    <cellStyle name="Normal 13 2 3 4 2 2 4" xfId="21258" xr:uid="{00000000-0005-0000-0000-00005C290000}"/>
    <cellStyle name="Normal 13 2 3 4 2 3" xfId="6430" xr:uid="{00000000-0005-0000-0000-00005D290000}"/>
    <cellStyle name="Normal 13 2 3 4 2 3 2" xfId="14878" xr:uid="{00000000-0005-0000-0000-00005E290000}"/>
    <cellStyle name="Normal 13 2 3 4 2 3 2 2" xfId="31818" xr:uid="{00000000-0005-0000-0000-00005F290000}"/>
    <cellStyle name="Normal 13 2 3 4 2 3 3" xfId="23370" xr:uid="{00000000-0005-0000-0000-000060290000}"/>
    <cellStyle name="Normal 13 2 3 4 2 4" xfId="10654" xr:uid="{00000000-0005-0000-0000-000061290000}"/>
    <cellStyle name="Normal 13 2 3 4 2 4 2" xfId="27594" xr:uid="{00000000-0005-0000-0000-000062290000}"/>
    <cellStyle name="Normal 13 2 3 4 2 5" xfId="19146" xr:uid="{00000000-0005-0000-0000-000063290000}"/>
    <cellStyle name="Normal 13 2 3 4 3" xfId="3260" xr:uid="{00000000-0005-0000-0000-000064290000}"/>
    <cellStyle name="Normal 13 2 3 4 3 2" xfId="7486" xr:uid="{00000000-0005-0000-0000-000065290000}"/>
    <cellStyle name="Normal 13 2 3 4 3 2 2" xfId="15934" xr:uid="{00000000-0005-0000-0000-000066290000}"/>
    <cellStyle name="Normal 13 2 3 4 3 2 2 2" xfId="32874" xr:uid="{00000000-0005-0000-0000-000067290000}"/>
    <cellStyle name="Normal 13 2 3 4 3 2 3" xfId="24426" xr:uid="{00000000-0005-0000-0000-000068290000}"/>
    <cellStyle name="Normal 13 2 3 4 3 3" xfId="11710" xr:uid="{00000000-0005-0000-0000-000069290000}"/>
    <cellStyle name="Normal 13 2 3 4 3 3 2" xfId="28650" xr:uid="{00000000-0005-0000-0000-00006A290000}"/>
    <cellStyle name="Normal 13 2 3 4 3 4" xfId="20202" xr:uid="{00000000-0005-0000-0000-00006B290000}"/>
    <cellStyle name="Normal 13 2 3 4 4" xfId="5374" xr:uid="{00000000-0005-0000-0000-00006C290000}"/>
    <cellStyle name="Normal 13 2 3 4 4 2" xfId="13822" xr:uid="{00000000-0005-0000-0000-00006D290000}"/>
    <cellStyle name="Normal 13 2 3 4 4 2 2" xfId="30762" xr:uid="{00000000-0005-0000-0000-00006E290000}"/>
    <cellStyle name="Normal 13 2 3 4 4 3" xfId="22314" xr:uid="{00000000-0005-0000-0000-00006F290000}"/>
    <cellStyle name="Normal 13 2 3 4 5" xfId="9598" xr:uid="{00000000-0005-0000-0000-000070290000}"/>
    <cellStyle name="Normal 13 2 3 4 5 2" xfId="26538" xr:uid="{00000000-0005-0000-0000-000071290000}"/>
    <cellStyle name="Normal 13 2 3 4 6" xfId="18090" xr:uid="{00000000-0005-0000-0000-000072290000}"/>
    <cellStyle name="Normal 13 2 3 5" xfId="1324" xr:uid="{00000000-0005-0000-0000-000073290000}"/>
    <cellStyle name="Normal 13 2 3 5 2" xfId="2380" xr:uid="{00000000-0005-0000-0000-000074290000}"/>
    <cellStyle name="Normal 13 2 3 5 2 2" xfId="4492" xr:uid="{00000000-0005-0000-0000-000075290000}"/>
    <cellStyle name="Normal 13 2 3 5 2 2 2" xfId="8718" xr:uid="{00000000-0005-0000-0000-000076290000}"/>
    <cellStyle name="Normal 13 2 3 5 2 2 2 2" xfId="17166" xr:uid="{00000000-0005-0000-0000-000077290000}"/>
    <cellStyle name="Normal 13 2 3 5 2 2 2 2 2" xfId="34106" xr:uid="{00000000-0005-0000-0000-000078290000}"/>
    <cellStyle name="Normal 13 2 3 5 2 2 2 3" xfId="25658" xr:uid="{00000000-0005-0000-0000-000079290000}"/>
    <cellStyle name="Normal 13 2 3 5 2 2 3" xfId="12942" xr:uid="{00000000-0005-0000-0000-00007A290000}"/>
    <cellStyle name="Normal 13 2 3 5 2 2 3 2" xfId="29882" xr:uid="{00000000-0005-0000-0000-00007B290000}"/>
    <cellStyle name="Normal 13 2 3 5 2 2 4" xfId="21434" xr:uid="{00000000-0005-0000-0000-00007C290000}"/>
    <cellStyle name="Normal 13 2 3 5 2 3" xfId="6606" xr:uid="{00000000-0005-0000-0000-00007D290000}"/>
    <cellStyle name="Normal 13 2 3 5 2 3 2" xfId="15054" xr:uid="{00000000-0005-0000-0000-00007E290000}"/>
    <cellStyle name="Normal 13 2 3 5 2 3 2 2" xfId="31994" xr:uid="{00000000-0005-0000-0000-00007F290000}"/>
    <cellStyle name="Normal 13 2 3 5 2 3 3" xfId="23546" xr:uid="{00000000-0005-0000-0000-000080290000}"/>
    <cellStyle name="Normal 13 2 3 5 2 4" xfId="10830" xr:uid="{00000000-0005-0000-0000-000081290000}"/>
    <cellStyle name="Normal 13 2 3 5 2 4 2" xfId="27770" xr:uid="{00000000-0005-0000-0000-000082290000}"/>
    <cellStyle name="Normal 13 2 3 5 2 5" xfId="19322" xr:uid="{00000000-0005-0000-0000-000083290000}"/>
    <cellStyle name="Normal 13 2 3 5 3" xfId="3436" xr:uid="{00000000-0005-0000-0000-000084290000}"/>
    <cellStyle name="Normal 13 2 3 5 3 2" xfId="7662" xr:uid="{00000000-0005-0000-0000-000085290000}"/>
    <cellStyle name="Normal 13 2 3 5 3 2 2" xfId="16110" xr:uid="{00000000-0005-0000-0000-000086290000}"/>
    <cellStyle name="Normal 13 2 3 5 3 2 2 2" xfId="33050" xr:uid="{00000000-0005-0000-0000-000087290000}"/>
    <cellStyle name="Normal 13 2 3 5 3 2 3" xfId="24602" xr:uid="{00000000-0005-0000-0000-000088290000}"/>
    <cellStyle name="Normal 13 2 3 5 3 3" xfId="11886" xr:uid="{00000000-0005-0000-0000-000089290000}"/>
    <cellStyle name="Normal 13 2 3 5 3 3 2" xfId="28826" xr:uid="{00000000-0005-0000-0000-00008A290000}"/>
    <cellStyle name="Normal 13 2 3 5 3 4" xfId="20378" xr:uid="{00000000-0005-0000-0000-00008B290000}"/>
    <cellStyle name="Normal 13 2 3 5 4" xfId="5550" xr:uid="{00000000-0005-0000-0000-00008C290000}"/>
    <cellStyle name="Normal 13 2 3 5 4 2" xfId="13998" xr:uid="{00000000-0005-0000-0000-00008D290000}"/>
    <cellStyle name="Normal 13 2 3 5 4 2 2" xfId="30938" xr:uid="{00000000-0005-0000-0000-00008E290000}"/>
    <cellStyle name="Normal 13 2 3 5 4 3" xfId="22490" xr:uid="{00000000-0005-0000-0000-00008F290000}"/>
    <cellStyle name="Normal 13 2 3 5 5" xfId="9774" xr:uid="{00000000-0005-0000-0000-000090290000}"/>
    <cellStyle name="Normal 13 2 3 5 5 2" xfId="26714" xr:uid="{00000000-0005-0000-0000-000091290000}"/>
    <cellStyle name="Normal 13 2 3 5 6" xfId="18266" xr:uid="{00000000-0005-0000-0000-000092290000}"/>
    <cellStyle name="Normal 13 2 3 6" xfId="1500" xr:uid="{00000000-0005-0000-0000-000093290000}"/>
    <cellStyle name="Normal 13 2 3 6 2" xfId="3612" xr:uid="{00000000-0005-0000-0000-000094290000}"/>
    <cellStyle name="Normal 13 2 3 6 2 2" xfId="7838" xr:uid="{00000000-0005-0000-0000-000095290000}"/>
    <cellStyle name="Normal 13 2 3 6 2 2 2" xfId="16286" xr:uid="{00000000-0005-0000-0000-000096290000}"/>
    <cellStyle name="Normal 13 2 3 6 2 2 2 2" xfId="33226" xr:uid="{00000000-0005-0000-0000-000097290000}"/>
    <cellStyle name="Normal 13 2 3 6 2 2 3" xfId="24778" xr:uid="{00000000-0005-0000-0000-000098290000}"/>
    <cellStyle name="Normal 13 2 3 6 2 3" xfId="12062" xr:uid="{00000000-0005-0000-0000-000099290000}"/>
    <cellStyle name="Normal 13 2 3 6 2 3 2" xfId="29002" xr:uid="{00000000-0005-0000-0000-00009A290000}"/>
    <cellStyle name="Normal 13 2 3 6 2 4" xfId="20554" xr:uid="{00000000-0005-0000-0000-00009B290000}"/>
    <cellStyle name="Normal 13 2 3 6 3" xfId="5726" xr:uid="{00000000-0005-0000-0000-00009C290000}"/>
    <cellStyle name="Normal 13 2 3 6 3 2" xfId="14174" xr:uid="{00000000-0005-0000-0000-00009D290000}"/>
    <cellStyle name="Normal 13 2 3 6 3 2 2" xfId="31114" xr:uid="{00000000-0005-0000-0000-00009E290000}"/>
    <cellStyle name="Normal 13 2 3 6 3 3" xfId="22666" xr:uid="{00000000-0005-0000-0000-00009F290000}"/>
    <cellStyle name="Normal 13 2 3 6 4" xfId="9950" xr:uid="{00000000-0005-0000-0000-0000A0290000}"/>
    <cellStyle name="Normal 13 2 3 6 4 2" xfId="26890" xr:uid="{00000000-0005-0000-0000-0000A1290000}"/>
    <cellStyle name="Normal 13 2 3 6 5" xfId="18442" xr:uid="{00000000-0005-0000-0000-0000A2290000}"/>
    <cellStyle name="Normal 13 2 3 7" xfId="2556" xr:uid="{00000000-0005-0000-0000-0000A3290000}"/>
    <cellStyle name="Normal 13 2 3 7 2" xfId="6782" xr:uid="{00000000-0005-0000-0000-0000A4290000}"/>
    <cellStyle name="Normal 13 2 3 7 2 2" xfId="15230" xr:uid="{00000000-0005-0000-0000-0000A5290000}"/>
    <cellStyle name="Normal 13 2 3 7 2 2 2" xfId="32170" xr:uid="{00000000-0005-0000-0000-0000A6290000}"/>
    <cellStyle name="Normal 13 2 3 7 2 3" xfId="23722" xr:uid="{00000000-0005-0000-0000-0000A7290000}"/>
    <cellStyle name="Normal 13 2 3 7 3" xfId="11006" xr:uid="{00000000-0005-0000-0000-0000A8290000}"/>
    <cellStyle name="Normal 13 2 3 7 3 2" xfId="27946" xr:uid="{00000000-0005-0000-0000-0000A9290000}"/>
    <cellStyle name="Normal 13 2 3 7 4" xfId="19498" xr:uid="{00000000-0005-0000-0000-0000AA290000}"/>
    <cellStyle name="Normal 13 2 3 8" xfId="4669" xr:uid="{00000000-0005-0000-0000-0000AB290000}"/>
    <cellStyle name="Normal 13 2 3 8 2" xfId="13118" xr:uid="{00000000-0005-0000-0000-0000AC290000}"/>
    <cellStyle name="Normal 13 2 3 8 2 2" xfId="30058" xr:uid="{00000000-0005-0000-0000-0000AD290000}"/>
    <cellStyle name="Normal 13 2 3 8 3" xfId="21610" xr:uid="{00000000-0005-0000-0000-0000AE290000}"/>
    <cellStyle name="Normal 13 2 3 9" xfId="8894" xr:uid="{00000000-0005-0000-0000-0000AF290000}"/>
    <cellStyle name="Normal 13 2 3 9 2" xfId="25834" xr:uid="{00000000-0005-0000-0000-0000B0290000}"/>
    <cellStyle name="Normal 13 2 4" xfId="612" xr:uid="{00000000-0005-0000-0000-0000B1290000}"/>
    <cellStyle name="Normal 13 2 4 2" xfId="964" xr:uid="{00000000-0005-0000-0000-0000B2290000}"/>
    <cellStyle name="Normal 13 2 4 2 2" xfId="2026" xr:uid="{00000000-0005-0000-0000-0000B3290000}"/>
    <cellStyle name="Normal 13 2 4 2 2 2" xfId="4138" xr:uid="{00000000-0005-0000-0000-0000B4290000}"/>
    <cellStyle name="Normal 13 2 4 2 2 2 2" xfId="8364" xr:uid="{00000000-0005-0000-0000-0000B5290000}"/>
    <cellStyle name="Normal 13 2 4 2 2 2 2 2" xfId="16812" xr:uid="{00000000-0005-0000-0000-0000B6290000}"/>
    <cellStyle name="Normal 13 2 4 2 2 2 2 2 2" xfId="33752" xr:uid="{00000000-0005-0000-0000-0000B7290000}"/>
    <cellStyle name="Normal 13 2 4 2 2 2 2 3" xfId="25304" xr:uid="{00000000-0005-0000-0000-0000B8290000}"/>
    <cellStyle name="Normal 13 2 4 2 2 2 3" xfId="12588" xr:uid="{00000000-0005-0000-0000-0000B9290000}"/>
    <cellStyle name="Normal 13 2 4 2 2 2 3 2" xfId="29528" xr:uid="{00000000-0005-0000-0000-0000BA290000}"/>
    <cellStyle name="Normal 13 2 4 2 2 2 4" xfId="21080" xr:uid="{00000000-0005-0000-0000-0000BB290000}"/>
    <cellStyle name="Normal 13 2 4 2 2 3" xfId="6252" xr:uid="{00000000-0005-0000-0000-0000BC290000}"/>
    <cellStyle name="Normal 13 2 4 2 2 3 2" xfId="14700" xr:uid="{00000000-0005-0000-0000-0000BD290000}"/>
    <cellStyle name="Normal 13 2 4 2 2 3 2 2" xfId="31640" xr:uid="{00000000-0005-0000-0000-0000BE290000}"/>
    <cellStyle name="Normal 13 2 4 2 2 3 3" xfId="23192" xr:uid="{00000000-0005-0000-0000-0000BF290000}"/>
    <cellStyle name="Normal 13 2 4 2 2 4" xfId="10476" xr:uid="{00000000-0005-0000-0000-0000C0290000}"/>
    <cellStyle name="Normal 13 2 4 2 2 4 2" xfId="27416" xr:uid="{00000000-0005-0000-0000-0000C1290000}"/>
    <cellStyle name="Normal 13 2 4 2 2 5" xfId="18968" xr:uid="{00000000-0005-0000-0000-0000C2290000}"/>
    <cellStyle name="Normal 13 2 4 2 3" xfId="3082" xr:uid="{00000000-0005-0000-0000-0000C3290000}"/>
    <cellStyle name="Normal 13 2 4 2 3 2" xfId="7308" xr:uid="{00000000-0005-0000-0000-0000C4290000}"/>
    <cellStyle name="Normal 13 2 4 2 3 2 2" xfId="15756" xr:uid="{00000000-0005-0000-0000-0000C5290000}"/>
    <cellStyle name="Normal 13 2 4 2 3 2 2 2" xfId="32696" xr:uid="{00000000-0005-0000-0000-0000C6290000}"/>
    <cellStyle name="Normal 13 2 4 2 3 2 3" xfId="24248" xr:uid="{00000000-0005-0000-0000-0000C7290000}"/>
    <cellStyle name="Normal 13 2 4 2 3 3" xfId="11532" xr:uid="{00000000-0005-0000-0000-0000C8290000}"/>
    <cellStyle name="Normal 13 2 4 2 3 3 2" xfId="28472" xr:uid="{00000000-0005-0000-0000-0000C9290000}"/>
    <cellStyle name="Normal 13 2 4 2 3 4" xfId="20024" xr:uid="{00000000-0005-0000-0000-0000CA290000}"/>
    <cellStyle name="Normal 13 2 4 2 4" xfId="5196" xr:uid="{00000000-0005-0000-0000-0000CB290000}"/>
    <cellStyle name="Normal 13 2 4 2 4 2" xfId="13644" xr:uid="{00000000-0005-0000-0000-0000CC290000}"/>
    <cellStyle name="Normal 13 2 4 2 4 2 2" xfId="30584" xr:uid="{00000000-0005-0000-0000-0000CD290000}"/>
    <cellStyle name="Normal 13 2 4 2 4 3" xfId="22136" xr:uid="{00000000-0005-0000-0000-0000CE290000}"/>
    <cellStyle name="Normal 13 2 4 2 5" xfId="9420" xr:uid="{00000000-0005-0000-0000-0000CF290000}"/>
    <cellStyle name="Normal 13 2 4 2 5 2" xfId="26360" xr:uid="{00000000-0005-0000-0000-0000D0290000}"/>
    <cellStyle name="Normal 13 2 4 2 6" xfId="17912" xr:uid="{00000000-0005-0000-0000-0000D1290000}"/>
    <cellStyle name="Normal 13 2 4 3" xfId="1674" xr:uid="{00000000-0005-0000-0000-0000D2290000}"/>
    <cellStyle name="Normal 13 2 4 3 2" xfId="3786" xr:uid="{00000000-0005-0000-0000-0000D3290000}"/>
    <cellStyle name="Normal 13 2 4 3 2 2" xfId="8012" xr:uid="{00000000-0005-0000-0000-0000D4290000}"/>
    <cellStyle name="Normal 13 2 4 3 2 2 2" xfId="16460" xr:uid="{00000000-0005-0000-0000-0000D5290000}"/>
    <cellStyle name="Normal 13 2 4 3 2 2 2 2" xfId="33400" xr:uid="{00000000-0005-0000-0000-0000D6290000}"/>
    <cellStyle name="Normal 13 2 4 3 2 2 3" xfId="24952" xr:uid="{00000000-0005-0000-0000-0000D7290000}"/>
    <cellStyle name="Normal 13 2 4 3 2 3" xfId="12236" xr:uid="{00000000-0005-0000-0000-0000D8290000}"/>
    <cellStyle name="Normal 13 2 4 3 2 3 2" xfId="29176" xr:uid="{00000000-0005-0000-0000-0000D9290000}"/>
    <cellStyle name="Normal 13 2 4 3 2 4" xfId="20728" xr:uid="{00000000-0005-0000-0000-0000DA290000}"/>
    <cellStyle name="Normal 13 2 4 3 3" xfId="5900" xr:uid="{00000000-0005-0000-0000-0000DB290000}"/>
    <cellStyle name="Normal 13 2 4 3 3 2" xfId="14348" xr:uid="{00000000-0005-0000-0000-0000DC290000}"/>
    <cellStyle name="Normal 13 2 4 3 3 2 2" xfId="31288" xr:uid="{00000000-0005-0000-0000-0000DD290000}"/>
    <cellStyle name="Normal 13 2 4 3 3 3" xfId="22840" xr:uid="{00000000-0005-0000-0000-0000DE290000}"/>
    <cellStyle name="Normal 13 2 4 3 4" xfId="10124" xr:uid="{00000000-0005-0000-0000-0000DF290000}"/>
    <cellStyle name="Normal 13 2 4 3 4 2" xfId="27064" xr:uid="{00000000-0005-0000-0000-0000E0290000}"/>
    <cellStyle name="Normal 13 2 4 3 5" xfId="18616" xr:uid="{00000000-0005-0000-0000-0000E1290000}"/>
    <cellStyle name="Normal 13 2 4 4" xfId="2730" xr:uid="{00000000-0005-0000-0000-0000E2290000}"/>
    <cellStyle name="Normal 13 2 4 4 2" xfId="6956" xr:uid="{00000000-0005-0000-0000-0000E3290000}"/>
    <cellStyle name="Normal 13 2 4 4 2 2" xfId="15404" xr:uid="{00000000-0005-0000-0000-0000E4290000}"/>
    <cellStyle name="Normal 13 2 4 4 2 2 2" xfId="32344" xr:uid="{00000000-0005-0000-0000-0000E5290000}"/>
    <cellStyle name="Normal 13 2 4 4 2 3" xfId="23896" xr:uid="{00000000-0005-0000-0000-0000E6290000}"/>
    <cellStyle name="Normal 13 2 4 4 3" xfId="11180" xr:uid="{00000000-0005-0000-0000-0000E7290000}"/>
    <cellStyle name="Normal 13 2 4 4 3 2" xfId="28120" xr:uid="{00000000-0005-0000-0000-0000E8290000}"/>
    <cellStyle name="Normal 13 2 4 4 4" xfId="19672" xr:uid="{00000000-0005-0000-0000-0000E9290000}"/>
    <cellStyle name="Normal 13 2 4 5" xfId="4844" xr:uid="{00000000-0005-0000-0000-0000EA290000}"/>
    <cellStyle name="Normal 13 2 4 5 2" xfId="13292" xr:uid="{00000000-0005-0000-0000-0000EB290000}"/>
    <cellStyle name="Normal 13 2 4 5 2 2" xfId="30232" xr:uid="{00000000-0005-0000-0000-0000EC290000}"/>
    <cellStyle name="Normal 13 2 4 5 3" xfId="21784" xr:uid="{00000000-0005-0000-0000-0000ED290000}"/>
    <cellStyle name="Normal 13 2 4 6" xfId="9068" xr:uid="{00000000-0005-0000-0000-0000EE290000}"/>
    <cellStyle name="Normal 13 2 4 6 2" xfId="26008" xr:uid="{00000000-0005-0000-0000-0000EF290000}"/>
    <cellStyle name="Normal 13 2 4 7" xfId="17560" xr:uid="{00000000-0005-0000-0000-0000F0290000}"/>
    <cellStyle name="Normal 13 2 5" xfId="788" xr:uid="{00000000-0005-0000-0000-0000F1290000}"/>
    <cellStyle name="Normal 13 2 5 2" xfId="1850" xr:uid="{00000000-0005-0000-0000-0000F2290000}"/>
    <cellStyle name="Normal 13 2 5 2 2" xfId="3962" xr:uid="{00000000-0005-0000-0000-0000F3290000}"/>
    <cellStyle name="Normal 13 2 5 2 2 2" xfId="8188" xr:uid="{00000000-0005-0000-0000-0000F4290000}"/>
    <cellStyle name="Normal 13 2 5 2 2 2 2" xfId="16636" xr:uid="{00000000-0005-0000-0000-0000F5290000}"/>
    <cellStyle name="Normal 13 2 5 2 2 2 2 2" xfId="33576" xr:uid="{00000000-0005-0000-0000-0000F6290000}"/>
    <cellStyle name="Normal 13 2 5 2 2 2 3" xfId="25128" xr:uid="{00000000-0005-0000-0000-0000F7290000}"/>
    <cellStyle name="Normal 13 2 5 2 2 3" xfId="12412" xr:uid="{00000000-0005-0000-0000-0000F8290000}"/>
    <cellStyle name="Normal 13 2 5 2 2 3 2" xfId="29352" xr:uid="{00000000-0005-0000-0000-0000F9290000}"/>
    <cellStyle name="Normal 13 2 5 2 2 4" xfId="20904" xr:uid="{00000000-0005-0000-0000-0000FA290000}"/>
    <cellStyle name="Normal 13 2 5 2 3" xfId="6076" xr:uid="{00000000-0005-0000-0000-0000FB290000}"/>
    <cellStyle name="Normal 13 2 5 2 3 2" xfId="14524" xr:uid="{00000000-0005-0000-0000-0000FC290000}"/>
    <cellStyle name="Normal 13 2 5 2 3 2 2" xfId="31464" xr:uid="{00000000-0005-0000-0000-0000FD290000}"/>
    <cellStyle name="Normal 13 2 5 2 3 3" xfId="23016" xr:uid="{00000000-0005-0000-0000-0000FE290000}"/>
    <cellStyle name="Normal 13 2 5 2 4" xfId="10300" xr:uid="{00000000-0005-0000-0000-0000FF290000}"/>
    <cellStyle name="Normal 13 2 5 2 4 2" xfId="27240" xr:uid="{00000000-0005-0000-0000-0000002A0000}"/>
    <cellStyle name="Normal 13 2 5 2 5" xfId="18792" xr:uid="{00000000-0005-0000-0000-0000012A0000}"/>
    <cellStyle name="Normal 13 2 5 3" xfId="2906" xr:uid="{00000000-0005-0000-0000-0000022A0000}"/>
    <cellStyle name="Normal 13 2 5 3 2" xfId="7132" xr:uid="{00000000-0005-0000-0000-0000032A0000}"/>
    <cellStyle name="Normal 13 2 5 3 2 2" xfId="15580" xr:uid="{00000000-0005-0000-0000-0000042A0000}"/>
    <cellStyle name="Normal 13 2 5 3 2 2 2" xfId="32520" xr:uid="{00000000-0005-0000-0000-0000052A0000}"/>
    <cellStyle name="Normal 13 2 5 3 2 3" xfId="24072" xr:uid="{00000000-0005-0000-0000-0000062A0000}"/>
    <cellStyle name="Normal 13 2 5 3 3" xfId="11356" xr:uid="{00000000-0005-0000-0000-0000072A0000}"/>
    <cellStyle name="Normal 13 2 5 3 3 2" xfId="28296" xr:uid="{00000000-0005-0000-0000-0000082A0000}"/>
    <cellStyle name="Normal 13 2 5 3 4" xfId="19848" xr:uid="{00000000-0005-0000-0000-0000092A0000}"/>
    <cellStyle name="Normal 13 2 5 4" xfId="5020" xr:uid="{00000000-0005-0000-0000-00000A2A0000}"/>
    <cellStyle name="Normal 13 2 5 4 2" xfId="13468" xr:uid="{00000000-0005-0000-0000-00000B2A0000}"/>
    <cellStyle name="Normal 13 2 5 4 2 2" xfId="30408" xr:uid="{00000000-0005-0000-0000-00000C2A0000}"/>
    <cellStyle name="Normal 13 2 5 4 3" xfId="21960" xr:uid="{00000000-0005-0000-0000-00000D2A0000}"/>
    <cellStyle name="Normal 13 2 5 5" xfId="9244" xr:uid="{00000000-0005-0000-0000-00000E2A0000}"/>
    <cellStyle name="Normal 13 2 5 5 2" xfId="26184" xr:uid="{00000000-0005-0000-0000-00000F2A0000}"/>
    <cellStyle name="Normal 13 2 5 6" xfId="17736" xr:uid="{00000000-0005-0000-0000-0000102A0000}"/>
    <cellStyle name="Normal 13 2 6" xfId="1140" xr:uid="{00000000-0005-0000-0000-0000112A0000}"/>
    <cellStyle name="Normal 13 2 6 2" xfId="2202" xr:uid="{00000000-0005-0000-0000-0000122A0000}"/>
    <cellStyle name="Normal 13 2 6 2 2" xfId="4314" xr:uid="{00000000-0005-0000-0000-0000132A0000}"/>
    <cellStyle name="Normal 13 2 6 2 2 2" xfId="8540" xr:uid="{00000000-0005-0000-0000-0000142A0000}"/>
    <cellStyle name="Normal 13 2 6 2 2 2 2" xfId="16988" xr:uid="{00000000-0005-0000-0000-0000152A0000}"/>
    <cellStyle name="Normal 13 2 6 2 2 2 2 2" xfId="33928" xr:uid="{00000000-0005-0000-0000-0000162A0000}"/>
    <cellStyle name="Normal 13 2 6 2 2 2 3" xfId="25480" xr:uid="{00000000-0005-0000-0000-0000172A0000}"/>
    <cellStyle name="Normal 13 2 6 2 2 3" xfId="12764" xr:uid="{00000000-0005-0000-0000-0000182A0000}"/>
    <cellStyle name="Normal 13 2 6 2 2 3 2" xfId="29704" xr:uid="{00000000-0005-0000-0000-0000192A0000}"/>
    <cellStyle name="Normal 13 2 6 2 2 4" xfId="21256" xr:uid="{00000000-0005-0000-0000-00001A2A0000}"/>
    <cellStyle name="Normal 13 2 6 2 3" xfId="6428" xr:uid="{00000000-0005-0000-0000-00001B2A0000}"/>
    <cellStyle name="Normal 13 2 6 2 3 2" xfId="14876" xr:uid="{00000000-0005-0000-0000-00001C2A0000}"/>
    <cellStyle name="Normal 13 2 6 2 3 2 2" xfId="31816" xr:uid="{00000000-0005-0000-0000-00001D2A0000}"/>
    <cellStyle name="Normal 13 2 6 2 3 3" xfId="23368" xr:uid="{00000000-0005-0000-0000-00001E2A0000}"/>
    <cellStyle name="Normal 13 2 6 2 4" xfId="10652" xr:uid="{00000000-0005-0000-0000-00001F2A0000}"/>
    <cellStyle name="Normal 13 2 6 2 4 2" xfId="27592" xr:uid="{00000000-0005-0000-0000-0000202A0000}"/>
    <cellStyle name="Normal 13 2 6 2 5" xfId="19144" xr:uid="{00000000-0005-0000-0000-0000212A0000}"/>
    <cellStyle name="Normal 13 2 6 3" xfId="3258" xr:uid="{00000000-0005-0000-0000-0000222A0000}"/>
    <cellStyle name="Normal 13 2 6 3 2" xfId="7484" xr:uid="{00000000-0005-0000-0000-0000232A0000}"/>
    <cellStyle name="Normal 13 2 6 3 2 2" xfId="15932" xr:uid="{00000000-0005-0000-0000-0000242A0000}"/>
    <cellStyle name="Normal 13 2 6 3 2 2 2" xfId="32872" xr:uid="{00000000-0005-0000-0000-0000252A0000}"/>
    <cellStyle name="Normal 13 2 6 3 2 3" xfId="24424" xr:uid="{00000000-0005-0000-0000-0000262A0000}"/>
    <cellStyle name="Normal 13 2 6 3 3" xfId="11708" xr:uid="{00000000-0005-0000-0000-0000272A0000}"/>
    <cellStyle name="Normal 13 2 6 3 3 2" xfId="28648" xr:uid="{00000000-0005-0000-0000-0000282A0000}"/>
    <cellStyle name="Normal 13 2 6 3 4" xfId="20200" xr:uid="{00000000-0005-0000-0000-0000292A0000}"/>
    <cellStyle name="Normal 13 2 6 4" xfId="5372" xr:uid="{00000000-0005-0000-0000-00002A2A0000}"/>
    <cellStyle name="Normal 13 2 6 4 2" xfId="13820" xr:uid="{00000000-0005-0000-0000-00002B2A0000}"/>
    <cellStyle name="Normal 13 2 6 4 2 2" xfId="30760" xr:uid="{00000000-0005-0000-0000-00002C2A0000}"/>
    <cellStyle name="Normal 13 2 6 4 3" xfId="22312" xr:uid="{00000000-0005-0000-0000-00002D2A0000}"/>
    <cellStyle name="Normal 13 2 6 5" xfId="9596" xr:uid="{00000000-0005-0000-0000-00002E2A0000}"/>
    <cellStyle name="Normal 13 2 6 5 2" xfId="26536" xr:uid="{00000000-0005-0000-0000-00002F2A0000}"/>
    <cellStyle name="Normal 13 2 6 6" xfId="18088" xr:uid="{00000000-0005-0000-0000-0000302A0000}"/>
    <cellStyle name="Normal 13 2 7" xfId="1322" xr:uid="{00000000-0005-0000-0000-0000312A0000}"/>
    <cellStyle name="Normal 13 2 7 2" xfId="2378" xr:uid="{00000000-0005-0000-0000-0000322A0000}"/>
    <cellStyle name="Normal 13 2 7 2 2" xfId="4490" xr:uid="{00000000-0005-0000-0000-0000332A0000}"/>
    <cellStyle name="Normal 13 2 7 2 2 2" xfId="8716" xr:uid="{00000000-0005-0000-0000-0000342A0000}"/>
    <cellStyle name="Normal 13 2 7 2 2 2 2" xfId="17164" xr:uid="{00000000-0005-0000-0000-0000352A0000}"/>
    <cellStyle name="Normal 13 2 7 2 2 2 2 2" xfId="34104" xr:uid="{00000000-0005-0000-0000-0000362A0000}"/>
    <cellStyle name="Normal 13 2 7 2 2 2 3" xfId="25656" xr:uid="{00000000-0005-0000-0000-0000372A0000}"/>
    <cellStyle name="Normal 13 2 7 2 2 3" xfId="12940" xr:uid="{00000000-0005-0000-0000-0000382A0000}"/>
    <cellStyle name="Normal 13 2 7 2 2 3 2" xfId="29880" xr:uid="{00000000-0005-0000-0000-0000392A0000}"/>
    <cellStyle name="Normal 13 2 7 2 2 4" xfId="21432" xr:uid="{00000000-0005-0000-0000-00003A2A0000}"/>
    <cellStyle name="Normal 13 2 7 2 3" xfId="6604" xr:uid="{00000000-0005-0000-0000-00003B2A0000}"/>
    <cellStyle name="Normal 13 2 7 2 3 2" xfId="15052" xr:uid="{00000000-0005-0000-0000-00003C2A0000}"/>
    <cellStyle name="Normal 13 2 7 2 3 2 2" xfId="31992" xr:uid="{00000000-0005-0000-0000-00003D2A0000}"/>
    <cellStyle name="Normal 13 2 7 2 3 3" xfId="23544" xr:uid="{00000000-0005-0000-0000-00003E2A0000}"/>
    <cellStyle name="Normal 13 2 7 2 4" xfId="10828" xr:uid="{00000000-0005-0000-0000-00003F2A0000}"/>
    <cellStyle name="Normal 13 2 7 2 4 2" xfId="27768" xr:uid="{00000000-0005-0000-0000-0000402A0000}"/>
    <cellStyle name="Normal 13 2 7 2 5" xfId="19320" xr:uid="{00000000-0005-0000-0000-0000412A0000}"/>
    <cellStyle name="Normal 13 2 7 3" xfId="3434" xr:uid="{00000000-0005-0000-0000-0000422A0000}"/>
    <cellStyle name="Normal 13 2 7 3 2" xfId="7660" xr:uid="{00000000-0005-0000-0000-0000432A0000}"/>
    <cellStyle name="Normal 13 2 7 3 2 2" xfId="16108" xr:uid="{00000000-0005-0000-0000-0000442A0000}"/>
    <cellStyle name="Normal 13 2 7 3 2 2 2" xfId="33048" xr:uid="{00000000-0005-0000-0000-0000452A0000}"/>
    <cellStyle name="Normal 13 2 7 3 2 3" xfId="24600" xr:uid="{00000000-0005-0000-0000-0000462A0000}"/>
    <cellStyle name="Normal 13 2 7 3 3" xfId="11884" xr:uid="{00000000-0005-0000-0000-0000472A0000}"/>
    <cellStyle name="Normal 13 2 7 3 3 2" xfId="28824" xr:uid="{00000000-0005-0000-0000-0000482A0000}"/>
    <cellStyle name="Normal 13 2 7 3 4" xfId="20376" xr:uid="{00000000-0005-0000-0000-0000492A0000}"/>
    <cellStyle name="Normal 13 2 7 4" xfId="5548" xr:uid="{00000000-0005-0000-0000-00004A2A0000}"/>
    <cellStyle name="Normal 13 2 7 4 2" xfId="13996" xr:uid="{00000000-0005-0000-0000-00004B2A0000}"/>
    <cellStyle name="Normal 13 2 7 4 2 2" xfId="30936" xr:uid="{00000000-0005-0000-0000-00004C2A0000}"/>
    <cellStyle name="Normal 13 2 7 4 3" xfId="22488" xr:uid="{00000000-0005-0000-0000-00004D2A0000}"/>
    <cellStyle name="Normal 13 2 7 5" xfId="9772" xr:uid="{00000000-0005-0000-0000-00004E2A0000}"/>
    <cellStyle name="Normal 13 2 7 5 2" xfId="26712" xr:uid="{00000000-0005-0000-0000-00004F2A0000}"/>
    <cellStyle name="Normal 13 2 7 6" xfId="18264" xr:uid="{00000000-0005-0000-0000-0000502A0000}"/>
    <cellStyle name="Normal 13 2 8" xfId="1498" xr:uid="{00000000-0005-0000-0000-0000512A0000}"/>
    <cellStyle name="Normal 13 2 8 2" xfId="3610" xr:uid="{00000000-0005-0000-0000-0000522A0000}"/>
    <cellStyle name="Normal 13 2 8 2 2" xfId="7836" xr:uid="{00000000-0005-0000-0000-0000532A0000}"/>
    <cellStyle name="Normal 13 2 8 2 2 2" xfId="16284" xr:uid="{00000000-0005-0000-0000-0000542A0000}"/>
    <cellStyle name="Normal 13 2 8 2 2 2 2" xfId="33224" xr:uid="{00000000-0005-0000-0000-0000552A0000}"/>
    <cellStyle name="Normal 13 2 8 2 2 3" xfId="24776" xr:uid="{00000000-0005-0000-0000-0000562A0000}"/>
    <cellStyle name="Normal 13 2 8 2 3" xfId="12060" xr:uid="{00000000-0005-0000-0000-0000572A0000}"/>
    <cellStyle name="Normal 13 2 8 2 3 2" xfId="29000" xr:uid="{00000000-0005-0000-0000-0000582A0000}"/>
    <cellStyle name="Normal 13 2 8 2 4" xfId="20552" xr:uid="{00000000-0005-0000-0000-0000592A0000}"/>
    <cellStyle name="Normal 13 2 8 3" xfId="5724" xr:uid="{00000000-0005-0000-0000-00005A2A0000}"/>
    <cellStyle name="Normal 13 2 8 3 2" xfId="14172" xr:uid="{00000000-0005-0000-0000-00005B2A0000}"/>
    <cellStyle name="Normal 13 2 8 3 2 2" xfId="31112" xr:uid="{00000000-0005-0000-0000-00005C2A0000}"/>
    <cellStyle name="Normal 13 2 8 3 3" xfId="22664" xr:uid="{00000000-0005-0000-0000-00005D2A0000}"/>
    <cellStyle name="Normal 13 2 8 4" xfId="9948" xr:uid="{00000000-0005-0000-0000-00005E2A0000}"/>
    <cellStyle name="Normal 13 2 8 4 2" xfId="26888" xr:uid="{00000000-0005-0000-0000-00005F2A0000}"/>
    <cellStyle name="Normal 13 2 8 5" xfId="18440" xr:uid="{00000000-0005-0000-0000-0000602A0000}"/>
    <cellStyle name="Normal 13 2 9" xfId="2554" xr:uid="{00000000-0005-0000-0000-0000612A0000}"/>
    <cellStyle name="Normal 13 2 9 2" xfId="6780" xr:uid="{00000000-0005-0000-0000-0000622A0000}"/>
    <cellStyle name="Normal 13 2 9 2 2" xfId="15228" xr:uid="{00000000-0005-0000-0000-0000632A0000}"/>
    <cellStyle name="Normal 13 2 9 2 2 2" xfId="32168" xr:uid="{00000000-0005-0000-0000-0000642A0000}"/>
    <cellStyle name="Normal 13 2 9 2 3" xfId="23720" xr:uid="{00000000-0005-0000-0000-0000652A0000}"/>
    <cellStyle name="Normal 13 2 9 3" xfId="11004" xr:uid="{00000000-0005-0000-0000-0000662A0000}"/>
    <cellStyle name="Normal 13 2 9 3 2" xfId="27944" xr:uid="{00000000-0005-0000-0000-0000672A0000}"/>
    <cellStyle name="Normal 13 2 9 4" xfId="19496" xr:uid="{00000000-0005-0000-0000-0000682A0000}"/>
    <cellStyle name="Normal 13 3" xfId="274" xr:uid="{00000000-0005-0000-0000-0000692A0000}"/>
    <cellStyle name="Normal 13 4" xfId="275" xr:uid="{00000000-0005-0000-0000-00006A2A0000}"/>
    <cellStyle name="Normal 13 4 10" xfId="17387" xr:uid="{00000000-0005-0000-0000-00006B2A0000}"/>
    <cellStyle name="Normal 13 4 2" xfId="615" xr:uid="{00000000-0005-0000-0000-00006C2A0000}"/>
    <cellStyle name="Normal 13 4 2 2" xfId="967" xr:uid="{00000000-0005-0000-0000-00006D2A0000}"/>
    <cellStyle name="Normal 13 4 2 2 2" xfId="2029" xr:uid="{00000000-0005-0000-0000-00006E2A0000}"/>
    <cellStyle name="Normal 13 4 2 2 2 2" xfId="4141" xr:uid="{00000000-0005-0000-0000-00006F2A0000}"/>
    <cellStyle name="Normal 13 4 2 2 2 2 2" xfId="8367" xr:uid="{00000000-0005-0000-0000-0000702A0000}"/>
    <cellStyle name="Normal 13 4 2 2 2 2 2 2" xfId="16815" xr:uid="{00000000-0005-0000-0000-0000712A0000}"/>
    <cellStyle name="Normal 13 4 2 2 2 2 2 2 2" xfId="33755" xr:uid="{00000000-0005-0000-0000-0000722A0000}"/>
    <cellStyle name="Normal 13 4 2 2 2 2 2 3" xfId="25307" xr:uid="{00000000-0005-0000-0000-0000732A0000}"/>
    <cellStyle name="Normal 13 4 2 2 2 2 3" xfId="12591" xr:uid="{00000000-0005-0000-0000-0000742A0000}"/>
    <cellStyle name="Normal 13 4 2 2 2 2 3 2" xfId="29531" xr:uid="{00000000-0005-0000-0000-0000752A0000}"/>
    <cellStyle name="Normal 13 4 2 2 2 2 4" xfId="21083" xr:uid="{00000000-0005-0000-0000-0000762A0000}"/>
    <cellStyle name="Normal 13 4 2 2 2 3" xfId="6255" xr:uid="{00000000-0005-0000-0000-0000772A0000}"/>
    <cellStyle name="Normal 13 4 2 2 2 3 2" xfId="14703" xr:uid="{00000000-0005-0000-0000-0000782A0000}"/>
    <cellStyle name="Normal 13 4 2 2 2 3 2 2" xfId="31643" xr:uid="{00000000-0005-0000-0000-0000792A0000}"/>
    <cellStyle name="Normal 13 4 2 2 2 3 3" xfId="23195" xr:uid="{00000000-0005-0000-0000-00007A2A0000}"/>
    <cellStyle name="Normal 13 4 2 2 2 4" xfId="10479" xr:uid="{00000000-0005-0000-0000-00007B2A0000}"/>
    <cellStyle name="Normal 13 4 2 2 2 4 2" xfId="27419" xr:uid="{00000000-0005-0000-0000-00007C2A0000}"/>
    <cellStyle name="Normal 13 4 2 2 2 5" xfId="18971" xr:uid="{00000000-0005-0000-0000-00007D2A0000}"/>
    <cellStyle name="Normal 13 4 2 2 3" xfId="3085" xr:uid="{00000000-0005-0000-0000-00007E2A0000}"/>
    <cellStyle name="Normal 13 4 2 2 3 2" xfId="7311" xr:uid="{00000000-0005-0000-0000-00007F2A0000}"/>
    <cellStyle name="Normal 13 4 2 2 3 2 2" xfId="15759" xr:uid="{00000000-0005-0000-0000-0000802A0000}"/>
    <cellStyle name="Normal 13 4 2 2 3 2 2 2" xfId="32699" xr:uid="{00000000-0005-0000-0000-0000812A0000}"/>
    <cellStyle name="Normal 13 4 2 2 3 2 3" xfId="24251" xr:uid="{00000000-0005-0000-0000-0000822A0000}"/>
    <cellStyle name="Normal 13 4 2 2 3 3" xfId="11535" xr:uid="{00000000-0005-0000-0000-0000832A0000}"/>
    <cellStyle name="Normal 13 4 2 2 3 3 2" xfId="28475" xr:uid="{00000000-0005-0000-0000-0000842A0000}"/>
    <cellStyle name="Normal 13 4 2 2 3 4" xfId="20027" xr:uid="{00000000-0005-0000-0000-0000852A0000}"/>
    <cellStyle name="Normal 13 4 2 2 4" xfId="5199" xr:uid="{00000000-0005-0000-0000-0000862A0000}"/>
    <cellStyle name="Normal 13 4 2 2 4 2" xfId="13647" xr:uid="{00000000-0005-0000-0000-0000872A0000}"/>
    <cellStyle name="Normal 13 4 2 2 4 2 2" xfId="30587" xr:uid="{00000000-0005-0000-0000-0000882A0000}"/>
    <cellStyle name="Normal 13 4 2 2 4 3" xfId="22139" xr:uid="{00000000-0005-0000-0000-0000892A0000}"/>
    <cellStyle name="Normal 13 4 2 2 5" xfId="9423" xr:uid="{00000000-0005-0000-0000-00008A2A0000}"/>
    <cellStyle name="Normal 13 4 2 2 5 2" xfId="26363" xr:uid="{00000000-0005-0000-0000-00008B2A0000}"/>
    <cellStyle name="Normal 13 4 2 2 6" xfId="17915" xr:uid="{00000000-0005-0000-0000-00008C2A0000}"/>
    <cellStyle name="Normal 13 4 2 3" xfId="1677" xr:uid="{00000000-0005-0000-0000-00008D2A0000}"/>
    <cellStyle name="Normal 13 4 2 3 2" xfId="3789" xr:uid="{00000000-0005-0000-0000-00008E2A0000}"/>
    <cellStyle name="Normal 13 4 2 3 2 2" xfId="8015" xr:uid="{00000000-0005-0000-0000-00008F2A0000}"/>
    <cellStyle name="Normal 13 4 2 3 2 2 2" xfId="16463" xr:uid="{00000000-0005-0000-0000-0000902A0000}"/>
    <cellStyle name="Normal 13 4 2 3 2 2 2 2" xfId="33403" xr:uid="{00000000-0005-0000-0000-0000912A0000}"/>
    <cellStyle name="Normal 13 4 2 3 2 2 3" xfId="24955" xr:uid="{00000000-0005-0000-0000-0000922A0000}"/>
    <cellStyle name="Normal 13 4 2 3 2 3" xfId="12239" xr:uid="{00000000-0005-0000-0000-0000932A0000}"/>
    <cellStyle name="Normal 13 4 2 3 2 3 2" xfId="29179" xr:uid="{00000000-0005-0000-0000-0000942A0000}"/>
    <cellStyle name="Normal 13 4 2 3 2 4" xfId="20731" xr:uid="{00000000-0005-0000-0000-0000952A0000}"/>
    <cellStyle name="Normal 13 4 2 3 3" xfId="5903" xr:uid="{00000000-0005-0000-0000-0000962A0000}"/>
    <cellStyle name="Normal 13 4 2 3 3 2" xfId="14351" xr:uid="{00000000-0005-0000-0000-0000972A0000}"/>
    <cellStyle name="Normal 13 4 2 3 3 2 2" xfId="31291" xr:uid="{00000000-0005-0000-0000-0000982A0000}"/>
    <cellStyle name="Normal 13 4 2 3 3 3" xfId="22843" xr:uid="{00000000-0005-0000-0000-0000992A0000}"/>
    <cellStyle name="Normal 13 4 2 3 4" xfId="10127" xr:uid="{00000000-0005-0000-0000-00009A2A0000}"/>
    <cellStyle name="Normal 13 4 2 3 4 2" xfId="27067" xr:uid="{00000000-0005-0000-0000-00009B2A0000}"/>
    <cellStyle name="Normal 13 4 2 3 5" xfId="18619" xr:uid="{00000000-0005-0000-0000-00009C2A0000}"/>
    <cellStyle name="Normal 13 4 2 4" xfId="2733" xr:uid="{00000000-0005-0000-0000-00009D2A0000}"/>
    <cellStyle name="Normal 13 4 2 4 2" xfId="6959" xr:uid="{00000000-0005-0000-0000-00009E2A0000}"/>
    <cellStyle name="Normal 13 4 2 4 2 2" xfId="15407" xr:uid="{00000000-0005-0000-0000-00009F2A0000}"/>
    <cellStyle name="Normal 13 4 2 4 2 2 2" xfId="32347" xr:uid="{00000000-0005-0000-0000-0000A02A0000}"/>
    <cellStyle name="Normal 13 4 2 4 2 3" xfId="23899" xr:uid="{00000000-0005-0000-0000-0000A12A0000}"/>
    <cellStyle name="Normal 13 4 2 4 3" xfId="11183" xr:uid="{00000000-0005-0000-0000-0000A22A0000}"/>
    <cellStyle name="Normal 13 4 2 4 3 2" xfId="28123" xr:uid="{00000000-0005-0000-0000-0000A32A0000}"/>
    <cellStyle name="Normal 13 4 2 4 4" xfId="19675" xr:uid="{00000000-0005-0000-0000-0000A42A0000}"/>
    <cellStyle name="Normal 13 4 2 5" xfId="4847" xr:uid="{00000000-0005-0000-0000-0000A52A0000}"/>
    <cellStyle name="Normal 13 4 2 5 2" xfId="13295" xr:uid="{00000000-0005-0000-0000-0000A62A0000}"/>
    <cellStyle name="Normal 13 4 2 5 2 2" xfId="30235" xr:uid="{00000000-0005-0000-0000-0000A72A0000}"/>
    <cellStyle name="Normal 13 4 2 5 3" xfId="21787" xr:uid="{00000000-0005-0000-0000-0000A82A0000}"/>
    <cellStyle name="Normal 13 4 2 6" xfId="9071" xr:uid="{00000000-0005-0000-0000-0000A92A0000}"/>
    <cellStyle name="Normal 13 4 2 6 2" xfId="26011" xr:uid="{00000000-0005-0000-0000-0000AA2A0000}"/>
    <cellStyle name="Normal 13 4 2 7" xfId="17563" xr:uid="{00000000-0005-0000-0000-0000AB2A0000}"/>
    <cellStyle name="Normal 13 4 3" xfId="791" xr:uid="{00000000-0005-0000-0000-0000AC2A0000}"/>
    <cellStyle name="Normal 13 4 3 2" xfId="1853" xr:uid="{00000000-0005-0000-0000-0000AD2A0000}"/>
    <cellStyle name="Normal 13 4 3 2 2" xfId="3965" xr:uid="{00000000-0005-0000-0000-0000AE2A0000}"/>
    <cellStyle name="Normal 13 4 3 2 2 2" xfId="8191" xr:uid="{00000000-0005-0000-0000-0000AF2A0000}"/>
    <cellStyle name="Normal 13 4 3 2 2 2 2" xfId="16639" xr:uid="{00000000-0005-0000-0000-0000B02A0000}"/>
    <cellStyle name="Normal 13 4 3 2 2 2 2 2" xfId="33579" xr:uid="{00000000-0005-0000-0000-0000B12A0000}"/>
    <cellStyle name="Normal 13 4 3 2 2 2 3" xfId="25131" xr:uid="{00000000-0005-0000-0000-0000B22A0000}"/>
    <cellStyle name="Normal 13 4 3 2 2 3" xfId="12415" xr:uid="{00000000-0005-0000-0000-0000B32A0000}"/>
    <cellStyle name="Normal 13 4 3 2 2 3 2" xfId="29355" xr:uid="{00000000-0005-0000-0000-0000B42A0000}"/>
    <cellStyle name="Normal 13 4 3 2 2 4" xfId="20907" xr:uid="{00000000-0005-0000-0000-0000B52A0000}"/>
    <cellStyle name="Normal 13 4 3 2 3" xfId="6079" xr:uid="{00000000-0005-0000-0000-0000B62A0000}"/>
    <cellStyle name="Normal 13 4 3 2 3 2" xfId="14527" xr:uid="{00000000-0005-0000-0000-0000B72A0000}"/>
    <cellStyle name="Normal 13 4 3 2 3 2 2" xfId="31467" xr:uid="{00000000-0005-0000-0000-0000B82A0000}"/>
    <cellStyle name="Normal 13 4 3 2 3 3" xfId="23019" xr:uid="{00000000-0005-0000-0000-0000B92A0000}"/>
    <cellStyle name="Normal 13 4 3 2 4" xfId="10303" xr:uid="{00000000-0005-0000-0000-0000BA2A0000}"/>
    <cellStyle name="Normal 13 4 3 2 4 2" xfId="27243" xr:uid="{00000000-0005-0000-0000-0000BB2A0000}"/>
    <cellStyle name="Normal 13 4 3 2 5" xfId="18795" xr:uid="{00000000-0005-0000-0000-0000BC2A0000}"/>
    <cellStyle name="Normal 13 4 3 3" xfId="2909" xr:uid="{00000000-0005-0000-0000-0000BD2A0000}"/>
    <cellStyle name="Normal 13 4 3 3 2" xfId="7135" xr:uid="{00000000-0005-0000-0000-0000BE2A0000}"/>
    <cellStyle name="Normal 13 4 3 3 2 2" xfId="15583" xr:uid="{00000000-0005-0000-0000-0000BF2A0000}"/>
    <cellStyle name="Normal 13 4 3 3 2 2 2" xfId="32523" xr:uid="{00000000-0005-0000-0000-0000C02A0000}"/>
    <cellStyle name="Normal 13 4 3 3 2 3" xfId="24075" xr:uid="{00000000-0005-0000-0000-0000C12A0000}"/>
    <cellStyle name="Normal 13 4 3 3 3" xfId="11359" xr:uid="{00000000-0005-0000-0000-0000C22A0000}"/>
    <cellStyle name="Normal 13 4 3 3 3 2" xfId="28299" xr:uid="{00000000-0005-0000-0000-0000C32A0000}"/>
    <cellStyle name="Normal 13 4 3 3 4" xfId="19851" xr:uid="{00000000-0005-0000-0000-0000C42A0000}"/>
    <cellStyle name="Normal 13 4 3 4" xfId="5023" xr:uid="{00000000-0005-0000-0000-0000C52A0000}"/>
    <cellStyle name="Normal 13 4 3 4 2" xfId="13471" xr:uid="{00000000-0005-0000-0000-0000C62A0000}"/>
    <cellStyle name="Normal 13 4 3 4 2 2" xfId="30411" xr:uid="{00000000-0005-0000-0000-0000C72A0000}"/>
    <cellStyle name="Normal 13 4 3 4 3" xfId="21963" xr:uid="{00000000-0005-0000-0000-0000C82A0000}"/>
    <cellStyle name="Normal 13 4 3 5" xfId="9247" xr:uid="{00000000-0005-0000-0000-0000C92A0000}"/>
    <cellStyle name="Normal 13 4 3 5 2" xfId="26187" xr:uid="{00000000-0005-0000-0000-0000CA2A0000}"/>
    <cellStyle name="Normal 13 4 3 6" xfId="17739" xr:uid="{00000000-0005-0000-0000-0000CB2A0000}"/>
    <cellStyle name="Normal 13 4 4" xfId="1143" xr:uid="{00000000-0005-0000-0000-0000CC2A0000}"/>
    <cellStyle name="Normal 13 4 4 2" xfId="2205" xr:uid="{00000000-0005-0000-0000-0000CD2A0000}"/>
    <cellStyle name="Normal 13 4 4 2 2" xfId="4317" xr:uid="{00000000-0005-0000-0000-0000CE2A0000}"/>
    <cellStyle name="Normal 13 4 4 2 2 2" xfId="8543" xr:uid="{00000000-0005-0000-0000-0000CF2A0000}"/>
    <cellStyle name="Normal 13 4 4 2 2 2 2" xfId="16991" xr:uid="{00000000-0005-0000-0000-0000D02A0000}"/>
    <cellStyle name="Normal 13 4 4 2 2 2 2 2" xfId="33931" xr:uid="{00000000-0005-0000-0000-0000D12A0000}"/>
    <cellStyle name="Normal 13 4 4 2 2 2 3" xfId="25483" xr:uid="{00000000-0005-0000-0000-0000D22A0000}"/>
    <cellStyle name="Normal 13 4 4 2 2 3" xfId="12767" xr:uid="{00000000-0005-0000-0000-0000D32A0000}"/>
    <cellStyle name="Normal 13 4 4 2 2 3 2" xfId="29707" xr:uid="{00000000-0005-0000-0000-0000D42A0000}"/>
    <cellStyle name="Normal 13 4 4 2 2 4" xfId="21259" xr:uid="{00000000-0005-0000-0000-0000D52A0000}"/>
    <cellStyle name="Normal 13 4 4 2 3" xfId="6431" xr:uid="{00000000-0005-0000-0000-0000D62A0000}"/>
    <cellStyle name="Normal 13 4 4 2 3 2" xfId="14879" xr:uid="{00000000-0005-0000-0000-0000D72A0000}"/>
    <cellStyle name="Normal 13 4 4 2 3 2 2" xfId="31819" xr:uid="{00000000-0005-0000-0000-0000D82A0000}"/>
    <cellStyle name="Normal 13 4 4 2 3 3" xfId="23371" xr:uid="{00000000-0005-0000-0000-0000D92A0000}"/>
    <cellStyle name="Normal 13 4 4 2 4" xfId="10655" xr:uid="{00000000-0005-0000-0000-0000DA2A0000}"/>
    <cellStyle name="Normal 13 4 4 2 4 2" xfId="27595" xr:uid="{00000000-0005-0000-0000-0000DB2A0000}"/>
    <cellStyle name="Normal 13 4 4 2 5" xfId="19147" xr:uid="{00000000-0005-0000-0000-0000DC2A0000}"/>
    <cellStyle name="Normal 13 4 4 3" xfId="3261" xr:uid="{00000000-0005-0000-0000-0000DD2A0000}"/>
    <cellStyle name="Normal 13 4 4 3 2" xfId="7487" xr:uid="{00000000-0005-0000-0000-0000DE2A0000}"/>
    <cellStyle name="Normal 13 4 4 3 2 2" xfId="15935" xr:uid="{00000000-0005-0000-0000-0000DF2A0000}"/>
    <cellStyle name="Normal 13 4 4 3 2 2 2" xfId="32875" xr:uid="{00000000-0005-0000-0000-0000E02A0000}"/>
    <cellStyle name="Normal 13 4 4 3 2 3" xfId="24427" xr:uid="{00000000-0005-0000-0000-0000E12A0000}"/>
    <cellStyle name="Normal 13 4 4 3 3" xfId="11711" xr:uid="{00000000-0005-0000-0000-0000E22A0000}"/>
    <cellStyle name="Normal 13 4 4 3 3 2" xfId="28651" xr:uid="{00000000-0005-0000-0000-0000E32A0000}"/>
    <cellStyle name="Normal 13 4 4 3 4" xfId="20203" xr:uid="{00000000-0005-0000-0000-0000E42A0000}"/>
    <cellStyle name="Normal 13 4 4 4" xfId="5375" xr:uid="{00000000-0005-0000-0000-0000E52A0000}"/>
    <cellStyle name="Normal 13 4 4 4 2" xfId="13823" xr:uid="{00000000-0005-0000-0000-0000E62A0000}"/>
    <cellStyle name="Normal 13 4 4 4 2 2" xfId="30763" xr:uid="{00000000-0005-0000-0000-0000E72A0000}"/>
    <cellStyle name="Normal 13 4 4 4 3" xfId="22315" xr:uid="{00000000-0005-0000-0000-0000E82A0000}"/>
    <cellStyle name="Normal 13 4 4 5" xfId="9599" xr:uid="{00000000-0005-0000-0000-0000E92A0000}"/>
    <cellStyle name="Normal 13 4 4 5 2" xfId="26539" xr:uid="{00000000-0005-0000-0000-0000EA2A0000}"/>
    <cellStyle name="Normal 13 4 4 6" xfId="18091" xr:uid="{00000000-0005-0000-0000-0000EB2A0000}"/>
    <cellStyle name="Normal 13 4 5" xfId="1325" xr:uid="{00000000-0005-0000-0000-0000EC2A0000}"/>
    <cellStyle name="Normal 13 4 5 2" xfId="2381" xr:uid="{00000000-0005-0000-0000-0000ED2A0000}"/>
    <cellStyle name="Normal 13 4 5 2 2" xfId="4493" xr:uid="{00000000-0005-0000-0000-0000EE2A0000}"/>
    <cellStyle name="Normal 13 4 5 2 2 2" xfId="8719" xr:uid="{00000000-0005-0000-0000-0000EF2A0000}"/>
    <cellStyle name="Normal 13 4 5 2 2 2 2" xfId="17167" xr:uid="{00000000-0005-0000-0000-0000F02A0000}"/>
    <cellStyle name="Normal 13 4 5 2 2 2 2 2" xfId="34107" xr:uid="{00000000-0005-0000-0000-0000F12A0000}"/>
    <cellStyle name="Normal 13 4 5 2 2 2 3" xfId="25659" xr:uid="{00000000-0005-0000-0000-0000F22A0000}"/>
    <cellStyle name="Normal 13 4 5 2 2 3" xfId="12943" xr:uid="{00000000-0005-0000-0000-0000F32A0000}"/>
    <cellStyle name="Normal 13 4 5 2 2 3 2" xfId="29883" xr:uid="{00000000-0005-0000-0000-0000F42A0000}"/>
    <cellStyle name="Normal 13 4 5 2 2 4" xfId="21435" xr:uid="{00000000-0005-0000-0000-0000F52A0000}"/>
    <cellStyle name="Normal 13 4 5 2 3" xfId="6607" xr:uid="{00000000-0005-0000-0000-0000F62A0000}"/>
    <cellStyle name="Normal 13 4 5 2 3 2" xfId="15055" xr:uid="{00000000-0005-0000-0000-0000F72A0000}"/>
    <cellStyle name="Normal 13 4 5 2 3 2 2" xfId="31995" xr:uid="{00000000-0005-0000-0000-0000F82A0000}"/>
    <cellStyle name="Normal 13 4 5 2 3 3" xfId="23547" xr:uid="{00000000-0005-0000-0000-0000F92A0000}"/>
    <cellStyle name="Normal 13 4 5 2 4" xfId="10831" xr:uid="{00000000-0005-0000-0000-0000FA2A0000}"/>
    <cellStyle name="Normal 13 4 5 2 4 2" xfId="27771" xr:uid="{00000000-0005-0000-0000-0000FB2A0000}"/>
    <cellStyle name="Normal 13 4 5 2 5" xfId="19323" xr:uid="{00000000-0005-0000-0000-0000FC2A0000}"/>
    <cellStyle name="Normal 13 4 5 3" xfId="3437" xr:uid="{00000000-0005-0000-0000-0000FD2A0000}"/>
    <cellStyle name="Normal 13 4 5 3 2" xfId="7663" xr:uid="{00000000-0005-0000-0000-0000FE2A0000}"/>
    <cellStyle name="Normal 13 4 5 3 2 2" xfId="16111" xr:uid="{00000000-0005-0000-0000-0000FF2A0000}"/>
    <cellStyle name="Normal 13 4 5 3 2 2 2" xfId="33051" xr:uid="{00000000-0005-0000-0000-0000002B0000}"/>
    <cellStyle name="Normal 13 4 5 3 2 3" xfId="24603" xr:uid="{00000000-0005-0000-0000-0000012B0000}"/>
    <cellStyle name="Normal 13 4 5 3 3" xfId="11887" xr:uid="{00000000-0005-0000-0000-0000022B0000}"/>
    <cellStyle name="Normal 13 4 5 3 3 2" xfId="28827" xr:uid="{00000000-0005-0000-0000-0000032B0000}"/>
    <cellStyle name="Normal 13 4 5 3 4" xfId="20379" xr:uid="{00000000-0005-0000-0000-0000042B0000}"/>
    <cellStyle name="Normal 13 4 5 4" xfId="5551" xr:uid="{00000000-0005-0000-0000-0000052B0000}"/>
    <cellStyle name="Normal 13 4 5 4 2" xfId="13999" xr:uid="{00000000-0005-0000-0000-0000062B0000}"/>
    <cellStyle name="Normal 13 4 5 4 2 2" xfId="30939" xr:uid="{00000000-0005-0000-0000-0000072B0000}"/>
    <cellStyle name="Normal 13 4 5 4 3" xfId="22491" xr:uid="{00000000-0005-0000-0000-0000082B0000}"/>
    <cellStyle name="Normal 13 4 5 5" xfId="9775" xr:uid="{00000000-0005-0000-0000-0000092B0000}"/>
    <cellStyle name="Normal 13 4 5 5 2" xfId="26715" xr:uid="{00000000-0005-0000-0000-00000A2B0000}"/>
    <cellStyle name="Normal 13 4 5 6" xfId="18267" xr:uid="{00000000-0005-0000-0000-00000B2B0000}"/>
    <cellStyle name="Normal 13 4 6" xfId="1501" xr:uid="{00000000-0005-0000-0000-00000C2B0000}"/>
    <cellStyle name="Normal 13 4 6 2" xfId="3613" xr:uid="{00000000-0005-0000-0000-00000D2B0000}"/>
    <cellStyle name="Normal 13 4 6 2 2" xfId="7839" xr:uid="{00000000-0005-0000-0000-00000E2B0000}"/>
    <cellStyle name="Normal 13 4 6 2 2 2" xfId="16287" xr:uid="{00000000-0005-0000-0000-00000F2B0000}"/>
    <cellStyle name="Normal 13 4 6 2 2 2 2" xfId="33227" xr:uid="{00000000-0005-0000-0000-0000102B0000}"/>
    <cellStyle name="Normal 13 4 6 2 2 3" xfId="24779" xr:uid="{00000000-0005-0000-0000-0000112B0000}"/>
    <cellStyle name="Normal 13 4 6 2 3" xfId="12063" xr:uid="{00000000-0005-0000-0000-0000122B0000}"/>
    <cellStyle name="Normal 13 4 6 2 3 2" xfId="29003" xr:uid="{00000000-0005-0000-0000-0000132B0000}"/>
    <cellStyle name="Normal 13 4 6 2 4" xfId="20555" xr:uid="{00000000-0005-0000-0000-0000142B0000}"/>
    <cellStyle name="Normal 13 4 6 3" xfId="5727" xr:uid="{00000000-0005-0000-0000-0000152B0000}"/>
    <cellStyle name="Normal 13 4 6 3 2" xfId="14175" xr:uid="{00000000-0005-0000-0000-0000162B0000}"/>
    <cellStyle name="Normal 13 4 6 3 2 2" xfId="31115" xr:uid="{00000000-0005-0000-0000-0000172B0000}"/>
    <cellStyle name="Normal 13 4 6 3 3" xfId="22667" xr:uid="{00000000-0005-0000-0000-0000182B0000}"/>
    <cellStyle name="Normal 13 4 6 4" xfId="9951" xr:uid="{00000000-0005-0000-0000-0000192B0000}"/>
    <cellStyle name="Normal 13 4 6 4 2" xfId="26891" xr:uid="{00000000-0005-0000-0000-00001A2B0000}"/>
    <cellStyle name="Normal 13 4 6 5" xfId="18443" xr:uid="{00000000-0005-0000-0000-00001B2B0000}"/>
    <cellStyle name="Normal 13 4 7" xfId="2557" xr:uid="{00000000-0005-0000-0000-00001C2B0000}"/>
    <cellStyle name="Normal 13 4 7 2" xfId="6783" xr:uid="{00000000-0005-0000-0000-00001D2B0000}"/>
    <cellStyle name="Normal 13 4 7 2 2" xfId="15231" xr:uid="{00000000-0005-0000-0000-00001E2B0000}"/>
    <cellStyle name="Normal 13 4 7 2 2 2" xfId="32171" xr:uid="{00000000-0005-0000-0000-00001F2B0000}"/>
    <cellStyle name="Normal 13 4 7 2 3" xfId="23723" xr:uid="{00000000-0005-0000-0000-0000202B0000}"/>
    <cellStyle name="Normal 13 4 7 3" xfId="11007" xr:uid="{00000000-0005-0000-0000-0000212B0000}"/>
    <cellStyle name="Normal 13 4 7 3 2" xfId="27947" xr:uid="{00000000-0005-0000-0000-0000222B0000}"/>
    <cellStyle name="Normal 13 4 7 4" xfId="19499" xr:uid="{00000000-0005-0000-0000-0000232B0000}"/>
    <cellStyle name="Normal 13 4 8" xfId="4670" xr:uid="{00000000-0005-0000-0000-0000242B0000}"/>
    <cellStyle name="Normal 13 4 8 2" xfId="13119" xr:uid="{00000000-0005-0000-0000-0000252B0000}"/>
    <cellStyle name="Normal 13 4 8 2 2" xfId="30059" xr:uid="{00000000-0005-0000-0000-0000262B0000}"/>
    <cellStyle name="Normal 13 4 8 3" xfId="21611" xr:uid="{00000000-0005-0000-0000-0000272B0000}"/>
    <cellStyle name="Normal 13 4 9" xfId="8895" xr:uid="{00000000-0005-0000-0000-0000282B0000}"/>
    <cellStyle name="Normal 13 4 9 2" xfId="25835" xr:uid="{00000000-0005-0000-0000-0000292B0000}"/>
    <cellStyle name="Normal 13 5" xfId="276" xr:uid="{00000000-0005-0000-0000-00002A2B0000}"/>
    <cellStyle name="Normal 13 5 10" xfId="17388" xr:uid="{00000000-0005-0000-0000-00002B2B0000}"/>
    <cellStyle name="Normal 13 5 2" xfId="616" xr:uid="{00000000-0005-0000-0000-00002C2B0000}"/>
    <cellStyle name="Normal 13 5 2 2" xfId="968" xr:uid="{00000000-0005-0000-0000-00002D2B0000}"/>
    <cellStyle name="Normal 13 5 2 2 2" xfId="2030" xr:uid="{00000000-0005-0000-0000-00002E2B0000}"/>
    <cellStyle name="Normal 13 5 2 2 2 2" xfId="4142" xr:uid="{00000000-0005-0000-0000-00002F2B0000}"/>
    <cellStyle name="Normal 13 5 2 2 2 2 2" xfId="8368" xr:uid="{00000000-0005-0000-0000-0000302B0000}"/>
    <cellStyle name="Normal 13 5 2 2 2 2 2 2" xfId="16816" xr:uid="{00000000-0005-0000-0000-0000312B0000}"/>
    <cellStyle name="Normal 13 5 2 2 2 2 2 2 2" xfId="33756" xr:uid="{00000000-0005-0000-0000-0000322B0000}"/>
    <cellStyle name="Normal 13 5 2 2 2 2 2 3" xfId="25308" xr:uid="{00000000-0005-0000-0000-0000332B0000}"/>
    <cellStyle name="Normal 13 5 2 2 2 2 3" xfId="12592" xr:uid="{00000000-0005-0000-0000-0000342B0000}"/>
    <cellStyle name="Normal 13 5 2 2 2 2 3 2" xfId="29532" xr:uid="{00000000-0005-0000-0000-0000352B0000}"/>
    <cellStyle name="Normal 13 5 2 2 2 2 4" xfId="21084" xr:uid="{00000000-0005-0000-0000-0000362B0000}"/>
    <cellStyle name="Normal 13 5 2 2 2 3" xfId="6256" xr:uid="{00000000-0005-0000-0000-0000372B0000}"/>
    <cellStyle name="Normal 13 5 2 2 2 3 2" xfId="14704" xr:uid="{00000000-0005-0000-0000-0000382B0000}"/>
    <cellStyle name="Normal 13 5 2 2 2 3 2 2" xfId="31644" xr:uid="{00000000-0005-0000-0000-0000392B0000}"/>
    <cellStyle name="Normal 13 5 2 2 2 3 3" xfId="23196" xr:uid="{00000000-0005-0000-0000-00003A2B0000}"/>
    <cellStyle name="Normal 13 5 2 2 2 4" xfId="10480" xr:uid="{00000000-0005-0000-0000-00003B2B0000}"/>
    <cellStyle name="Normal 13 5 2 2 2 4 2" xfId="27420" xr:uid="{00000000-0005-0000-0000-00003C2B0000}"/>
    <cellStyle name="Normal 13 5 2 2 2 5" xfId="18972" xr:uid="{00000000-0005-0000-0000-00003D2B0000}"/>
    <cellStyle name="Normal 13 5 2 2 3" xfId="3086" xr:uid="{00000000-0005-0000-0000-00003E2B0000}"/>
    <cellStyle name="Normal 13 5 2 2 3 2" xfId="7312" xr:uid="{00000000-0005-0000-0000-00003F2B0000}"/>
    <cellStyle name="Normal 13 5 2 2 3 2 2" xfId="15760" xr:uid="{00000000-0005-0000-0000-0000402B0000}"/>
    <cellStyle name="Normal 13 5 2 2 3 2 2 2" xfId="32700" xr:uid="{00000000-0005-0000-0000-0000412B0000}"/>
    <cellStyle name="Normal 13 5 2 2 3 2 3" xfId="24252" xr:uid="{00000000-0005-0000-0000-0000422B0000}"/>
    <cellStyle name="Normal 13 5 2 2 3 3" xfId="11536" xr:uid="{00000000-0005-0000-0000-0000432B0000}"/>
    <cellStyle name="Normal 13 5 2 2 3 3 2" xfId="28476" xr:uid="{00000000-0005-0000-0000-0000442B0000}"/>
    <cellStyle name="Normal 13 5 2 2 3 4" xfId="20028" xr:uid="{00000000-0005-0000-0000-0000452B0000}"/>
    <cellStyle name="Normal 13 5 2 2 4" xfId="5200" xr:uid="{00000000-0005-0000-0000-0000462B0000}"/>
    <cellStyle name="Normal 13 5 2 2 4 2" xfId="13648" xr:uid="{00000000-0005-0000-0000-0000472B0000}"/>
    <cellStyle name="Normal 13 5 2 2 4 2 2" xfId="30588" xr:uid="{00000000-0005-0000-0000-0000482B0000}"/>
    <cellStyle name="Normal 13 5 2 2 4 3" xfId="22140" xr:uid="{00000000-0005-0000-0000-0000492B0000}"/>
    <cellStyle name="Normal 13 5 2 2 5" xfId="9424" xr:uid="{00000000-0005-0000-0000-00004A2B0000}"/>
    <cellStyle name="Normal 13 5 2 2 5 2" xfId="26364" xr:uid="{00000000-0005-0000-0000-00004B2B0000}"/>
    <cellStyle name="Normal 13 5 2 2 6" xfId="17916" xr:uid="{00000000-0005-0000-0000-00004C2B0000}"/>
    <cellStyle name="Normal 13 5 2 3" xfId="1678" xr:uid="{00000000-0005-0000-0000-00004D2B0000}"/>
    <cellStyle name="Normal 13 5 2 3 2" xfId="3790" xr:uid="{00000000-0005-0000-0000-00004E2B0000}"/>
    <cellStyle name="Normal 13 5 2 3 2 2" xfId="8016" xr:uid="{00000000-0005-0000-0000-00004F2B0000}"/>
    <cellStyle name="Normal 13 5 2 3 2 2 2" xfId="16464" xr:uid="{00000000-0005-0000-0000-0000502B0000}"/>
    <cellStyle name="Normal 13 5 2 3 2 2 2 2" xfId="33404" xr:uid="{00000000-0005-0000-0000-0000512B0000}"/>
    <cellStyle name="Normal 13 5 2 3 2 2 3" xfId="24956" xr:uid="{00000000-0005-0000-0000-0000522B0000}"/>
    <cellStyle name="Normal 13 5 2 3 2 3" xfId="12240" xr:uid="{00000000-0005-0000-0000-0000532B0000}"/>
    <cellStyle name="Normal 13 5 2 3 2 3 2" xfId="29180" xr:uid="{00000000-0005-0000-0000-0000542B0000}"/>
    <cellStyle name="Normal 13 5 2 3 2 4" xfId="20732" xr:uid="{00000000-0005-0000-0000-0000552B0000}"/>
    <cellStyle name="Normal 13 5 2 3 3" xfId="5904" xr:uid="{00000000-0005-0000-0000-0000562B0000}"/>
    <cellStyle name="Normal 13 5 2 3 3 2" xfId="14352" xr:uid="{00000000-0005-0000-0000-0000572B0000}"/>
    <cellStyle name="Normal 13 5 2 3 3 2 2" xfId="31292" xr:uid="{00000000-0005-0000-0000-0000582B0000}"/>
    <cellStyle name="Normal 13 5 2 3 3 3" xfId="22844" xr:uid="{00000000-0005-0000-0000-0000592B0000}"/>
    <cellStyle name="Normal 13 5 2 3 4" xfId="10128" xr:uid="{00000000-0005-0000-0000-00005A2B0000}"/>
    <cellStyle name="Normal 13 5 2 3 4 2" xfId="27068" xr:uid="{00000000-0005-0000-0000-00005B2B0000}"/>
    <cellStyle name="Normal 13 5 2 3 5" xfId="18620" xr:uid="{00000000-0005-0000-0000-00005C2B0000}"/>
    <cellStyle name="Normal 13 5 2 4" xfId="2734" xr:uid="{00000000-0005-0000-0000-00005D2B0000}"/>
    <cellStyle name="Normal 13 5 2 4 2" xfId="6960" xr:uid="{00000000-0005-0000-0000-00005E2B0000}"/>
    <cellStyle name="Normal 13 5 2 4 2 2" xfId="15408" xr:uid="{00000000-0005-0000-0000-00005F2B0000}"/>
    <cellStyle name="Normal 13 5 2 4 2 2 2" xfId="32348" xr:uid="{00000000-0005-0000-0000-0000602B0000}"/>
    <cellStyle name="Normal 13 5 2 4 2 3" xfId="23900" xr:uid="{00000000-0005-0000-0000-0000612B0000}"/>
    <cellStyle name="Normal 13 5 2 4 3" xfId="11184" xr:uid="{00000000-0005-0000-0000-0000622B0000}"/>
    <cellStyle name="Normal 13 5 2 4 3 2" xfId="28124" xr:uid="{00000000-0005-0000-0000-0000632B0000}"/>
    <cellStyle name="Normal 13 5 2 4 4" xfId="19676" xr:uid="{00000000-0005-0000-0000-0000642B0000}"/>
    <cellStyle name="Normal 13 5 2 5" xfId="4848" xr:uid="{00000000-0005-0000-0000-0000652B0000}"/>
    <cellStyle name="Normal 13 5 2 5 2" xfId="13296" xr:uid="{00000000-0005-0000-0000-0000662B0000}"/>
    <cellStyle name="Normal 13 5 2 5 2 2" xfId="30236" xr:uid="{00000000-0005-0000-0000-0000672B0000}"/>
    <cellStyle name="Normal 13 5 2 5 3" xfId="21788" xr:uid="{00000000-0005-0000-0000-0000682B0000}"/>
    <cellStyle name="Normal 13 5 2 6" xfId="9072" xr:uid="{00000000-0005-0000-0000-0000692B0000}"/>
    <cellStyle name="Normal 13 5 2 6 2" xfId="26012" xr:uid="{00000000-0005-0000-0000-00006A2B0000}"/>
    <cellStyle name="Normal 13 5 2 7" xfId="17564" xr:uid="{00000000-0005-0000-0000-00006B2B0000}"/>
    <cellStyle name="Normal 13 5 3" xfId="792" xr:uid="{00000000-0005-0000-0000-00006C2B0000}"/>
    <cellStyle name="Normal 13 5 3 2" xfId="1854" xr:uid="{00000000-0005-0000-0000-00006D2B0000}"/>
    <cellStyle name="Normal 13 5 3 2 2" xfId="3966" xr:uid="{00000000-0005-0000-0000-00006E2B0000}"/>
    <cellStyle name="Normal 13 5 3 2 2 2" xfId="8192" xr:uid="{00000000-0005-0000-0000-00006F2B0000}"/>
    <cellStyle name="Normal 13 5 3 2 2 2 2" xfId="16640" xr:uid="{00000000-0005-0000-0000-0000702B0000}"/>
    <cellStyle name="Normal 13 5 3 2 2 2 2 2" xfId="33580" xr:uid="{00000000-0005-0000-0000-0000712B0000}"/>
    <cellStyle name="Normal 13 5 3 2 2 2 3" xfId="25132" xr:uid="{00000000-0005-0000-0000-0000722B0000}"/>
    <cellStyle name="Normal 13 5 3 2 2 3" xfId="12416" xr:uid="{00000000-0005-0000-0000-0000732B0000}"/>
    <cellStyle name="Normal 13 5 3 2 2 3 2" xfId="29356" xr:uid="{00000000-0005-0000-0000-0000742B0000}"/>
    <cellStyle name="Normal 13 5 3 2 2 4" xfId="20908" xr:uid="{00000000-0005-0000-0000-0000752B0000}"/>
    <cellStyle name="Normal 13 5 3 2 3" xfId="6080" xr:uid="{00000000-0005-0000-0000-0000762B0000}"/>
    <cellStyle name="Normal 13 5 3 2 3 2" xfId="14528" xr:uid="{00000000-0005-0000-0000-0000772B0000}"/>
    <cellStyle name="Normal 13 5 3 2 3 2 2" xfId="31468" xr:uid="{00000000-0005-0000-0000-0000782B0000}"/>
    <cellStyle name="Normal 13 5 3 2 3 3" xfId="23020" xr:uid="{00000000-0005-0000-0000-0000792B0000}"/>
    <cellStyle name="Normal 13 5 3 2 4" xfId="10304" xr:uid="{00000000-0005-0000-0000-00007A2B0000}"/>
    <cellStyle name="Normal 13 5 3 2 4 2" xfId="27244" xr:uid="{00000000-0005-0000-0000-00007B2B0000}"/>
    <cellStyle name="Normal 13 5 3 2 5" xfId="18796" xr:uid="{00000000-0005-0000-0000-00007C2B0000}"/>
    <cellStyle name="Normal 13 5 3 3" xfId="2910" xr:uid="{00000000-0005-0000-0000-00007D2B0000}"/>
    <cellStyle name="Normal 13 5 3 3 2" xfId="7136" xr:uid="{00000000-0005-0000-0000-00007E2B0000}"/>
    <cellStyle name="Normal 13 5 3 3 2 2" xfId="15584" xr:uid="{00000000-0005-0000-0000-00007F2B0000}"/>
    <cellStyle name="Normal 13 5 3 3 2 2 2" xfId="32524" xr:uid="{00000000-0005-0000-0000-0000802B0000}"/>
    <cellStyle name="Normal 13 5 3 3 2 3" xfId="24076" xr:uid="{00000000-0005-0000-0000-0000812B0000}"/>
    <cellStyle name="Normal 13 5 3 3 3" xfId="11360" xr:uid="{00000000-0005-0000-0000-0000822B0000}"/>
    <cellStyle name="Normal 13 5 3 3 3 2" xfId="28300" xr:uid="{00000000-0005-0000-0000-0000832B0000}"/>
    <cellStyle name="Normal 13 5 3 3 4" xfId="19852" xr:uid="{00000000-0005-0000-0000-0000842B0000}"/>
    <cellStyle name="Normal 13 5 3 4" xfId="5024" xr:uid="{00000000-0005-0000-0000-0000852B0000}"/>
    <cellStyle name="Normal 13 5 3 4 2" xfId="13472" xr:uid="{00000000-0005-0000-0000-0000862B0000}"/>
    <cellStyle name="Normal 13 5 3 4 2 2" xfId="30412" xr:uid="{00000000-0005-0000-0000-0000872B0000}"/>
    <cellStyle name="Normal 13 5 3 4 3" xfId="21964" xr:uid="{00000000-0005-0000-0000-0000882B0000}"/>
    <cellStyle name="Normal 13 5 3 5" xfId="9248" xr:uid="{00000000-0005-0000-0000-0000892B0000}"/>
    <cellStyle name="Normal 13 5 3 5 2" xfId="26188" xr:uid="{00000000-0005-0000-0000-00008A2B0000}"/>
    <cellStyle name="Normal 13 5 3 6" xfId="17740" xr:uid="{00000000-0005-0000-0000-00008B2B0000}"/>
    <cellStyle name="Normal 13 5 4" xfId="1144" xr:uid="{00000000-0005-0000-0000-00008C2B0000}"/>
    <cellStyle name="Normal 13 5 4 2" xfId="2206" xr:uid="{00000000-0005-0000-0000-00008D2B0000}"/>
    <cellStyle name="Normal 13 5 4 2 2" xfId="4318" xr:uid="{00000000-0005-0000-0000-00008E2B0000}"/>
    <cellStyle name="Normal 13 5 4 2 2 2" xfId="8544" xr:uid="{00000000-0005-0000-0000-00008F2B0000}"/>
    <cellStyle name="Normal 13 5 4 2 2 2 2" xfId="16992" xr:uid="{00000000-0005-0000-0000-0000902B0000}"/>
    <cellStyle name="Normal 13 5 4 2 2 2 2 2" xfId="33932" xr:uid="{00000000-0005-0000-0000-0000912B0000}"/>
    <cellStyle name="Normal 13 5 4 2 2 2 3" xfId="25484" xr:uid="{00000000-0005-0000-0000-0000922B0000}"/>
    <cellStyle name="Normal 13 5 4 2 2 3" xfId="12768" xr:uid="{00000000-0005-0000-0000-0000932B0000}"/>
    <cellStyle name="Normal 13 5 4 2 2 3 2" xfId="29708" xr:uid="{00000000-0005-0000-0000-0000942B0000}"/>
    <cellStyle name="Normal 13 5 4 2 2 4" xfId="21260" xr:uid="{00000000-0005-0000-0000-0000952B0000}"/>
    <cellStyle name="Normal 13 5 4 2 3" xfId="6432" xr:uid="{00000000-0005-0000-0000-0000962B0000}"/>
    <cellStyle name="Normal 13 5 4 2 3 2" xfId="14880" xr:uid="{00000000-0005-0000-0000-0000972B0000}"/>
    <cellStyle name="Normal 13 5 4 2 3 2 2" xfId="31820" xr:uid="{00000000-0005-0000-0000-0000982B0000}"/>
    <cellStyle name="Normal 13 5 4 2 3 3" xfId="23372" xr:uid="{00000000-0005-0000-0000-0000992B0000}"/>
    <cellStyle name="Normal 13 5 4 2 4" xfId="10656" xr:uid="{00000000-0005-0000-0000-00009A2B0000}"/>
    <cellStyle name="Normal 13 5 4 2 4 2" xfId="27596" xr:uid="{00000000-0005-0000-0000-00009B2B0000}"/>
    <cellStyle name="Normal 13 5 4 2 5" xfId="19148" xr:uid="{00000000-0005-0000-0000-00009C2B0000}"/>
    <cellStyle name="Normal 13 5 4 3" xfId="3262" xr:uid="{00000000-0005-0000-0000-00009D2B0000}"/>
    <cellStyle name="Normal 13 5 4 3 2" xfId="7488" xr:uid="{00000000-0005-0000-0000-00009E2B0000}"/>
    <cellStyle name="Normal 13 5 4 3 2 2" xfId="15936" xr:uid="{00000000-0005-0000-0000-00009F2B0000}"/>
    <cellStyle name="Normal 13 5 4 3 2 2 2" xfId="32876" xr:uid="{00000000-0005-0000-0000-0000A02B0000}"/>
    <cellStyle name="Normal 13 5 4 3 2 3" xfId="24428" xr:uid="{00000000-0005-0000-0000-0000A12B0000}"/>
    <cellStyle name="Normal 13 5 4 3 3" xfId="11712" xr:uid="{00000000-0005-0000-0000-0000A22B0000}"/>
    <cellStyle name="Normal 13 5 4 3 3 2" xfId="28652" xr:uid="{00000000-0005-0000-0000-0000A32B0000}"/>
    <cellStyle name="Normal 13 5 4 3 4" xfId="20204" xr:uid="{00000000-0005-0000-0000-0000A42B0000}"/>
    <cellStyle name="Normal 13 5 4 4" xfId="5376" xr:uid="{00000000-0005-0000-0000-0000A52B0000}"/>
    <cellStyle name="Normal 13 5 4 4 2" xfId="13824" xr:uid="{00000000-0005-0000-0000-0000A62B0000}"/>
    <cellStyle name="Normal 13 5 4 4 2 2" xfId="30764" xr:uid="{00000000-0005-0000-0000-0000A72B0000}"/>
    <cellStyle name="Normal 13 5 4 4 3" xfId="22316" xr:uid="{00000000-0005-0000-0000-0000A82B0000}"/>
    <cellStyle name="Normal 13 5 4 5" xfId="9600" xr:uid="{00000000-0005-0000-0000-0000A92B0000}"/>
    <cellStyle name="Normal 13 5 4 5 2" xfId="26540" xr:uid="{00000000-0005-0000-0000-0000AA2B0000}"/>
    <cellStyle name="Normal 13 5 4 6" xfId="18092" xr:uid="{00000000-0005-0000-0000-0000AB2B0000}"/>
    <cellStyle name="Normal 13 5 5" xfId="1326" xr:uid="{00000000-0005-0000-0000-0000AC2B0000}"/>
    <cellStyle name="Normal 13 5 5 2" xfId="2382" xr:uid="{00000000-0005-0000-0000-0000AD2B0000}"/>
    <cellStyle name="Normal 13 5 5 2 2" xfId="4494" xr:uid="{00000000-0005-0000-0000-0000AE2B0000}"/>
    <cellStyle name="Normal 13 5 5 2 2 2" xfId="8720" xr:uid="{00000000-0005-0000-0000-0000AF2B0000}"/>
    <cellStyle name="Normal 13 5 5 2 2 2 2" xfId="17168" xr:uid="{00000000-0005-0000-0000-0000B02B0000}"/>
    <cellStyle name="Normal 13 5 5 2 2 2 2 2" xfId="34108" xr:uid="{00000000-0005-0000-0000-0000B12B0000}"/>
    <cellStyle name="Normal 13 5 5 2 2 2 3" xfId="25660" xr:uid="{00000000-0005-0000-0000-0000B22B0000}"/>
    <cellStyle name="Normal 13 5 5 2 2 3" xfId="12944" xr:uid="{00000000-0005-0000-0000-0000B32B0000}"/>
    <cellStyle name="Normal 13 5 5 2 2 3 2" xfId="29884" xr:uid="{00000000-0005-0000-0000-0000B42B0000}"/>
    <cellStyle name="Normal 13 5 5 2 2 4" xfId="21436" xr:uid="{00000000-0005-0000-0000-0000B52B0000}"/>
    <cellStyle name="Normal 13 5 5 2 3" xfId="6608" xr:uid="{00000000-0005-0000-0000-0000B62B0000}"/>
    <cellStyle name="Normal 13 5 5 2 3 2" xfId="15056" xr:uid="{00000000-0005-0000-0000-0000B72B0000}"/>
    <cellStyle name="Normal 13 5 5 2 3 2 2" xfId="31996" xr:uid="{00000000-0005-0000-0000-0000B82B0000}"/>
    <cellStyle name="Normal 13 5 5 2 3 3" xfId="23548" xr:uid="{00000000-0005-0000-0000-0000B92B0000}"/>
    <cellStyle name="Normal 13 5 5 2 4" xfId="10832" xr:uid="{00000000-0005-0000-0000-0000BA2B0000}"/>
    <cellStyle name="Normal 13 5 5 2 4 2" xfId="27772" xr:uid="{00000000-0005-0000-0000-0000BB2B0000}"/>
    <cellStyle name="Normal 13 5 5 2 5" xfId="19324" xr:uid="{00000000-0005-0000-0000-0000BC2B0000}"/>
    <cellStyle name="Normal 13 5 5 3" xfId="3438" xr:uid="{00000000-0005-0000-0000-0000BD2B0000}"/>
    <cellStyle name="Normal 13 5 5 3 2" xfId="7664" xr:uid="{00000000-0005-0000-0000-0000BE2B0000}"/>
    <cellStyle name="Normal 13 5 5 3 2 2" xfId="16112" xr:uid="{00000000-0005-0000-0000-0000BF2B0000}"/>
    <cellStyle name="Normal 13 5 5 3 2 2 2" xfId="33052" xr:uid="{00000000-0005-0000-0000-0000C02B0000}"/>
    <cellStyle name="Normal 13 5 5 3 2 3" xfId="24604" xr:uid="{00000000-0005-0000-0000-0000C12B0000}"/>
    <cellStyle name="Normal 13 5 5 3 3" xfId="11888" xr:uid="{00000000-0005-0000-0000-0000C22B0000}"/>
    <cellStyle name="Normal 13 5 5 3 3 2" xfId="28828" xr:uid="{00000000-0005-0000-0000-0000C32B0000}"/>
    <cellStyle name="Normal 13 5 5 3 4" xfId="20380" xr:uid="{00000000-0005-0000-0000-0000C42B0000}"/>
    <cellStyle name="Normal 13 5 5 4" xfId="5552" xr:uid="{00000000-0005-0000-0000-0000C52B0000}"/>
    <cellStyle name="Normal 13 5 5 4 2" xfId="14000" xr:uid="{00000000-0005-0000-0000-0000C62B0000}"/>
    <cellStyle name="Normal 13 5 5 4 2 2" xfId="30940" xr:uid="{00000000-0005-0000-0000-0000C72B0000}"/>
    <cellStyle name="Normal 13 5 5 4 3" xfId="22492" xr:uid="{00000000-0005-0000-0000-0000C82B0000}"/>
    <cellStyle name="Normal 13 5 5 5" xfId="9776" xr:uid="{00000000-0005-0000-0000-0000C92B0000}"/>
    <cellStyle name="Normal 13 5 5 5 2" xfId="26716" xr:uid="{00000000-0005-0000-0000-0000CA2B0000}"/>
    <cellStyle name="Normal 13 5 5 6" xfId="18268" xr:uid="{00000000-0005-0000-0000-0000CB2B0000}"/>
    <cellStyle name="Normal 13 5 6" xfId="1502" xr:uid="{00000000-0005-0000-0000-0000CC2B0000}"/>
    <cellStyle name="Normal 13 5 6 2" xfId="3614" xr:uid="{00000000-0005-0000-0000-0000CD2B0000}"/>
    <cellStyle name="Normal 13 5 6 2 2" xfId="7840" xr:uid="{00000000-0005-0000-0000-0000CE2B0000}"/>
    <cellStyle name="Normal 13 5 6 2 2 2" xfId="16288" xr:uid="{00000000-0005-0000-0000-0000CF2B0000}"/>
    <cellStyle name="Normal 13 5 6 2 2 2 2" xfId="33228" xr:uid="{00000000-0005-0000-0000-0000D02B0000}"/>
    <cellStyle name="Normal 13 5 6 2 2 3" xfId="24780" xr:uid="{00000000-0005-0000-0000-0000D12B0000}"/>
    <cellStyle name="Normal 13 5 6 2 3" xfId="12064" xr:uid="{00000000-0005-0000-0000-0000D22B0000}"/>
    <cellStyle name="Normal 13 5 6 2 3 2" xfId="29004" xr:uid="{00000000-0005-0000-0000-0000D32B0000}"/>
    <cellStyle name="Normal 13 5 6 2 4" xfId="20556" xr:uid="{00000000-0005-0000-0000-0000D42B0000}"/>
    <cellStyle name="Normal 13 5 6 3" xfId="5728" xr:uid="{00000000-0005-0000-0000-0000D52B0000}"/>
    <cellStyle name="Normal 13 5 6 3 2" xfId="14176" xr:uid="{00000000-0005-0000-0000-0000D62B0000}"/>
    <cellStyle name="Normal 13 5 6 3 2 2" xfId="31116" xr:uid="{00000000-0005-0000-0000-0000D72B0000}"/>
    <cellStyle name="Normal 13 5 6 3 3" xfId="22668" xr:uid="{00000000-0005-0000-0000-0000D82B0000}"/>
    <cellStyle name="Normal 13 5 6 4" xfId="9952" xr:uid="{00000000-0005-0000-0000-0000D92B0000}"/>
    <cellStyle name="Normal 13 5 6 4 2" xfId="26892" xr:uid="{00000000-0005-0000-0000-0000DA2B0000}"/>
    <cellStyle name="Normal 13 5 6 5" xfId="18444" xr:uid="{00000000-0005-0000-0000-0000DB2B0000}"/>
    <cellStyle name="Normal 13 5 7" xfId="2558" xr:uid="{00000000-0005-0000-0000-0000DC2B0000}"/>
    <cellStyle name="Normal 13 5 7 2" xfId="6784" xr:uid="{00000000-0005-0000-0000-0000DD2B0000}"/>
    <cellStyle name="Normal 13 5 7 2 2" xfId="15232" xr:uid="{00000000-0005-0000-0000-0000DE2B0000}"/>
    <cellStyle name="Normal 13 5 7 2 2 2" xfId="32172" xr:uid="{00000000-0005-0000-0000-0000DF2B0000}"/>
    <cellStyle name="Normal 13 5 7 2 3" xfId="23724" xr:uid="{00000000-0005-0000-0000-0000E02B0000}"/>
    <cellStyle name="Normal 13 5 7 3" xfId="11008" xr:uid="{00000000-0005-0000-0000-0000E12B0000}"/>
    <cellStyle name="Normal 13 5 7 3 2" xfId="27948" xr:uid="{00000000-0005-0000-0000-0000E22B0000}"/>
    <cellStyle name="Normal 13 5 7 4" xfId="19500" xr:uid="{00000000-0005-0000-0000-0000E32B0000}"/>
    <cellStyle name="Normal 13 5 8" xfId="4671" xr:uid="{00000000-0005-0000-0000-0000E42B0000}"/>
    <cellStyle name="Normal 13 5 8 2" xfId="13120" xr:uid="{00000000-0005-0000-0000-0000E52B0000}"/>
    <cellStyle name="Normal 13 5 8 2 2" xfId="30060" xr:uid="{00000000-0005-0000-0000-0000E62B0000}"/>
    <cellStyle name="Normal 13 5 8 3" xfId="21612" xr:uid="{00000000-0005-0000-0000-0000E72B0000}"/>
    <cellStyle name="Normal 13 5 9" xfId="8896" xr:uid="{00000000-0005-0000-0000-0000E82B0000}"/>
    <cellStyle name="Normal 13 5 9 2" xfId="25836" xr:uid="{00000000-0005-0000-0000-0000E92B0000}"/>
    <cellStyle name="Normal 13 6" xfId="611" xr:uid="{00000000-0005-0000-0000-0000EA2B0000}"/>
    <cellStyle name="Normal 13 6 2" xfId="963" xr:uid="{00000000-0005-0000-0000-0000EB2B0000}"/>
    <cellStyle name="Normal 13 6 2 2" xfId="2025" xr:uid="{00000000-0005-0000-0000-0000EC2B0000}"/>
    <cellStyle name="Normal 13 6 2 2 2" xfId="4137" xr:uid="{00000000-0005-0000-0000-0000ED2B0000}"/>
    <cellStyle name="Normal 13 6 2 2 2 2" xfId="8363" xr:uid="{00000000-0005-0000-0000-0000EE2B0000}"/>
    <cellStyle name="Normal 13 6 2 2 2 2 2" xfId="16811" xr:uid="{00000000-0005-0000-0000-0000EF2B0000}"/>
    <cellStyle name="Normal 13 6 2 2 2 2 2 2" xfId="33751" xr:uid="{00000000-0005-0000-0000-0000F02B0000}"/>
    <cellStyle name="Normal 13 6 2 2 2 2 3" xfId="25303" xr:uid="{00000000-0005-0000-0000-0000F12B0000}"/>
    <cellStyle name="Normal 13 6 2 2 2 3" xfId="12587" xr:uid="{00000000-0005-0000-0000-0000F22B0000}"/>
    <cellStyle name="Normal 13 6 2 2 2 3 2" xfId="29527" xr:uid="{00000000-0005-0000-0000-0000F32B0000}"/>
    <cellStyle name="Normal 13 6 2 2 2 4" xfId="21079" xr:uid="{00000000-0005-0000-0000-0000F42B0000}"/>
    <cellStyle name="Normal 13 6 2 2 3" xfId="6251" xr:uid="{00000000-0005-0000-0000-0000F52B0000}"/>
    <cellStyle name="Normal 13 6 2 2 3 2" xfId="14699" xr:uid="{00000000-0005-0000-0000-0000F62B0000}"/>
    <cellStyle name="Normal 13 6 2 2 3 2 2" xfId="31639" xr:uid="{00000000-0005-0000-0000-0000F72B0000}"/>
    <cellStyle name="Normal 13 6 2 2 3 3" xfId="23191" xr:uid="{00000000-0005-0000-0000-0000F82B0000}"/>
    <cellStyle name="Normal 13 6 2 2 4" xfId="10475" xr:uid="{00000000-0005-0000-0000-0000F92B0000}"/>
    <cellStyle name="Normal 13 6 2 2 4 2" xfId="27415" xr:uid="{00000000-0005-0000-0000-0000FA2B0000}"/>
    <cellStyle name="Normal 13 6 2 2 5" xfId="18967" xr:uid="{00000000-0005-0000-0000-0000FB2B0000}"/>
    <cellStyle name="Normal 13 6 2 3" xfId="3081" xr:uid="{00000000-0005-0000-0000-0000FC2B0000}"/>
    <cellStyle name="Normal 13 6 2 3 2" xfId="7307" xr:uid="{00000000-0005-0000-0000-0000FD2B0000}"/>
    <cellStyle name="Normal 13 6 2 3 2 2" xfId="15755" xr:uid="{00000000-0005-0000-0000-0000FE2B0000}"/>
    <cellStyle name="Normal 13 6 2 3 2 2 2" xfId="32695" xr:uid="{00000000-0005-0000-0000-0000FF2B0000}"/>
    <cellStyle name="Normal 13 6 2 3 2 3" xfId="24247" xr:uid="{00000000-0005-0000-0000-0000002C0000}"/>
    <cellStyle name="Normal 13 6 2 3 3" xfId="11531" xr:uid="{00000000-0005-0000-0000-0000012C0000}"/>
    <cellStyle name="Normal 13 6 2 3 3 2" xfId="28471" xr:uid="{00000000-0005-0000-0000-0000022C0000}"/>
    <cellStyle name="Normal 13 6 2 3 4" xfId="20023" xr:uid="{00000000-0005-0000-0000-0000032C0000}"/>
    <cellStyle name="Normal 13 6 2 4" xfId="5195" xr:uid="{00000000-0005-0000-0000-0000042C0000}"/>
    <cellStyle name="Normal 13 6 2 4 2" xfId="13643" xr:uid="{00000000-0005-0000-0000-0000052C0000}"/>
    <cellStyle name="Normal 13 6 2 4 2 2" xfId="30583" xr:uid="{00000000-0005-0000-0000-0000062C0000}"/>
    <cellStyle name="Normal 13 6 2 4 3" xfId="22135" xr:uid="{00000000-0005-0000-0000-0000072C0000}"/>
    <cellStyle name="Normal 13 6 2 5" xfId="9419" xr:uid="{00000000-0005-0000-0000-0000082C0000}"/>
    <cellStyle name="Normal 13 6 2 5 2" xfId="26359" xr:uid="{00000000-0005-0000-0000-0000092C0000}"/>
    <cellStyle name="Normal 13 6 2 6" xfId="17911" xr:uid="{00000000-0005-0000-0000-00000A2C0000}"/>
    <cellStyle name="Normal 13 6 3" xfId="1673" xr:uid="{00000000-0005-0000-0000-00000B2C0000}"/>
    <cellStyle name="Normal 13 6 3 2" xfId="3785" xr:uid="{00000000-0005-0000-0000-00000C2C0000}"/>
    <cellStyle name="Normal 13 6 3 2 2" xfId="8011" xr:uid="{00000000-0005-0000-0000-00000D2C0000}"/>
    <cellStyle name="Normal 13 6 3 2 2 2" xfId="16459" xr:uid="{00000000-0005-0000-0000-00000E2C0000}"/>
    <cellStyle name="Normal 13 6 3 2 2 2 2" xfId="33399" xr:uid="{00000000-0005-0000-0000-00000F2C0000}"/>
    <cellStyle name="Normal 13 6 3 2 2 3" xfId="24951" xr:uid="{00000000-0005-0000-0000-0000102C0000}"/>
    <cellStyle name="Normal 13 6 3 2 3" xfId="12235" xr:uid="{00000000-0005-0000-0000-0000112C0000}"/>
    <cellStyle name="Normal 13 6 3 2 3 2" xfId="29175" xr:uid="{00000000-0005-0000-0000-0000122C0000}"/>
    <cellStyle name="Normal 13 6 3 2 4" xfId="20727" xr:uid="{00000000-0005-0000-0000-0000132C0000}"/>
    <cellStyle name="Normal 13 6 3 3" xfId="5899" xr:uid="{00000000-0005-0000-0000-0000142C0000}"/>
    <cellStyle name="Normal 13 6 3 3 2" xfId="14347" xr:uid="{00000000-0005-0000-0000-0000152C0000}"/>
    <cellStyle name="Normal 13 6 3 3 2 2" xfId="31287" xr:uid="{00000000-0005-0000-0000-0000162C0000}"/>
    <cellStyle name="Normal 13 6 3 3 3" xfId="22839" xr:uid="{00000000-0005-0000-0000-0000172C0000}"/>
    <cellStyle name="Normal 13 6 3 4" xfId="10123" xr:uid="{00000000-0005-0000-0000-0000182C0000}"/>
    <cellStyle name="Normal 13 6 3 4 2" xfId="27063" xr:uid="{00000000-0005-0000-0000-0000192C0000}"/>
    <cellStyle name="Normal 13 6 3 5" xfId="18615" xr:uid="{00000000-0005-0000-0000-00001A2C0000}"/>
    <cellStyle name="Normal 13 6 4" xfId="2729" xr:uid="{00000000-0005-0000-0000-00001B2C0000}"/>
    <cellStyle name="Normal 13 6 4 2" xfId="6955" xr:uid="{00000000-0005-0000-0000-00001C2C0000}"/>
    <cellStyle name="Normal 13 6 4 2 2" xfId="15403" xr:uid="{00000000-0005-0000-0000-00001D2C0000}"/>
    <cellStyle name="Normal 13 6 4 2 2 2" xfId="32343" xr:uid="{00000000-0005-0000-0000-00001E2C0000}"/>
    <cellStyle name="Normal 13 6 4 2 3" xfId="23895" xr:uid="{00000000-0005-0000-0000-00001F2C0000}"/>
    <cellStyle name="Normal 13 6 4 3" xfId="11179" xr:uid="{00000000-0005-0000-0000-0000202C0000}"/>
    <cellStyle name="Normal 13 6 4 3 2" xfId="28119" xr:uid="{00000000-0005-0000-0000-0000212C0000}"/>
    <cellStyle name="Normal 13 6 4 4" xfId="19671" xr:uid="{00000000-0005-0000-0000-0000222C0000}"/>
    <cellStyle name="Normal 13 6 5" xfId="4843" xr:uid="{00000000-0005-0000-0000-0000232C0000}"/>
    <cellStyle name="Normal 13 6 5 2" xfId="13291" xr:uid="{00000000-0005-0000-0000-0000242C0000}"/>
    <cellStyle name="Normal 13 6 5 2 2" xfId="30231" xr:uid="{00000000-0005-0000-0000-0000252C0000}"/>
    <cellStyle name="Normal 13 6 5 3" xfId="21783" xr:uid="{00000000-0005-0000-0000-0000262C0000}"/>
    <cellStyle name="Normal 13 6 6" xfId="9067" xr:uid="{00000000-0005-0000-0000-0000272C0000}"/>
    <cellStyle name="Normal 13 6 6 2" xfId="26007" xr:uid="{00000000-0005-0000-0000-0000282C0000}"/>
    <cellStyle name="Normal 13 6 7" xfId="17559" xr:uid="{00000000-0005-0000-0000-0000292C0000}"/>
    <cellStyle name="Normal 13 7" xfId="787" xr:uid="{00000000-0005-0000-0000-00002A2C0000}"/>
    <cellStyle name="Normal 13 7 2" xfId="1849" xr:uid="{00000000-0005-0000-0000-00002B2C0000}"/>
    <cellStyle name="Normal 13 7 2 2" xfId="3961" xr:uid="{00000000-0005-0000-0000-00002C2C0000}"/>
    <cellStyle name="Normal 13 7 2 2 2" xfId="8187" xr:uid="{00000000-0005-0000-0000-00002D2C0000}"/>
    <cellStyle name="Normal 13 7 2 2 2 2" xfId="16635" xr:uid="{00000000-0005-0000-0000-00002E2C0000}"/>
    <cellStyle name="Normal 13 7 2 2 2 2 2" xfId="33575" xr:uid="{00000000-0005-0000-0000-00002F2C0000}"/>
    <cellStyle name="Normal 13 7 2 2 2 3" xfId="25127" xr:uid="{00000000-0005-0000-0000-0000302C0000}"/>
    <cellStyle name="Normal 13 7 2 2 3" xfId="12411" xr:uid="{00000000-0005-0000-0000-0000312C0000}"/>
    <cellStyle name="Normal 13 7 2 2 3 2" xfId="29351" xr:uid="{00000000-0005-0000-0000-0000322C0000}"/>
    <cellStyle name="Normal 13 7 2 2 4" xfId="20903" xr:uid="{00000000-0005-0000-0000-0000332C0000}"/>
    <cellStyle name="Normal 13 7 2 3" xfId="6075" xr:uid="{00000000-0005-0000-0000-0000342C0000}"/>
    <cellStyle name="Normal 13 7 2 3 2" xfId="14523" xr:uid="{00000000-0005-0000-0000-0000352C0000}"/>
    <cellStyle name="Normal 13 7 2 3 2 2" xfId="31463" xr:uid="{00000000-0005-0000-0000-0000362C0000}"/>
    <cellStyle name="Normal 13 7 2 3 3" xfId="23015" xr:uid="{00000000-0005-0000-0000-0000372C0000}"/>
    <cellStyle name="Normal 13 7 2 4" xfId="10299" xr:uid="{00000000-0005-0000-0000-0000382C0000}"/>
    <cellStyle name="Normal 13 7 2 4 2" xfId="27239" xr:uid="{00000000-0005-0000-0000-0000392C0000}"/>
    <cellStyle name="Normal 13 7 2 5" xfId="18791" xr:uid="{00000000-0005-0000-0000-00003A2C0000}"/>
    <cellStyle name="Normal 13 7 3" xfId="2905" xr:uid="{00000000-0005-0000-0000-00003B2C0000}"/>
    <cellStyle name="Normal 13 7 3 2" xfId="7131" xr:uid="{00000000-0005-0000-0000-00003C2C0000}"/>
    <cellStyle name="Normal 13 7 3 2 2" xfId="15579" xr:uid="{00000000-0005-0000-0000-00003D2C0000}"/>
    <cellStyle name="Normal 13 7 3 2 2 2" xfId="32519" xr:uid="{00000000-0005-0000-0000-00003E2C0000}"/>
    <cellStyle name="Normal 13 7 3 2 3" xfId="24071" xr:uid="{00000000-0005-0000-0000-00003F2C0000}"/>
    <cellStyle name="Normal 13 7 3 3" xfId="11355" xr:uid="{00000000-0005-0000-0000-0000402C0000}"/>
    <cellStyle name="Normal 13 7 3 3 2" xfId="28295" xr:uid="{00000000-0005-0000-0000-0000412C0000}"/>
    <cellStyle name="Normal 13 7 3 4" xfId="19847" xr:uid="{00000000-0005-0000-0000-0000422C0000}"/>
    <cellStyle name="Normal 13 7 4" xfId="5019" xr:uid="{00000000-0005-0000-0000-0000432C0000}"/>
    <cellStyle name="Normal 13 7 4 2" xfId="13467" xr:uid="{00000000-0005-0000-0000-0000442C0000}"/>
    <cellStyle name="Normal 13 7 4 2 2" xfId="30407" xr:uid="{00000000-0005-0000-0000-0000452C0000}"/>
    <cellStyle name="Normal 13 7 4 3" xfId="21959" xr:uid="{00000000-0005-0000-0000-0000462C0000}"/>
    <cellStyle name="Normal 13 7 5" xfId="9243" xr:uid="{00000000-0005-0000-0000-0000472C0000}"/>
    <cellStyle name="Normal 13 7 5 2" xfId="26183" xr:uid="{00000000-0005-0000-0000-0000482C0000}"/>
    <cellStyle name="Normal 13 7 6" xfId="17735" xr:uid="{00000000-0005-0000-0000-0000492C0000}"/>
    <cellStyle name="Normal 13 8" xfId="1139" xr:uid="{00000000-0005-0000-0000-00004A2C0000}"/>
    <cellStyle name="Normal 13 8 2" xfId="2201" xr:uid="{00000000-0005-0000-0000-00004B2C0000}"/>
    <cellStyle name="Normal 13 8 2 2" xfId="4313" xr:uid="{00000000-0005-0000-0000-00004C2C0000}"/>
    <cellStyle name="Normal 13 8 2 2 2" xfId="8539" xr:uid="{00000000-0005-0000-0000-00004D2C0000}"/>
    <cellStyle name="Normal 13 8 2 2 2 2" xfId="16987" xr:uid="{00000000-0005-0000-0000-00004E2C0000}"/>
    <cellStyle name="Normal 13 8 2 2 2 2 2" xfId="33927" xr:uid="{00000000-0005-0000-0000-00004F2C0000}"/>
    <cellStyle name="Normal 13 8 2 2 2 3" xfId="25479" xr:uid="{00000000-0005-0000-0000-0000502C0000}"/>
    <cellStyle name="Normal 13 8 2 2 3" xfId="12763" xr:uid="{00000000-0005-0000-0000-0000512C0000}"/>
    <cellStyle name="Normal 13 8 2 2 3 2" xfId="29703" xr:uid="{00000000-0005-0000-0000-0000522C0000}"/>
    <cellStyle name="Normal 13 8 2 2 4" xfId="21255" xr:uid="{00000000-0005-0000-0000-0000532C0000}"/>
    <cellStyle name="Normal 13 8 2 3" xfId="6427" xr:uid="{00000000-0005-0000-0000-0000542C0000}"/>
    <cellStyle name="Normal 13 8 2 3 2" xfId="14875" xr:uid="{00000000-0005-0000-0000-0000552C0000}"/>
    <cellStyle name="Normal 13 8 2 3 2 2" xfId="31815" xr:uid="{00000000-0005-0000-0000-0000562C0000}"/>
    <cellStyle name="Normal 13 8 2 3 3" xfId="23367" xr:uid="{00000000-0005-0000-0000-0000572C0000}"/>
    <cellStyle name="Normal 13 8 2 4" xfId="10651" xr:uid="{00000000-0005-0000-0000-0000582C0000}"/>
    <cellStyle name="Normal 13 8 2 4 2" xfId="27591" xr:uid="{00000000-0005-0000-0000-0000592C0000}"/>
    <cellStyle name="Normal 13 8 2 5" xfId="19143" xr:uid="{00000000-0005-0000-0000-00005A2C0000}"/>
    <cellStyle name="Normal 13 8 3" xfId="3257" xr:uid="{00000000-0005-0000-0000-00005B2C0000}"/>
    <cellStyle name="Normal 13 8 3 2" xfId="7483" xr:uid="{00000000-0005-0000-0000-00005C2C0000}"/>
    <cellStyle name="Normal 13 8 3 2 2" xfId="15931" xr:uid="{00000000-0005-0000-0000-00005D2C0000}"/>
    <cellStyle name="Normal 13 8 3 2 2 2" xfId="32871" xr:uid="{00000000-0005-0000-0000-00005E2C0000}"/>
    <cellStyle name="Normal 13 8 3 2 3" xfId="24423" xr:uid="{00000000-0005-0000-0000-00005F2C0000}"/>
    <cellStyle name="Normal 13 8 3 3" xfId="11707" xr:uid="{00000000-0005-0000-0000-0000602C0000}"/>
    <cellStyle name="Normal 13 8 3 3 2" xfId="28647" xr:uid="{00000000-0005-0000-0000-0000612C0000}"/>
    <cellStyle name="Normal 13 8 3 4" xfId="20199" xr:uid="{00000000-0005-0000-0000-0000622C0000}"/>
    <cellStyle name="Normal 13 8 4" xfId="5371" xr:uid="{00000000-0005-0000-0000-0000632C0000}"/>
    <cellStyle name="Normal 13 8 4 2" xfId="13819" xr:uid="{00000000-0005-0000-0000-0000642C0000}"/>
    <cellStyle name="Normal 13 8 4 2 2" xfId="30759" xr:uid="{00000000-0005-0000-0000-0000652C0000}"/>
    <cellStyle name="Normal 13 8 4 3" xfId="22311" xr:uid="{00000000-0005-0000-0000-0000662C0000}"/>
    <cellStyle name="Normal 13 8 5" xfId="9595" xr:uid="{00000000-0005-0000-0000-0000672C0000}"/>
    <cellStyle name="Normal 13 8 5 2" xfId="26535" xr:uid="{00000000-0005-0000-0000-0000682C0000}"/>
    <cellStyle name="Normal 13 8 6" xfId="18087" xr:uid="{00000000-0005-0000-0000-0000692C0000}"/>
    <cellStyle name="Normal 13 9" xfId="1321" xr:uid="{00000000-0005-0000-0000-00006A2C0000}"/>
    <cellStyle name="Normal 13 9 2" xfId="2377" xr:uid="{00000000-0005-0000-0000-00006B2C0000}"/>
    <cellStyle name="Normal 13 9 2 2" xfId="4489" xr:uid="{00000000-0005-0000-0000-00006C2C0000}"/>
    <cellStyle name="Normal 13 9 2 2 2" xfId="8715" xr:uid="{00000000-0005-0000-0000-00006D2C0000}"/>
    <cellStyle name="Normal 13 9 2 2 2 2" xfId="17163" xr:uid="{00000000-0005-0000-0000-00006E2C0000}"/>
    <cellStyle name="Normal 13 9 2 2 2 2 2" xfId="34103" xr:uid="{00000000-0005-0000-0000-00006F2C0000}"/>
    <cellStyle name="Normal 13 9 2 2 2 3" xfId="25655" xr:uid="{00000000-0005-0000-0000-0000702C0000}"/>
    <cellStyle name="Normal 13 9 2 2 3" xfId="12939" xr:uid="{00000000-0005-0000-0000-0000712C0000}"/>
    <cellStyle name="Normal 13 9 2 2 3 2" xfId="29879" xr:uid="{00000000-0005-0000-0000-0000722C0000}"/>
    <cellStyle name="Normal 13 9 2 2 4" xfId="21431" xr:uid="{00000000-0005-0000-0000-0000732C0000}"/>
    <cellStyle name="Normal 13 9 2 3" xfId="6603" xr:uid="{00000000-0005-0000-0000-0000742C0000}"/>
    <cellStyle name="Normal 13 9 2 3 2" xfId="15051" xr:uid="{00000000-0005-0000-0000-0000752C0000}"/>
    <cellStyle name="Normal 13 9 2 3 2 2" xfId="31991" xr:uid="{00000000-0005-0000-0000-0000762C0000}"/>
    <cellStyle name="Normal 13 9 2 3 3" xfId="23543" xr:uid="{00000000-0005-0000-0000-0000772C0000}"/>
    <cellStyle name="Normal 13 9 2 4" xfId="10827" xr:uid="{00000000-0005-0000-0000-0000782C0000}"/>
    <cellStyle name="Normal 13 9 2 4 2" xfId="27767" xr:uid="{00000000-0005-0000-0000-0000792C0000}"/>
    <cellStyle name="Normal 13 9 2 5" xfId="19319" xr:uid="{00000000-0005-0000-0000-00007A2C0000}"/>
    <cellStyle name="Normal 13 9 3" xfId="3433" xr:uid="{00000000-0005-0000-0000-00007B2C0000}"/>
    <cellStyle name="Normal 13 9 3 2" xfId="7659" xr:uid="{00000000-0005-0000-0000-00007C2C0000}"/>
    <cellStyle name="Normal 13 9 3 2 2" xfId="16107" xr:uid="{00000000-0005-0000-0000-00007D2C0000}"/>
    <cellStyle name="Normal 13 9 3 2 2 2" xfId="33047" xr:uid="{00000000-0005-0000-0000-00007E2C0000}"/>
    <cellStyle name="Normal 13 9 3 2 3" xfId="24599" xr:uid="{00000000-0005-0000-0000-00007F2C0000}"/>
    <cellStyle name="Normal 13 9 3 3" xfId="11883" xr:uid="{00000000-0005-0000-0000-0000802C0000}"/>
    <cellStyle name="Normal 13 9 3 3 2" xfId="28823" xr:uid="{00000000-0005-0000-0000-0000812C0000}"/>
    <cellStyle name="Normal 13 9 3 4" xfId="20375" xr:uid="{00000000-0005-0000-0000-0000822C0000}"/>
    <cellStyle name="Normal 13 9 4" xfId="5547" xr:uid="{00000000-0005-0000-0000-0000832C0000}"/>
    <cellStyle name="Normal 13 9 4 2" xfId="13995" xr:uid="{00000000-0005-0000-0000-0000842C0000}"/>
    <cellStyle name="Normal 13 9 4 2 2" xfId="30935" xr:uid="{00000000-0005-0000-0000-0000852C0000}"/>
    <cellStyle name="Normal 13 9 4 3" xfId="22487" xr:uid="{00000000-0005-0000-0000-0000862C0000}"/>
    <cellStyle name="Normal 13 9 5" xfId="9771" xr:uid="{00000000-0005-0000-0000-0000872C0000}"/>
    <cellStyle name="Normal 13 9 5 2" xfId="26711" xr:uid="{00000000-0005-0000-0000-0000882C0000}"/>
    <cellStyle name="Normal 13 9 6" xfId="18263" xr:uid="{00000000-0005-0000-0000-0000892C0000}"/>
    <cellStyle name="Normal 14" xfId="277" xr:uid="{00000000-0005-0000-0000-00008A2C0000}"/>
    <cellStyle name="Normal 14 10" xfId="1503" xr:uid="{00000000-0005-0000-0000-00008B2C0000}"/>
    <cellStyle name="Normal 14 10 2" xfId="3615" xr:uid="{00000000-0005-0000-0000-00008C2C0000}"/>
    <cellStyle name="Normal 14 10 2 2" xfId="7841" xr:uid="{00000000-0005-0000-0000-00008D2C0000}"/>
    <cellStyle name="Normal 14 10 2 2 2" xfId="16289" xr:uid="{00000000-0005-0000-0000-00008E2C0000}"/>
    <cellStyle name="Normal 14 10 2 2 2 2" xfId="33229" xr:uid="{00000000-0005-0000-0000-00008F2C0000}"/>
    <cellStyle name="Normal 14 10 2 2 3" xfId="24781" xr:uid="{00000000-0005-0000-0000-0000902C0000}"/>
    <cellStyle name="Normal 14 10 2 3" xfId="12065" xr:uid="{00000000-0005-0000-0000-0000912C0000}"/>
    <cellStyle name="Normal 14 10 2 3 2" xfId="29005" xr:uid="{00000000-0005-0000-0000-0000922C0000}"/>
    <cellStyle name="Normal 14 10 2 4" xfId="20557" xr:uid="{00000000-0005-0000-0000-0000932C0000}"/>
    <cellStyle name="Normal 14 10 3" xfId="5729" xr:uid="{00000000-0005-0000-0000-0000942C0000}"/>
    <cellStyle name="Normal 14 10 3 2" xfId="14177" xr:uid="{00000000-0005-0000-0000-0000952C0000}"/>
    <cellStyle name="Normal 14 10 3 2 2" xfId="31117" xr:uid="{00000000-0005-0000-0000-0000962C0000}"/>
    <cellStyle name="Normal 14 10 3 3" xfId="22669" xr:uid="{00000000-0005-0000-0000-0000972C0000}"/>
    <cellStyle name="Normal 14 10 4" xfId="9953" xr:uid="{00000000-0005-0000-0000-0000982C0000}"/>
    <cellStyle name="Normal 14 10 4 2" xfId="26893" xr:uid="{00000000-0005-0000-0000-0000992C0000}"/>
    <cellStyle name="Normal 14 10 5" xfId="18445" xr:uid="{00000000-0005-0000-0000-00009A2C0000}"/>
    <cellStyle name="Normal 14 11" xfId="2559" xr:uid="{00000000-0005-0000-0000-00009B2C0000}"/>
    <cellStyle name="Normal 14 11 2" xfId="6785" xr:uid="{00000000-0005-0000-0000-00009C2C0000}"/>
    <cellStyle name="Normal 14 11 2 2" xfId="15233" xr:uid="{00000000-0005-0000-0000-00009D2C0000}"/>
    <cellStyle name="Normal 14 11 2 2 2" xfId="32173" xr:uid="{00000000-0005-0000-0000-00009E2C0000}"/>
    <cellStyle name="Normal 14 11 2 3" xfId="23725" xr:uid="{00000000-0005-0000-0000-00009F2C0000}"/>
    <cellStyle name="Normal 14 11 3" xfId="11009" xr:uid="{00000000-0005-0000-0000-0000A02C0000}"/>
    <cellStyle name="Normal 14 11 3 2" xfId="27949" xr:uid="{00000000-0005-0000-0000-0000A12C0000}"/>
    <cellStyle name="Normal 14 11 4" xfId="19501" xr:uid="{00000000-0005-0000-0000-0000A22C0000}"/>
    <cellStyle name="Normal 14 12" xfId="4672" xr:uid="{00000000-0005-0000-0000-0000A32C0000}"/>
    <cellStyle name="Normal 14 12 2" xfId="13121" xr:uid="{00000000-0005-0000-0000-0000A42C0000}"/>
    <cellStyle name="Normal 14 12 2 2" xfId="30061" xr:uid="{00000000-0005-0000-0000-0000A52C0000}"/>
    <cellStyle name="Normal 14 12 3" xfId="21613" xr:uid="{00000000-0005-0000-0000-0000A62C0000}"/>
    <cellStyle name="Normal 14 13" xfId="8897" xr:uid="{00000000-0005-0000-0000-0000A72C0000}"/>
    <cellStyle name="Normal 14 13 2" xfId="25837" xr:uid="{00000000-0005-0000-0000-0000A82C0000}"/>
    <cellStyle name="Normal 14 14" xfId="17389" xr:uid="{00000000-0005-0000-0000-0000A92C0000}"/>
    <cellStyle name="Normal 14 2" xfId="278" xr:uid="{00000000-0005-0000-0000-0000AA2C0000}"/>
    <cellStyle name="Normal 14 2 10" xfId="4673" xr:uid="{00000000-0005-0000-0000-0000AB2C0000}"/>
    <cellStyle name="Normal 14 2 10 2" xfId="13122" xr:uid="{00000000-0005-0000-0000-0000AC2C0000}"/>
    <cellStyle name="Normal 14 2 10 2 2" xfId="30062" xr:uid="{00000000-0005-0000-0000-0000AD2C0000}"/>
    <cellStyle name="Normal 14 2 10 3" xfId="21614" xr:uid="{00000000-0005-0000-0000-0000AE2C0000}"/>
    <cellStyle name="Normal 14 2 11" xfId="8898" xr:uid="{00000000-0005-0000-0000-0000AF2C0000}"/>
    <cellStyle name="Normal 14 2 11 2" xfId="25838" xr:uid="{00000000-0005-0000-0000-0000B02C0000}"/>
    <cellStyle name="Normal 14 2 12" xfId="17390" xr:uid="{00000000-0005-0000-0000-0000B12C0000}"/>
    <cellStyle name="Normal 14 2 2" xfId="279" xr:uid="{00000000-0005-0000-0000-0000B22C0000}"/>
    <cellStyle name="Normal 14 2 2 10" xfId="17391" xr:uid="{00000000-0005-0000-0000-0000B32C0000}"/>
    <cellStyle name="Normal 14 2 2 2" xfId="619" xr:uid="{00000000-0005-0000-0000-0000B42C0000}"/>
    <cellStyle name="Normal 14 2 2 2 2" xfId="971" xr:uid="{00000000-0005-0000-0000-0000B52C0000}"/>
    <cellStyle name="Normal 14 2 2 2 2 2" xfId="2033" xr:uid="{00000000-0005-0000-0000-0000B62C0000}"/>
    <cellStyle name="Normal 14 2 2 2 2 2 2" xfId="4145" xr:uid="{00000000-0005-0000-0000-0000B72C0000}"/>
    <cellStyle name="Normal 14 2 2 2 2 2 2 2" xfId="8371" xr:uid="{00000000-0005-0000-0000-0000B82C0000}"/>
    <cellStyle name="Normal 14 2 2 2 2 2 2 2 2" xfId="16819" xr:uid="{00000000-0005-0000-0000-0000B92C0000}"/>
    <cellStyle name="Normal 14 2 2 2 2 2 2 2 2 2" xfId="33759" xr:uid="{00000000-0005-0000-0000-0000BA2C0000}"/>
    <cellStyle name="Normal 14 2 2 2 2 2 2 2 3" xfId="25311" xr:uid="{00000000-0005-0000-0000-0000BB2C0000}"/>
    <cellStyle name="Normal 14 2 2 2 2 2 2 3" xfId="12595" xr:uid="{00000000-0005-0000-0000-0000BC2C0000}"/>
    <cellStyle name="Normal 14 2 2 2 2 2 2 3 2" xfId="29535" xr:uid="{00000000-0005-0000-0000-0000BD2C0000}"/>
    <cellStyle name="Normal 14 2 2 2 2 2 2 4" xfId="21087" xr:uid="{00000000-0005-0000-0000-0000BE2C0000}"/>
    <cellStyle name="Normal 14 2 2 2 2 2 3" xfId="6259" xr:uid="{00000000-0005-0000-0000-0000BF2C0000}"/>
    <cellStyle name="Normal 14 2 2 2 2 2 3 2" xfId="14707" xr:uid="{00000000-0005-0000-0000-0000C02C0000}"/>
    <cellStyle name="Normal 14 2 2 2 2 2 3 2 2" xfId="31647" xr:uid="{00000000-0005-0000-0000-0000C12C0000}"/>
    <cellStyle name="Normal 14 2 2 2 2 2 3 3" xfId="23199" xr:uid="{00000000-0005-0000-0000-0000C22C0000}"/>
    <cellStyle name="Normal 14 2 2 2 2 2 4" xfId="10483" xr:uid="{00000000-0005-0000-0000-0000C32C0000}"/>
    <cellStyle name="Normal 14 2 2 2 2 2 4 2" xfId="27423" xr:uid="{00000000-0005-0000-0000-0000C42C0000}"/>
    <cellStyle name="Normal 14 2 2 2 2 2 5" xfId="18975" xr:uid="{00000000-0005-0000-0000-0000C52C0000}"/>
    <cellStyle name="Normal 14 2 2 2 2 3" xfId="3089" xr:uid="{00000000-0005-0000-0000-0000C62C0000}"/>
    <cellStyle name="Normal 14 2 2 2 2 3 2" xfId="7315" xr:uid="{00000000-0005-0000-0000-0000C72C0000}"/>
    <cellStyle name="Normal 14 2 2 2 2 3 2 2" xfId="15763" xr:uid="{00000000-0005-0000-0000-0000C82C0000}"/>
    <cellStyle name="Normal 14 2 2 2 2 3 2 2 2" xfId="32703" xr:uid="{00000000-0005-0000-0000-0000C92C0000}"/>
    <cellStyle name="Normal 14 2 2 2 2 3 2 3" xfId="24255" xr:uid="{00000000-0005-0000-0000-0000CA2C0000}"/>
    <cellStyle name="Normal 14 2 2 2 2 3 3" xfId="11539" xr:uid="{00000000-0005-0000-0000-0000CB2C0000}"/>
    <cellStyle name="Normal 14 2 2 2 2 3 3 2" xfId="28479" xr:uid="{00000000-0005-0000-0000-0000CC2C0000}"/>
    <cellStyle name="Normal 14 2 2 2 2 3 4" xfId="20031" xr:uid="{00000000-0005-0000-0000-0000CD2C0000}"/>
    <cellStyle name="Normal 14 2 2 2 2 4" xfId="5203" xr:uid="{00000000-0005-0000-0000-0000CE2C0000}"/>
    <cellStyle name="Normal 14 2 2 2 2 4 2" xfId="13651" xr:uid="{00000000-0005-0000-0000-0000CF2C0000}"/>
    <cellStyle name="Normal 14 2 2 2 2 4 2 2" xfId="30591" xr:uid="{00000000-0005-0000-0000-0000D02C0000}"/>
    <cellStyle name="Normal 14 2 2 2 2 4 3" xfId="22143" xr:uid="{00000000-0005-0000-0000-0000D12C0000}"/>
    <cellStyle name="Normal 14 2 2 2 2 5" xfId="9427" xr:uid="{00000000-0005-0000-0000-0000D22C0000}"/>
    <cellStyle name="Normal 14 2 2 2 2 5 2" xfId="26367" xr:uid="{00000000-0005-0000-0000-0000D32C0000}"/>
    <cellStyle name="Normal 14 2 2 2 2 6" xfId="17919" xr:uid="{00000000-0005-0000-0000-0000D42C0000}"/>
    <cellStyle name="Normal 14 2 2 2 3" xfId="1681" xr:uid="{00000000-0005-0000-0000-0000D52C0000}"/>
    <cellStyle name="Normal 14 2 2 2 3 2" xfId="3793" xr:uid="{00000000-0005-0000-0000-0000D62C0000}"/>
    <cellStyle name="Normal 14 2 2 2 3 2 2" xfId="8019" xr:uid="{00000000-0005-0000-0000-0000D72C0000}"/>
    <cellStyle name="Normal 14 2 2 2 3 2 2 2" xfId="16467" xr:uid="{00000000-0005-0000-0000-0000D82C0000}"/>
    <cellStyle name="Normal 14 2 2 2 3 2 2 2 2" xfId="33407" xr:uid="{00000000-0005-0000-0000-0000D92C0000}"/>
    <cellStyle name="Normal 14 2 2 2 3 2 2 3" xfId="24959" xr:uid="{00000000-0005-0000-0000-0000DA2C0000}"/>
    <cellStyle name="Normal 14 2 2 2 3 2 3" xfId="12243" xr:uid="{00000000-0005-0000-0000-0000DB2C0000}"/>
    <cellStyle name="Normal 14 2 2 2 3 2 3 2" xfId="29183" xr:uid="{00000000-0005-0000-0000-0000DC2C0000}"/>
    <cellStyle name="Normal 14 2 2 2 3 2 4" xfId="20735" xr:uid="{00000000-0005-0000-0000-0000DD2C0000}"/>
    <cellStyle name="Normal 14 2 2 2 3 3" xfId="5907" xr:uid="{00000000-0005-0000-0000-0000DE2C0000}"/>
    <cellStyle name="Normal 14 2 2 2 3 3 2" xfId="14355" xr:uid="{00000000-0005-0000-0000-0000DF2C0000}"/>
    <cellStyle name="Normal 14 2 2 2 3 3 2 2" xfId="31295" xr:uid="{00000000-0005-0000-0000-0000E02C0000}"/>
    <cellStyle name="Normal 14 2 2 2 3 3 3" xfId="22847" xr:uid="{00000000-0005-0000-0000-0000E12C0000}"/>
    <cellStyle name="Normal 14 2 2 2 3 4" xfId="10131" xr:uid="{00000000-0005-0000-0000-0000E22C0000}"/>
    <cellStyle name="Normal 14 2 2 2 3 4 2" xfId="27071" xr:uid="{00000000-0005-0000-0000-0000E32C0000}"/>
    <cellStyle name="Normal 14 2 2 2 3 5" xfId="18623" xr:uid="{00000000-0005-0000-0000-0000E42C0000}"/>
    <cellStyle name="Normal 14 2 2 2 4" xfId="2737" xr:uid="{00000000-0005-0000-0000-0000E52C0000}"/>
    <cellStyle name="Normal 14 2 2 2 4 2" xfId="6963" xr:uid="{00000000-0005-0000-0000-0000E62C0000}"/>
    <cellStyle name="Normal 14 2 2 2 4 2 2" xfId="15411" xr:uid="{00000000-0005-0000-0000-0000E72C0000}"/>
    <cellStyle name="Normal 14 2 2 2 4 2 2 2" xfId="32351" xr:uid="{00000000-0005-0000-0000-0000E82C0000}"/>
    <cellStyle name="Normal 14 2 2 2 4 2 3" xfId="23903" xr:uid="{00000000-0005-0000-0000-0000E92C0000}"/>
    <cellStyle name="Normal 14 2 2 2 4 3" xfId="11187" xr:uid="{00000000-0005-0000-0000-0000EA2C0000}"/>
    <cellStyle name="Normal 14 2 2 2 4 3 2" xfId="28127" xr:uid="{00000000-0005-0000-0000-0000EB2C0000}"/>
    <cellStyle name="Normal 14 2 2 2 4 4" xfId="19679" xr:uid="{00000000-0005-0000-0000-0000EC2C0000}"/>
    <cellStyle name="Normal 14 2 2 2 5" xfId="4851" xr:uid="{00000000-0005-0000-0000-0000ED2C0000}"/>
    <cellStyle name="Normal 14 2 2 2 5 2" xfId="13299" xr:uid="{00000000-0005-0000-0000-0000EE2C0000}"/>
    <cellStyle name="Normal 14 2 2 2 5 2 2" xfId="30239" xr:uid="{00000000-0005-0000-0000-0000EF2C0000}"/>
    <cellStyle name="Normal 14 2 2 2 5 3" xfId="21791" xr:uid="{00000000-0005-0000-0000-0000F02C0000}"/>
    <cellStyle name="Normal 14 2 2 2 6" xfId="9075" xr:uid="{00000000-0005-0000-0000-0000F12C0000}"/>
    <cellStyle name="Normal 14 2 2 2 6 2" xfId="26015" xr:uid="{00000000-0005-0000-0000-0000F22C0000}"/>
    <cellStyle name="Normal 14 2 2 2 7" xfId="17567" xr:uid="{00000000-0005-0000-0000-0000F32C0000}"/>
    <cellStyle name="Normal 14 2 2 3" xfId="795" xr:uid="{00000000-0005-0000-0000-0000F42C0000}"/>
    <cellStyle name="Normal 14 2 2 3 2" xfId="1857" xr:uid="{00000000-0005-0000-0000-0000F52C0000}"/>
    <cellStyle name="Normal 14 2 2 3 2 2" xfId="3969" xr:uid="{00000000-0005-0000-0000-0000F62C0000}"/>
    <cellStyle name="Normal 14 2 2 3 2 2 2" xfId="8195" xr:uid="{00000000-0005-0000-0000-0000F72C0000}"/>
    <cellStyle name="Normal 14 2 2 3 2 2 2 2" xfId="16643" xr:uid="{00000000-0005-0000-0000-0000F82C0000}"/>
    <cellStyle name="Normal 14 2 2 3 2 2 2 2 2" xfId="33583" xr:uid="{00000000-0005-0000-0000-0000F92C0000}"/>
    <cellStyle name="Normal 14 2 2 3 2 2 2 3" xfId="25135" xr:uid="{00000000-0005-0000-0000-0000FA2C0000}"/>
    <cellStyle name="Normal 14 2 2 3 2 2 3" xfId="12419" xr:uid="{00000000-0005-0000-0000-0000FB2C0000}"/>
    <cellStyle name="Normal 14 2 2 3 2 2 3 2" xfId="29359" xr:uid="{00000000-0005-0000-0000-0000FC2C0000}"/>
    <cellStyle name="Normal 14 2 2 3 2 2 4" xfId="20911" xr:uid="{00000000-0005-0000-0000-0000FD2C0000}"/>
    <cellStyle name="Normal 14 2 2 3 2 3" xfId="6083" xr:uid="{00000000-0005-0000-0000-0000FE2C0000}"/>
    <cellStyle name="Normal 14 2 2 3 2 3 2" xfId="14531" xr:uid="{00000000-0005-0000-0000-0000FF2C0000}"/>
    <cellStyle name="Normal 14 2 2 3 2 3 2 2" xfId="31471" xr:uid="{00000000-0005-0000-0000-0000002D0000}"/>
    <cellStyle name="Normal 14 2 2 3 2 3 3" xfId="23023" xr:uid="{00000000-0005-0000-0000-0000012D0000}"/>
    <cellStyle name="Normal 14 2 2 3 2 4" xfId="10307" xr:uid="{00000000-0005-0000-0000-0000022D0000}"/>
    <cellStyle name="Normal 14 2 2 3 2 4 2" xfId="27247" xr:uid="{00000000-0005-0000-0000-0000032D0000}"/>
    <cellStyle name="Normal 14 2 2 3 2 5" xfId="18799" xr:uid="{00000000-0005-0000-0000-0000042D0000}"/>
    <cellStyle name="Normal 14 2 2 3 3" xfId="2913" xr:uid="{00000000-0005-0000-0000-0000052D0000}"/>
    <cellStyle name="Normal 14 2 2 3 3 2" xfId="7139" xr:uid="{00000000-0005-0000-0000-0000062D0000}"/>
    <cellStyle name="Normal 14 2 2 3 3 2 2" xfId="15587" xr:uid="{00000000-0005-0000-0000-0000072D0000}"/>
    <cellStyle name="Normal 14 2 2 3 3 2 2 2" xfId="32527" xr:uid="{00000000-0005-0000-0000-0000082D0000}"/>
    <cellStyle name="Normal 14 2 2 3 3 2 3" xfId="24079" xr:uid="{00000000-0005-0000-0000-0000092D0000}"/>
    <cellStyle name="Normal 14 2 2 3 3 3" xfId="11363" xr:uid="{00000000-0005-0000-0000-00000A2D0000}"/>
    <cellStyle name="Normal 14 2 2 3 3 3 2" xfId="28303" xr:uid="{00000000-0005-0000-0000-00000B2D0000}"/>
    <cellStyle name="Normal 14 2 2 3 3 4" xfId="19855" xr:uid="{00000000-0005-0000-0000-00000C2D0000}"/>
    <cellStyle name="Normal 14 2 2 3 4" xfId="5027" xr:uid="{00000000-0005-0000-0000-00000D2D0000}"/>
    <cellStyle name="Normal 14 2 2 3 4 2" xfId="13475" xr:uid="{00000000-0005-0000-0000-00000E2D0000}"/>
    <cellStyle name="Normal 14 2 2 3 4 2 2" xfId="30415" xr:uid="{00000000-0005-0000-0000-00000F2D0000}"/>
    <cellStyle name="Normal 14 2 2 3 4 3" xfId="21967" xr:uid="{00000000-0005-0000-0000-0000102D0000}"/>
    <cellStyle name="Normal 14 2 2 3 5" xfId="9251" xr:uid="{00000000-0005-0000-0000-0000112D0000}"/>
    <cellStyle name="Normal 14 2 2 3 5 2" xfId="26191" xr:uid="{00000000-0005-0000-0000-0000122D0000}"/>
    <cellStyle name="Normal 14 2 2 3 6" xfId="17743" xr:uid="{00000000-0005-0000-0000-0000132D0000}"/>
    <cellStyle name="Normal 14 2 2 4" xfId="1147" xr:uid="{00000000-0005-0000-0000-0000142D0000}"/>
    <cellStyle name="Normal 14 2 2 4 2" xfId="2209" xr:uid="{00000000-0005-0000-0000-0000152D0000}"/>
    <cellStyle name="Normal 14 2 2 4 2 2" xfId="4321" xr:uid="{00000000-0005-0000-0000-0000162D0000}"/>
    <cellStyle name="Normal 14 2 2 4 2 2 2" xfId="8547" xr:uid="{00000000-0005-0000-0000-0000172D0000}"/>
    <cellStyle name="Normal 14 2 2 4 2 2 2 2" xfId="16995" xr:uid="{00000000-0005-0000-0000-0000182D0000}"/>
    <cellStyle name="Normal 14 2 2 4 2 2 2 2 2" xfId="33935" xr:uid="{00000000-0005-0000-0000-0000192D0000}"/>
    <cellStyle name="Normal 14 2 2 4 2 2 2 3" xfId="25487" xr:uid="{00000000-0005-0000-0000-00001A2D0000}"/>
    <cellStyle name="Normal 14 2 2 4 2 2 3" xfId="12771" xr:uid="{00000000-0005-0000-0000-00001B2D0000}"/>
    <cellStyle name="Normal 14 2 2 4 2 2 3 2" xfId="29711" xr:uid="{00000000-0005-0000-0000-00001C2D0000}"/>
    <cellStyle name="Normal 14 2 2 4 2 2 4" xfId="21263" xr:uid="{00000000-0005-0000-0000-00001D2D0000}"/>
    <cellStyle name="Normal 14 2 2 4 2 3" xfId="6435" xr:uid="{00000000-0005-0000-0000-00001E2D0000}"/>
    <cellStyle name="Normal 14 2 2 4 2 3 2" xfId="14883" xr:uid="{00000000-0005-0000-0000-00001F2D0000}"/>
    <cellStyle name="Normal 14 2 2 4 2 3 2 2" xfId="31823" xr:uid="{00000000-0005-0000-0000-0000202D0000}"/>
    <cellStyle name="Normal 14 2 2 4 2 3 3" xfId="23375" xr:uid="{00000000-0005-0000-0000-0000212D0000}"/>
    <cellStyle name="Normal 14 2 2 4 2 4" xfId="10659" xr:uid="{00000000-0005-0000-0000-0000222D0000}"/>
    <cellStyle name="Normal 14 2 2 4 2 4 2" xfId="27599" xr:uid="{00000000-0005-0000-0000-0000232D0000}"/>
    <cellStyle name="Normal 14 2 2 4 2 5" xfId="19151" xr:uid="{00000000-0005-0000-0000-0000242D0000}"/>
    <cellStyle name="Normal 14 2 2 4 3" xfId="3265" xr:uid="{00000000-0005-0000-0000-0000252D0000}"/>
    <cellStyle name="Normal 14 2 2 4 3 2" xfId="7491" xr:uid="{00000000-0005-0000-0000-0000262D0000}"/>
    <cellStyle name="Normal 14 2 2 4 3 2 2" xfId="15939" xr:uid="{00000000-0005-0000-0000-0000272D0000}"/>
    <cellStyle name="Normal 14 2 2 4 3 2 2 2" xfId="32879" xr:uid="{00000000-0005-0000-0000-0000282D0000}"/>
    <cellStyle name="Normal 14 2 2 4 3 2 3" xfId="24431" xr:uid="{00000000-0005-0000-0000-0000292D0000}"/>
    <cellStyle name="Normal 14 2 2 4 3 3" xfId="11715" xr:uid="{00000000-0005-0000-0000-00002A2D0000}"/>
    <cellStyle name="Normal 14 2 2 4 3 3 2" xfId="28655" xr:uid="{00000000-0005-0000-0000-00002B2D0000}"/>
    <cellStyle name="Normal 14 2 2 4 3 4" xfId="20207" xr:uid="{00000000-0005-0000-0000-00002C2D0000}"/>
    <cellStyle name="Normal 14 2 2 4 4" xfId="5379" xr:uid="{00000000-0005-0000-0000-00002D2D0000}"/>
    <cellStyle name="Normal 14 2 2 4 4 2" xfId="13827" xr:uid="{00000000-0005-0000-0000-00002E2D0000}"/>
    <cellStyle name="Normal 14 2 2 4 4 2 2" xfId="30767" xr:uid="{00000000-0005-0000-0000-00002F2D0000}"/>
    <cellStyle name="Normal 14 2 2 4 4 3" xfId="22319" xr:uid="{00000000-0005-0000-0000-0000302D0000}"/>
    <cellStyle name="Normal 14 2 2 4 5" xfId="9603" xr:uid="{00000000-0005-0000-0000-0000312D0000}"/>
    <cellStyle name="Normal 14 2 2 4 5 2" xfId="26543" xr:uid="{00000000-0005-0000-0000-0000322D0000}"/>
    <cellStyle name="Normal 14 2 2 4 6" xfId="18095" xr:uid="{00000000-0005-0000-0000-0000332D0000}"/>
    <cellStyle name="Normal 14 2 2 5" xfId="1329" xr:uid="{00000000-0005-0000-0000-0000342D0000}"/>
    <cellStyle name="Normal 14 2 2 5 2" xfId="2385" xr:uid="{00000000-0005-0000-0000-0000352D0000}"/>
    <cellStyle name="Normal 14 2 2 5 2 2" xfId="4497" xr:uid="{00000000-0005-0000-0000-0000362D0000}"/>
    <cellStyle name="Normal 14 2 2 5 2 2 2" xfId="8723" xr:uid="{00000000-0005-0000-0000-0000372D0000}"/>
    <cellStyle name="Normal 14 2 2 5 2 2 2 2" xfId="17171" xr:uid="{00000000-0005-0000-0000-0000382D0000}"/>
    <cellStyle name="Normal 14 2 2 5 2 2 2 2 2" xfId="34111" xr:uid="{00000000-0005-0000-0000-0000392D0000}"/>
    <cellStyle name="Normal 14 2 2 5 2 2 2 3" xfId="25663" xr:uid="{00000000-0005-0000-0000-00003A2D0000}"/>
    <cellStyle name="Normal 14 2 2 5 2 2 3" xfId="12947" xr:uid="{00000000-0005-0000-0000-00003B2D0000}"/>
    <cellStyle name="Normal 14 2 2 5 2 2 3 2" xfId="29887" xr:uid="{00000000-0005-0000-0000-00003C2D0000}"/>
    <cellStyle name="Normal 14 2 2 5 2 2 4" xfId="21439" xr:uid="{00000000-0005-0000-0000-00003D2D0000}"/>
    <cellStyle name="Normal 14 2 2 5 2 3" xfId="6611" xr:uid="{00000000-0005-0000-0000-00003E2D0000}"/>
    <cellStyle name="Normal 14 2 2 5 2 3 2" xfId="15059" xr:uid="{00000000-0005-0000-0000-00003F2D0000}"/>
    <cellStyle name="Normal 14 2 2 5 2 3 2 2" xfId="31999" xr:uid="{00000000-0005-0000-0000-0000402D0000}"/>
    <cellStyle name="Normal 14 2 2 5 2 3 3" xfId="23551" xr:uid="{00000000-0005-0000-0000-0000412D0000}"/>
    <cellStyle name="Normal 14 2 2 5 2 4" xfId="10835" xr:uid="{00000000-0005-0000-0000-0000422D0000}"/>
    <cellStyle name="Normal 14 2 2 5 2 4 2" xfId="27775" xr:uid="{00000000-0005-0000-0000-0000432D0000}"/>
    <cellStyle name="Normal 14 2 2 5 2 5" xfId="19327" xr:uid="{00000000-0005-0000-0000-0000442D0000}"/>
    <cellStyle name="Normal 14 2 2 5 3" xfId="3441" xr:uid="{00000000-0005-0000-0000-0000452D0000}"/>
    <cellStyle name="Normal 14 2 2 5 3 2" xfId="7667" xr:uid="{00000000-0005-0000-0000-0000462D0000}"/>
    <cellStyle name="Normal 14 2 2 5 3 2 2" xfId="16115" xr:uid="{00000000-0005-0000-0000-0000472D0000}"/>
    <cellStyle name="Normal 14 2 2 5 3 2 2 2" xfId="33055" xr:uid="{00000000-0005-0000-0000-0000482D0000}"/>
    <cellStyle name="Normal 14 2 2 5 3 2 3" xfId="24607" xr:uid="{00000000-0005-0000-0000-0000492D0000}"/>
    <cellStyle name="Normal 14 2 2 5 3 3" xfId="11891" xr:uid="{00000000-0005-0000-0000-00004A2D0000}"/>
    <cellStyle name="Normal 14 2 2 5 3 3 2" xfId="28831" xr:uid="{00000000-0005-0000-0000-00004B2D0000}"/>
    <cellStyle name="Normal 14 2 2 5 3 4" xfId="20383" xr:uid="{00000000-0005-0000-0000-00004C2D0000}"/>
    <cellStyle name="Normal 14 2 2 5 4" xfId="5555" xr:uid="{00000000-0005-0000-0000-00004D2D0000}"/>
    <cellStyle name="Normal 14 2 2 5 4 2" xfId="14003" xr:uid="{00000000-0005-0000-0000-00004E2D0000}"/>
    <cellStyle name="Normal 14 2 2 5 4 2 2" xfId="30943" xr:uid="{00000000-0005-0000-0000-00004F2D0000}"/>
    <cellStyle name="Normal 14 2 2 5 4 3" xfId="22495" xr:uid="{00000000-0005-0000-0000-0000502D0000}"/>
    <cellStyle name="Normal 14 2 2 5 5" xfId="9779" xr:uid="{00000000-0005-0000-0000-0000512D0000}"/>
    <cellStyle name="Normal 14 2 2 5 5 2" xfId="26719" xr:uid="{00000000-0005-0000-0000-0000522D0000}"/>
    <cellStyle name="Normal 14 2 2 5 6" xfId="18271" xr:uid="{00000000-0005-0000-0000-0000532D0000}"/>
    <cellStyle name="Normal 14 2 2 6" xfId="1505" xr:uid="{00000000-0005-0000-0000-0000542D0000}"/>
    <cellStyle name="Normal 14 2 2 6 2" xfId="3617" xr:uid="{00000000-0005-0000-0000-0000552D0000}"/>
    <cellStyle name="Normal 14 2 2 6 2 2" xfId="7843" xr:uid="{00000000-0005-0000-0000-0000562D0000}"/>
    <cellStyle name="Normal 14 2 2 6 2 2 2" xfId="16291" xr:uid="{00000000-0005-0000-0000-0000572D0000}"/>
    <cellStyle name="Normal 14 2 2 6 2 2 2 2" xfId="33231" xr:uid="{00000000-0005-0000-0000-0000582D0000}"/>
    <cellStyle name="Normal 14 2 2 6 2 2 3" xfId="24783" xr:uid="{00000000-0005-0000-0000-0000592D0000}"/>
    <cellStyle name="Normal 14 2 2 6 2 3" xfId="12067" xr:uid="{00000000-0005-0000-0000-00005A2D0000}"/>
    <cellStyle name="Normal 14 2 2 6 2 3 2" xfId="29007" xr:uid="{00000000-0005-0000-0000-00005B2D0000}"/>
    <cellStyle name="Normal 14 2 2 6 2 4" xfId="20559" xr:uid="{00000000-0005-0000-0000-00005C2D0000}"/>
    <cellStyle name="Normal 14 2 2 6 3" xfId="5731" xr:uid="{00000000-0005-0000-0000-00005D2D0000}"/>
    <cellStyle name="Normal 14 2 2 6 3 2" xfId="14179" xr:uid="{00000000-0005-0000-0000-00005E2D0000}"/>
    <cellStyle name="Normal 14 2 2 6 3 2 2" xfId="31119" xr:uid="{00000000-0005-0000-0000-00005F2D0000}"/>
    <cellStyle name="Normal 14 2 2 6 3 3" xfId="22671" xr:uid="{00000000-0005-0000-0000-0000602D0000}"/>
    <cellStyle name="Normal 14 2 2 6 4" xfId="9955" xr:uid="{00000000-0005-0000-0000-0000612D0000}"/>
    <cellStyle name="Normal 14 2 2 6 4 2" xfId="26895" xr:uid="{00000000-0005-0000-0000-0000622D0000}"/>
    <cellStyle name="Normal 14 2 2 6 5" xfId="18447" xr:uid="{00000000-0005-0000-0000-0000632D0000}"/>
    <cellStyle name="Normal 14 2 2 7" xfId="2561" xr:uid="{00000000-0005-0000-0000-0000642D0000}"/>
    <cellStyle name="Normal 14 2 2 7 2" xfId="6787" xr:uid="{00000000-0005-0000-0000-0000652D0000}"/>
    <cellStyle name="Normal 14 2 2 7 2 2" xfId="15235" xr:uid="{00000000-0005-0000-0000-0000662D0000}"/>
    <cellStyle name="Normal 14 2 2 7 2 2 2" xfId="32175" xr:uid="{00000000-0005-0000-0000-0000672D0000}"/>
    <cellStyle name="Normal 14 2 2 7 2 3" xfId="23727" xr:uid="{00000000-0005-0000-0000-0000682D0000}"/>
    <cellStyle name="Normal 14 2 2 7 3" xfId="11011" xr:uid="{00000000-0005-0000-0000-0000692D0000}"/>
    <cellStyle name="Normal 14 2 2 7 3 2" xfId="27951" xr:uid="{00000000-0005-0000-0000-00006A2D0000}"/>
    <cellStyle name="Normal 14 2 2 7 4" xfId="19503" xr:uid="{00000000-0005-0000-0000-00006B2D0000}"/>
    <cellStyle name="Normal 14 2 2 8" xfId="4674" xr:uid="{00000000-0005-0000-0000-00006C2D0000}"/>
    <cellStyle name="Normal 14 2 2 8 2" xfId="13123" xr:uid="{00000000-0005-0000-0000-00006D2D0000}"/>
    <cellStyle name="Normal 14 2 2 8 2 2" xfId="30063" xr:uid="{00000000-0005-0000-0000-00006E2D0000}"/>
    <cellStyle name="Normal 14 2 2 8 3" xfId="21615" xr:uid="{00000000-0005-0000-0000-00006F2D0000}"/>
    <cellStyle name="Normal 14 2 2 9" xfId="8899" xr:uid="{00000000-0005-0000-0000-0000702D0000}"/>
    <cellStyle name="Normal 14 2 2 9 2" xfId="25839" xr:uid="{00000000-0005-0000-0000-0000712D0000}"/>
    <cellStyle name="Normal 14 2 3" xfId="280" xr:uid="{00000000-0005-0000-0000-0000722D0000}"/>
    <cellStyle name="Normal 14 2 3 10" xfId="17392" xr:uid="{00000000-0005-0000-0000-0000732D0000}"/>
    <cellStyle name="Normal 14 2 3 2" xfId="620" xr:uid="{00000000-0005-0000-0000-0000742D0000}"/>
    <cellStyle name="Normal 14 2 3 2 2" xfId="972" xr:uid="{00000000-0005-0000-0000-0000752D0000}"/>
    <cellStyle name="Normal 14 2 3 2 2 2" xfId="2034" xr:uid="{00000000-0005-0000-0000-0000762D0000}"/>
    <cellStyle name="Normal 14 2 3 2 2 2 2" xfId="4146" xr:uid="{00000000-0005-0000-0000-0000772D0000}"/>
    <cellStyle name="Normal 14 2 3 2 2 2 2 2" xfId="8372" xr:uid="{00000000-0005-0000-0000-0000782D0000}"/>
    <cellStyle name="Normal 14 2 3 2 2 2 2 2 2" xfId="16820" xr:uid="{00000000-0005-0000-0000-0000792D0000}"/>
    <cellStyle name="Normal 14 2 3 2 2 2 2 2 2 2" xfId="33760" xr:uid="{00000000-0005-0000-0000-00007A2D0000}"/>
    <cellStyle name="Normal 14 2 3 2 2 2 2 2 3" xfId="25312" xr:uid="{00000000-0005-0000-0000-00007B2D0000}"/>
    <cellStyle name="Normal 14 2 3 2 2 2 2 3" xfId="12596" xr:uid="{00000000-0005-0000-0000-00007C2D0000}"/>
    <cellStyle name="Normal 14 2 3 2 2 2 2 3 2" xfId="29536" xr:uid="{00000000-0005-0000-0000-00007D2D0000}"/>
    <cellStyle name="Normal 14 2 3 2 2 2 2 4" xfId="21088" xr:uid="{00000000-0005-0000-0000-00007E2D0000}"/>
    <cellStyle name="Normal 14 2 3 2 2 2 3" xfId="6260" xr:uid="{00000000-0005-0000-0000-00007F2D0000}"/>
    <cellStyle name="Normal 14 2 3 2 2 2 3 2" xfId="14708" xr:uid="{00000000-0005-0000-0000-0000802D0000}"/>
    <cellStyle name="Normal 14 2 3 2 2 2 3 2 2" xfId="31648" xr:uid="{00000000-0005-0000-0000-0000812D0000}"/>
    <cellStyle name="Normal 14 2 3 2 2 2 3 3" xfId="23200" xr:uid="{00000000-0005-0000-0000-0000822D0000}"/>
    <cellStyle name="Normal 14 2 3 2 2 2 4" xfId="10484" xr:uid="{00000000-0005-0000-0000-0000832D0000}"/>
    <cellStyle name="Normal 14 2 3 2 2 2 4 2" xfId="27424" xr:uid="{00000000-0005-0000-0000-0000842D0000}"/>
    <cellStyle name="Normal 14 2 3 2 2 2 5" xfId="18976" xr:uid="{00000000-0005-0000-0000-0000852D0000}"/>
    <cellStyle name="Normal 14 2 3 2 2 3" xfId="3090" xr:uid="{00000000-0005-0000-0000-0000862D0000}"/>
    <cellStyle name="Normal 14 2 3 2 2 3 2" xfId="7316" xr:uid="{00000000-0005-0000-0000-0000872D0000}"/>
    <cellStyle name="Normal 14 2 3 2 2 3 2 2" xfId="15764" xr:uid="{00000000-0005-0000-0000-0000882D0000}"/>
    <cellStyle name="Normal 14 2 3 2 2 3 2 2 2" xfId="32704" xr:uid="{00000000-0005-0000-0000-0000892D0000}"/>
    <cellStyle name="Normal 14 2 3 2 2 3 2 3" xfId="24256" xr:uid="{00000000-0005-0000-0000-00008A2D0000}"/>
    <cellStyle name="Normal 14 2 3 2 2 3 3" xfId="11540" xr:uid="{00000000-0005-0000-0000-00008B2D0000}"/>
    <cellStyle name="Normal 14 2 3 2 2 3 3 2" xfId="28480" xr:uid="{00000000-0005-0000-0000-00008C2D0000}"/>
    <cellStyle name="Normal 14 2 3 2 2 3 4" xfId="20032" xr:uid="{00000000-0005-0000-0000-00008D2D0000}"/>
    <cellStyle name="Normal 14 2 3 2 2 4" xfId="5204" xr:uid="{00000000-0005-0000-0000-00008E2D0000}"/>
    <cellStyle name="Normal 14 2 3 2 2 4 2" xfId="13652" xr:uid="{00000000-0005-0000-0000-00008F2D0000}"/>
    <cellStyle name="Normal 14 2 3 2 2 4 2 2" xfId="30592" xr:uid="{00000000-0005-0000-0000-0000902D0000}"/>
    <cellStyle name="Normal 14 2 3 2 2 4 3" xfId="22144" xr:uid="{00000000-0005-0000-0000-0000912D0000}"/>
    <cellStyle name="Normal 14 2 3 2 2 5" xfId="9428" xr:uid="{00000000-0005-0000-0000-0000922D0000}"/>
    <cellStyle name="Normal 14 2 3 2 2 5 2" xfId="26368" xr:uid="{00000000-0005-0000-0000-0000932D0000}"/>
    <cellStyle name="Normal 14 2 3 2 2 6" xfId="17920" xr:uid="{00000000-0005-0000-0000-0000942D0000}"/>
    <cellStyle name="Normal 14 2 3 2 3" xfId="1682" xr:uid="{00000000-0005-0000-0000-0000952D0000}"/>
    <cellStyle name="Normal 14 2 3 2 3 2" xfId="3794" xr:uid="{00000000-0005-0000-0000-0000962D0000}"/>
    <cellStyle name="Normal 14 2 3 2 3 2 2" xfId="8020" xr:uid="{00000000-0005-0000-0000-0000972D0000}"/>
    <cellStyle name="Normal 14 2 3 2 3 2 2 2" xfId="16468" xr:uid="{00000000-0005-0000-0000-0000982D0000}"/>
    <cellStyle name="Normal 14 2 3 2 3 2 2 2 2" xfId="33408" xr:uid="{00000000-0005-0000-0000-0000992D0000}"/>
    <cellStyle name="Normal 14 2 3 2 3 2 2 3" xfId="24960" xr:uid="{00000000-0005-0000-0000-00009A2D0000}"/>
    <cellStyle name="Normal 14 2 3 2 3 2 3" xfId="12244" xr:uid="{00000000-0005-0000-0000-00009B2D0000}"/>
    <cellStyle name="Normal 14 2 3 2 3 2 3 2" xfId="29184" xr:uid="{00000000-0005-0000-0000-00009C2D0000}"/>
    <cellStyle name="Normal 14 2 3 2 3 2 4" xfId="20736" xr:uid="{00000000-0005-0000-0000-00009D2D0000}"/>
    <cellStyle name="Normal 14 2 3 2 3 3" xfId="5908" xr:uid="{00000000-0005-0000-0000-00009E2D0000}"/>
    <cellStyle name="Normal 14 2 3 2 3 3 2" xfId="14356" xr:uid="{00000000-0005-0000-0000-00009F2D0000}"/>
    <cellStyle name="Normal 14 2 3 2 3 3 2 2" xfId="31296" xr:uid="{00000000-0005-0000-0000-0000A02D0000}"/>
    <cellStyle name="Normal 14 2 3 2 3 3 3" xfId="22848" xr:uid="{00000000-0005-0000-0000-0000A12D0000}"/>
    <cellStyle name="Normal 14 2 3 2 3 4" xfId="10132" xr:uid="{00000000-0005-0000-0000-0000A22D0000}"/>
    <cellStyle name="Normal 14 2 3 2 3 4 2" xfId="27072" xr:uid="{00000000-0005-0000-0000-0000A32D0000}"/>
    <cellStyle name="Normal 14 2 3 2 3 5" xfId="18624" xr:uid="{00000000-0005-0000-0000-0000A42D0000}"/>
    <cellStyle name="Normal 14 2 3 2 4" xfId="2738" xr:uid="{00000000-0005-0000-0000-0000A52D0000}"/>
    <cellStyle name="Normal 14 2 3 2 4 2" xfId="6964" xr:uid="{00000000-0005-0000-0000-0000A62D0000}"/>
    <cellStyle name="Normal 14 2 3 2 4 2 2" xfId="15412" xr:uid="{00000000-0005-0000-0000-0000A72D0000}"/>
    <cellStyle name="Normal 14 2 3 2 4 2 2 2" xfId="32352" xr:uid="{00000000-0005-0000-0000-0000A82D0000}"/>
    <cellStyle name="Normal 14 2 3 2 4 2 3" xfId="23904" xr:uid="{00000000-0005-0000-0000-0000A92D0000}"/>
    <cellStyle name="Normal 14 2 3 2 4 3" xfId="11188" xr:uid="{00000000-0005-0000-0000-0000AA2D0000}"/>
    <cellStyle name="Normal 14 2 3 2 4 3 2" xfId="28128" xr:uid="{00000000-0005-0000-0000-0000AB2D0000}"/>
    <cellStyle name="Normal 14 2 3 2 4 4" xfId="19680" xr:uid="{00000000-0005-0000-0000-0000AC2D0000}"/>
    <cellStyle name="Normal 14 2 3 2 5" xfId="4852" xr:uid="{00000000-0005-0000-0000-0000AD2D0000}"/>
    <cellStyle name="Normal 14 2 3 2 5 2" xfId="13300" xr:uid="{00000000-0005-0000-0000-0000AE2D0000}"/>
    <cellStyle name="Normal 14 2 3 2 5 2 2" xfId="30240" xr:uid="{00000000-0005-0000-0000-0000AF2D0000}"/>
    <cellStyle name="Normal 14 2 3 2 5 3" xfId="21792" xr:uid="{00000000-0005-0000-0000-0000B02D0000}"/>
    <cellStyle name="Normal 14 2 3 2 6" xfId="9076" xr:uid="{00000000-0005-0000-0000-0000B12D0000}"/>
    <cellStyle name="Normal 14 2 3 2 6 2" xfId="26016" xr:uid="{00000000-0005-0000-0000-0000B22D0000}"/>
    <cellStyle name="Normal 14 2 3 2 7" xfId="17568" xr:uid="{00000000-0005-0000-0000-0000B32D0000}"/>
    <cellStyle name="Normal 14 2 3 3" xfId="796" xr:uid="{00000000-0005-0000-0000-0000B42D0000}"/>
    <cellStyle name="Normal 14 2 3 3 2" xfId="1858" xr:uid="{00000000-0005-0000-0000-0000B52D0000}"/>
    <cellStyle name="Normal 14 2 3 3 2 2" xfId="3970" xr:uid="{00000000-0005-0000-0000-0000B62D0000}"/>
    <cellStyle name="Normal 14 2 3 3 2 2 2" xfId="8196" xr:uid="{00000000-0005-0000-0000-0000B72D0000}"/>
    <cellStyle name="Normal 14 2 3 3 2 2 2 2" xfId="16644" xr:uid="{00000000-0005-0000-0000-0000B82D0000}"/>
    <cellStyle name="Normal 14 2 3 3 2 2 2 2 2" xfId="33584" xr:uid="{00000000-0005-0000-0000-0000B92D0000}"/>
    <cellStyle name="Normal 14 2 3 3 2 2 2 3" xfId="25136" xr:uid="{00000000-0005-0000-0000-0000BA2D0000}"/>
    <cellStyle name="Normal 14 2 3 3 2 2 3" xfId="12420" xr:uid="{00000000-0005-0000-0000-0000BB2D0000}"/>
    <cellStyle name="Normal 14 2 3 3 2 2 3 2" xfId="29360" xr:uid="{00000000-0005-0000-0000-0000BC2D0000}"/>
    <cellStyle name="Normal 14 2 3 3 2 2 4" xfId="20912" xr:uid="{00000000-0005-0000-0000-0000BD2D0000}"/>
    <cellStyle name="Normal 14 2 3 3 2 3" xfId="6084" xr:uid="{00000000-0005-0000-0000-0000BE2D0000}"/>
    <cellStyle name="Normal 14 2 3 3 2 3 2" xfId="14532" xr:uid="{00000000-0005-0000-0000-0000BF2D0000}"/>
    <cellStyle name="Normal 14 2 3 3 2 3 2 2" xfId="31472" xr:uid="{00000000-0005-0000-0000-0000C02D0000}"/>
    <cellStyle name="Normal 14 2 3 3 2 3 3" xfId="23024" xr:uid="{00000000-0005-0000-0000-0000C12D0000}"/>
    <cellStyle name="Normal 14 2 3 3 2 4" xfId="10308" xr:uid="{00000000-0005-0000-0000-0000C22D0000}"/>
    <cellStyle name="Normal 14 2 3 3 2 4 2" xfId="27248" xr:uid="{00000000-0005-0000-0000-0000C32D0000}"/>
    <cellStyle name="Normal 14 2 3 3 2 5" xfId="18800" xr:uid="{00000000-0005-0000-0000-0000C42D0000}"/>
    <cellStyle name="Normal 14 2 3 3 3" xfId="2914" xr:uid="{00000000-0005-0000-0000-0000C52D0000}"/>
    <cellStyle name="Normal 14 2 3 3 3 2" xfId="7140" xr:uid="{00000000-0005-0000-0000-0000C62D0000}"/>
    <cellStyle name="Normal 14 2 3 3 3 2 2" xfId="15588" xr:uid="{00000000-0005-0000-0000-0000C72D0000}"/>
    <cellStyle name="Normal 14 2 3 3 3 2 2 2" xfId="32528" xr:uid="{00000000-0005-0000-0000-0000C82D0000}"/>
    <cellStyle name="Normal 14 2 3 3 3 2 3" xfId="24080" xr:uid="{00000000-0005-0000-0000-0000C92D0000}"/>
    <cellStyle name="Normal 14 2 3 3 3 3" xfId="11364" xr:uid="{00000000-0005-0000-0000-0000CA2D0000}"/>
    <cellStyle name="Normal 14 2 3 3 3 3 2" xfId="28304" xr:uid="{00000000-0005-0000-0000-0000CB2D0000}"/>
    <cellStyle name="Normal 14 2 3 3 3 4" xfId="19856" xr:uid="{00000000-0005-0000-0000-0000CC2D0000}"/>
    <cellStyle name="Normal 14 2 3 3 4" xfId="5028" xr:uid="{00000000-0005-0000-0000-0000CD2D0000}"/>
    <cellStyle name="Normal 14 2 3 3 4 2" xfId="13476" xr:uid="{00000000-0005-0000-0000-0000CE2D0000}"/>
    <cellStyle name="Normal 14 2 3 3 4 2 2" xfId="30416" xr:uid="{00000000-0005-0000-0000-0000CF2D0000}"/>
    <cellStyle name="Normal 14 2 3 3 4 3" xfId="21968" xr:uid="{00000000-0005-0000-0000-0000D02D0000}"/>
    <cellStyle name="Normal 14 2 3 3 5" xfId="9252" xr:uid="{00000000-0005-0000-0000-0000D12D0000}"/>
    <cellStyle name="Normal 14 2 3 3 5 2" xfId="26192" xr:uid="{00000000-0005-0000-0000-0000D22D0000}"/>
    <cellStyle name="Normal 14 2 3 3 6" xfId="17744" xr:uid="{00000000-0005-0000-0000-0000D32D0000}"/>
    <cellStyle name="Normal 14 2 3 4" xfId="1148" xr:uid="{00000000-0005-0000-0000-0000D42D0000}"/>
    <cellStyle name="Normal 14 2 3 4 2" xfId="2210" xr:uid="{00000000-0005-0000-0000-0000D52D0000}"/>
    <cellStyle name="Normal 14 2 3 4 2 2" xfId="4322" xr:uid="{00000000-0005-0000-0000-0000D62D0000}"/>
    <cellStyle name="Normal 14 2 3 4 2 2 2" xfId="8548" xr:uid="{00000000-0005-0000-0000-0000D72D0000}"/>
    <cellStyle name="Normal 14 2 3 4 2 2 2 2" xfId="16996" xr:uid="{00000000-0005-0000-0000-0000D82D0000}"/>
    <cellStyle name="Normal 14 2 3 4 2 2 2 2 2" xfId="33936" xr:uid="{00000000-0005-0000-0000-0000D92D0000}"/>
    <cellStyle name="Normal 14 2 3 4 2 2 2 3" xfId="25488" xr:uid="{00000000-0005-0000-0000-0000DA2D0000}"/>
    <cellStyle name="Normal 14 2 3 4 2 2 3" xfId="12772" xr:uid="{00000000-0005-0000-0000-0000DB2D0000}"/>
    <cellStyle name="Normal 14 2 3 4 2 2 3 2" xfId="29712" xr:uid="{00000000-0005-0000-0000-0000DC2D0000}"/>
    <cellStyle name="Normal 14 2 3 4 2 2 4" xfId="21264" xr:uid="{00000000-0005-0000-0000-0000DD2D0000}"/>
    <cellStyle name="Normal 14 2 3 4 2 3" xfId="6436" xr:uid="{00000000-0005-0000-0000-0000DE2D0000}"/>
    <cellStyle name="Normal 14 2 3 4 2 3 2" xfId="14884" xr:uid="{00000000-0005-0000-0000-0000DF2D0000}"/>
    <cellStyle name="Normal 14 2 3 4 2 3 2 2" xfId="31824" xr:uid="{00000000-0005-0000-0000-0000E02D0000}"/>
    <cellStyle name="Normal 14 2 3 4 2 3 3" xfId="23376" xr:uid="{00000000-0005-0000-0000-0000E12D0000}"/>
    <cellStyle name="Normal 14 2 3 4 2 4" xfId="10660" xr:uid="{00000000-0005-0000-0000-0000E22D0000}"/>
    <cellStyle name="Normal 14 2 3 4 2 4 2" xfId="27600" xr:uid="{00000000-0005-0000-0000-0000E32D0000}"/>
    <cellStyle name="Normal 14 2 3 4 2 5" xfId="19152" xr:uid="{00000000-0005-0000-0000-0000E42D0000}"/>
    <cellStyle name="Normal 14 2 3 4 3" xfId="3266" xr:uid="{00000000-0005-0000-0000-0000E52D0000}"/>
    <cellStyle name="Normal 14 2 3 4 3 2" xfId="7492" xr:uid="{00000000-0005-0000-0000-0000E62D0000}"/>
    <cellStyle name="Normal 14 2 3 4 3 2 2" xfId="15940" xr:uid="{00000000-0005-0000-0000-0000E72D0000}"/>
    <cellStyle name="Normal 14 2 3 4 3 2 2 2" xfId="32880" xr:uid="{00000000-0005-0000-0000-0000E82D0000}"/>
    <cellStyle name="Normal 14 2 3 4 3 2 3" xfId="24432" xr:uid="{00000000-0005-0000-0000-0000E92D0000}"/>
    <cellStyle name="Normal 14 2 3 4 3 3" xfId="11716" xr:uid="{00000000-0005-0000-0000-0000EA2D0000}"/>
    <cellStyle name="Normal 14 2 3 4 3 3 2" xfId="28656" xr:uid="{00000000-0005-0000-0000-0000EB2D0000}"/>
    <cellStyle name="Normal 14 2 3 4 3 4" xfId="20208" xr:uid="{00000000-0005-0000-0000-0000EC2D0000}"/>
    <cellStyle name="Normal 14 2 3 4 4" xfId="5380" xr:uid="{00000000-0005-0000-0000-0000ED2D0000}"/>
    <cellStyle name="Normal 14 2 3 4 4 2" xfId="13828" xr:uid="{00000000-0005-0000-0000-0000EE2D0000}"/>
    <cellStyle name="Normal 14 2 3 4 4 2 2" xfId="30768" xr:uid="{00000000-0005-0000-0000-0000EF2D0000}"/>
    <cellStyle name="Normal 14 2 3 4 4 3" xfId="22320" xr:uid="{00000000-0005-0000-0000-0000F02D0000}"/>
    <cellStyle name="Normal 14 2 3 4 5" xfId="9604" xr:uid="{00000000-0005-0000-0000-0000F12D0000}"/>
    <cellStyle name="Normal 14 2 3 4 5 2" xfId="26544" xr:uid="{00000000-0005-0000-0000-0000F22D0000}"/>
    <cellStyle name="Normal 14 2 3 4 6" xfId="18096" xr:uid="{00000000-0005-0000-0000-0000F32D0000}"/>
    <cellStyle name="Normal 14 2 3 5" xfId="1330" xr:uid="{00000000-0005-0000-0000-0000F42D0000}"/>
    <cellStyle name="Normal 14 2 3 5 2" xfId="2386" xr:uid="{00000000-0005-0000-0000-0000F52D0000}"/>
    <cellStyle name="Normal 14 2 3 5 2 2" xfId="4498" xr:uid="{00000000-0005-0000-0000-0000F62D0000}"/>
    <cellStyle name="Normal 14 2 3 5 2 2 2" xfId="8724" xr:uid="{00000000-0005-0000-0000-0000F72D0000}"/>
    <cellStyle name="Normal 14 2 3 5 2 2 2 2" xfId="17172" xr:uid="{00000000-0005-0000-0000-0000F82D0000}"/>
    <cellStyle name="Normal 14 2 3 5 2 2 2 2 2" xfId="34112" xr:uid="{00000000-0005-0000-0000-0000F92D0000}"/>
    <cellStyle name="Normal 14 2 3 5 2 2 2 3" xfId="25664" xr:uid="{00000000-0005-0000-0000-0000FA2D0000}"/>
    <cellStyle name="Normal 14 2 3 5 2 2 3" xfId="12948" xr:uid="{00000000-0005-0000-0000-0000FB2D0000}"/>
    <cellStyle name="Normal 14 2 3 5 2 2 3 2" xfId="29888" xr:uid="{00000000-0005-0000-0000-0000FC2D0000}"/>
    <cellStyle name="Normal 14 2 3 5 2 2 4" xfId="21440" xr:uid="{00000000-0005-0000-0000-0000FD2D0000}"/>
    <cellStyle name="Normal 14 2 3 5 2 3" xfId="6612" xr:uid="{00000000-0005-0000-0000-0000FE2D0000}"/>
    <cellStyle name="Normal 14 2 3 5 2 3 2" xfId="15060" xr:uid="{00000000-0005-0000-0000-0000FF2D0000}"/>
    <cellStyle name="Normal 14 2 3 5 2 3 2 2" xfId="32000" xr:uid="{00000000-0005-0000-0000-0000002E0000}"/>
    <cellStyle name="Normal 14 2 3 5 2 3 3" xfId="23552" xr:uid="{00000000-0005-0000-0000-0000012E0000}"/>
    <cellStyle name="Normal 14 2 3 5 2 4" xfId="10836" xr:uid="{00000000-0005-0000-0000-0000022E0000}"/>
    <cellStyle name="Normal 14 2 3 5 2 4 2" xfId="27776" xr:uid="{00000000-0005-0000-0000-0000032E0000}"/>
    <cellStyle name="Normal 14 2 3 5 2 5" xfId="19328" xr:uid="{00000000-0005-0000-0000-0000042E0000}"/>
    <cellStyle name="Normal 14 2 3 5 3" xfId="3442" xr:uid="{00000000-0005-0000-0000-0000052E0000}"/>
    <cellStyle name="Normal 14 2 3 5 3 2" xfId="7668" xr:uid="{00000000-0005-0000-0000-0000062E0000}"/>
    <cellStyle name="Normal 14 2 3 5 3 2 2" xfId="16116" xr:uid="{00000000-0005-0000-0000-0000072E0000}"/>
    <cellStyle name="Normal 14 2 3 5 3 2 2 2" xfId="33056" xr:uid="{00000000-0005-0000-0000-0000082E0000}"/>
    <cellStyle name="Normal 14 2 3 5 3 2 3" xfId="24608" xr:uid="{00000000-0005-0000-0000-0000092E0000}"/>
    <cellStyle name="Normal 14 2 3 5 3 3" xfId="11892" xr:uid="{00000000-0005-0000-0000-00000A2E0000}"/>
    <cellStyle name="Normal 14 2 3 5 3 3 2" xfId="28832" xr:uid="{00000000-0005-0000-0000-00000B2E0000}"/>
    <cellStyle name="Normal 14 2 3 5 3 4" xfId="20384" xr:uid="{00000000-0005-0000-0000-00000C2E0000}"/>
    <cellStyle name="Normal 14 2 3 5 4" xfId="5556" xr:uid="{00000000-0005-0000-0000-00000D2E0000}"/>
    <cellStyle name="Normal 14 2 3 5 4 2" xfId="14004" xr:uid="{00000000-0005-0000-0000-00000E2E0000}"/>
    <cellStyle name="Normal 14 2 3 5 4 2 2" xfId="30944" xr:uid="{00000000-0005-0000-0000-00000F2E0000}"/>
    <cellStyle name="Normal 14 2 3 5 4 3" xfId="22496" xr:uid="{00000000-0005-0000-0000-0000102E0000}"/>
    <cellStyle name="Normal 14 2 3 5 5" xfId="9780" xr:uid="{00000000-0005-0000-0000-0000112E0000}"/>
    <cellStyle name="Normal 14 2 3 5 5 2" xfId="26720" xr:uid="{00000000-0005-0000-0000-0000122E0000}"/>
    <cellStyle name="Normal 14 2 3 5 6" xfId="18272" xr:uid="{00000000-0005-0000-0000-0000132E0000}"/>
    <cellStyle name="Normal 14 2 3 6" xfId="1506" xr:uid="{00000000-0005-0000-0000-0000142E0000}"/>
    <cellStyle name="Normal 14 2 3 6 2" xfId="3618" xr:uid="{00000000-0005-0000-0000-0000152E0000}"/>
    <cellStyle name="Normal 14 2 3 6 2 2" xfId="7844" xr:uid="{00000000-0005-0000-0000-0000162E0000}"/>
    <cellStyle name="Normal 14 2 3 6 2 2 2" xfId="16292" xr:uid="{00000000-0005-0000-0000-0000172E0000}"/>
    <cellStyle name="Normal 14 2 3 6 2 2 2 2" xfId="33232" xr:uid="{00000000-0005-0000-0000-0000182E0000}"/>
    <cellStyle name="Normal 14 2 3 6 2 2 3" xfId="24784" xr:uid="{00000000-0005-0000-0000-0000192E0000}"/>
    <cellStyle name="Normal 14 2 3 6 2 3" xfId="12068" xr:uid="{00000000-0005-0000-0000-00001A2E0000}"/>
    <cellStyle name="Normal 14 2 3 6 2 3 2" xfId="29008" xr:uid="{00000000-0005-0000-0000-00001B2E0000}"/>
    <cellStyle name="Normal 14 2 3 6 2 4" xfId="20560" xr:uid="{00000000-0005-0000-0000-00001C2E0000}"/>
    <cellStyle name="Normal 14 2 3 6 3" xfId="5732" xr:uid="{00000000-0005-0000-0000-00001D2E0000}"/>
    <cellStyle name="Normal 14 2 3 6 3 2" xfId="14180" xr:uid="{00000000-0005-0000-0000-00001E2E0000}"/>
    <cellStyle name="Normal 14 2 3 6 3 2 2" xfId="31120" xr:uid="{00000000-0005-0000-0000-00001F2E0000}"/>
    <cellStyle name="Normal 14 2 3 6 3 3" xfId="22672" xr:uid="{00000000-0005-0000-0000-0000202E0000}"/>
    <cellStyle name="Normal 14 2 3 6 4" xfId="9956" xr:uid="{00000000-0005-0000-0000-0000212E0000}"/>
    <cellStyle name="Normal 14 2 3 6 4 2" xfId="26896" xr:uid="{00000000-0005-0000-0000-0000222E0000}"/>
    <cellStyle name="Normal 14 2 3 6 5" xfId="18448" xr:uid="{00000000-0005-0000-0000-0000232E0000}"/>
    <cellStyle name="Normal 14 2 3 7" xfId="2562" xr:uid="{00000000-0005-0000-0000-0000242E0000}"/>
    <cellStyle name="Normal 14 2 3 7 2" xfId="6788" xr:uid="{00000000-0005-0000-0000-0000252E0000}"/>
    <cellStyle name="Normal 14 2 3 7 2 2" xfId="15236" xr:uid="{00000000-0005-0000-0000-0000262E0000}"/>
    <cellStyle name="Normal 14 2 3 7 2 2 2" xfId="32176" xr:uid="{00000000-0005-0000-0000-0000272E0000}"/>
    <cellStyle name="Normal 14 2 3 7 2 3" xfId="23728" xr:uid="{00000000-0005-0000-0000-0000282E0000}"/>
    <cellStyle name="Normal 14 2 3 7 3" xfId="11012" xr:uid="{00000000-0005-0000-0000-0000292E0000}"/>
    <cellStyle name="Normal 14 2 3 7 3 2" xfId="27952" xr:uid="{00000000-0005-0000-0000-00002A2E0000}"/>
    <cellStyle name="Normal 14 2 3 7 4" xfId="19504" xr:uid="{00000000-0005-0000-0000-00002B2E0000}"/>
    <cellStyle name="Normal 14 2 3 8" xfId="4675" xr:uid="{00000000-0005-0000-0000-00002C2E0000}"/>
    <cellStyle name="Normal 14 2 3 8 2" xfId="13124" xr:uid="{00000000-0005-0000-0000-00002D2E0000}"/>
    <cellStyle name="Normal 14 2 3 8 2 2" xfId="30064" xr:uid="{00000000-0005-0000-0000-00002E2E0000}"/>
    <cellStyle name="Normal 14 2 3 8 3" xfId="21616" xr:uid="{00000000-0005-0000-0000-00002F2E0000}"/>
    <cellStyle name="Normal 14 2 3 9" xfId="8900" xr:uid="{00000000-0005-0000-0000-0000302E0000}"/>
    <cellStyle name="Normal 14 2 3 9 2" xfId="25840" xr:uid="{00000000-0005-0000-0000-0000312E0000}"/>
    <cellStyle name="Normal 14 2 4" xfId="618" xr:uid="{00000000-0005-0000-0000-0000322E0000}"/>
    <cellStyle name="Normal 14 2 4 2" xfId="970" xr:uid="{00000000-0005-0000-0000-0000332E0000}"/>
    <cellStyle name="Normal 14 2 4 2 2" xfId="2032" xr:uid="{00000000-0005-0000-0000-0000342E0000}"/>
    <cellStyle name="Normal 14 2 4 2 2 2" xfId="4144" xr:uid="{00000000-0005-0000-0000-0000352E0000}"/>
    <cellStyle name="Normal 14 2 4 2 2 2 2" xfId="8370" xr:uid="{00000000-0005-0000-0000-0000362E0000}"/>
    <cellStyle name="Normal 14 2 4 2 2 2 2 2" xfId="16818" xr:uid="{00000000-0005-0000-0000-0000372E0000}"/>
    <cellStyle name="Normal 14 2 4 2 2 2 2 2 2" xfId="33758" xr:uid="{00000000-0005-0000-0000-0000382E0000}"/>
    <cellStyle name="Normal 14 2 4 2 2 2 2 3" xfId="25310" xr:uid="{00000000-0005-0000-0000-0000392E0000}"/>
    <cellStyle name="Normal 14 2 4 2 2 2 3" xfId="12594" xr:uid="{00000000-0005-0000-0000-00003A2E0000}"/>
    <cellStyle name="Normal 14 2 4 2 2 2 3 2" xfId="29534" xr:uid="{00000000-0005-0000-0000-00003B2E0000}"/>
    <cellStyle name="Normal 14 2 4 2 2 2 4" xfId="21086" xr:uid="{00000000-0005-0000-0000-00003C2E0000}"/>
    <cellStyle name="Normal 14 2 4 2 2 3" xfId="6258" xr:uid="{00000000-0005-0000-0000-00003D2E0000}"/>
    <cellStyle name="Normal 14 2 4 2 2 3 2" xfId="14706" xr:uid="{00000000-0005-0000-0000-00003E2E0000}"/>
    <cellStyle name="Normal 14 2 4 2 2 3 2 2" xfId="31646" xr:uid="{00000000-0005-0000-0000-00003F2E0000}"/>
    <cellStyle name="Normal 14 2 4 2 2 3 3" xfId="23198" xr:uid="{00000000-0005-0000-0000-0000402E0000}"/>
    <cellStyle name="Normal 14 2 4 2 2 4" xfId="10482" xr:uid="{00000000-0005-0000-0000-0000412E0000}"/>
    <cellStyle name="Normal 14 2 4 2 2 4 2" xfId="27422" xr:uid="{00000000-0005-0000-0000-0000422E0000}"/>
    <cellStyle name="Normal 14 2 4 2 2 5" xfId="18974" xr:uid="{00000000-0005-0000-0000-0000432E0000}"/>
    <cellStyle name="Normal 14 2 4 2 3" xfId="3088" xr:uid="{00000000-0005-0000-0000-0000442E0000}"/>
    <cellStyle name="Normal 14 2 4 2 3 2" xfId="7314" xr:uid="{00000000-0005-0000-0000-0000452E0000}"/>
    <cellStyle name="Normal 14 2 4 2 3 2 2" xfId="15762" xr:uid="{00000000-0005-0000-0000-0000462E0000}"/>
    <cellStyle name="Normal 14 2 4 2 3 2 2 2" xfId="32702" xr:uid="{00000000-0005-0000-0000-0000472E0000}"/>
    <cellStyle name="Normal 14 2 4 2 3 2 3" xfId="24254" xr:uid="{00000000-0005-0000-0000-0000482E0000}"/>
    <cellStyle name="Normal 14 2 4 2 3 3" xfId="11538" xr:uid="{00000000-0005-0000-0000-0000492E0000}"/>
    <cellStyle name="Normal 14 2 4 2 3 3 2" xfId="28478" xr:uid="{00000000-0005-0000-0000-00004A2E0000}"/>
    <cellStyle name="Normal 14 2 4 2 3 4" xfId="20030" xr:uid="{00000000-0005-0000-0000-00004B2E0000}"/>
    <cellStyle name="Normal 14 2 4 2 4" xfId="5202" xr:uid="{00000000-0005-0000-0000-00004C2E0000}"/>
    <cellStyle name="Normal 14 2 4 2 4 2" xfId="13650" xr:uid="{00000000-0005-0000-0000-00004D2E0000}"/>
    <cellStyle name="Normal 14 2 4 2 4 2 2" xfId="30590" xr:uid="{00000000-0005-0000-0000-00004E2E0000}"/>
    <cellStyle name="Normal 14 2 4 2 4 3" xfId="22142" xr:uid="{00000000-0005-0000-0000-00004F2E0000}"/>
    <cellStyle name="Normal 14 2 4 2 5" xfId="9426" xr:uid="{00000000-0005-0000-0000-0000502E0000}"/>
    <cellStyle name="Normal 14 2 4 2 5 2" xfId="26366" xr:uid="{00000000-0005-0000-0000-0000512E0000}"/>
    <cellStyle name="Normal 14 2 4 2 6" xfId="17918" xr:uid="{00000000-0005-0000-0000-0000522E0000}"/>
    <cellStyle name="Normal 14 2 4 3" xfId="1680" xr:uid="{00000000-0005-0000-0000-0000532E0000}"/>
    <cellStyle name="Normal 14 2 4 3 2" xfId="3792" xr:uid="{00000000-0005-0000-0000-0000542E0000}"/>
    <cellStyle name="Normal 14 2 4 3 2 2" xfId="8018" xr:uid="{00000000-0005-0000-0000-0000552E0000}"/>
    <cellStyle name="Normal 14 2 4 3 2 2 2" xfId="16466" xr:uid="{00000000-0005-0000-0000-0000562E0000}"/>
    <cellStyle name="Normal 14 2 4 3 2 2 2 2" xfId="33406" xr:uid="{00000000-0005-0000-0000-0000572E0000}"/>
    <cellStyle name="Normal 14 2 4 3 2 2 3" xfId="24958" xr:uid="{00000000-0005-0000-0000-0000582E0000}"/>
    <cellStyle name="Normal 14 2 4 3 2 3" xfId="12242" xr:uid="{00000000-0005-0000-0000-0000592E0000}"/>
    <cellStyle name="Normal 14 2 4 3 2 3 2" xfId="29182" xr:uid="{00000000-0005-0000-0000-00005A2E0000}"/>
    <cellStyle name="Normal 14 2 4 3 2 4" xfId="20734" xr:uid="{00000000-0005-0000-0000-00005B2E0000}"/>
    <cellStyle name="Normal 14 2 4 3 3" xfId="5906" xr:uid="{00000000-0005-0000-0000-00005C2E0000}"/>
    <cellStyle name="Normal 14 2 4 3 3 2" xfId="14354" xr:uid="{00000000-0005-0000-0000-00005D2E0000}"/>
    <cellStyle name="Normal 14 2 4 3 3 2 2" xfId="31294" xr:uid="{00000000-0005-0000-0000-00005E2E0000}"/>
    <cellStyle name="Normal 14 2 4 3 3 3" xfId="22846" xr:uid="{00000000-0005-0000-0000-00005F2E0000}"/>
    <cellStyle name="Normal 14 2 4 3 4" xfId="10130" xr:uid="{00000000-0005-0000-0000-0000602E0000}"/>
    <cellStyle name="Normal 14 2 4 3 4 2" xfId="27070" xr:uid="{00000000-0005-0000-0000-0000612E0000}"/>
    <cellStyle name="Normal 14 2 4 3 5" xfId="18622" xr:uid="{00000000-0005-0000-0000-0000622E0000}"/>
    <cellStyle name="Normal 14 2 4 4" xfId="2736" xr:uid="{00000000-0005-0000-0000-0000632E0000}"/>
    <cellStyle name="Normal 14 2 4 4 2" xfId="6962" xr:uid="{00000000-0005-0000-0000-0000642E0000}"/>
    <cellStyle name="Normal 14 2 4 4 2 2" xfId="15410" xr:uid="{00000000-0005-0000-0000-0000652E0000}"/>
    <cellStyle name="Normal 14 2 4 4 2 2 2" xfId="32350" xr:uid="{00000000-0005-0000-0000-0000662E0000}"/>
    <cellStyle name="Normal 14 2 4 4 2 3" xfId="23902" xr:uid="{00000000-0005-0000-0000-0000672E0000}"/>
    <cellStyle name="Normal 14 2 4 4 3" xfId="11186" xr:uid="{00000000-0005-0000-0000-0000682E0000}"/>
    <cellStyle name="Normal 14 2 4 4 3 2" xfId="28126" xr:uid="{00000000-0005-0000-0000-0000692E0000}"/>
    <cellStyle name="Normal 14 2 4 4 4" xfId="19678" xr:uid="{00000000-0005-0000-0000-00006A2E0000}"/>
    <cellStyle name="Normal 14 2 4 5" xfId="4850" xr:uid="{00000000-0005-0000-0000-00006B2E0000}"/>
    <cellStyle name="Normal 14 2 4 5 2" xfId="13298" xr:uid="{00000000-0005-0000-0000-00006C2E0000}"/>
    <cellStyle name="Normal 14 2 4 5 2 2" xfId="30238" xr:uid="{00000000-0005-0000-0000-00006D2E0000}"/>
    <cellStyle name="Normal 14 2 4 5 3" xfId="21790" xr:uid="{00000000-0005-0000-0000-00006E2E0000}"/>
    <cellStyle name="Normal 14 2 4 6" xfId="9074" xr:uid="{00000000-0005-0000-0000-00006F2E0000}"/>
    <cellStyle name="Normal 14 2 4 6 2" xfId="26014" xr:uid="{00000000-0005-0000-0000-0000702E0000}"/>
    <cellStyle name="Normal 14 2 4 7" xfId="17566" xr:uid="{00000000-0005-0000-0000-0000712E0000}"/>
    <cellStyle name="Normal 14 2 5" xfId="794" xr:uid="{00000000-0005-0000-0000-0000722E0000}"/>
    <cellStyle name="Normal 14 2 5 2" xfId="1856" xr:uid="{00000000-0005-0000-0000-0000732E0000}"/>
    <cellStyle name="Normal 14 2 5 2 2" xfId="3968" xr:uid="{00000000-0005-0000-0000-0000742E0000}"/>
    <cellStyle name="Normal 14 2 5 2 2 2" xfId="8194" xr:uid="{00000000-0005-0000-0000-0000752E0000}"/>
    <cellStyle name="Normal 14 2 5 2 2 2 2" xfId="16642" xr:uid="{00000000-0005-0000-0000-0000762E0000}"/>
    <cellStyle name="Normal 14 2 5 2 2 2 2 2" xfId="33582" xr:uid="{00000000-0005-0000-0000-0000772E0000}"/>
    <cellStyle name="Normal 14 2 5 2 2 2 3" xfId="25134" xr:uid="{00000000-0005-0000-0000-0000782E0000}"/>
    <cellStyle name="Normal 14 2 5 2 2 3" xfId="12418" xr:uid="{00000000-0005-0000-0000-0000792E0000}"/>
    <cellStyle name="Normal 14 2 5 2 2 3 2" xfId="29358" xr:uid="{00000000-0005-0000-0000-00007A2E0000}"/>
    <cellStyle name="Normal 14 2 5 2 2 4" xfId="20910" xr:uid="{00000000-0005-0000-0000-00007B2E0000}"/>
    <cellStyle name="Normal 14 2 5 2 3" xfId="6082" xr:uid="{00000000-0005-0000-0000-00007C2E0000}"/>
    <cellStyle name="Normal 14 2 5 2 3 2" xfId="14530" xr:uid="{00000000-0005-0000-0000-00007D2E0000}"/>
    <cellStyle name="Normal 14 2 5 2 3 2 2" xfId="31470" xr:uid="{00000000-0005-0000-0000-00007E2E0000}"/>
    <cellStyle name="Normal 14 2 5 2 3 3" xfId="23022" xr:uid="{00000000-0005-0000-0000-00007F2E0000}"/>
    <cellStyle name="Normal 14 2 5 2 4" xfId="10306" xr:uid="{00000000-0005-0000-0000-0000802E0000}"/>
    <cellStyle name="Normal 14 2 5 2 4 2" xfId="27246" xr:uid="{00000000-0005-0000-0000-0000812E0000}"/>
    <cellStyle name="Normal 14 2 5 2 5" xfId="18798" xr:uid="{00000000-0005-0000-0000-0000822E0000}"/>
    <cellStyle name="Normal 14 2 5 3" xfId="2912" xr:uid="{00000000-0005-0000-0000-0000832E0000}"/>
    <cellStyle name="Normal 14 2 5 3 2" xfId="7138" xr:uid="{00000000-0005-0000-0000-0000842E0000}"/>
    <cellStyle name="Normal 14 2 5 3 2 2" xfId="15586" xr:uid="{00000000-0005-0000-0000-0000852E0000}"/>
    <cellStyle name="Normal 14 2 5 3 2 2 2" xfId="32526" xr:uid="{00000000-0005-0000-0000-0000862E0000}"/>
    <cellStyle name="Normal 14 2 5 3 2 3" xfId="24078" xr:uid="{00000000-0005-0000-0000-0000872E0000}"/>
    <cellStyle name="Normal 14 2 5 3 3" xfId="11362" xr:uid="{00000000-0005-0000-0000-0000882E0000}"/>
    <cellStyle name="Normal 14 2 5 3 3 2" xfId="28302" xr:uid="{00000000-0005-0000-0000-0000892E0000}"/>
    <cellStyle name="Normal 14 2 5 3 4" xfId="19854" xr:uid="{00000000-0005-0000-0000-00008A2E0000}"/>
    <cellStyle name="Normal 14 2 5 4" xfId="5026" xr:uid="{00000000-0005-0000-0000-00008B2E0000}"/>
    <cellStyle name="Normal 14 2 5 4 2" xfId="13474" xr:uid="{00000000-0005-0000-0000-00008C2E0000}"/>
    <cellStyle name="Normal 14 2 5 4 2 2" xfId="30414" xr:uid="{00000000-0005-0000-0000-00008D2E0000}"/>
    <cellStyle name="Normal 14 2 5 4 3" xfId="21966" xr:uid="{00000000-0005-0000-0000-00008E2E0000}"/>
    <cellStyle name="Normal 14 2 5 5" xfId="9250" xr:uid="{00000000-0005-0000-0000-00008F2E0000}"/>
    <cellStyle name="Normal 14 2 5 5 2" xfId="26190" xr:uid="{00000000-0005-0000-0000-0000902E0000}"/>
    <cellStyle name="Normal 14 2 5 6" xfId="17742" xr:uid="{00000000-0005-0000-0000-0000912E0000}"/>
    <cellStyle name="Normal 14 2 6" xfId="1146" xr:uid="{00000000-0005-0000-0000-0000922E0000}"/>
    <cellStyle name="Normal 14 2 6 2" xfId="2208" xr:uid="{00000000-0005-0000-0000-0000932E0000}"/>
    <cellStyle name="Normal 14 2 6 2 2" xfId="4320" xr:uid="{00000000-0005-0000-0000-0000942E0000}"/>
    <cellStyle name="Normal 14 2 6 2 2 2" xfId="8546" xr:uid="{00000000-0005-0000-0000-0000952E0000}"/>
    <cellStyle name="Normal 14 2 6 2 2 2 2" xfId="16994" xr:uid="{00000000-0005-0000-0000-0000962E0000}"/>
    <cellStyle name="Normal 14 2 6 2 2 2 2 2" xfId="33934" xr:uid="{00000000-0005-0000-0000-0000972E0000}"/>
    <cellStyle name="Normal 14 2 6 2 2 2 3" xfId="25486" xr:uid="{00000000-0005-0000-0000-0000982E0000}"/>
    <cellStyle name="Normal 14 2 6 2 2 3" xfId="12770" xr:uid="{00000000-0005-0000-0000-0000992E0000}"/>
    <cellStyle name="Normal 14 2 6 2 2 3 2" xfId="29710" xr:uid="{00000000-0005-0000-0000-00009A2E0000}"/>
    <cellStyle name="Normal 14 2 6 2 2 4" xfId="21262" xr:uid="{00000000-0005-0000-0000-00009B2E0000}"/>
    <cellStyle name="Normal 14 2 6 2 3" xfId="6434" xr:uid="{00000000-0005-0000-0000-00009C2E0000}"/>
    <cellStyle name="Normal 14 2 6 2 3 2" xfId="14882" xr:uid="{00000000-0005-0000-0000-00009D2E0000}"/>
    <cellStyle name="Normal 14 2 6 2 3 2 2" xfId="31822" xr:uid="{00000000-0005-0000-0000-00009E2E0000}"/>
    <cellStyle name="Normal 14 2 6 2 3 3" xfId="23374" xr:uid="{00000000-0005-0000-0000-00009F2E0000}"/>
    <cellStyle name="Normal 14 2 6 2 4" xfId="10658" xr:uid="{00000000-0005-0000-0000-0000A02E0000}"/>
    <cellStyle name="Normal 14 2 6 2 4 2" xfId="27598" xr:uid="{00000000-0005-0000-0000-0000A12E0000}"/>
    <cellStyle name="Normal 14 2 6 2 5" xfId="19150" xr:uid="{00000000-0005-0000-0000-0000A22E0000}"/>
    <cellStyle name="Normal 14 2 6 3" xfId="3264" xr:uid="{00000000-0005-0000-0000-0000A32E0000}"/>
    <cellStyle name="Normal 14 2 6 3 2" xfId="7490" xr:uid="{00000000-0005-0000-0000-0000A42E0000}"/>
    <cellStyle name="Normal 14 2 6 3 2 2" xfId="15938" xr:uid="{00000000-0005-0000-0000-0000A52E0000}"/>
    <cellStyle name="Normal 14 2 6 3 2 2 2" xfId="32878" xr:uid="{00000000-0005-0000-0000-0000A62E0000}"/>
    <cellStyle name="Normal 14 2 6 3 2 3" xfId="24430" xr:uid="{00000000-0005-0000-0000-0000A72E0000}"/>
    <cellStyle name="Normal 14 2 6 3 3" xfId="11714" xr:uid="{00000000-0005-0000-0000-0000A82E0000}"/>
    <cellStyle name="Normal 14 2 6 3 3 2" xfId="28654" xr:uid="{00000000-0005-0000-0000-0000A92E0000}"/>
    <cellStyle name="Normal 14 2 6 3 4" xfId="20206" xr:uid="{00000000-0005-0000-0000-0000AA2E0000}"/>
    <cellStyle name="Normal 14 2 6 4" xfId="5378" xr:uid="{00000000-0005-0000-0000-0000AB2E0000}"/>
    <cellStyle name="Normal 14 2 6 4 2" xfId="13826" xr:uid="{00000000-0005-0000-0000-0000AC2E0000}"/>
    <cellStyle name="Normal 14 2 6 4 2 2" xfId="30766" xr:uid="{00000000-0005-0000-0000-0000AD2E0000}"/>
    <cellStyle name="Normal 14 2 6 4 3" xfId="22318" xr:uid="{00000000-0005-0000-0000-0000AE2E0000}"/>
    <cellStyle name="Normal 14 2 6 5" xfId="9602" xr:uid="{00000000-0005-0000-0000-0000AF2E0000}"/>
    <cellStyle name="Normal 14 2 6 5 2" xfId="26542" xr:uid="{00000000-0005-0000-0000-0000B02E0000}"/>
    <cellStyle name="Normal 14 2 6 6" xfId="18094" xr:uid="{00000000-0005-0000-0000-0000B12E0000}"/>
    <cellStyle name="Normal 14 2 7" xfId="1328" xr:uid="{00000000-0005-0000-0000-0000B22E0000}"/>
    <cellStyle name="Normal 14 2 7 2" xfId="2384" xr:uid="{00000000-0005-0000-0000-0000B32E0000}"/>
    <cellStyle name="Normal 14 2 7 2 2" xfId="4496" xr:uid="{00000000-0005-0000-0000-0000B42E0000}"/>
    <cellStyle name="Normal 14 2 7 2 2 2" xfId="8722" xr:uid="{00000000-0005-0000-0000-0000B52E0000}"/>
    <cellStyle name="Normal 14 2 7 2 2 2 2" xfId="17170" xr:uid="{00000000-0005-0000-0000-0000B62E0000}"/>
    <cellStyle name="Normal 14 2 7 2 2 2 2 2" xfId="34110" xr:uid="{00000000-0005-0000-0000-0000B72E0000}"/>
    <cellStyle name="Normal 14 2 7 2 2 2 3" xfId="25662" xr:uid="{00000000-0005-0000-0000-0000B82E0000}"/>
    <cellStyle name="Normal 14 2 7 2 2 3" xfId="12946" xr:uid="{00000000-0005-0000-0000-0000B92E0000}"/>
    <cellStyle name="Normal 14 2 7 2 2 3 2" xfId="29886" xr:uid="{00000000-0005-0000-0000-0000BA2E0000}"/>
    <cellStyle name="Normal 14 2 7 2 2 4" xfId="21438" xr:uid="{00000000-0005-0000-0000-0000BB2E0000}"/>
    <cellStyle name="Normal 14 2 7 2 3" xfId="6610" xr:uid="{00000000-0005-0000-0000-0000BC2E0000}"/>
    <cellStyle name="Normal 14 2 7 2 3 2" xfId="15058" xr:uid="{00000000-0005-0000-0000-0000BD2E0000}"/>
    <cellStyle name="Normal 14 2 7 2 3 2 2" xfId="31998" xr:uid="{00000000-0005-0000-0000-0000BE2E0000}"/>
    <cellStyle name="Normal 14 2 7 2 3 3" xfId="23550" xr:uid="{00000000-0005-0000-0000-0000BF2E0000}"/>
    <cellStyle name="Normal 14 2 7 2 4" xfId="10834" xr:uid="{00000000-0005-0000-0000-0000C02E0000}"/>
    <cellStyle name="Normal 14 2 7 2 4 2" xfId="27774" xr:uid="{00000000-0005-0000-0000-0000C12E0000}"/>
    <cellStyle name="Normal 14 2 7 2 5" xfId="19326" xr:uid="{00000000-0005-0000-0000-0000C22E0000}"/>
    <cellStyle name="Normal 14 2 7 3" xfId="3440" xr:uid="{00000000-0005-0000-0000-0000C32E0000}"/>
    <cellStyle name="Normal 14 2 7 3 2" xfId="7666" xr:uid="{00000000-0005-0000-0000-0000C42E0000}"/>
    <cellStyle name="Normal 14 2 7 3 2 2" xfId="16114" xr:uid="{00000000-0005-0000-0000-0000C52E0000}"/>
    <cellStyle name="Normal 14 2 7 3 2 2 2" xfId="33054" xr:uid="{00000000-0005-0000-0000-0000C62E0000}"/>
    <cellStyle name="Normal 14 2 7 3 2 3" xfId="24606" xr:uid="{00000000-0005-0000-0000-0000C72E0000}"/>
    <cellStyle name="Normal 14 2 7 3 3" xfId="11890" xr:uid="{00000000-0005-0000-0000-0000C82E0000}"/>
    <cellStyle name="Normal 14 2 7 3 3 2" xfId="28830" xr:uid="{00000000-0005-0000-0000-0000C92E0000}"/>
    <cellStyle name="Normal 14 2 7 3 4" xfId="20382" xr:uid="{00000000-0005-0000-0000-0000CA2E0000}"/>
    <cellStyle name="Normal 14 2 7 4" xfId="5554" xr:uid="{00000000-0005-0000-0000-0000CB2E0000}"/>
    <cellStyle name="Normal 14 2 7 4 2" xfId="14002" xr:uid="{00000000-0005-0000-0000-0000CC2E0000}"/>
    <cellStyle name="Normal 14 2 7 4 2 2" xfId="30942" xr:uid="{00000000-0005-0000-0000-0000CD2E0000}"/>
    <cellStyle name="Normal 14 2 7 4 3" xfId="22494" xr:uid="{00000000-0005-0000-0000-0000CE2E0000}"/>
    <cellStyle name="Normal 14 2 7 5" xfId="9778" xr:uid="{00000000-0005-0000-0000-0000CF2E0000}"/>
    <cellStyle name="Normal 14 2 7 5 2" xfId="26718" xr:uid="{00000000-0005-0000-0000-0000D02E0000}"/>
    <cellStyle name="Normal 14 2 7 6" xfId="18270" xr:uid="{00000000-0005-0000-0000-0000D12E0000}"/>
    <cellStyle name="Normal 14 2 8" xfId="1504" xr:uid="{00000000-0005-0000-0000-0000D22E0000}"/>
    <cellStyle name="Normal 14 2 8 2" xfId="3616" xr:uid="{00000000-0005-0000-0000-0000D32E0000}"/>
    <cellStyle name="Normal 14 2 8 2 2" xfId="7842" xr:uid="{00000000-0005-0000-0000-0000D42E0000}"/>
    <cellStyle name="Normal 14 2 8 2 2 2" xfId="16290" xr:uid="{00000000-0005-0000-0000-0000D52E0000}"/>
    <cellStyle name="Normal 14 2 8 2 2 2 2" xfId="33230" xr:uid="{00000000-0005-0000-0000-0000D62E0000}"/>
    <cellStyle name="Normal 14 2 8 2 2 3" xfId="24782" xr:uid="{00000000-0005-0000-0000-0000D72E0000}"/>
    <cellStyle name="Normal 14 2 8 2 3" xfId="12066" xr:uid="{00000000-0005-0000-0000-0000D82E0000}"/>
    <cellStyle name="Normal 14 2 8 2 3 2" xfId="29006" xr:uid="{00000000-0005-0000-0000-0000D92E0000}"/>
    <cellStyle name="Normal 14 2 8 2 4" xfId="20558" xr:uid="{00000000-0005-0000-0000-0000DA2E0000}"/>
    <cellStyle name="Normal 14 2 8 3" xfId="5730" xr:uid="{00000000-0005-0000-0000-0000DB2E0000}"/>
    <cellStyle name="Normal 14 2 8 3 2" xfId="14178" xr:uid="{00000000-0005-0000-0000-0000DC2E0000}"/>
    <cellStyle name="Normal 14 2 8 3 2 2" xfId="31118" xr:uid="{00000000-0005-0000-0000-0000DD2E0000}"/>
    <cellStyle name="Normal 14 2 8 3 3" xfId="22670" xr:uid="{00000000-0005-0000-0000-0000DE2E0000}"/>
    <cellStyle name="Normal 14 2 8 4" xfId="9954" xr:uid="{00000000-0005-0000-0000-0000DF2E0000}"/>
    <cellStyle name="Normal 14 2 8 4 2" xfId="26894" xr:uid="{00000000-0005-0000-0000-0000E02E0000}"/>
    <cellStyle name="Normal 14 2 8 5" xfId="18446" xr:uid="{00000000-0005-0000-0000-0000E12E0000}"/>
    <cellStyle name="Normal 14 2 9" xfId="2560" xr:uid="{00000000-0005-0000-0000-0000E22E0000}"/>
    <cellStyle name="Normal 14 2 9 2" xfId="6786" xr:uid="{00000000-0005-0000-0000-0000E32E0000}"/>
    <cellStyle name="Normal 14 2 9 2 2" xfId="15234" xr:uid="{00000000-0005-0000-0000-0000E42E0000}"/>
    <cellStyle name="Normal 14 2 9 2 2 2" xfId="32174" xr:uid="{00000000-0005-0000-0000-0000E52E0000}"/>
    <cellStyle name="Normal 14 2 9 2 3" xfId="23726" xr:uid="{00000000-0005-0000-0000-0000E62E0000}"/>
    <cellStyle name="Normal 14 2 9 3" xfId="11010" xr:uid="{00000000-0005-0000-0000-0000E72E0000}"/>
    <cellStyle name="Normal 14 2 9 3 2" xfId="27950" xr:uid="{00000000-0005-0000-0000-0000E82E0000}"/>
    <cellStyle name="Normal 14 2 9 4" xfId="19502" xr:uid="{00000000-0005-0000-0000-0000E92E0000}"/>
    <cellStyle name="Normal 14 3" xfId="281" xr:uid="{00000000-0005-0000-0000-0000EA2E0000}"/>
    <cellStyle name="Normal 14 4" xfId="282" xr:uid="{00000000-0005-0000-0000-0000EB2E0000}"/>
    <cellStyle name="Normal 14 4 10" xfId="17393" xr:uid="{00000000-0005-0000-0000-0000EC2E0000}"/>
    <cellStyle name="Normal 14 4 2" xfId="621" xr:uid="{00000000-0005-0000-0000-0000ED2E0000}"/>
    <cellStyle name="Normal 14 4 2 2" xfId="973" xr:uid="{00000000-0005-0000-0000-0000EE2E0000}"/>
    <cellStyle name="Normal 14 4 2 2 2" xfId="2035" xr:uid="{00000000-0005-0000-0000-0000EF2E0000}"/>
    <cellStyle name="Normal 14 4 2 2 2 2" xfId="4147" xr:uid="{00000000-0005-0000-0000-0000F02E0000}"/>
    <cellStyle name="Normal 14 4 2 2 2 2 2" xfId="8373" xr:uid="{00000000-0005-0000-0000-0000F12E0000}"/>
    <cellStyle name="Normal 14 4 2 2 2 2 2 2" xfId="16821" xr:uid="{00000000-0005-0000-0000-0000F22E0000}"/>
    <cellStyle name="Normal 14 4 2 2 2 2 2 2 2" xfId="33761" xr:uid="{00000000-0005-0000-0000-0000F32E0000}"/>
    <cellStyle name="Normal 14 4 2 2 2 2 2 3" xfId="25313" xr:uid="{00000000-0005-0000-0000-0000F42E0000}"/>
    <cellStyle name="Normal 14 4 2 2 2 2 3" xfId="12597" xr:uid="{00000000-0005-0000-0000-0000F52E0000}"/>
    <cellStyle name="Normal 14 4 2 2 2 2 3 2" xfId="29537" xr:uid="{00000000-0005-0000-0000-0000F62E0000}"/>
    <cellStyle name="Normal 14 4 2 2 2 2 4" xfId="21089" xr:uid="{00000000-0005-0000-0000-0000F72E0000}"/>
    <cellStyle name="Normal 14 4 2 2 2 3" xfId="6261" xr:uid="{00000000-0005-0000-0000-0000F82E0000}"/>
    <cellStyle name="Normal 14 4 2 2 2 3 2" xfId="14709" xr:uid="{00000000-0005-0000-0000-0000F92E0000}"/>
    <cellStyle name="Normal 14 4 2 2 2 3 2 2" xfId="31649" xr:uid="{00000000-0005-0000-0000-0000FA2E0000}"/>
    <cellStyle name="Normal 14 4 2 2 2 3 3" xfId="23201" xr:uid="{00000000-0005-0000-0000-0000FB2E0000}"/>
    <cellStyle name="Normal 14 4 2 2 2 4" xfId="10485" xr:uid="{00000000-0005-0000-0000-0000FC2E0000}"/>
    <cellStyle name="Normal 14 4 2 2 2 4 2" xfId="27425" xr:uid="{00000000-0005-0000-0000-0000FD2E0000}"/>
    <cellStyle name="Normal 14 4 2 2 2 5" xfId="18977" xr:uid="{00000000-0005-0000-0000-0000FE2E0000}"/>
    <cellStyle name="Normal 14 4 2 2 3" xfId="3091" xr:uid="{00000000-0005-0000-0000-0000FF2E0000}"/>
    <cellStyle name="Normal 14 4 2 2 3 2" xfId="7317" xr:uid="{00000000-0005-0000-0000-0000002F0000}"/>
    <cellStyle name="Normal 14 4 2 2 3 2 2" xfId="15765" xr:uid="{00000000-0005-0000-0000-0000012F0000}"/>
    <cellStyle name="Normal 14 4 2 2 3 2 2 2" xfId="32705" xr:uid="{00000000-0005-0000-0000-0000022F0000}"/>
    <cellStyle name="Normal 14 4 2 2 3 2 3" xfId="24257" xr:uid="{00000000-0005-0000-0000-0000032F0000}"/>
    <cellStyle name="Normal 14 4 2 2 3 3" xfId="11541" xr:uid="{00000000-0005-0000-0000-0000042F0000}"/>
    <cellStyle name="Normal 14 4 2 2 3 3 2" xfId="28481" xr:uid="{00000000-0005-0000-0000-0000052F0000}"/>
    <cellStyle name="Normal 14 4 2 2 3 4" xfId="20033" xr:uid="{00000000-0005-0000-0000-0000062F0000}"/>
    <cellStyle name="Normal 14 4 2 2 4" xfId="5205" xr:uid="{00000000-0005-0000-0000-0000072F0000}"/>
    <cellStyle name="Normal 14 4 2 2 4 2" xfId="13653" xr:uid="{00000000-0005-0000-0000-0000082F0000}"/>
    <cellStyle name="Normal 14 4 2 2 4 2 2" xfId="30593" xr:uid="{00000000-0005-0000-0000-0000092F0000}"/>
    <cellStyle name="Normal 14 4 2 2 4 3" xfId="22145" xr:uid="{00000000-0005-0000-0000-00000A2F0000}"/>
    <cellStyle name="Normal 14 4 2 2 5" xfId="9429" xr:uid="{00000000-0005-0000-0000-00000B2F0000}"/>
    <cellStyle name="Normal 14 4 2 2 5 2" xfId="26369" xr:uid="{00000000-0005-0000-0000-00000C2F0000}"/>
    <cellStyle name="Normal 14 4 2 2 6" xfId="17921" xr:uid="{00000000-0005-0000-0000-00000D2F0000}"/>
    <cellStyle name="Normal 14 4 2 3" xfId="1683" xr:uid="{00000000-0005-0000-0000-00000E2F0000}"/>
    <cellStyle name="Normal 14 4 2 3 2" xfId="3795" xr:uid="{00000000-0005-0000-0000-00000F2F0000}"/>
    <cellStyle name="Normal 14 4 2 3 2 2" xfId="8021" xr:uid="{00000000-0005-0000-0000-0000102F0000}"/>
    <cellStyle name="Normal 14 4 2 3 2 2 2" xfId="16469" xr:uid="{00000000-0005-0000-0000-0000112F0000}"/>
    <cellStyle name="Normal 14 4 2 3 2 2 2 2" xfId="33409" xr:uid="{00000000-0005-0000-0000-0000122F0000}"/>
    <cellStyle name="Normal 14 4 2 3 2 2 3" xfId="24961" xr:uid="{00000000-0005-0000-0000-0000132F0000}"/>
    <cellStyle name="Normal 14 4 2 3 2 3" xfId="12245" xr:uid="{00000000-0005-0000-0000-0000142F0000}"/>
    <cellStyle name="Normal 14 4 2 3 2 3 2" xfId="29185" xr:uid="{00000000-0005-0000-0000-0000152F0000}"/>
    <cellStyle name="Normal 14 4 2 3 2 4" xfId="20737" xr:uid="{00000000-0005-0000-0000-0000162F0000}"/>
    <cellStyle name="Normal 14 4 2 3 3" xfId="5909" xr:uid="{00000000-0005-0000-0000-0000172F0000}"/>
    <cellStyle name="Normal 14 4 2 3 3 2" xfId="14357" xr:uid="{00000000-0005-0000-0000-0000182F0000}"/>
    <cellStyle name="Normal 14 4 2 3 3 2 2" xfId="31297" xr:uid="{00000000-0005-0000-0000-0000192F0000}"/>
    <cellStyle name="Normal 14 4 2 3 3 3" xfId="22849" xr:uid="{00000000-0005-0000-0000-00001A2F0000}"/>
    <cellStyle name="Normal 14 4 2 3 4" xfId="10133" xr:uid="{00000000-0005-0000-0000-00001B2F0000}"/>
    <cellStyle name="Normal 14 4 2 3 4 2" xfId="27073" xr:uid="{00000000-0005-0000-0000-00001C2F0000}"/>
    <cellStyle name="Normal 14 4 2 3 5" xfId="18625" xr:uid="{00000000-0005-0000-0000-00001D2F0000}"/>
    <cellStyle name="Normal 14 4 2 4" xfId="2739" xr:uid="{00000000-0005-0000-0000-00001E2F0000}"/>
    <cellStyle name="Normal 14 4 2 4 2" xfId="6965" xr:uid="{00000000-0005-0000-0000-00001F2F0000}"/>
    <cellStyle name="Normal 14 4 2 4 2 2" xfId="15413" xr:uid="{00000000-0005-0000-0000-0000202F0000}"/>
    <cellStyle name="Normal 14 4 2 4 2 2 2" xfId="32353" xr:uid="{00000000-0005-0000-0000-0000212F0000}"/>
    <cellStyle name="Normal 14 4 2 4 2 3" xfId="23905" xr:uid="{00000000-0005-0000-0000-0000222F0000}"/>
    <cellStyle name="Normal 14 4 2 4 3" xfId="11189" xr:uid="{00000000-0005-0000-0000-0000232F0000}"/>
    <cellStyle name="Normal 14 4 2 4 3 2" xfId="28129" xr:uid="{00000000-0005-0000-0000-0000242F0000}"/>
    <cellStyle name="Normal 14 4 2 4 4" xfId="19681" xr:uid="{00000000-0005-0000-0000-0000252F0000}"/>
    <cellStyle name="Normal 14 4 2 5" xfId="4853" xr:uid="{00000000-0005-0000-0000-0000262F0000}"/>
    <cellStyle name="Normal 14 4 2 5 2" xfId="13301" xr:uid="{00000000-0005-0000-0000-0000272F0000}"/>
    <cellStyle name="Normal 14 4 2 5 2 2" xfId="30241" xr:uid="{00000000-0005-0000-0000-0000282F0000}"/>
    <cellStyle name="Normal 14 4 2 5 3" xfId="21793" xr:uid="{00000000-0005-0000-0000-0000292F0000}"/>
    <cellStyle name="Normal 14 4 2 6" xfId="9077" xr:uid="{00000000-0005-0000-0000-00002A2F0000}"/>
    <cellStyle name="Normal 14 4 2 6 2" xfId="26017" xr:uid="{00000000-0005-0000-0000-00002B2F0000}"/>
    <cellStyle name="Normal 14 4 2 7" xfId="17569" xr:uid="{00000000-0005-0000-0000-00002C2F0000}"/>
    <cellStyle name="Normal 14 4 3" xfId="797" xr:uid="{00000000-0005-0000-0000-00002D2F0000}"/>
    <cellStyle name="Normal 14 4 3 2" xfId="1859" xr:uid="{00000000-0005-0000-0000-00002E2F0000}"/>
    <cellStyle name="Normal 14 4 3 2 2" xfId="3971" xr:uid="{00000000-0005-0000-0000-00002F2F0000}"/>
    <cellStyle name="Normal 14 4 3 2 2 2" xfId="8197" xr:uid="{00000000-0005-0000-0000-0000302F0000}"/>
    <cellStyle name="Normal 14 4 3 2 2 2 2" xfId="16645" xr:uid="{00000000-0005-0000-0000-0000312F0000}"/>
    <cellStyle name="Normal 14 4 3 2 2 2 2 2" xfId="33585" xr:uid="{00000000-0005-0000-0000-0000322F0000}"/>
    <cellStyle name="Normal 14 4 3 2 2 2 3" xfId="25137" xr:uid="{00000000-0005-0000-0000-0000332F0000}"/>
    <cellStyle name="Normal 14 4 3 2 2 3" xfId="12421" xr:uid="{00000000-0005-0000-0000-0000342F0000}"/>
    <cellStyle name="Normal 14 4 3 2 2 3 2" xfId="29361" xr:uid="{00000000-0005-0000-0000-0000352F0000}"/>
    <cellStyle name="Normal 14 4 3 2 2 4" xfId="20913" xr:uid="{00000000-0005-0000-0000-0000362F0000}"/>
    <cellStyle name="Normal 14 4 3 2 3" xfId="6085" xr:uid="{00000000-0005-0000-0000-0000372F0000}"/>
    <cellStyle name="Normal 14 4 3 2 3 2" xfId="14533" xr:uid="{00000000-0005-0000-0000-0000382F0000}"/>
    <cellStyle name="Normal 14 4 3 2 3 2 2" xfId="31473" xr:uid="{00000000-0005-0000-0000-0000392F0000}"/>
    <cellStyle name="Normal 14 4 3 2 3 3" xfId="23025" xr:uid="{00000000-0005-0000-0000-00003A2F0000}"/>
    <cellStyle name="Normal 14 4 3 2 4" xfId="10309" xr:uid="{00000000-0005-0000-0000-00003B2F0000}"/>
    <cellStyle name="Normal 14 4 3 2 4 2" xfId="27249" xr:uid="{00000000-0005-0000-0000-00003C2F0000}"/>
    <cellStyle name="Normal 14 4 3 2 5" xfId="18801" xr:uid="{00000000-0005-0000-0000-00003D2F0000}"/>
    <cellStyle name="Normal 14 4 3 3" xfId="2915" xr:uid="{00000000-0005-0000-0000-00003E2F0000}"/>
    <cellStyle name="Normal 14 4 3 3 2" xfId="7141" xr:uid="{00000000-0005-0000-0000-00003F2F0000}"/>
    <cellStyle name="Normal 14 4 3 3 2 2" xfId="15589" xr:uid="{00000000-0005-0000-0000-0000402F0000}"/>
    <cellStyle name="Normal 14 4 3 3 2 2 2" xfId="32529" xr:uid="{00000000-0005-0000-0000-0000412F0000}"/>
    <cellStyle name="Normal 14 4 3 3 2 3" xfId="24081" xr:uid="{00000000-0005-0000-0000-0000422F0000}"/>
    <cellStyle name="Normal 14 4 3 3 3" xfId="11365" xr:uid="{00000000-0005-0000-0000-0000432F0000}"/>
    <cellStyle name="Normal 14 4 3 3 3 2" xfId="28305" xr:uid="{00000000-0005-0000-0000-0000442F0000}"/>
    <cellStyle name="Normal 14 4 3 3 4" xfId="19857" xr:uid="{00000000-0005-0000-0000-0000452F0000}"/>
    <cellStyle name="Normal 14 4 3 4" xfId="5029" xr:uid="{00000000-0005-0000-0000-0000462F0000}"/>
    <cellStyle name="Normal 14 4 3 4 2" xfId="13477" xr:uid="{00000000-0005-0000-0000-0000472F0000}"/>
    <cellStyle name="Normal 14 4 3 4 2 2" xfId="30417" xr:uid="{00000000-0005-0000-0000-0000482F0000}"/>
    <cellStyle name="Normal 14 4 3 4 3" xfId="21969" xr:uid="{00000000-0005-0000-0000-0000492F0000}"/>
    <cellStyle name="Normal 14 4 3 5" xfId="9253" xr:uid="{00000000-0005-0000-0000-00004A2F0000}"/>
    <cellStyle name="Normal 14 4 3 5 2" xfId="26193" xr:uid="{00000000-0005-0000-0000-00004B2F0000}"/>
    <cellStyle name="Normal 14 4 3 6" xfId="17745" xr:uid="{00000000-0005-0000-0000-00004C2F0000}"/>
    <cellStyle name="Normal 14 4 4" xfId="1149" xr:uid="{00000000-0005-0000-0000-00004D2F0000}"/>
    <cellStyle name="Normal 14 4 4 2" xfId="2211" xr:uid="{00000000-0005-0000-0000-00004E2F0000}"/>
    <cellStyle name="Normal 14 4 4 2 2" xfId="4323" xr:uid="{00000000-0005-0000-0000-00004F2F0000}"/>
    <cellStyle name="Normal 14 4 4 2 2 2" xfId="8549" xr:uid="{00000000-0005-0000-0000-0000502F0000}"/>
    <cellStyle name="Normal 14 4 4 2 2 2 2" xfId="16997" xr:uid="{00000000-0005-0000-0000-0000512F0000}"/>
    <cellStyle name="Normal 14 4 4 2 2 2 2 2" xfId="33937" xr:uid="{00000000-0005-0000-0000-0000522F0000}"/>
    <cellStyle name="Normal 14 4 4 2 2 2 3" xfId="25489" xr:uid="{00000000-0005-0000-0000-0000532F0000}"/>
    <cellStyle name="Normal 14 4 4 2 2 3" xfId="12773" xr:uid="{00000000-0005-0000-0000-0000542F0000}"/>
    <cellStyle name="Normal 14 4 4 2 2 3 2" xfId="29713" xr:uid="{00000000-0005-0000-0000-0000552F0000}"/>
    <cellStyle name="Normal 14 4 4 2 2 4" xfId="21265" xr:uid="{00000000-0005-0000-0000-0000562F0000}"/>
    <cellStyle name="Normal 14 4 4 2 3" xfId="6437" xr:uid="{00000000-0005-0000-0000-0000572F0000}"/>
    <cellStyle name="Normal 14 4 4 2 3 2" xfId="14885" xr:uid="{00000000-0005-0000-0000-0000582F0000}"/>
    <cellStyle name="Normal 14 4 4 2 3 2 2" xfId="31825" xr:uid="{00000000-0005-0000-0000-0000592F0000}"/>
    <cellStyle name="Normal 14 4 4 2 3 3" xfId="23377" xr:uid="{00000000-0005-0000-0000-00005A2F0000}"/>
    <cellStyle name="Normal 14 4 4 2 4" xfId="10661" xr:uid="{00000000-0005-0000-0000-00005B2F0000}"/>
    <cellStyle name="Normal 14 4 4 2 4 2" xfId="27601" xr:uid="{00000000-0005-0000-0000-00005C2F0000}"/>
    <cellStyle name="Normal 14 4 4 2 5" xfId="19153" xr:uid="{00000000-0005-0000-0000-00005D2F0000}"/>
    <cellStyle name="Normal 14 4 4 3" xfId="3267" xr:uid="{00000000-0005-0000-0000-00005E2F0000}"/>
    <cellStyle name="Normal 14 4 4 3 2" xfId="7493" xr:uid="{00000000-0005-0000-0000-00005F2F0000}"/>
    <cellStyle name="Normal 14 4 4 3 2 2" xfId="15941" xr:uid="{00000000-0005-0000-0000-0000602F0000}"/>
    <cellStyle name="Normal 14 4 4 3 2 2 2" xfId="32881" xr:uid="{00000000-0005-0000-0000-0000612F0000}"/>
    <cellStyle name="Normal 14 4 4 3 2 3" xfId="24433" xr:uid="{00000000-0005-0000-0000-0000622F0000}"/>
    <cellStyle name="Normal 14 4 4 3 3" xfId="11717" xr:uid="{00000000-0005-0000-0000-0000632F0000}"/>
    <cellStyle name="Normal 14 4 4 3 3 2" xfId="28657" xr:uid="{00000000-0005-0000-0000-0000642F0000}"/>
    <cellStyle name="Normal 14 4 4 3 4" xfId="20209" xr:uid="{00000000-0005-0000-0000-0000652F0000}"/>
    <cellStyle name="Normal 14 4 4 4" xfId="5381" xr:uid="{00000000-0005-0000-0000-0000662F0000}"/>
    <cellStyle name="Normal 14 4 4 4 2" xfId="13829" xr:uid="{00000000-0005-0000-0000-0000672F0000}"/>
    <cellStyle name="Normal 14 4 4 4 2 2" xfId="30769" xr:uid="{00000000-0005-0000-0000-0000682F0000}"/>
    <cellStyle name="Normal 14 4 4 4 3" xfId="22321" xr:uid="{00000000-0005-0000-0000-0000692F0000}"/>
    <cellStyle name="Normal 14 4 4 5" xfId="9605" xr:uid="{00000000-0005-0000-0000-00006A2F0000}"/>
    <cellStyle name="Normal 14 4 4 5 2" xfId="26545" xr:uid="{00000000-0005-0000-0000-00006B2F0000}"/>
    <cellStyle name="Normal 14 4 4 6" xfId="18097" xr:uid="{00000000-0005-0000-0000-00006C2F0000}"/>
    <cellStyle name="Normal 14 4 5" xfId="1331" xr:uid="{00000000-0005-0000-0000-00006D2F0000}"/>
    <cellStyle name="Normal 14 4 5 2" xfId="2387" xr:uid="{00000000-0005-0000-0000-00006E2F0000}"/>
    <cellStyle name="Normal 14 4 5 2 2" xfId="4499" xr:uid="{00000000-0005-0000-0000-00006F2F0000}"/>
    <cellStyle name="Normal 14 4 5 2 2 2" xfId="8725" xr:uid="{00000000-0005-0000-0000-0000702F0000}"/>
    <cellStyle name="Normal 14 4 5 2 2 2 2" xfId="17173" xr:uid="{00000000-0005-0000-0000-0000712F0000}"/>
    <cellStyle name="Normal 14 4 5 2 2 2 2 2" xfId="34113" xr:uid="{00000000-0005-0000-0000-0000722F0000}"/>
    <cellStyle name="Normal 14 4 5 2 2 2 3" xfId="25665" xr:uid="{00000000-0005-0000-0000-0000732F0000}"/>
    <cellStyle name="Normal 14 4 5 2 2 3" xfId="12949" xr:uid="{00000000-0005-0000-0000-0000742F0000}"/>
    <cellStyle name="Normal 14 4 5 2 2 3 2" xfId="29889" xr:uid="{00000000-0005-0000-0000-0000752F0000}"/>
    <cellStyle name="Normal 14 4 5 2 2 4" xfId="21441" xr:uid="{00000000-0005-0000-0000-0000762F0000}"/>
    <cellStyle name="Normal 14 4 5 2 3" xfId="6613" xr:uid="{00000000-0005-0000-0000-0000772F0000}"/>
    <cellStyle name="Normal 14 4 5 2 3 2" xfId="15061" xr:uid="{00000000-0005-0000-0000-0000782F0000}"/>
    <cellStyle name="Normal 14 4 5 2 3 2 2" xfId="32001" xr:uid="{00000000-0005-0000-0000-0000792F0000}"/>
    <cellStyle name="Normal 14 4 5 2 3 3" xfId="23553" xr:uid="{00000000-0005-0000-0000-00007A2F0000}"/>
    <cellStyle name="Normal 14 4 5 2 4" xfId="10837" xr:uid="{00000000-0005-0000-0000-00007B2F0000}"/>
    <cellStyle name="Normal 14 4 5 2 4 2" xfId="27777" xr:uid="{00000000-0005-0000-0000-00007C2F0000}"/>
    <cellStyle name="Normal 14 4 5 2 5" xfId="19329" xr:uid="{00000000-0005-0000-0000-00007D2F0000}"/>
    <cellStyle name="Normal 14 4 5 3" xfId="3443" xr:uid="{00000000-0005-0000-0000-00007E2F0000}"/>
    <cellStyle name="Normal 14 4 5 3 2" xfId="7669" xr:uid="{00000000-0005-0000-0000-00007F2F0000}"/>
    <cellStyle name="Normal 14 4 5 3 2 2" xfId="16117" xr:uid="{00000000-0005-0000-0000-0000802F0000}"/>
    <cellStyle name="Normal 14 4 5 3 2 2 2" xfId="33057" xr:uid="{00000000-0005-0000-0000-0000812F0000}"/>
    <cellStyle name="Normal 14 4 5 3 2 3" xfId="24609" xr:uid="{00000000-0005-0000-0000-0000822F0000}"/>
    <cellStyle name="Normal 14 4 5 3 3" xfId="11893" xr:uid="{00000000-0005-0000-0000-0000832F0000}"/>
    <cellStyle name="Normal 14 4 5 3 3 2" xfId="28833" xr:uid="{00000000-0005-0000-0000-0000842F0000}"/>
    <cellStyle name="Normal 14 4 5 3 4" xfId="20385" xr:uid="{00000000-0005-0000-0000-0000852F0000}"/>
    <cellStyle name="Normal 14 4 5 4" xfId="5557" xr:uid="{00000000-0005-0000-0000-0000862F0000}"/>
    <cellStyle name="Normal 14 4 5 4 2" xfId="14005" xr:uid="{00000000-0005-0000-0000-0000872F0000}"/>
    <cellStyle name="Normal 14 4 5 4 2 2" xfId="30945" xr:uid="{00000000-0005-0000-0000-0000882F0000}"/>
    <cellStyle name="Normal 14 4 5 4 3" xfId="22497" xr:uid="{00000000-0005-0000-0000-0000892F0000}"/>
    <cellStyle name="Normal 14 4 5 5" xfId="9781" xr:uid="{00000000-0005-0000-0000-00008A2F0000}"/>
    <cellStyle name="Normal 14 4 5 5 2" xfId="26721" xr:uid="{00000000-0005-0000-0000-00008B2F0000}"/>
    <cellStyle name="Normal 14 4 5 6" xfId="18273" xr:uid="{00000000-0005-0000-0000-00008C2F0000}"/>
    <cellStyle name="Normal 14 4 6" xfId="1507" xr:uid="{00000000-0005-0000-0000-00008D2F0000}"/>
    <cellStyle name="Normal 14 4 6 2" xfId="3619" xr:uid="{00000000-0005-0000-0000-00008E2F0000}"/>
    <cellStyle name="Normal 14 4 6 2 2" xfId="7845" xr:uid="{00000000-0005-0000-0000-00008F2F0000}"/>
    <cellStyle name="Normal 14 4 6 2 2 2" xfId="16293" xr:uid="{00000000-0005-0000-0000-0000902F0000}"/>
    <cellStyle name="Normal 14 4 6 2 2 2 2" xfId="33233" xr:uid="{00000000-0005-0000-0000-0000912F0000}"/>
    <cellStyle name="Normal 14 4 6 2 2 3" xfId="24785" xr:uid="{00000000-0005-0000-0000-0000922F0000}"/>
    <cellStyle name="Normal 14 4 6 2 3" xfId="12069" xr:uid="{00000000-0005-0000-0000-0000932F0000}"/>
    <cellStyle name="Normal 14 4 6 2 3 2" xfId="29009" xr:uid="{00000000-0005-0000-0000-0000942F0000}"/>
    <cellStyle name="Normal 14 4 6 2 4" xfId="20561" xr:uid="{00000000-0005-0000-0000-0000952F0000}"/>
    <cellStyle name="Normal 14 4 6 3" xfId="5733" xr:uid="{00000000-0005-0000-0000-0000962F0000}"/>
    <cellStyle name="Normal 14 4 6 3 2" xfId="14181" xr:uid="{00000000-0005-0000-0000-0000972F0000}"/>
    <cellStyle name="Normal 14 4 6 3 2 2" xfId="31121" xr:uid="{00000000-0005-0000-0000-0000982F0000}"/>
    <cellStyle name="Normal 14 4 6 3 3" xfId="22673" xr:uid="{00000000-0005-0000-0000-0000992F0000}"/>
    <cellStyle name="Normal 14 4 6 4" xfId="9957" xr:uid="{00000000-0005-0000-0000-00009A2F0000}"/>
    <cellStyle name="Normal 14 4 6 4 2" xfId="26897" xr:uid="{00000000-0005-0000-0000-00009B2F0000}"/>
    <cellStyle name="Normal 14 4 6 5" xfId="18449" xr:uid="{00000000-0005-0000-0000-00009C2F0000}"/>
    <cellStyle name="Normal 14 4 7" xfId="2563" xr:uid="{00000000-0005-0000-0000-00009D2F0000}"/>
    <cellStyle name="Normal 14 4 7 2" xfId="6789" xr:uid="{00000000-0005-0000-0000-00009E2F0000}"/>
    <cellStyle name="Normal 14 4 7 2 2" xfId="15237" xr:uid="{00000000-0005-0000-0000-00009F2F0000}"/>
    <cellStyle name="Normal 14 4 7 2 2 2" xfId="32177" xr:uid="{00000000-0005-0000-0000-0000A02F0000}"/>
    <cellStyle name="Normal 14 4 7 2 3" xfId="23729" xr:uid="{00000000-0005-0000-0000-0000A12F0000}"/>
    <cellStyle name="Normal 14 4 7 3" xfId="11013" xr:uid="{00000000-0005-0000-0000-0000A22F0000}"/>
    <cellStyle name="Normal 14 4 7 3 2" xfId="27953" xr:uid="{00000000-0005-0000-0000-0000A32F0000}"/>
    <cellStyle name="Normal 14 4 7 4" xfId="19505" xr:uid="{00000000-0005-0000-0000-0000A42F0000}"/>
    <cellStyle name="Normal 14 4 8" xfId="4676" xr:uid="{00000000-0005-0000-0000-0000A52F0000}"/>
    <cellStyle name="Normal 14 4 8 2" xfId="13125" xr:uid="{00000000-0005-0000-0000-0000A62F0000}"/>
    <cellStyle name="Normal 14 4 8 2 2" xfId="30065" xr:uid="{00000000-0005-0000-0000-0000A72F0000}"/>
    <cellStyle name="Normal 14 4 8 3" xfId="21617" xr:uid="{00000000-0005-0000-0000-0000A82F0000}"/>
    <cellStyle name="Normal 14 4 9" xfId="8901" xr:uid="{00000000-0005-0000-0000-0000A92F0000}"/>
    <cellStyle name="Normal 14 4 9 2" xfId="25841" xr:uid="{00000000-0005-0000-0000-0000AA2F0000}"/>
    <cellStyle name="Normal 14 5" xfId="283" xr:uid="{00000000-0005-0000-0000-0000AB2F0000}"/>
    <cellStyle name="Normal 14 5 10" xfId="17394" xr:uid="{00000000-0005-0000-0000-0000AC2F0000}"/>
    <cellStyle name="Normal 14 5 2" xfId="622" xr:uid="{00000000-0005-0000-0000-0000AD2F0000}"/>
    <cellStyle name="Normal 14 5 2 2" xfId="974" xr:uid="{00000000-0005-0000-0000-0000AE2F0000}"/>
    <cellStyle name="Normal 14 5 2 2 2" xfId="2036" xr:uid="{00000000-0005-0000-0000-0000AF2F0000}"/>
    <cellStyle name="Normal 14 5 2 2 2 2" xfId="4148" xr:uid="{00000000-0005-0000-0000-0000B02F0000}"/>
    <cellStyle name="Normal 14 5 2 2 2 2 2" xfId="8374" xr:uid="{00000000-0005-0000-0000-0000B12F0000}"/>
    <cellStyle name="Normal 14 5 2 2 2 2 2 2" xfId="16822" xr:uid="{00000000-0005-0000-0000-0000B22F0000}"/>
    <cellStyle name="Normal 14 5 2 2 2 2 2 2 2" xfId="33762" xr:uid="{00000000-0005-0000-0000-0000B32F0000}"/>
    <cellStyle name="Normal 14 5 2 2 2 2 2 3" xfId="25314" xr:uid="{00000000-0005-0000-0000-0000B42F0000}"/>
    <cellStyle name="Normal 14 5 2 2 2 2 3" xfId="12598" xr:uid="{00000000-0005-0000-0000-0000B52F0000}"/>
    <cellStyle name="Normal 14 5 2 2 2 2 3 2" xfId="29538" xr:uid="{00000000-0005-0000-0000-0000B62F0000}"/>
    <cellStyle name="Normal 14 5 2 2 2 2 4" xfId="21090" xr:uid="{00000000-0005-0000-0000-0000B72F0000}"/>
    <cellStyle name="Normal 14 5 2 2 2 3" xfId="6262" xr:uid="{00000000-0005-0000-0000-0000B82F0000}"/>
    <cellStyle name="Normal 14 5 2 2 2 3 2" xfId="14710" xr:uid="{00000000-0005-0000-0000-0000B92F0000}"/>
    <cellStyle name="Normal 14 5 2 2 2 3 2 2" xfId="31650" xr:uid="{00000000-0005-0000-0000-0000BA2F0000}"/>
    <cellStyle name="Normal 14 5 2 2 2 3 3" xfId="23202" xr:uid="{00000000-0005-0000-0000-0000BB2F0000}"/>
    <cellStyle name="Normal 14 5 2 2 2 4" xfId="10486" xr:uid="{00000000-0005-0000-0000-0000BC2F0000}"/>
    <cellStyle name="Normal 14 5 2 2 2 4 2" xfId="27426" xr:uid="{00000000-0005-0000-0000-0000BD2F0000}"/>
    <cellStyle name="Normal 14 5 2 2 2 5" xfId="18978" xr:uid="{00000000-0005-0000-0000-0000BE2F0000}"/>
    <cellStyle name="Normal 14 5 2 2 3" xfId="3092" xr:uid="{00000000-0005-0000-0000-0000BF2F0000}"/>
    <cellStyle name="Normal 14 5 2 2 3 2" xfId="7318" xr:uid="{00000000-0005-0000-0000-0000C02F0000}"/>
    <cellStyle name="Normal 14 5 2 2 3 2 2" xfId="15766" xr:uid="{00000000-0005-0000-0000-0000C12F0000}"/>
    <cellStyle name="Normal 14 5 2 2 3 2 2 2" xfId="32706" xr:uid="{00000000-0005-0000-0000-0000C22F0000}"/>
    <cellStyle name="Normal 14 5 2 2 3 2 3" xfId="24258" xr:uid="{00000000-0005-0000-0000-0000C32F0000}"/>
    <cellStyle name="Normal 14 5 2 2 3 3" xfId="11542" xr:uid="{00000000-0005-0000-0000-0000C42F0000}"/>
    <cellStyle name="Normal 14 5 2 2 3 3 2" xfId="28482" xr:uid="{00000000-0005-0000-0000-0000C52F0000}"/>
    <cellStyle name="Normal 14 5 2 2 3 4" xfId="20034" xr:uid="{00000000-0005-0000-0000-0000C62F0000}"/>
    <cellStyle name="Normal 14 5 2 2 4" xfId="5206" xr:uid="{00000000-0005-0000-0000-0000C72F0000}"/>
    <cellStyle name="Normal 14 5 2 2 4 2" xfId="13654" xr:uid="{00000000-0005-0000-0000-0000C82F0000}"/>
    <cellStyle name="Normal 14 5 2 2 4 2 2" xfId="30594" xr:uid="{00000000-0005-0000-0000-0000C92F0000}"/>
    <cellStyle name="Normal 14 5 2 2 4 3" xfId="22146" xr:uid="{00000000-0005-0000-0000-0000CA2F0000}"/>
    <cellStyle name="Normal 14 5 2 2 5" xfId="9430" xr:uid="{00000000-0005-0000-0000-0000CB2F0000}"/>
    <cellStyle name="Normal 14 5 2 2 5 2" xfId="26370" xr:uid="{00000000-0005-0000-0000-0000CC2F0000}"/>
    <cellStyle name="Normal 14 5 2 2 6" xfId="17922" xr:uid="{00000000-0005-0000-0000-0000CD2F0000}"/>
    <cellStyle name="Normal 14 5 2 3" xfId="1684" xr:uid="{00000000-0005-0000-0000-0000CE2F0000}"/>
    <cellStyle name="Normal 14 5 2 3 2" xfId="3796" xr:uid="{00000000-0005-0000-0000-0000CF2F0000}"/>
    <cellStyle name="Normal 14 5 2 3 2 2" xfId="8022" xr:uid="{00000000-0005-0000-0000-0000D02F0000}"/>
    <cellStyle name="Normal 14 5 2 3 2 2 2" xfId="16470" xr:uid="{00000000-0005-0000-0000-0000D12F0000}"/>
    <cellStyle name="Normal 14 5 2 3 2 2 2 2" xfId="33410" xr:uid="{00000000-0005-0000-0000-0000D22F0000}"/>
    <cellStyle name="Normal 14 5 2 3 2 2 3" xfId="24962" xr:uid="{00000000-0005-0000-0000-0000D32F0000}"/>
    <cellStyle name="Normal 14 5 2 3 2 3" xfId="12246" xr:uid="{00000000-0005-0000-0000-0000D42F0000}"/>
    <cellStyle name="Normal 14 5 2 3 2 3 2" xfId="29186" xr:uid="{00000000-0005-0000-0000-0000D52F0000}"/>
    <cellStyle name="Normal 14 5 2 3 2 4" xfId="20738" xr:uid="{00000000-0005-0000-0000-0000D62F0000}"/>
    <cellStyle name="Normal 14 5 2 3 3" xfId="5910" xr:uid="{00000000-0005-0000-0000-0000D72F0000}"/>
    <cellStyle name="Normal 14 5 2 3 3 2" xfId="14358" xr:uid="{00000000-0005-0000-0000-0000D82F0000}"/>
    <cellStyle name="Normal 14 5 2 3 3 2 2" xfId="31298" xr:uid="{00000000-0005-0000-0000-0000D92F0000}"/>
    <cellStyle name="Normal 14 5 2 3 3 3" xfId="22850" xr:uid="{00000000-0005-0000-0000-0000DA2F0000}"/>
    <cellStyle name="Normal 14 5 2 3 4" xfId="10134" xr:uid="{00000000-0005-0000-0000-0000DB2F0000}"/>
    <cellStyle name="Normal 14 5 2 3 4 2" xfId="27074" xr:uid="{00000000-0005-0000-0000-0000DC2F0000}"/>
    <cellStyle name="Normal 14 5 2 3 5" xfId="18626" xr:uid="{00000000-0005-0000-0000-0000DD2F0000}"/>
    <cellStyle name="Normal 14 5 2 4" xfId="2740" xr:uid="{00000000-0005-0000-0000-0000DE2F0000}"/>
    <cellStyle name="Normal 14 5 2 4 2" xfId="6966" xr:uid="{00000000-0005-0000-0000-0000DF2F0000}"/>
    <cellStyle name="Normal 14 5 2 4 2 2" xfId="15414" xr:uid="{00000000-0005-0000-0000-0000E02F0000}"/>
    <cellStyle name="Normal 14 5 2 4 2 2 2" xfId="32354" xr:uid="{00000000-0005-0000-0000-0000E12F0000}"/>
    <cellStyle name="Normal 14 5 2 4 2 3" xfId="23906" xr:uid="{00000000-0005-0000-0000-0000E22F0000}"/>
    <cellStyle name="Normal 14 5 2 4 3" xfId="11190" xr:uid="{00000000-0005-0000-0000-0000E32F0000}"/>
    <cellStyle name="Normal 14 5 2 4 3 2" xfId="28130" xr:uid="{00000000-0005-0000-0000-0000E42F0000}"/>
    <cellStyle name="Normal 14 5 2 4 4" xfId="19682" xr:uid="{00000000-0005-0000-0000-0000E52F0000}"/>
    <cellStyle name="Normal 14 5 2 5" xfId="4854" xr:uid="{00000000-0005-0000-0000-0000E62F0000}"/>
    <cellStyle name="Normal 14 5 2 5 2" xfId="13302" xr:uid="{00000000-0005-0000-0000-0000E72F0000}"/>
    <cellStyle name="Normal 14 5 2 5 2 2" xfId="30242" xr:uid="{00000000-0005-0000-0000-0000E82F0000}"/>
    <cellStyle name="Normal 14 5 2 5 3" xfId="21794" xr:uid="{00000000-0005-0000-0000-0000E92F0000}"/>
    <cellStyle name="Normal 14 5 2 6" xfId="9078" xr:uid="{00000000-0005-0000-0000-0000EA2F0000}"/>
    <cellStyle name="Normal 14 5 2 6 2" xfId="26018" xr:uid="{00000000-0005-0000-0000-0000EB2F0000}"/>
    <cellStyle name="Normal 14 5 2 7" xfId="17570" xr:uid="{00000000-0005-0000-0000-0000EC2F0000}"/>
    <cellStyle name="Normal 14 5 3" xfId="798" xr:uid="{00000000-0005-0000-0000-0000ED2F0000}"/>
    <cellStyle name="Normal 14 5 3 2" xfId="1860" xr:uid="{00000000-0005-0000-0000-0000EE2F0000}"/>
    <cellStyle name="Normal 14 5 3 2 2" xfId="3972" xr:uid="{00000000-0005-0000-0000-0000EF2F0000}"/>
    <cellStyle name="Normal 14 5 3 2 2 2" xfId="8198" xr:uid="{00000000-0005-0000-0000-0000F02F0000}"/>
    <cellStyle name="Normal 14 5 3 2 2 2 2" xfId="16646" xr:uid="{00000000-0005-0000-0000-0000F12F0000}"/>
    <cellStyle name="Normal 14 5 3 2 2 2 2 2" xfId="33586" xr:uid="{00000000-0005-0000-0000-0000F22F0000}"/>
    <cellStyle name="Normal 14 5 3 2 2 2 3" xfId="25138" xr:uid="{00000000-0005-0000-0000-0000F32F0000}"/>
    <cellStyle name="Normal 14 5 3 2 2 3" xfId="12422" xr:uid="{00000000-0005-0000-0000-0000F42F0000}"/>
    <cellStyle name="Normal 14 5 3 2 2 3 2" xfId="29362" xr:uid="{00000000-0005-0000-0000-0000F52F0000}"/>
    <cellStyle name="Normal 14 5 3 2 2 4" xfId="20914" xr:uid="{00000000-0005-0000-0000-0000F62F0000}"/>
    <cellStyle name="Normal 14 5 3 2 3" xfId="6086" xr:uid="{00000000-0005-0000-0000-0000F72F0000}"/>
    <cellStyle name="Normal 14 5 3 2 3 2" xfId="14534" xr:uid="{00000000-0005-0000-0000-0000F82F0000}"/>
    <cellStyle name="Normal 14 5 3 2 3 2 2" xfId="31474" xr:uid="{00000000-0005-0000-0000-0000F92F0000}"/>
    <cellStyle name="Normal 14 5 3 2 3 3" xfId="23026" xr:uid="{00000000-0005-0000-0000-0000FA2F0000}"/>
    <cellStyle name="Normal 14 5 3 2 4" xfId="10310" xr:uid="{00000000-0005-0000-0000-0000FB2F0000}"/>
    <cellStyle name="Normal 14 5 3 2 4 2" xfId="27250" xr:uid="{00000000-0005-0000-0000-0000FC2F0000}"/>
    <cellStyle name="Normal 14 5 3 2 5" xfId="18802" xr:uid="{00000000-0005-0000-0000-0000FD2F0000}"/>
    <cellStyle name="Normal 14 5 3 3" xfId="2916" xr:uid="{00000000-0005-0000-0000-0000FE2F0000}"/>
    <cellStyle name="Normal 14 5 3 3 2" xfId="7142" xr:uid="{00000000-0005-0000-0000-0000FF2F0000}"/>
    <cellStyle name="Normal 14 5 3 3 2 2" xfId="15590" xr:uid="{00000000-0005-0000-0000-000000300000}"/>
    <cellStyle name="Normal 14 5 3 3 2 2 2" xfId="32530" xr:uid="{00000000-0005-0000-0000-000001300000}"/>
    <cellStyle name="Normal 14 5 3 3 2 3" xfId="24082" xr:uid="{00000000-0005-0000-0000-000002300000}"/>
    <cellStyle name="Normal 14 5 3 3 3" xfId="11366" xr:uid="{00000000-0005-0000-0000-000003300000}"/>
    <cellStyle name="Normal 14 5 3 3 3 2" xfId="28306" xr:uid="{00000000-0005-0000-0000-000004300000}"/>
    <cellStyle name="Normal 14 5 3 3 4" xfId="19858" xr:uid="{00000000-0005-0000-0000-000005300000}"/>
    <cellStyle name="Normal 14 5 3 4" xfId="5030" xr:uid="{00000000-0005-0000-0000-000006300000}"/>
    <cellStyle name="Normal 14 5 3 4 2" xfId="13478" xr:uid="{00000000-0005-0000-0000-000007300000}"/>
    <cellStyle name="Normal 14 5 3 4 2 2" xfId="30418" xr:uid="{00000000-0005-0000-0000-000008300000}"/>
    <cellStyle name="Normal 14 5 3 4 3" xfId="21970" xr:uid="{00000000-0005-0000-0000-000009300000}"/>
    <cellStyle name="Normal 14 5 3 5" xfId="9254" xr:uid="{00000000-0005-0000-0000-00000A300000}"/>
    <cellStyle name="Normal 14 5 3 5 2" xfId="26194" xr:uid="{00000000-0005-0000-0000-00000B300000}"/>
    <cellStyle name="Normal 14 5 3 6" xfId="17746" xr:uid="{00000000-0005-0000-0000-00000C300000}"/>
    <cellStyle name="Normal 14 5 4" xfId="1150" xr:uid="{00000000-0005-0000-0000-00000D300000}"/>
    <cellStyle name="Normal 14 5 4 2" xfId="2212" xr:uid="{00000000-0005-0000-0000-00000E300000}"/>
    <cellStyle name="Normal 14 5 4 2 2" xfId="4324" xr:uid="{00000000-0005-0000-0000-00000F300000}"/>
    <cellStyle name="Normal 14 5 4 2 2 2" xfId="8550" xr:uid="{00000000-0005-0000-0000-000010300000}"/>
    <cellStyle name="Normal 14 5 4 2 2 2 2" xfId="16998" xr:uid="{00000000-0005-0000-0000-000011300000}"/>
    <cellStyle name="Normal 14 5 4 2 2 2 2 2" xfId="33938" xr:uid="{00000000-0005-0000-0000-000012300000}"/>
    <cellStyle name="Normal 14 5 4 2 2 2 3" xfId="25490" xr:uid="{00000000-0005-0000-0000-000013300000}"/>
    <cellStyle name="Normal 14 5 4 2 2 3" xfId="12774" xr:uid="{00000000-0005-0000-0000-000014300000}"/>
    <cellStyle name="Normal 14 5 4 2 2 3 2" xfId="29714" xr:uid="{00000000-0005-0000-0000-000015300000}"/>
    <cellStyle name="Normal 14 5 4 2 2 4" xfId="21266" xr:uid="{00000000-0005-0000-0000-000016300000}"/>
    <cellStyle name="Normal 14 5 4 2 3" xfId="6438" xr:uid="{00000000-0005-0000-0000-000017300000}"/>
    <cellStyle name="Normal 14 5 4 2 3 2" xfId="14886" xr:uid="{00000000-0005-0000-0000-000018300000}"/>
    <cellStyle name="Normal 14 5 4 2 3 2 2" xfId="31826" xr:uid="{00000000-0005-0000-0000-000019300000}"/>
    <cellStyle name="Normal 14 5 4 2 3 3" xfId="23378" xr:uid="{00000000-0005-0000-0000-00001A300000}"/>
    <cellStyle name="Normal 14 5 4 2 4" xfId="10662" xr:uid="{00000000-0005-0000-0000-00001B300000}"/>
    <cellStyle name="Normal 14 5 4 2 4 2" xfId="27602" xr:uid="{00000000-0005-0000-0000-00001C300000}"/>
    <cellStyle name="Normal 14 5 4 2 5" xfId="19154" xr:uid="{00000000-0005-0000-0000-00001D300000}"/>
    <cellStyle name="Normal 14 5 4 3" xfId="3268" xr:uid="{00000000-0005-0000-0000-00001E300000}"/>
    <cellStyle name="Normal 14 5 4 3 2" xfId="7494" xr:uid="{00000000-0005-0000-0000-00001F300000}"/>
    <cellStyle name="Normal 14 5 4 3 2 2" xfId="15942" xr:uid="{00000000-0005-0000-0000-000020300000}"/>
    <cellStyle name="Normal 14 5 4 3 2 2 2" xfId="32882" xr:uid="{00000000-0005-0000-0000-000021300000}"/>
    <cellStyle name="Normal 14 5 4 3 2 3" xfId="24434" xr:uid="{00000000-0005-0000-0000-000022300000}"/>
    <cellStyle name="Normal 14 5 4 3 3" xfId="11718" xr:uid="{00000000-0005-0000-0000-000023300000}"/>
    <cellStyle name="Normal 14 5 4 3 3 2" xfId="28658" xr:uid="{00000000-0005-0000-0000-000024300000}"/>
    <cellStyle name="Normal 14 5 4 3 4" xfId="20210" xr:uid="{00000000-0005-0000-0000-000025300000}"/>
    <cellStyle name="Normal 14 5 4 4" xfId="5382" xr:uid="{00000000-0005-0000-0000-000026300000}"/>
    <cellStyle name="Normal 14 5 4 4 2" xfId="13830" xr:uid="{00000000-0005-0000-0000-000027300000}"/>
    <cellStyle name="Normal 14 5 4 4 2 2" xfId="30770" xr:uid="{00000000-0005-0000-0000-000028300000}"/>
    <cellStyle name="Normal 14 5 4 4 3" xfId="22322" xr:uid="{00000000-0005-0000-0000-000029300000}"/>
    <cellStyle name="Normal 14 5 4 5" xfId="9606" xr:uid="{00000000-0005-0000-0000-00002A300000}"/>
    <cellStyle name="Normal 14 5 4 5 2" xfId="26546" xr:uid="{00000000-0005-0000-0000-00002B300000}"/>
    <cellStyle name="Normal 14 5 4 6" xfId="18098" xr:uid="{00000000-0005-0000-0000-00002C300000}"/>
    <cellStyle name="Normal 14 5 5" xfId="1332" xr:uid="{00000000-0005-0000-0000-00002D300000}"/>
    <cellStyle name="Normal 14 5 5 2" xfId="2388" xr:uid="{00000000-0005-0000-0000-00002E300000}"/>
    <cellStyle name="Normal 14 5 5 2 2" xfId="4500" xr:uid="{00000000-0005-0000-0000-00002F300000}"/>
    <cellStyle name="Normal 14 5 5 2 2 2" xfId="8726" xr:uid="{00000000-0005-0000-0000-000030300000}"/>
    <cellStyle name="Normal 14 5 5 2 2 2 2" xfId="17174" xr:uid="{00000000-0005-0000-0000-000031300000}"/>
    <cellStyle name="Normal 14 5 5 2 2 2 2 2" xfId="34114" xr:uid="{00000000-0005-0000-0000-000032300000}"/>
    <cellStyle name="Normal 14 5 5 2 2 2 3" xfId="25666" xr:uid="{00000000-0005-0000-0000-000033300000}"/>
    <cellStyle name="Normal 14 5 5 2 2 3" xfId="12950" xr:uid="{00000000-0005-0000-0000-000034300000}"/>
    <cellStyle name="Normal 14 5 5 2 2 3 2" xfId="29890" xr:uid="{00000000-0005-0000-0000-000035300000}"/>
    <cellStyle name="Normal 14 5 5 2 2 4" xfId="21442" xr:uid="{00000000-0005-0000-0000-000036300000}"/>
    <cellStyle name="Normal 14 5 5 2 3" xfId="6614" xr:uid="{00000000-0005-0000-0000-000037300000}"/>
    <cellStyle name="Normal 14 5 5 2 3 2" xfId="15062" xr:uid="{00000000-0005-0000-0000-000038300000}"/>
    <cellStyle name="Normal 14 5 5 2 3 2 2" xfId="32002" xr:uid="{00000000-0005-0000-0000-000039300000}"/>
    <cellStyle name="Normal 14 5 5 2 3 3" xfId="23554" xr:uid="{00000000-0005-0000-0000-00003A300000}"/>
    <cellStyle name="Normal 14 5 5 2 4" xfId="10838" xr:uid="{00000000-0005-0000-0000-00003B300000}"/>
    <cellStyle name="Normal 14 5 5 2 4 2" xfId="27778" xr:uid="{00000000-0005-0000-0000-00003C300000}"/>
    <cellStyle name="Normal 14 5 5 2 5" xfId="19330" xr:uid="{00000000-0005-0000-0000-00003D300000}"/>
    <cellStyle name="Normal 14 5 5 3" xfId="3444" xr:uid="{00000000-0005-0000-0000-00003E300000}"/>
    <cellStyle name="Normal 14 5 5 3 2" xfId="7670" xr:uid="{00000000-0005-0000-0000-00003F300000}"/>
    <cellStyle name="Normal 14 5 5 3 2 2" xfId="16118" xr:uid="{00000000-0005-0000-0000-000040300000}"/>
    <cellStyle name="Normal 14 5 5 3 2 2 2" xfId="33058" xr:uid="{00000000-0005-0000-0000-000041300000}"/>
    <cellStyle name="Normal 14 5 5 3 2 3" xfId="24610" xr:uid="{00000000-0005-0000-0000-000042300000}"/>
    <cellStyle name="Normal 14 5 5 3 3" xfId="11894" xr:uid="{00000000-0005-0000-0000-000043300000}"/>
    <cellStyle name="Normal 14 5 5 3 3 2" xfId="28834" xr:uid="{00000000-0005-0000-0000-000044300000}"/>
    <cellStyle name="Normal 14 5 5 3 4" xfId="20386" xr:uid="{00000000-0005-0000-0000-000045300000}"/>
    <cellStyle name="Normal 14 5 5 4" xfId="5558" xr:uid="{00000000-0005-0000-0000-000046300000}"/>
    <cellStyle name="Normal 14 5 5 4 2" xfId="14006" xr:uid="{00000000-0005-0000-0000-000047300000}"/>
    <cellStyle name="Normal 14 5 5 4 2 2" xfId="30946" xr:uid="{00000000-0005-0000-0000-000048300000}"/>
    <cellStyle name="Normal 14 5 5 4 3" xfId="22498" xr:uid="{00000000-0005-0000-0000-000049300000}"/>
    <cellStyle name="Normal 14 5 5 5" xfId="9782" xr:uid="{00000000-0005-0000-0000-00004A300000}"/>
    <cellStyle name="Normal 14 5 5 5 2" xfId="26722" xr:uid="{00000000-0005-0000-0000-00004B300000}"/>
    <cellStyle name="Normal 14 5 5 6" xfId="18274" xr:uid="{00000000-0005-0000-0000-00004C300000}"/>
    <cellStyle name="Normal 14 5 6" xfId="1508" xr:uid="{00000000-0005-0000-0000-00004D300000}"/>
    <cellStyle name="Normal 14 5 6 2" xfId="3620" xr:uid="{00000000-0005-0000-0000-00004E300000}"/>
    <cellStyle name="Normal 14 5 6 2 2" xfId="7846" xr:uid="{00000000-0005-0000-0000-00004F300000}"/>
    <cellStyle name="Normal 14 5 6 2 2 2" xfId="16294" xr:uid="{00000000-0005-0000-0000-000050300000}"/>
    <cellStyle name="Normal 14 5 6 2 2 2 2" xfId="33234" xr:uid="{00000000-0005-0000-0000-000051300000}"/>
    <cellStyle name="Normal 14 5 6 2 2 3" xfId="24786" xr:uid="{00000000-0005-0000-0000-000052300000}"/>
    <cellStyle name="Normal 14 5 6 2 3" xfId="12070" xr:uid="{00000000-0005-0000-0000-000053300000}"/>
    <cellStyle name="Normal 14 5 6 2 3 2" xfId="29010" xr:uid="{00000000-0005-0000-0000-000054300000}"/>
    <cellStyle name="Normal 14 5 6 2 4" xfId="20562" xr:uid="{00000000-0005-0000-0000-000055300000}"/>
    <cellStyle name="Normal 14 5 6 3" xfId="5734" xr:uid="{00000000-0005-0000-0000-000056300000}"/>
    <cellStyle name="Normal 14 5 6 3 2" xfId="14182" xr:uid="{00000000-0005-0000-0000-000057300000}"/>
    <cellStyle name="Normal 14 5 6 3 2 2" xfId="31122" xr:uid="{00000000-0005-0000-0000-000058300000}"/>
    <cellStyle name="Normal 14 5 6 3 3" xfId="22674" xr:uid="{00000000-0005-0000-0000-000059300000}"/>
    <cellStyle name="Normal 14 5 6 4" xfId="9958" xr:uid="{00000000-0005-0000-0000-00005A300000}"/>
    <cellStyle name="Normal 14 5 6 4 2" xfId="26898" xr:uid="{00000000-0005-0000-0000-00005B300000}"/>
    <cellStyle name="Normal 14 5 6 5" xfId="18450" xr:uid="{00000000-0005-0000-0000-00005C300000}"/>
    <cellStyle name="Normal 14 5 7" xfId="2564" xr:uid="{00000000-0005-0000-0000-00005D300000}"/>
    <cellStyle name="Normal 14 5 7 2" xfId="6790" xr:uid="{00000000-0005-0000-0000-00005E300000}"/>
    <cellStyle name="Normal 14 5 7 2 2" xfId="15238" xr:uid="{00000000-0005-0000-0000-00005F300000}"/>
    <cellStyle name="Normal 14 5 7 2 2 2" xfId="32178" xr:uid="{00000000-0005-0000-0000-000060300000}"/>
    <cellStyle name="Normal 14 5 7 2 3" xfId="23730" xr:uid="{00000000-0005-0000-0000-000061300000}"/>
    <cellStyle name="Normal 14 5 7 3" xfId="11014" xr:uid="{00000000-0005-0000-0000-000062300000}"/>
    <cellStyle name="Normal 14 5 7 3 2" xfId="27954" xr:uid="{00000000-0005-0000-0000-000063300000}"/>
    <cellStyle name="Normal 14 5 7 4" xfId="19506" xr:uid="{00000000-0005-0000-0000-000064300000}"/>
    <cellStyle name="Normal 14 5 8" xfId="4677" xr:uid="{00000000-0005-0000-0000-000065300000}"/>
    <cellStyle name="Normal 14 5 8 2" xfId="13126" xr:uid="{00000000-0005-0000-0000-000066300000}"/>
    <cellStyle name="Normal 14 5 8 2 2" xfId="30066" xr:uid="{00000000-0005-0000-0000-000067300000}"/>
    <cellStyle name="Normal 14 5 8 3" xfId="21618" xr:uid="{00000000-0005-0000-0000-000068300000}"/>
    <cellStyle name="Normal 14 5 9" xfId="8902" xr:uid="{00000000-0005-0000-0000-000069300000}"/>
    <cellStyle name="Normal 14 5 9 2" xfId="25842" xr:uid="{00000000-0005-0000-0000-00006A300000}"/>
    <cellStyle name="Normal 14 6" xfId="617" xr:uid="{00000000-0005-0000-0000-00006B300000}"/>
    <cellStyle name="Normal 14 6 2" xfId="969" xr:uid="{00000000-0005-0000-0000-00006C300000}"/>
    <cellStyle name="Normal 14 6 2 2" xfId="2031" xr:uid="{00000000-0005-0000-0000-00006D300000}"/>
    <cellStyle name="Normal 14 6 2 2 2" xfId="4143" xr:uid="{00000000-0005-0000-0000-00006E300000}"/>
    <cellStyle name="Normal 14 6 2 2 2 2" xfId="8369" xr:uid="{00000000-0005-0000-0000-00006F300000}"/>
    <cellStyle name="Normal 14 6 2 2 2 2 2" xfId="16817" xr:uid="{00000000-0005-0000-0000-000070300000}"/>
    <cellStyle name="Normal 14 6 2 2 2 2 2 2" xfId="33757" xr:uid="{00000000-0005-0000-0000-000071300000}"/>
    <cellStyle name="Normal 14 6 2 2 2 2 3" xfId="25309" xr:uid="{00000000-0005-0000-0000-000072300000}"/>
    <cellStyle name="Normal 14 6 2 2 2 3" xfId="12593" xr:uid="{00000000-0005-0000-0000-000073300000}"/>
    <cellStyle name="Normal 14 6 2 2 2 3 2" xfId="29533" xr:uid="{00000000-0005-0000-0000-000074300000}"/>
    <cellStyle name="Normal 14 6 2 2 2 4" xfId="21085" xr:uid="{00000000-0005-0000-0000-000075300000}"/>
    <cellStyle name="Normal 14 6 2 2 3" xfId="6257" xr:uid="{00000000-0005-0000-0000-000076300000}"/>
    <cellStyle name="Normal 14 6 2 2 3 2" xfId="14705" xr:uid="{00000000-0005-0000-0000-000077300000}"/>
    <cellStyle name="Normal 14 6 2 2 3 2 2" xfId="31645" xr:uid="{00000000-0005-0000-0000-000078300000}"/>
    <cellStyle name="Normal 14 6 2 2 3 3" xfId="23197" xr:uid="{00000000-0005-0000-0000-000079300000}"/>
    <cellStyle name="Normal 14 6 2 2 4" xfId="10481" xr:uid="{00000000-0005-0000-0000-00007A300000}"/>
    <cellStyle name="Normal 14 6 2 2 4 2" xfId="27421" xr:uid="{00000000-0005-0000-0000-00007B300000}"/>
    <cellStyle name="Normal 14 6 2 2 5" xfId="18973" xr:uid="{00000000-0005-0000-0000-00007C300000}"/>
    <cellStyle name="Normal 14 6 2 3" xfId="3087" xr:uid="{00000000-0005-0000-0000-00007D300000}"/>
    <cellStyle name="Normal 14 6 2 3 2" xfId="7313" xr:uid="{00000000-0005-0000-0000-00007E300000}"/>
    <cellStyle name="Normal 14 6 2 3 2 2" xfId="15761" xr:uid="{00000000-0005-0000-0000-00007F300000}"/>
    <cellStyle name="Normal 14 6 2 3 2 2 2" xfId="32701" xr:uid="{00000000-0005-0000-0000-000080300000}"/>
    <cellStyle name="Normal 14 6 2 3 2 3" xfId="24253" xr:uid="{00000000-0005-0000-0000-000081300000}"/>
    <cellStyle name="Normal 14 6 2 3 3" xfId="11537" xr:uid="{00000000-0005-0000-0000-000082300000}"/>
    <cellStyle name="Normal 14 6 2 3 3 2" xfId="28477" xr:uid="{00000000-0005-0000-0000-000083300000}"/>
    <cellStyle name="Normal 14 6 2 3 4" xfId="20029" xr:uid="{00000000-0005-0000-0000-000084300000}"/>
    <cellStyle name="Normal 14 6 2 4" xfId="5201" xr:uid="{00000000-0005-0000-0000-000085300000}"/>
    <cellStyle name="Normal 14 6 2 4 2" xfId="13649" xr:uid="{00000000-0005-0000-0000-000086300000}"/>
    <cellStyle name="Normal 14 6 2 4 2 2" xfId="30589" xr:uid="{00000000-0005-0000-0000-000087300000}"/>
    <cellStyle name="Normal 14 6 2 4 3" xfId="22141" xr:uid="{00000000-0005-0000-0000-000088300000}"/>
    <cellStyle name="Normal 14 6 2 5" xfId="9425" xr:uid="{00000000-0005-0000-0000-000089300000}"/>
    <cellStyle name="Normal 14 6 2 5 2" xfId="26365" xr:uid="{00000000-0005-0000-0000-00008A300000}"/>
    <cellStyle name="Normal 14 6 2 6" xfId="17917" xr:uid="{00000000-0005-0000-0000-00008B300000}"/>
    <cellStyle name="Normal 14 6 3" xfId="1679" xr:uid="{00000000-0005-0000-0000-00008C300000}"/>
    <cellStyle name="Normal 14 6 3 2" xfId="3791" xr:uid="{00000000-0005-0000-0000-00008D300000}"/>
    <cellStyle name="Normal 14 6 3 2 2" xfId="8017" xr:uid="{00000000-0005-0000-0000-00008E300000}"/>
    <cellStyle name="Normal 14 6 3 2 2 2" xfId="16465" xr:uid="{00000000-0005-0000-0000-00008F300000}"/>
    <cellStyle name="Normal 14 6 3 2 2 2 2" xfId="33405" xr:uid="{00000000-0005-0000-0000-000090300000}"/>
    <cellStyle name="Normal 14 6 3 2 2 3" xfId="24957" xr:uid="{00000000-0005-0000-0000-000091300000}"/>
    <cellStyle name="Normal 14 6 3 2 3" xfId="12241" xr:uid="{00000000-0005-0000-0000-000092300000}"/>
    <cellStyle name="Normal 14 6 3 2 3 2" xfId="29181" xr:uid="{00000000-0005-0000-0000-000093300000}"/>
    <cellStyle name="Normal 14 6 3 2 4" xfId="20733" xr:uid="{00000000-0005-0000-0000-000094300000}"/>
    <cellStyle name="Normal 14 6 3 3" xfId="5905" xr:uid="{00000000-0005-0000-0000-000095300000}"/>
    <cellStyle name="Normal 14 6 3 3 2" xfId="14353" xr:uid="{00000000-0005-0000-0000-000096300000}"/>
    <cellStyle name="Normal 14 6 3 3 2 2" xfId="31293" xr:uid="{00000000-0005-0000-0000-000097300000}"/>
    <cellStyle name="Normal 14 6 3 3 3" xfId="22845" xr:uid="{00000000-0005-0000-0000-000098300000}"/>
    <cellStyle name="Normal 14 6 3 4" xfId="10129" xr:uid="{00000000-0005-0000-0000-000099300000}"/>
    <cellStyle name="Normal 14 6 3 4 2" xfId="27069" xr:uid="{00000000-0005-0000-0000-00009A300000}"/>
    <cellStyle name="Normal 14 6 3 5" xfId="18621" xr:uid="{00000000-0005-0000-0000-00009B300000}"/>
    <cellStyle name="Normal 14 6 4" xfId="2735" xr:uid="{00000000-0005-0000-0000-00009C300000}"/>
    <cellStyle name="Normal 14 6 4 2" xfId="6961" xr:uid="{00000000-0005-0000-0000-00009D300000}"/>
    <cellStyle name="Normal 14 6 4 2 2" xfId="15409" xr:uid="{00000000-0005-0000-0000-00009E300000}"/>
    <cellStyle name="Normal 14 6 4 2 2 2" xfId="32349" xr:uid="{00000000-0005-0000-0000-00009F300000}"/>
    <cellStyle name="Normal 14 6 4 2 3" xfId="23901" xr:uid="{00000000-0005-0000-0000-0000A0300000}"/>
    <cellStyle name="Normal 14 6 4 3" xfId="11185" xr:uid="{00000000-0005-0000-0000-0000A1300000}"/>
    <cellStyle name="Normal 14 6 4 3 2" xfId="28125" xr:uid="{00000000-0005-0000-0000-0000A2300000}"/>
    <cellStyle name="Normal 14 6 4 4" xfId="19677" xr:uid="{00000000-0005-0000-0000-0000A3300000}"/>
    <cellStyle name="Normal 14 6 5" xfId="4849" xr:uid="{00000000-0005-0000-0000-0000A4300000}"/>
    <cellStyle name="Normal 14 6 5 2" xfId="13297" xr:uid="{00000000-0005-0000-0000-0000A5300000}"/>
    <cellStyle name="Normal 14 6 5 2 2" xfId="30237" xr:uid="{00000000-0005-0000-0000-0000A6300000}"/>
    <cellStyle name="Normal 14 6 5 3" xfId="21789" xr:uid="{00000000-0005-0000-0000-0000A7300000}"/>
    <cellStyle name="Normal 14 6 6" xfId="9073" xr:uid="{00000000-0005-0000-0000-0000A8300000}"/>
    <cellStyle name="Normal 14 6 6 2" xfId="26013" xr:uid="{00000000-0005-0000-0000-0000A9300000}"/>
    <cellStyle name="Normal 14 6 7" xfId="17565" xr:uid="{00000000-0005-0000-0000-0000AA300000}"/>
    <cellStyle name="Normal 14 7" xfId="793" xr:uid="{00000000-0005-0000-0000-0000AB300000}"/>
    <cellStyle name="Normal 14 7 2" xfId="1855" xr:uid="{00000000-0005-0000-0000-0000AC300000}"/>
    <cellStyle name="Normal 14 7 2 2" xfId="3967" xr:uid="{00000000-0005-0000-0000-0000AD300000}"/>
    <cellStyle name="Normal 14 7 2 2 2" xfId="8193" xr:uid="{00000000-0005-0000-0000-0000AE300000}"/>
    <cellStyle name="Normal 14 7 2 2 2 2" xfId="16641" xr:uid="{00000000-0005-0000-0000-0000AF300000}"/>
    <cellStyle name="Normal 14 7 2 2 2 2 2" xfId="33581" xr:uid="{00000000-0005-0000-0000-0000B0300000}"/>
    <cellStyle name="Normal 14 7 2 2 2 3" xfId="25133" xr:uid="{00000000-0005-0000-0000-0000B1300000}"/>
    <cellStyle name="Normal 14 7 2 2 3" xfId="12417" xr:uid="{00000000-0005-0000-0000-0000B2300000}"/>
    <cellStyle name="Normal 14 7 2 2 3 2" xfId="29357" xr:uid="{00000000-0005-0000-0000-0000B3300000}"/>
    <cellStyle name="Normal 14 7 2 2 4" xfId="20909" xr:uid="{00000000-0005-0000-0000-0000B4300000}"/>
    <cellStyle name="Normal 14 7 2 3" xfId="6081" xr:uid="{00000000-0005-0000-0000-0000B5300000}"/>
    <cellStyle name="Normal 14 7 2 3 2" xfId="14529" xr:uid="{00000000-0005-0000-0000-0000B6300000}"/>
    <cellStyle name="Normal 14 7 2 3 2 2" xfId="31469" xr:uid="{00000000-0005-0000-0000-0000B7300000}"/>
    <cellStyle name="Normal 14 7 2 3 3" xfId="23021" xr:uid="{00000000-0005-0000-0000-0000B8300000}"/>
    <cellStyle name="Normal 14 7 2 4" xfId="10305" xr:uid="{00000000-0005-0000-0000-0000B9300000}"/>
    <cellStyle name="Normal 14 7 2 4 2" xfId="27245" xr:uid="{00000000-0005-0000-0000-0000BA300000}"/>
    <cellStyle name="Normal 14 7 2 5" xfId="18797" xr:uid="{00000000-0005-0000-0000-0000BB300000}"/>
    <cellStyle name="Normal 14 7 3" xfId="2911" xr:uid="{00000000-0005-0000-0000-0000BC300000}"/>
    <cellStyle name="Normal 14 7 3 2" xfId="7137" xr:uid="{00000000-0005-0000-0000-0000BD300000}"/>
    <cellStyle name="Normal 14 7 3 2 2" xfId="15585" xr:uid="{00000000-0005-0000-0000-0000BE300000}"/>
    <cellStyle name="Normal 14 7 3 2 2 2" xfId="32525" xr:uid="{00000000-0005-0000-0000-0000BF300000}"/>
    <cellStyle name="Normal 14 7 3 2 3" xfId="24077" xr:uid="{00000000-0005-0000-0000-0000C0300000}"/>
    <cellStyle name="Normal 14 7 3 3" xfId="11361" xr:uid="{00000000-0005-0000-0000-0000C1300000}"/>
    <cellStyle name="Normal 14 7 3 3 2" xfId="28301" xr:uid="{00000000-0005-0000-0000-0000C2300000}"/>
    <cellStyle name="Normal 14 7 3 4" xfId="19853" xr:uid="{00000000-0005-0000-0000-0000C3300000}"/>
    <cellStyle name="Normal 14 7 4" xfId="5025" xr:uid="{00000000-0005-0000-0000-0000C4300000}"/>
    <cellStyle name="Normal 14 7 4 2" xfId="13473" xr:uid="{00000000-0005-0000-0000-0000C5300000}"/>
    <cellStyle name="Normal 14 7 4 2 2" xfId="30413" xr:uid="{00000000-0005-0000-0000-0000C6300000}"/>
    <cellStyle name="Normal 14 7 4 3" xfId="21965" xr:uid="{00000000-0005-0000-0000-0000C7300000}"/>
    <cellStyle name="Normal 14 7 5" xfId="9249" xr:uid="{00000000-0005-0000-0000-0000C8300000}"/>
    <cellStyle name="Normal 14 7 5 2" xfId="26189" xr:uid="{00000000-0005-0000-0000-0000C9300000}"/>
    <cellStyle name="Normal 14 7 6" xfId="17741" xr:uid="{00000000-0005-0000-0000-0000CA300000}"/>
    <cellStyle name="Normal 14 8" xfId="1145" xr:uid="{00000000-0005-0000-0000-0000CB300000}"/>
    <cellStyle name="Normal 14 8 2" xfId="2207" xr:uid="{00000000-0005-0000-0000-0000CC300000}"/>
    <cellStyle name="Normal 14 8 2 2" xfId="4319" xr:uid="{00000000-0005-0000-0000-0000CD300000}"/>
    <cellStyle name="Normal 14 8 2 2 2" xfId="8545" xr:uid="{00000000-0005-0000-0000-0000CE300000}"/>
    <cellStyle name="Normal 14 8 2 2 2 2" xfId="16993" xr:uid="{00000000-0005-0000-0000-0000CF300000}"/>
    <cellStyle name="Normal 14 8 2 2 2 2 2" xfId="33933" xr:uid="{00000000-0005-0000-0000-0000D0300000}"/>
    <cellStyle name="Normal 14 8 2 2 2 3" xfId="25485" xr:uid="{00000000-0005-0000-0000-0000D1300000}"/>
    <cellStyle name="Normal 14 8 2 2 3" xfId="12769" xr:uid="{00000000-0005-0000-0000-0000D2300000}"/>
    <cellStyle name="Normal 14 8 2 2 3 2" xfId="29709" xr:uid="{00000000-0005-0000-0000-0000D3300000}"/>
    <cellStyle name="Normal 14 8 2 2 4" xfId="21261" xr:uid="{00000000-0005-0000-0000-0000D4300000}"/>
    <cellStyle name="Normal 14 8 2 3" xfId="6433" xr:uid="{00000000-0005-0000-0000-0000D5300000}"/>
    <cellStyle name="Normal 14 8 2 3 2" xfId="14881" xr:uid="{00000000-0005-0000-0000-0000D6300000}"/>
    <cellStyle name="Normal 14 8 2 3 2 2" xfId="31821" xr:uid="{00000000-0005-0000-0000-0000D7300000}"/>
    <cellStyle name="Normal 14 8 2 3 3" xfId="23373" xr:uid="{00000000-0005-0000-0000-0000D8300000}"/>
    <cellStyle name="Normal 14 8 2 4" xfId="10657" xr:uid="{00000000-0005-0000-0000-0000D9300000}"/>
    <cellStyle name="Normal 14 8 2 4 2" xfId="27597" xr:uid="{00000000-0005-0000-0000-0000DA300000}"/>
    <cellStyle name="Normal 14 8 2 5" xfId="19149" xr:uid="{00000000-0005-0000-0000-0000DB300000}"/>
    <cellStyle name="Normal 14 8 3" xfId="3263" xr:uid="{00000000-0005-0000-0000-0000DC300000}"/>
    <cellStyle name="Normal 14 8 3 2" xfId="7489" xr:uid="{00000000-0005-0000-0000-0000DD300000}"/>
    <cellStyle name="Normal 14 8 3 2 2" xfId="15937" xr:uid="{00000000-0005-0000-0000-0000DE300000}"/>
    <cellStyle name="Normal 14 8 3 2 2 2" xfId="32877" xr:uid="{00000000-0005-0000-0000-0000DF300000}"/>
    <cellStyle name="Normal 14 8 3 2 3" xfId="24429" xr:uid="{00000000-0005-0000-0000-0000E0300000}"/>
    <cellStyle name="Normal 14 8 3 3" xfId="11713" xr:uid="{00000000-0005-0000-0000-0000E1300000}"/>
    <cellStyle name="Normal 14 8 3 3 2" xfId="28653" xr:uid="{00000000-0005-0000-0000-0000E2300000}"/>
    <cellStyle name="Normal 14 8 3 4" xfId="20205" xr:uid="{00000000-0005-0000-0000-0000E3300000}"/>
    <cellStyle name="Normal 14 8 4" xfId="5377" xr:uid="{00000000-0005-0000-0000-0000E4300000}"/>
    <cellStyle name="Normal 14 8 4 2" xfId="13825" xr:uid="{00000000-0005-0000-0000-0000E5300000}"/>
    <cellStyle name="Normal 14 8 4 2 2" xfId="30765" xr:uid="{00000000-0005-0000-0000-0000E6300000}"/>
    <cellStyle name="Normal 14 8 4 3" xfId="22317" xr:uid="{00000000-0005-0000-0000-0000E7300000}"/>
    <cellStyle name="Normal 14 8 5" xfId="9601" xr:uid="{00000000-0005-0000-0000-0000E8300000}"/>
    <cellStyle name="Normal 14 8 5 2" xfId="26541" xr:uid="{00000000-0005-0000-0000-0000E9300000}"/>
    <cellStyle name="Normal 14 8 6" xfId="18093" xr:uid="{00000000-0005-0000-0000-0000EA300000}"/>
    <cellStyle name="Normal 14 9" xfId="1327" xr:uid="{00000000-0005-0000-0000-0000EB300000}"/>
    <cellStyle name="Normal 14 9 2" xfId="2383" xr:uid="{00000000-0005-0000-0000-0000EC300000}"/>
    <cellStyle name="Normal 14 9 2 2" xfId="4495" xr:uid="{00000000-0005-0000-0000-0000ED300000}"/>
    <cellStyle name="Normal 14 9 2 2 2" xfId="8721" xr:uid="{00000000-0005-0000-0000-0000EE300000}"/>
    <cellStyle name="Normal 14 9 2 2 2 2" xfId="17169" xr:uid="{00000000-0005-0000-0000-0000EF300000}"/>
    <cellStyle name="Normal 14 9 2 2 2 2 2" xfId="34109" xr:uid="{00000000-0005-0000-0000-0000F0300000}"/>
    <cellStyle name="Normal 14 9 2 2 2 3" xfId="25661" xr:uid="{00000000-0005-0000-0000-0000F1300000}"/>
    <cellStyle name="Normal 14 9 2 2 3" xfId="12945" xr:uid="{00000000-0005-0000-0000-0000F2300000}"/>
    <cellStyle name="Normal 14 9 2 2 3 2" xfId="29885" xr:uid="{00000000-0005-0000-0000-0000F3300000}"/>
    <cellStyle name="Normal 14 9 2 2 4" xfId="21437" xr:uid="{00000000-0005-0000-0000-0000F4300000}"/>
    <cellStyle name="Normal 14 9 2 3" xfId="6609" xr:uid="{00000000-0005-0000-0000-0000F5300000}"/>
    <cellStyle name="Normal 14 9 2 3 2" xfId="15057" xr:uid="{00000000-0005-0000-0000-0000F6300000}"/>
    <cellStyle name="Normal 14 9 2 3 2 2" xfId="31997" xr:uid="{00000000-0005-0000-0000-0000F7300000}"/>
    <cellStyle name="Normal 14 9 2 3 3" xfId="23549" xr:uid="{00000000-0005-0000-0000-0000F8300000}"/>
    <cellStyle name="Normal 14 9 2 4" xfId="10833" xr:uid="{00000000-0005-0000-0000-0000F9300000}"/>
    <cellStyle name="Normal 14 9 2 4 2" xfId="27773" xr:uid="{00000000-0005-0000-0000-0000FA300000}"/>
    <cellStyle name="Normal 14 9 2 5" xfId="19325" xr:uid="{00000000-0005-0000-0000-0000FB300000}"/>
    <cellStyle name="Normal 14 9 3" xfId="3439" xr:uid="{00000000-0005-0000-0000-0000FC300000}"/>
    <cellStyle name="Normal 14 9 3 2" xfId="7665" xr:uid="{00000000-0005-0000-0000-0000FD300000}"/>
    <cellStyle name="Normal 14 9 3 2 2" xfId="16113" xr:uid="{00000000-0005-0000-0000-0000FE300000}"/>
    <cellStyle name="Normal 14 9 3 2 2 2" xfId="33053" xr:uid="{00000000-0005-0000-0000-0000FF300000}"/>
    <cellStyle name="Normal 14 9 3 2 3" xfId="24605" xr:uid="{00000000-0005-0000-0000-000000310000}"/>
    <cellStyle name="Normal 14 9 3 3" xfId="11889" xr:uid="{00000000-0005-0000-0000-000001310000}"/>
    <cellStyle name="Normal 14 9 3 3 2" xfId="28829" xr:uid="{00000000-0005-0000-0000-000002310000}"/>
    <cellStyle name="Normal 14 9 3 4" xfId="20381" xr:uid="{00000000-0005-0000-0000-000003310000}"/>
    <cellStyle name="Normal 14 9 4" xfId="5553" xr:uid="{00000000-0005-0000-0000-000004310000}"/>
    <cellStyle name="Normal 14 9 4 2" xfId="14001" xr:uid="{00000000-0005-0000-0000-000005310000}"/>
    <cellStyle name="Normal 14 9 4 2 2" xfId="30941" xr:uid="{00000000-0005-0000-0000-000006310000}"/>
    <cellStyle name="Normal 14 9 4 3" xfId="22493" xr:uid="{00000000-0005-0000-0000-000007310000}"/>
    <cellStyle name="Normal 14 9 5" xfId="9777" xr:uid="{00000000-0005-0000-0000-000008310000}"/>
    <cellStyle name="Normal 14 9 5 2" xfId="26717" xr:uid="{00000000-0005-0000-0000-000009310000}"/>
    <cellStyle name="Normal 14 9 6" xfId="18269" xr:uid="{00000000-0005-0000-0000-00000A310000}"/>
    <cellStyle name="Normal 15" xfId="284" xr:uid="{00000000-0005-0000-0000-00000B310000}"/>
    <cellStyle name="Normal 15 2" xfId="285" xr:uid="{00000000-0005-0000-0000-00000C310000}"/>
    <cellStyle name="Normal 16" xfId="286" xr:uid="{00000000-0005-0000-0000-00000D310000}"/>
    <cellStyle name="Normal 16 2" xfId="287" xr:uid="{00000000-0005-0000-0000-00000E310000}"/>
    <cellStyle name="Normal 17" xfId="288" xr:uid="{00000000-0005-0000-0000-00000F310000}"/>
    <cellStyle name="Normal 17 2" xfId="289" xr:uid="{00000000-0005-0000-0000-000010310000}"/>
    <cellStyle name="Normal 18" xfId="290" xr:uid="{00000000-0005-0000-0000-000011310000}"/>
    <cellStyle name="Normal 18 2" xfId="291" xr:uid="{00000000-0005-0000-0000-000012310000}"/>
    <cellStyle name="Normal 19" xfId="292" xr:uid="{00000000-0005-0000-0000-000013310000}"/>
    <cellStyle name="Normal 19 2" xfId="293" xr:uid="{00000000-0005-0000-0000-000014310000}"/>
    <cellStyle name="Normal 2" xfId="2" xr:uid="{00000000-0005-0000-0000-000015310000}"/>
    <cellStyle name="Normal 2 2" xfId="294" xr:uid="{00000000-0005-0000-0000-000016310000}"/>
    <cellStyle name="Normal 2 3" xfId="295" xr:uid="{00000000-0005-0000-0000-000017310000}"/>
    <cellStyle name="Normal 2 3 2" xfId="296" xr:uid="{00000000-0005-0000-0000-000018310000}"/>
    <cellStyle name="Normal 2 3 3" xfId="297" xr:uid="{00000000-0005-0000-0000-000019310000}"/>
    <cellStyle name="Normal 2 3 3 10" xfId="4678" xr:uid="{00000000-0005-0000-0000-00001A310000}"/>
    <cellStyle name="Normal 2 3 3 10 2" xfId="13127" xr:uid="{00000000-0005-0000-0000-00001B310000}"/>
    <cellStyle name="Normal 2 3 3 10 2 2" xfId="30067" xr:uid="{00000000-0005-0000-0000-00001C310000}"/>
    <cellStyle name="Normal 2 3 3 10 3" xfId="21619" xr:uid="{00000000-0005-0000-0000-00001D310000}"/>
    <cellStyle name="Normal 2 3 3 11" xfId="8903" xr:uid="{00000000-0005-0000-0000-00001E310000}"/>
    <cellStyle name="Normal 2 3 3 11 2" xfId="25843" xr:uid="{00000000-0005-0000-0000-00001F310000}"/>
    <cellStyle name="Normal 2 3 3 12" xfId="17395" xr:uid="{00000000-0005-0000-0000-000020310000}"/>
    <cellStyle name="Normal 2 3 3 2" xfId="298" xr:uid="{00000000-0005-0000-0000-000021310000}"/>
    <cellStyle name="Normal 2 3 3 2 10" xfId="17396" xr:uid="{00000000-0005-0000-0000-000022310000}"/>
    <cellStyle name="Normal 2 3 3 2 2" xfId="624" xr:uid="{00000000-0005-0000-0000-000023310000}"/>
    <cellStyle name="Normal 2 3 3 2 2 2" xfId="976" xr:uid="{00000000-0005-0000-0000-000024310000}"/>
    <cellStyle name="Normal 2 3 3 2 2 2 2" xfId="2038" xr:uid="{00000000-0005-0000-0000-000025310000}"/>
    <cellStyle name="Normal 2 3 3 2 2 2 2 2" xfId="4150" xr:uid="{00000000-0005-0000-0000-000026310000}"/>
    <cellStyle name="Normal 2 3 3 2 2 2 2 2 2" xfId="8376" xr:uid="{00000000-0005-0000-0000-000027310000}"/>
    <cellStyle name="Normal 2 3 3 2 2 2 2 2 2 2" xfId="16824" xr:uid="{00000000-0005-0000-0000-000028310000}"/>
    <cellStyle name="Normal 2 3 3 2 2 2 2 2 2 2 2" xfId="33764" xr:uid="{00000000-0005-0000-0000-000029310000}"/>
    <cellStyle name="Normal 2 3 3 2 2 2 2 2 2 3" xfId="25316" xr:uid="{00000000-0005-0000-0000-00002A310000}"/>
    <cellStyle name="Normal 2 3 3 2 2 2 2 2 3" xfId="12600" xr:uid="{00000000-0005-0000-0000-00002B310000}"/>
    <cellStyle name="Normal 2 3 3 2 2 2 2 2 3 2" xfId="29540" xr:uid="{00000000-0005-0000-0000-00002C310000}"/>
    <cellStyle name="Normal 2 3 3 2 2 2 2 2 4" xfId="21092" xr:uid="{00000000-0005-0000-0000-00002D310000}"/>
    <cellStyle name="Normal 2 3 3 2 2 2 2 3" xfId="6264" xr:uid="{00000000-0005-0000-0000-00002E310000}"/>
    <cellStyle name="Normal 2 3 3 2 2 2 2 3 2" xfId="14712" xr:uid="{00000000-0005-0000-0000-00002F310000}"/>
    <cellStyle name="Normal 2 3 3 2 2 2 2 3 2 2" xfId="31652" xr:uid="{00000000-0005-0000-0000-000030310000}"/>
    <cellStyle name="Normal 2 3 3 2 2 2 2 3 3" xfId="23204" xr:uid="{00000000-0005-0000-0000-000031310000}"/>
    <cellStyle name="Normal 2 3 3 2 2 2 2 4" xfId="10488" xr:uid="{00000000-0005-0000-0000-000032310000}"/>
    <cellStyle name="Normal 2 3 3 2 2 2 2 4 2" xfId="27428" xr:uid="{00000000-0005-0000-0000-000033310000}"/>
    <cellStyle name="Normal 2 3 3 2 2 2 2 5" xfId="18980" xr:uid="{00000000-0005-0000-0000-000034310000}"/>
    <cellStyle name="Normal 2 3 3 2 2 2 3" xfId="3094" xr:uid="{00000000-0005-0000-0000-000035310000}"/>
    <cellStyle name="Normal 2 3 3 2 2 2 3 2" xfId="7320" xr:uid="{00000000-0005-0000-0000-000036310000}"/>
    <cellStyle name="Normal 2 3 3 2 2 2 3 2 2" xfId="15768" xr:uid="{00000000-0005-0000-0000-000037310000}"/>
    <cellStyle name="Normal 2 3 3 2 2 2 3 2 2 2" xfId="32708" xr:uid="{00000000-0005-0000-0000-000038310000}"/>
    <cellStyle name="Normal 2 3 3 2 2 2 3 2 3" xfId="24260" xr:uid="{00000000-0005-0000-0000-000039310000}"/>
    <cellStyle name="Normal 2 3 3 2 2 2 3 3" xfId="11544" xr:uid="{00000000-0005-0000-0000-00003A310000}"/>
    <cellStyle name="Normal 2 3 3 2 2 2 3 3 2" xfId="28484" xr:uid="{00000000-0005-0000-0000-00003B310000}"/>
    <cellStyle name="Normal 2 3 3 2 2 2 3 4" xfId="20036" xr:uid="{00000000-0005-0000-0000-00003C310000}"/>
    <cellStyle name="Normal 2 3 3 2 2 2 4" xfId="5208" xr:uid="{00000000-0005-0000-0000-00003D310000}"/>
    <cellStyle name="Normal 2 3 3 2 2 2 4 2" xfId="13656" xr:uid="{00000000-0005-0000-0000-00003E310000}"/>
    <cellStyle name="Normal 2 3 3 2 2 2 4 2 2" xfId="30596" xr:uid="{00000000-0005-0000-0000-00003F310000}"/>
    <cellStyle name="Normal 2 3 3 2 2 2 4 3" xfId="22148" xr:uid="{00000000-0005-0000-0000-000040310000}"/>
    <cellStyle name="Normal 2 3 3 2 2 2 5" xfId="9432" xr:uid="{00000000-0005-0000-0000-000041310000}"/>
    <cellStyle name="Normal 2 3 3 2 2 2 5 2" xfId="26372" xr:uid="{00000000-0005-0000-0000-000042310000}"/>
    <cellStyle name="Normal 2 3 3 2 2 2 6" xfId="17924" xr:uid="{00000000-0005-0000-0000-000043310000}"/>
    <cellStyle name="Normal 2 3 3 2 2 3" xfId="1686" xr:uid="{00000000-0005-0000-0000-000044310000}"/>
    <cellStyle name="Normal 2 3 3 2 2 3 2" xfId="3798" xr:uid="{00000000-0005-0000-0000-000045310000}"/>
    <cellStyle name="Normal 2 3 3 2 2 3 2 2" xfId="8024" xr:uid="{00000000-0005-0000-0000-000046310000}"/>
    <cellStyle name="Normal 2 3 3 2 2 3 2 2 2" xfId="16472" xr:uid="{00000000-0005-0000-0000-000047310000}"/>
    <cellStyle name="Normal 2 3 3 2 2 3 2 2 2 2" xfId="33412" xr:uid="{00000000-0005-0000-0000-000048310000}"/>
    <cellStyle name="Normal 2 3 3 2 2 3 2 2 3" xfId="24964" xr:uid="{00000000-0005-0000-0000-000049310000}"/>
    <cellStyle name="Normal 2 3 3 2 2 3 2 3" xfId="12248" xr:uid="{00000000-0005-0000-0000-00004A310000}"/>
    <cellStyle name="Normal 2 3 3 2 2 3 2 3 2" xfId="29188" xr:uid="{00000000-0005-0000-0000-00004B310000}"/>
    <cellStyle name="Normal 2 3 3 2 2 3 2 4" xfId="20740" xr:uid="{00000000-0005-0000-0000-00004C310000}"/>
    <cellStyle name="Normal 2 3 3 2 2 3 3" xfId="5912" xr:uid="{00000000-0005-0000-0000-00004D310000}"/>
    <cellStyle name="Normal 2 3 3 2 2 3 3 2" xfId="14360" xr:uid="{00000000-0005-0000-0000-00004E310000}"/>
    <cellStyle name="Normal 2 3 3 2 2 3 3 2 2" xfId="31300" xr:uid="{00000000-0005-0000-0000-00004F310000}"/>
    <cellStyle name="Normal 2 3 3 2 2 3 3 3" xfId="22852" xr:uid="{00000000-0005-0000-0000-000050310000}"/>
    <cellStyle name="Normal 2 3 3 2 2 3 4" xfId="10136" xr:uid="{00000000-0005-0000-0000-000051310000}"/>
    <cellStyle name="Normal 2 3 3 2 2 3 4 2" xfId="27076" xr:uid="{00000000-0005-0000-0000-000052310000}"/>
    <cellStyle name="Normal 2 3 3 2 2 3 5" xfId="18628" xr:uid="{00000000-0005-0000-0000-000053310000}"/>
    <cellStyle name="Normal 2 3 3 2 2 4" xfId="2742" xr:uid="{00000000-0005-0000-0000-000054310000}"/>
    <cellStyle name="Normal 2 3 3 2 2 4 2" xfId="6968" xr:uid="{00000000-0005-0000-0000-000055310000}"/>
    <cellStyle name="Normal 2 3 3 2 2 4 2 2" xfId="15416" xr:uid="{00000000-0005-0000-0000-000056310000}"/>
    <cellStyle name="Normal 2 3 3 2 2 4 2 2 2" xfId="32356" xr:uid="{00000000-0005-0000-0000-000057310000}"/>
    <cellStyle name="Normal 2 3 3 2 2 4 2 3" xfId="23908" xr:uid="{00000000-0005-0000-0000-000058310000}"/>
    <cellStyle name="Normal 2 3 3 2 2 4 3" xfId="11192" xr:uid="{00000000-0005-0000-0000-000059310000}"/>
    <cellStyle name="Normal 2 3 3 2 2 4 3 2" xfId="28132" xr:uid="{00000000-0005-0000-0000-00005A310000}"/>
    <cellStyle name="Normal 2 3 3 2 2 4 4" xfId="19684" xr:uid="{00000000-0005-0000-0000-00005B310000}"/>
    <cellStyle name="Normal 2 3 3 2 2 5" xfId="4856" xr:uid="{00000000-0005-0000-0000-00005C310000}"/>
    <cellStyle name="Normal 2 3 3 2 2 5 2" xfId="13304" xr:uid="{00000000-0005-0000-0000-00005D310000}"/>
    <cellStyle name="Normal 2 3 3 2 2 5 2 2" xfId="30244" xr:uid="{00000000-0005-0000-0000-00005E310000}"/>
    <cellStyle name="Normal 2 3 3 2 2 5 3" xfId="21796" xr:uid="{00000000-0005-0000-0000-00005F310000}"/>
    <cellStyle name="Normal 2 3 3 2 2 6" xfId="9080" xr:uid="{00000000-0005-0000-0000-000060310000}"/>
    <cellStyle name="Normal 2 3 3 2 2 6 2" xfId="26020" xr:uid="{00000000-0005-0000-0000-000061310000}"/>
    <cellStyle name="Normal 2 3 3 2 2 7" xfId="17572" xr:uid="{00000000-0005-0000-0000-000062310000}"/>
    <cellStyle name="Normal 2 3 3 2 3" xfId="800" xr:uid="{00000000-0005-0000-0000-000063310000}"/>
    <cellStyle name="Normal 2 3 3 2 3 2" xfId="1862" xr:uid="{00000000-0005-0000-0000-000064310000}"/>
    <cellStyle name="Normal 2 3 3 2 3 2 2" xfId="3974" xr:uid="{00000000-0005-0000-0000-000065310000}"/>
    <cellStyle name="Normal 2 3 3 2 3 2 2 2" xfId="8200" xr:uid="{00000000-0005-0000-0000-000066310000}"/>
    <cellStyle name="Normal 2 3 3 2 3 2 2 2 2" xfId="16648" xr:uid="{00000000-0005-0000-0000-000067310000}"/>
    <cellStyle name="Normal 2 3 3 2 3 2 2 2 2 2" xfId="33588" xr:uid="{00000000-0005-0000-0000-000068310000}"/>
    <cellStyle name="Normal 2 3 3 2 3 2 2 2 3" xfId="25140" xr:uid="{00000000-0005-0000-0000-000069310000}"/>
    <cellStyle name="Normal 2 3 3 2 3 2 2 3" xfId="12424" xr:uid="{00000000-0005-0000-0000-00006A310000}"/>
    <cellStyle name="Normal 2 3 3 2 3 2 2 3 2" xfId="29364" xr:uid="{00000000-0005-0000-0000-00006B310000}"/>
    <cellStyle name="Normal 2 3 3 2 3 2 2 4" xfId="20916" xr:uid="{00000000-0005-0000-0000-00006C310000}"/>
    <cellStyle name="Normal 2 3 3 2 3 2 3" xfId="6088" xr:uid="{00000000-0005-0000-0000-00006D310000}"/>
    <cellStyle name="Normal 2 3 3 2 3 2 3 2" xfId="14536" xr:uid="{00000000-0005-0000-0000-00006E310000}"/>
    <cellStyle name="Normal 2 3 3 2 3 2 3 2 2" xfId="31476" xr:uid="{00000000-0005-0000-0000-00006F310000}"/>
    <cellStyle name="Normal 2 3 3 2 3 2 3 3" xfId="23028" xr:uid="{00000000-0005-0000-0000-000070310000}"/>
    <cellStyle name="Normal 2 3 3 2 3 2 4" xfId="10312" xr:uid="{00000000-0005-0000-0000-000071310000}"/>
    <cellStyle name="Normal 2 3 3 2 3 2 4 2" xfId="27252" xr:uid="{00000000-0005-0000-0000-000072310000}"/>
    <cellStyle name="Normal 2 3 3 2 3 2 5" xfId="18804" xr:uid="{00000000-0005-0000-0000-000073310000}"/>
    <cellStyle name="Normal 2 3 3 2 3 3" xfId="2918" xr:uid="{00000000-0005-0000-0000-000074310000}"/>
    <cellStyle name="Normal 2 3 3 2 3 3 2" xfId="7144" xr:uid="{00000000-0005-0000-0000-000075310000}"/>
    <cellStyle name="Normal 2 3 3 2 3 3 2 2" xfId="15592" xr:uid="{00000000-0005-0000-0000-000076310000}"/>
    <cellStyle name="Normal 2 3 3 2 3 3 2 2 2" xfId="32532" xr:uid="{00000000-0005-0000-0000-000077310000}"/>
    <cellStyle name="Normal 2 3 3 2 3 3 2 3" xfId="24084" xr:uid="{00000000-0005-0000-0000-000078310000}"/>
    <cellStyle name="Normal 2 3 3 2 3 3 3" xfId="11368" xr:uid="{00000000-0005-0000-0000-000079310000}"/>
    <cellStyle name="Normal 2 3 3 2 3 3 3 2" xfId="28308" xr:uid="{00000000-0005-0000-0000-00007A310000}"/>
    <cellStyle name="Normal 2 3 3 2 3 3 4" xfId="19860" xr:uid="{00000000-0005-0000-0000-00007B310000}"/>
    <cellStyle name="Normal 2 3 3 2 3 4" xfId="5032" xr:uid="{00000000-0005-0000-0000-00007C310000}"/>
    <cellStyle name="Normal 2 3 3 2 3 4 2" xfId="13480" xr:uid="{00000000-0005-0000-0000-00007D310000}"/>
    <cellStyle name="Normal 2 3 3 2 3 4 2 2" xfId="30420" xr:uid="{00000000-0005-0000-0000-00007E310000}"/>
    <cellStyle name="Normal 2 3 3 2 3 4 3" xfId="21972" xr:uid="{00000000-0005-0000-0000-00007F310000}"/>
    <cellStyle name="Normal 2 3 3 2 3 5" xfId="9256" xr:uid="{00000000-0005-0000-0000-000080310000}"/>
    <cellStyle name="Normal 2 3 3 2 3 5 2" xfId="26196" xr:uid="{00000000-0005-0000-0000-000081310000}"/>
    <cellStyle name="Normal 2 3 3 2 3 6" xfId="17748" xr:uid="{00000000-0005-0000-0000-000082310000}"/>
    <cellStyle name="Normal 2 3 3 2 4" xfId="1152" xr:uid="{00000000-0005-0000-0000-000083310000}"/>
    <cellStyle name="Normal 2 3 3 2 4 2" xfId="2214" xr:uid="{00000000-0005-0000-0000-000084310000}"/>
    <cellStyle name="Normal 2 3 3 2 4 2 2" xfId="4326" xr:uid="{00000000-0005-0000-0000-000085310000}"/>
    <cellStyle name="Normal 2 3 3 2 4 2 2 2" xfId="8552" xr:uid="{00000000-0005-0000-0000-000086310000}"/>
    <cellStyle name="Normal 2 3 3 2 4 2 2 2 2" xfId="17000" xr:uid="{00000000-0005-0000-0000-000087310000}"/>
    <cellStyle name="Normal 2 3 3 2 4 2 2 2 2 2" xfId="33940" xr:uid="{00000000-0005-0000-0000-000088310000}"/>
    <cellStyle name="Normal 2 3 3 2 4 2 2 2 3" xfId="25492" xr:uid="{00000000-0005-0000-0000-000089310000}"/>
    <cellStyle name="Normal 2 3 3 2 4 2 2 3" xfId="12776" xr:uid="{00000000-0005-0000-0000-00008A310000}"/>
    <cellStyle name="Normal 2 3 3 2 4 2 2 3 2" xfId="29716" xr:uid="{00000000-0005-0000-0000-00008B310000}"/>
    <cellStyle name="Normal 2 3 3 2 4 2 2 4" xfId="21268" xr:uid="{00000000-0005-0000-0000-00008C310000}"/>
    <cellStyle name="Normal 2 3 3 2 4 2 3" xfId="6440" xr:uid="{00000000-0005-0000-0000-00008D310000}"/>
    <cellStyle name="Normal 2 3 3 2 4 2 3 2" xfId="14888" xr:uid="{00000000-0005-0000-0000-00008E310000}"/>
    <cellStyle name="Normal 2 3 3 2 4 2 3 2 2" xfId="31828" xr:uid="{00000000-0005-0000-0000-00008F310000}"/>
    <cellStyle name="Normal 2 3 3 2 4 2 3 3" xfId="23380" xr:uid="{00000000-0005-0000-0000-000090310000}"/>
    <cellStyle name="Normal 2 3 3 2 4 2 4" xfId="10664" xr:uid="{00000000-0005-0000-0000-000091310000}"/>
    <cellStyle name="Normal 2 3 3 2 4 2 4 2" xfId="27604" xr:uid="{00000000-0005-0000-0000-000092310000}"/>
    <cellStyle name="Normal 2 3 3 2 4 2 5" xfId="19156" xr:uid="{00000000-0005-0000-0000-000093310000}"/>
    <cellStyle name="Normal 2 3 3 2 4 3" xfId="3270" xr:uid="{00000000-0005-0000-0000-000094310000}"/>
    <cellStyle name="Normal 2 3 3 2 4 3 2" xfId="7496" xr:uid="{00000000-0005-0000-0000-000095310000}"/>
    <cellStyle name="Normal 2 3 3 2 4 3 2 2" xfId="15944" xr:uid="{00000000-0005-0000-0000-000096310000}"/>
    <cellStyle name="Normal 2 3 3 2 4 3 2 2 2" xfId="32884" xr:uid="{00000000-0005-0000-0000-000097310000}"/>
    <cellStyle name="Normal 2 3 3 2 4 3 2 3" xfId="24436" xr:uid="{00000000-0005-0000-0000-000098310000}"/>
    <cellStyle name="Normal 2 3 3 2 4 3 3" xfId="11720" xr:uid="{00000000-0005-0000-0000-000099310000}"/>
    <cellStyle name="Normal 2 3 3 2 4 3 3 2" xfId="28660" xr:uid="{00000000-0005-0000-0000-00009A310000}"/>
    <cellStyle name="Normal 2 3 3 2 4 3 4" xfId="20212" xr:uid="{00000000-0005-0000-0000-00009B310000}"/>
    <cellStyle name="Normal 2 3 3 2 4 4" xfId="5384" xr:uid="{00000000-0005-0000-0000-00009C310000}"/>
    <cellStyle name="Normal 2 3 3 2 4 4 2" xfId="13832" xr:uid="{00000000-0005-0000-0000-00009D310000}"/>
    <cellStyle name="Normal 2 3 3 2 4 4 2 2" xfId="30772" xr:uid="{00000000-0005-0000-0000-00009E310000}"/>
    <cellStyle name="Normal 2 3 3 2 4 4 3" xfId="22324" xr:uid="{00000000-0005-0000-0000-00009F310000}"/>
    <cellStyle name="Normal 2 3 3 2 4 5" xfId="9608" xr:uid="{00000000-0005-0000-0000-0000A0310000}"/>
    <cellStyle name="Normal 2 3 3 2 4 5 2" xfId="26548" xr:uid="{00000000-0005-0000-0000-0000A1310000}"/>
    <cellStyle name="Normal 2 3 3 2 4 6" xfId="18100" xr:uid="{00000000-0005-0000-0000-0000A2310000}"/>
    <cellStyle name="Normal 2 3 3 2 5" xfId="1334" xr:uid="{00000000-0005-0000-0000-0000A3310000}"/>
    <cellStyle name="Normal 2 3 3 2 5 2" xfId="2390" xr:uid="{00000000-0005-0000-0000-0000A4310000}"/>
    <cellStyle name="Normal 2 3 3 2 5 2 2" xfId="4502" xr:uid="{00000000-0005-0000-0000-0000A5310000}"/>
    <cellStyle name="Normal 2 3 3 2 5 2 2 2" xfId="8728" xr:uid="{00000000-0005-0000-0000-0000A6310000}"/>
    <cellStyle name="Normal 2 3 3 2 5 2 2 2 2" xfId="17176" xr:uid="{00000000-0005-0000-0000-0000A7310000}"/>
    <cellStyle name="Normal 2 3 3 2 5 2 2 2 2 2" xfId="34116" xr:uid="{00000000-0005-0000-0000-0000A8310000}"/>
    <cellStyle name="Normal 2 3 3 2 5 2 2 2 3" xfId="25668" xr:uid="{00000000-0005-0000-0000-0000A9310000}"/>
    <cellStyle name="Normal 2 3 3 2 5 2 2 3" xfId="12952" xr:uid="{00000000-0005-0000-0000-0000AA310000}"/>
    <cellStyle name="Normal 2 3 3 2 5 2 2 3 2" xfId="29892" xr:uid="{00000000-0005-0000-0000-0000AB310000}"/>
    <cellStyle name="Normal 2 3 3 2 5 2 2 4" xfId="21444" xr:uid="{00000000-0005-0000-0000-0000AC310000}"/>
    <cellStyle name="Normal 2 3 3 2 5 2 3" xfId="6616" xr:uid="{00000000-0005-0000-0000-0000AD310000}"/>
    <cellStyle name="Normal 2 3 3 2 5 2 3 2" xfId="15064" xr:uid="{00000000-0005-0000-0000-0000AE310000}"/>
    <cellStyle name="Normal 2 3 3 2 5 2 3 2 2" xfId="32004" xr:uid="{00000000-0005-0000-0000-0000AF310000}"/>
    <cellStyle name="Normal 2 3 3 2 5 2 3 3" xfId="23556" xr:uid="{00000000-0005-0000-0000-0000B0310000}"/>
    <cellStyle name="Normal 2 3 3 2 5 2 4" xfId="10840" xr:uid="{00000000-0005-0000-0000-0000B1310000}"/>
    <cellStyle name="Normal 2 3 3 2 5 2 4 2" xfId="27780" xr:uid="{00000000-0005-0000-0000-0000B2310000}"/>
    <cellStyle name="Normal 2 3 3 2 5 2 5" xfId="19332" xr:uid="{00000000-0005-0000-0000-0000B3310000}"/>
    <cellStyle name="Normal 2 3 3 2 5 3" xfId="3446" xr:uid="{00000000-0005-0000-0000-0000B4310000}"/>
    <cellStyle name="Normal 2 3 3 2 5 3 2" xfId="7672" xr:uid="{00000000-0005-0000-0000-0000B5310000}"/>
    <cellStyle name="Normal 2 3 3 2 5 3 2 2" xfId="16120" xr:uid="{00000000-0005-0000-0000-0000B6310000}"/>
    <cellStyle name="Normal 2 3 3 2 5 3 2 2 2" xfId="33060" xr:uid="{00000000-0005-0000-0000-0000B7310000}"/>
    <cellStyle name="Normal 2 3 3 2 5 3 2 3" xfId="24612" xr:uid="{00000000-0005-0000-0000-0000B8310000}"/>
    <cellStyle name="Normal 2 3 3 2 5 3 3" xfId="11896" xr:uid="{00000000-0005-0000-0000-0000B9310000}"/>
    <cellStyle name="Normal 2 3 3 2 5 3 3 2" xfId="28836" xr:uid="{00000000-0005-0000-0000-0000BA310000}"/>
    <cellStyle name="Normal 2 3 3 2 5 3 4" xfId="20388" xr:uid="{00000000-0005-0000-0000-0000BB310000}"/>
    <cellStyle name="Normal 2 3 3 2 5 4" xfId="5560" xr:uid="{00000000-0005-0000-0000-0000BC310000}"/>
    <cellStyle name="Normal 2 3 3 2 5 4 2" xfId="14008" xr:uid="{00000000-0005-0000-0000-0000BD310000}"/>
    <cellStyle name="Normal 2 3 3 2 5 4 2 2" xfId="30948" xr:uid="{00000000-0005-0000-0000-0000BE310000}"/>
    <cellStyle name="Normal 2 3 3 2 5 4 3" xfId="22500" xr:uid="{00000000-0005-0000-0000-0000BF310000}"/>
    <cellStyle name="Normal 2 3 3 2 5 5" xfId="9784" xr:uid="{00000000-0005-0000-0000-0000C0310000}"/>
    <cellStyle name="Normal 2 3 3 2 5 5 2" xfId="26724" xr:uid="{00000000-0005-0000-0000-0000C1310000}"/>
    <cellStyle name="Normal 2 3 3 2 5 6" xfId="18276" xr:uid="{00000000-0005-0000-0000-0000C2310000}"/>
    <cellStyle name="Normal 2 3 3 2 6" xfId="1510" xr:uid="{00000000-0005-0000-0000-0000C3310000}"/>
    <cellStyle name="Normal 2 3 3 2 6 2" xfId="3622" xr:uid="{00000000-0005-0000-0000-0000C4310000}"/>
    <cellStyle name="Normal 2 3 3 2 6 2 2" xfId="7848" xr:uid="{00000000-0005-0000-0000-0000C5310000}"/>
    <cellStyle name="Normal 2 3 3 2 6 2 2 2" xfId="16296" xr:uid="{00000000-0005-0000-0000-0000C6310000}"/>
    <cellStyle name="Normal 2 3 3 2 6 2 2 2 2" xfId="33236" xr:uid="{00000000-0005-0000-0000-0000C7310000}"/>
    <cellStyle name="Normal 2 3 3 2 6 2 2 3" xfId="24788" xr:uid="{00000000-0005-0000-0000-0000C8310000}"/>
    <cellStyle name="Normal 2 3 3 2 6 2 3" xfId="12072" xr:uid="{00000000-0005-0000-0000-0000C9310000}"/>
    <cellStyle name="Normal 2 3 3 2 6 2 3 2" xfId="29012" xr:uid="{00000000-0005-0000-0000-0000CA310000}"/>
    <cellStyle name="Normal 2 3 3 2 6 2 4" xfId="20564" xr:uid="{00000000-0005-0000-0000-0000CB310000}"/>
    <cellStyle name="Normal 2 3 3 2 6 3" xfId="5736" xr:uid="{00000000-0005-0000-0000-0000CC310000}"/>
    <cellStyle name="Normal 2 3 3 2 6 3 2" xfId="14184" xr:uid="{00000000-0005-0000-0000-0000CD310000}"/>
    <cellStyle name="Normal 2 3 3 2 6 3 2 2" xfId="31124" xr:uid="{00000000-0005-0000-0000-0000CE310000}"/>
    <cellStyle name="Normal 2 3 3 2 6 3 3" xfId="22676" xr:uid="{00000000-0005-0000-0000-0000CF310000}"/>
    <cellStyle name="Normal 2 3 3 2 6 4" xfId="9960" xr:uid="{00000000-0005-0000-0000-0000D0310000}"/>
    <cellStyle name="Normal 2 3 3 2 6 4 2" xfId="26900" xr:uid="{00000000-0005-0000-0000-0000D1310000}"/>
    <cellStyle name="Normal 2 3 3 2 6 5" xfId="18452" xr:uid="{00000000-0005-0000-0000-0000D2310000}"/>
    <cellStyle name="Normal 2 3 3 2 7" xfId="2566" xr:uid="{00000000-0005-0000-0000-0000D3310000}"/>
    <cellStyle name="Normal 2 3 3 2 7 2" xfId="6792" xr:uid="{00000000-0005-0000-0000-0000D4310000}"/>
    <cellStyle name="Normal 2 3 3 2 7 2 2" xfId="15240" xr:uid="{00000000-0005-0000-0000-0000D5310000}"/>
    <cellStyle name="Normal 2 3 3 2 7 2 2 2" xfId="32180" xr:uid="{00000000-0005-0000-0000-0000D6310000}"/>
    <cellStyle name="Normal 2 3 3 2 7 2 3" xfId="23732" xr:uid="{00000000-0005-0000-0000-0000D7310000}"/>
    <cellStyle name="Normal 2 3 3 2 7 3" xfId="11016" xr:uid="{00000000-0005-0000-0000-0000D8310000}"/>
    <cellStyle name="Normal 2 3 3 2 7 3 2" xfId="27956" xr:uid="{00000000-0005-0000-0000-0000D9310000}"/>
    <cellStyle name="Normal 2 3 3 2 7 4" xfId="19508" xr:uid="{00000000-0005-0000-0000-0000DA310000}"/>
    <cellStyle name="Normal 2 3 3 2 8" xfId="4679" xr:uid="{00000000-0005-0000-0000-0000DB310000}"/>
    <cellStyle name="Normal 2 3 3 2 8 2" xfId="13128" xr:uid="{00000000-0005-0000-0000-0000DC310000}"/>
    <cellStyle name="Normal 2 3 3 2 8 2 2" xfId="30068" xr:uid="{00000000-0005-0000-0000-0000DD310000}"/>
    <cellStyle name="Normal 2 3 3 2 8 3" xfId="21620" xr:uid="{00000000-0005-0000-0000-0000DE310000}"/>
    <cellStyle name="Normal 2 3 3 2 9" xfId="8904" xr:uid="{00000000-0005-0000-0000-0000DF310000}"/>
    <cellStyle name="Normal 2 3 3 2 9 2" xfId="25844" xr:uid="{00000000-0005-0000-0000-0000E0310000}"/>
    <cellStyle name="Normal 2 3 3 3" xfId="299" xr:uid="{00000000-0005-0000-0000-0000E1310000}"/>
    <cellStyle name="Normal 2 3 3 3 10" xfId="17397" xr:uid="{00000000-0005-0000-0000-0000E2310000}"/>
    <cellStyle name="Normal 2 3 3 3 2" xfId="625" xr:uid="{00000000-0005-0000-0000-0000E3310000}"/>
    <cellStyle name="Normal 2 3 3 3 2 2" xfId="977" xr:uid="{00000000-0005-0000-0000-0000E4310000}"/>
    <cellStyle name="Normal 2 3 3 3 2 2 2" xfId="2039" xr:uid="{00000000-0005-0000-0000-0000E5310000}"/>
    <cellStyle name="Normal 2 3 3 3 2 2 2 2" xfId="4151" xr:uid="{00000000-0005-0000-0000-0000E6310000}"/>
    <cellStyle name="Normal 2 3 3 3 2 2 2 2 2" xfId="8377" xr:uid="{00000000-0005-0000-0000-0000E7310000}"/>
    <cellStyle name="Normal 2 3 3 3 2 2 2 2 2 2" xfId="16825" xr:uid="{00000000-0005-0000-0000-0000E8310000}"/>
    <cellStyle name="Normal 2 3 3 3 2 2 2 2 2 2 2" xfId="33765" xr:uid="{00000000-0005-0000-0000-0000E9310000}"/>
    <cellStyle name="Normal 2 3 3 3 2 2 2 2 2 3" xfId="25317" xr:uid="{00000000-0005-0000-0000-0000EA310000}"/>
    <cellStyle name="Normal 2 3 3 3 2 2 2 2 3" xfId="12601" xr:uid="{00000000-0005-0000-0000-0000EB310000}"/>
    <cellStyle name="Normal 2 3 3 3 2 2 2 2 3 2" xfId="29541" xr:uid="{00000000-0005-0000-0000-0000EC310000}"/>
    <cellStyle name="Normal 2 3 3 3 2 2 2 2 4" xfId="21093" xr:uid="{00000000-0005-0000-0000-0000ED310000}"/>
    <cellStyle name="Normal 2 3 3 3 2 2 2 3" xfId="6265" xr:uid="{00000000-0005-0000-0000-0000EE310000}"/>
    <cellStyle name="Normal 2 3 3 3 2 2 2 3 2" xfId="14713" xr:uid="{00000000-0005-0000-0000-0000EF310000}"/>
    <cellStyle name="Normal 2 3 3 3 2 2 2 3 2 2" xfId="31653" xr:uid="{00000000-0005-0000-0000-0000F0310000}"/>
    <cellStyle name="Normal 2 3 3 3 2 2 2 3 3" xfId="23205" xr:uid="{00000000-0005-0000-0000-0000F1310000}"/>
    <cellStyle name="Normal 2 3 3 3 2 2 2 4" xfId="10489" xr:uid="{00000000-0005-0000-0000-0000F2310000}"/>
    <cellStyle name="Normal 2 3 3 3 2 2 2 4 2" xfId="27429" xr:uid="{00000000-0005-0000-0000-0000F3310000}"/>
    <cellStyle name="Normal 2 3 3 3 2 2 2 5" xfId="18981" xr:uid="{00000000-0005-0000-0000-0000F4310000}"/>
    <cellStyle name="Normal 2 3 3 3 2 2 3" xfId="3095" xr:uid="{00000000-0005-0000-0000-0000F5310000}"/>
    <cellStyle name="Normal 2 3 3 3 2 2 3 2" xfId="7321" xr:uid="{00000000-0005-0000-0000-0000F6310000}"/>
    <cellStyle name="Normal 2 3 3 3 2 2 3 2 2" xfId="15769" xr:uid="{00000000-0005-0000-0000-0000F7310000}"/>
    <cellStyle name="Normal 2 3 3 3 2 2 3 2 2 2" xfId="32709" xr:uid="{00000000-0005-0000-0000-0000F8310000}"/>
    <cellStyle name="Normal 2 3 3 3 2 2 3 2 3" xfId="24261" xr:uid="{00000000-0005-0000-0000-0000F9310000}"/>
    <cellStyle name="Normal 2 3 3 3 2 2 3 3" xfId="11545" xr:uid="{00000000-0005-0000-0000-0000FA310000}"/>
    <cellStyle name="Normal 2 3 3 3 2 2 3 3 2" xfId="28485" xr:uid="{00000000-0005-0000-0000-0000FB310000}"/>
    <cellStyle name="Normal 2 3 3 3 2 2 3 4" xfId="20037" xr:uid="{00000000-0005-0000-0000-0000FC310000}"/>
    <cellStyle name="Normal 2 3 3 3 2 2 4" xfId="5209" xr:uid="{00000000-0005-0000-0000-0000FD310000}"/>
    <cellStyle name="Normal 2 3 3 3 2 2 4 2" xfId="13657" xr:uid="{00000000-0005-0000-0000-0000FE310000}"/>
    <cellStyle name="Normal 2 3 3 3 2 2 4 2 2" xfId="30597" xr:uid="{00000000-0005-0000-0000-0000FF310000}"/>
    <cellStyle name="Normal 2 3 3 3 2 2 4 3" xfId="22149" xr:uid="{00000000-0005-0000-0000-000000320000}"/>
    <cellStyle name="Normal 2 3 3 3 2 2 5" xfId="9433" xr:uid="{00000000-0005-0000-0000-000001320000}"/>
    <cellStyle name="Normal 2 3 3 3 2 2 5 2" xfId="26373" xr:uid="{00000000-0005-0000-0000-000002320000}"/>
    <cellStyle name="Normal 2 3 3 3 2 2 6" xfId="17925" xr:uid="{00000000-0005-0000-0000-000003320000}"/>
    <cellStyle name="Normal 2 3 3 3 2 3" xfId="1687" xr:uid="{00000000-0005-0000-0000-000004320000}"/>
    <cellStyle name="Normal 2 3 3 3 2 3 2" xfId="3799" xr:uid="{00000000-0005-0000-0000-000005320000}"/>
    <cellStyle name="Normal 2 3 3 3 2 3 2 2" xfId="8025" xr:uid="{00000000-0005-0000-0000-000006320000}"/>
    <cellStyle name="Normal 2 3 3 3 2 3 2 2 2" xfId="16473" xr:uid="{00000000-0005-0000-0000-000007320000}"/>
    <cellStyle name="Normal 2 3 3 3 2 3 2 2 2 2" xfId="33413" xr:uid="{00000000-0005-0000-0000-000008320000}"/>
    <cellStyle name="Normal 2 3 3 3 2 3 2 2 3" xfId="24965" xr:uid="{00000000-0005-0000-0000-000009320000}"/>
    <cellStyle name="Normal 2 3 3 3 2 3 2 3" xfId="12249" xr:uid="{00000000-0005-0000-0000-00000A320000}"/>
    <cellStyle name="Normal 2 3 3 3 2 3 2 3 2" xfId="29189" xr:uid="{00000000-0005-0000-0000-00000B320000}"/>
    <cellStyle name="Normal 2 3 3 3 2 3 2 4" xfId="20741" xr:uid="{00000000-0005-0000-0000-00000C320000}"/>
    <cellStyle name="Normal 2 3 3 3 2 3 3" xfId="5913" xr:uid="{00000000-0005-0000-0000-00000D320000}"/>
    <cellStyle name="Normal 2 3 3 3 2 3 3 2" xfId="14361" xr:uid="{00000000-0005-0000-0000-00000E320000}"/>
    <cellStyle name="Normal 2 3 3 3 2 3 3 2 2" xfId="31301" xr:uid="{00000000-0005-0000-0000-00000F320000}"/>
    <cellStyle name="Normal 2 3 3 3 2 3 3 3" xfId="22853" xr:uid="{00000000-0005-0000-0000-000010320000}"/>
    <cellStyle name="Normal 2 3 3 3 2 3 4" xfId="10137" xr:uid="{00000000-0005-0000-0000-000011320000}"/>
    <cellStyle name="Normal 2 3 3 3 2 3 4 2" xfId="27077" xr:uid="{00000000-0005-0000-0000-000012320000}"/>
    <cellStyle name="Normal 2 3 3 3 2 3 5" xfId="18629" xr:uid="{00000000-0005-0000-0000-000013320000}"/>
    <cellStyle name="Normal 2 3 3 3 2 4" xfId="2743" xr:uid="{00000000-0005-0000-0000-000014320000}"/>
    <cellStyle name="Normal 2 3 3 3 2 4 2" xfId="6969" xr:uid="{00000000-0005-0000-0000-000015320000}"/>
    <cellStyle name="Normal 2 3 3 3 2 4 2 2" xfId="15417" xr:uid="{00000000-0005-0000-0000-000016320000}"/>
    <cellStyle name="Normal 2 3 3 3 2 4 2 2 2" xfId="32357" xr:uid="{00000000-0005-0000-0000-000017320000}"/>
    <cellStyle name="Normal 2 3 3 3 2 4 2 3" xfId="23909" xr:uid="{00000000-0005-0000-0000-000018320000}"/>
    <cellStyle name="Normal 2 3 3 3 2 4 3" xfId="11193" xr:uid="{00000000-0005-0000-0000-000019320000}"/>
    <cellStyle name="Normal 2 3 3 3 2 4 3 2" xfId="28133" xr:uid="{00000000-0005-0000-0000-00001A320000}"/>
    <cellStyle name="Normal 2 3 3 3 2 4 4" xfId="19685" xr:uid="{00000000-0005-0000-0000-00001B320000}"/>
    <cellStyle name="Normal 2 3 3 3 2 5" xfId="4857" xr:uid="{00000000-0005-0000-0000-00001C320000}"/>
    <cellStyle name="Normal 2 3 3 3 2 5 2" xfId="13305" xr:uid="{00000000-0005-0000-0000-00001D320000}"/>
    <cellStyle name="Normal 2 3 3 3 2 5 2 2" xfId="30245" xr:uid="{00000000-0005-0000-0000-00001E320000}"/>
    <cellStyle name="Normal 2 3 3 3 2 5 3" xfId="21797" xr:uid="{00000000-0005-0000-0000-00001F320000}"/>
    <cellStyle name="Normal 2 3 3 3 2 6" xfId="9081" xr:uid="{00000000-0005-0000-0000-000020320000}"/>
    <cellStyle name="Normal 2 3 3 3 2 6 2" xfId="26021" xr:uid="{00000000-0005-0000-0000-000021320000}"/>
    <cellStyle name="Normal 2 3 3 3 2 7" xfId="17573" xr:uid="{00000000-0005-0000-0000-000022320000}"/>
    <cellStyle name="Normal 2 3 3 3 3" xfId="801" xr:uid="{00000000-0005-0000-0000-000023320000}"/>
    <cellStyle name="Normal 2 3 3 3 3 2" xfId="1863" xr:uid="{00000000-0005-0000-0000-000024320000}"/>
    <cellStyle name="Normal 2 3 3 3 3 2 2" xfId="3975" xr:uid="{00000000-0005-0000-0000-000025320000}"/>
    <cellStyle name="Normal 2 3 3 3 3 2 2 2" xfId="8201" xr:uid="{00000000-0005-0000-0000-000026320000}"/>
    <cellStyle name="Normal 2 3 3 3 3 2 2 2 2" xfId="16649" xr:uid="{00000000-0005-0000-0000-000027320000}"/>
    <cellStyle name="Normal 2 3 3 3 3 2 2 2 2 2" xfId="33589" xr:uid="{00000000-0005-0000-0000-000028320000}"/>
    <cellStyle name="Normal 2 3 3 3 3 2 2 2 3" xfId="25141" xr:uid="{00000000-0005-0000-0000-000029320000}"/>
    <cellStyle name="Normal 2 3 3 3 3 2 2 3" xfId="12425" xr:uid="{00000000-0005-0000-0000-00002A320000}"/>
    <cellStyle name="Normal 2 3 3 3 3 2 2 3 2" xfId="29365" xr:uid="{00000000-0005-0000-0000-00002B320000}"/>
    <cellStyle name="Normal 2 3 3 3 3 2 2 4" xfId="20917" xr:uid="{00000000-0005-0000-0000-00002C320000}"/>
    <cellStyle name="Normal 2 3 3 3 3 2 3" xfId="6089" xr:uid="{00000000-0005-0000-0000-00002D320000}"/>
    <cellStyle name="Normal 2 3 3 3 3 2 3 2" xfId="14537" xr:uid="{00000000-0005-0000-0000-00002E320000}"/>
    <cellStyle name="Normal 2 3 3 3 3 2 3 2 2" xfId="31477" xr:uid="{00000000-0005-0000-0000-00002F320000}"/>
    <cellStyle name="Normal 2 3 3 3 3 2 3 3" xfId="23029" xr:uid="{00000000-0005-0000-0000-000030320000}"/>
    <cellStyle name="Normal 2 3 3 3 3 2 4" xfId="10313" xr:uid="{00000000-0005-0000-0000-000031320000}"/>
    <cellStyle name="Normal 2 3 3 3 3 2 4 2" xfId="27253" xr:uid="{00000000-0005-0000-0000-000032320000}"/>
    <cellStyle name="Normal 2 3 3 3 3 2 5" xfId="18805" xr:uid="{00000000-0005-0000-0000-000033320000}"/>
    <cellStyle name="Normal 2 3 3 3 3 3" xfId="2919" xr:uid="{00000000-0005-0000-0000-000034320000}"/>
    <cellStyle name="Normal 2 3 3 3 3 3 2" xfId="7145" xr:uid="{00000000-0005-0000-0000-000035320000}"/>
    <cellStyle name="Normal 2 3 3 3 3 3 2 2" xfId="15593" xr:uid="{00000000-0005-0000-0000-000036320000}"/>
    <cellStyle name="Normal 2 3 3 3 3 3 2 2 2" xfId="32533" xr:uid="{00000000-0005-0000-0000-000037320000}"/>
    <cellStyle name="Normal 2 3 3 3 3 3 2 3" xfId="24085" xr:uid="{00000000-0005-0000-0000-000038320000}"/>
    <cellStyle name="Normal 2 3 3 3 3 3 3" xfId="11369" xr:uid="{00000000-0005-0000-0000-000039320000}"/>
    <cellStyle name="Normal 2 3 3 3 3 3 3 2" xfId="28309" xr:uid="{00000000-0005-0000-0000-00003A320000}"/>
    <cellStyle name="Normal 2 3 3 3 3 3 4" xfId="19861" xr:uid="{00000000-0005-0000-0000-00003B320000}"/>
    <cellStyle name="Normal 2 3 3 3 3 4" xfId="5033" xr:uid="{00000000-0005-0000-0000-00003C320000}"/>
    <cellStyle name="Normal 2 3 3 3 3 4 2" xfId="13481" xr:uid="{00000000-0005-0000-0000-00003D320000}"/>
    <cellStyle name="Normal 2 3 3 3 3 4 2 2" xfId="30421" xr:uid="{00000000-0005-0000-0000-00003E320000}"/>
    <cellStyle name="Normal 2 3 3 3 3 4 3" xfId="21973" xr:uid="{00000000-0005-0000-0000-00003F320000}"/>
    <cellStyle name="Normal 2 3 3 3 3 5" xfId="9257" xr:uid="{00000000-0005-0000-0000-000040320000}"/>
    <cellStyle name="Normal 2 3 3 3 3 5 2" xfId="26197" xr:uid="{00000000-0005-0000-0000-000041320000}"/>
    <cellStyle name="Normal 2 3 3 3 3 6" xfId="17749" xr:uid="{00000000-0005-0000-0000-000042320000}"/>
    <cellStyle name="Normal 2 3 3 3 4" xfId="1153" xr:uid="{00000000-0005-0000-0000-000043320000}"/>
    <cellStyle name="Normal 2 3 3 3 4 2" xfId="2215" xr:uid="{00000000-0005-0000-0000-000044320000}"/>
    <cellStyle name="Normal 2 3 3 3 4 2 2" xfId="4327" xr:uid="{00000000-0005-0000-0000-000045320000}"/>
    <cellStyle name="Normal 2 3 3 3 4 2 2 2" xfId="8553" xr:uid="{00000000-0005-0000-0000-000046320000}"/>
    <cellStyle name="Normal 2 3 3 3 4 2 2 2 2" xfId="17001" xr:uid="{00000000-0005-0000-0000-000047320000}"/>
    <cellStyle name="Normal 2 3 3 3 4 2 2 2 2 2" xfId="33941" xr:uid="{00000000-0005-0000-0000-000048320000}"/>
    <cellStyle name="Normal 2 3 3 3 4 2 2 2 3" xfId="25493" xr:uid="{00000000-0005-0000-0000-000049320000}"/>
    <cellStyle name="Normal 2 3 3 3 4 2 2 3" xfId="12777" xr:uid="{00000000-0005-0000-0000-00004A320000}"/>
    <cellStyle name="Normal 2 3 3 3 4 2 2 3 2" xfId="29717" xr:uid="{00000000-0005-0000-0000-00004B320000}"/>
    <cellStyle name="Normal 2 3 3 3 4 2 2 4" xfId="21269" xr:uid="{00000000-0005-0000-0000-00004C320000}"/>
    <cellStyle name="Normal 2 3 3 3 4 2 3" xfId="6441" xr:uid="{00000000-0005-0000-0000-00004D320000}"/>
    <cellStyle name="Normal 2 3 3 3 4 2 3 2" xfId="14889" xr:uid="{00000000-0005-0000-0000-00004E320000}"/>
    <cellStyle name="Normal 2 3 3 3 4 2 3 2 2" xfId="31829" xr:uid="{00000000-0005-0000-0000-00004F320000}"/>
    <cellStyle name="Normal 2 3 3 3 4 2 3 3" xfId="23381" xr:uid="{00000000-0005-0000-0000-000050320000}"/>
    <cellStyle name="Normal 2 3 3 3 4 2 4" xfId="10665" xr:uid="{00000000-0005-0000-0000-000051320000}"/>
    <cellStyle name="Normal 2 3 3 3 4 2 4 2" xfId="27605" xr:uid="{00000000-0005-0000-0000-000052320000}"/>
    <cellStyle name="Normal 2 3 3 3 4 2 5" xfId="19157" xr:uid="{00000000-0005-0000-0000-000053320000}"/>
    <cellStyle name="Normal 2 3 3 3 4 3" xfId="3271" xr:uid="{00000000-0005-0000-0000-000054320000}"/>
    <cellStyle name="Normal 2 3 3 3 4 3 2" xfId="7497" xr:uid="{00000000-0005-0000-0000-000055320000}"/>
    <cellStyle name="Normal 2 3 3 3 4 3 2 2" xfId="15945" xr:uid="{00000000-0005-0000-0000-000056320000}"/>
    <cellStyle name="Normal 2 3 3 3 4 3 2 2 2" xfId="32885" xr:uid="{00000000-0005-0000-0000-000057320000}"/>
    <cellStyle name="Normal 2 3 3 3 4 3 2 3" xfId="24437" xr:uid="{00000000-0005-0000-0000-000058320000}"/>
    <cellStyle name="Normal 2 3 3 3 4 3 3" xfId="11721" xr:uid="{00000000-0005-0000-0000-000059320000}"/>
    <cellStyle name="Normal 2 3 3 3 4 3 3 2" xfId="28661" xr:uid="{00000000-0005-0000-0000-00005A320000}"/>
    <cellStyle name="Normal 2 3 3 3 4 3 4" xfId="20213" xr:uid="{00000000-0005-0000-0000-00005B320000}"/>
    <cellStyle name="Normal 2 3 3 3 4 4" xfId="5385" xr:uid="{00000000-0005-0000-0000-00005C320000}"/>
    <cellStyle name="Normal 2 3 3 3 4 4 2" xfId="13833" xr:uid="{00000000-0005-0000-0000-00005D320000}"/>
    <cellStyle name="Normal 2 3 3 3 4 4 2 2" xfId="30773" xr:uid="{00000000-0005-0000-0000-00005E320000}"/>
    <cellStyle name="Normal 2 3 3 3 4 4 3" xfId="22325" xr:uid="{00000000-0005-0000-0000-00005F320000}"/>
    <cellStyle name="Normal 2 3 3 3 4 5" xfId="9609" xr:uid="{00000000-0005-0000-0000-000060320000}"/>
    <cellStyle name="Normal 2 3 3 3 4 5 2" xfId="26549" xr:uid="{00000000-0005-0000-0000-000061320000}"/>
    <cellStyle name="Normal 2 3 3 3 4 6" xfId="18101" xr:uid="{00000000-0005-0000-0000-000062320000}"/>
    <cellStyle name="Normal 2 3 3 3 5" xfId="1335" xr:uid="{00000000-0005-0000-0000-000063320000}"/>
    <cellStyle name="Normal 2 3 3 3 5 2" xfId="2391" xr:uid="{00000000-0005-0000-0000-000064320000}"/>
    <cellStyle name="Normal 2 3 3 3 5 2 2" xfId="4503" xr:uid="{00000000-0005-0000-0000-000065320000}"/>
    <cellStyle name="Normal 2 3 3 3 5 2 2 2" xfId="8729" xr:uid="{00000000-0005-0000-0000-000066320000}"/>
    <cellStyle name="Normal 2 3 3 3 5 2 2 2 2" xfId="17177" xr:uid="{00000000-0005-0000-0000-000067320000}"/>
    <cellStyle name="Normal 2 3 3 3 5 2 2 2 2 2" xfId="34117" xr:uid="{00000000-0005-0000-0000-000068320000}"/>
    <cellStyle name="Normal 2 3 3 3 5 2 2 2 3" xfId="25669" xr:uid="{00000000-0005-0000-0000-000069320000}"/>
    <cellStyle name="Normal 2 3 3 3 5 2 2 3" xfId="12953" xr:uid="{00000000-0005-0000-0000-00006A320000}"/>
    <cellStyle name="Normal 2 3 3 3 5 2 2 3 2" xfId="29893" xr:uid="{00000000-0005-0000-0000-00006B320000}"/>
    <cellStyle name="Normal 2 3 3 3 5 2 2 4" xfId="21445" xr:uid="{00000000-0005-0000-0000-00006C320000}"/>
    <cellStyle name="Normal 2 3 3 3 5 2 3" xfId="6617" xr:uid="{00000000-0005-0000-0000-00006D320000}"/>
    <cellStyle name="Normal 2 3 3 3 5 2 3 2" xfId="15065" xr:uid="{00000000-0005-0000-0000-00006E320000}"/>
    <cellStyle name="Normal 2 3 3 3 5 2 3 2 2" xfId="32005" xr:uid="{00000000-0005-0000-0000-00006F320000}"/>
    <cellStyle name="Normal 2 3 3 3 5 2 3 3" xfId="23557" xr:uid="{00000000-0005-0000-0000-000070320000}"/>
    <cellStyle name="Normal 2 3 3 3 5 2 4" xfId="10841" xr:uid="{00000000-0005-0000-0000-000071320000}"/>
    <cellStyle name="Normal 2 3 3 3 5 2 4 2" xfId="27781" xr:uid="{00000000-0005-0000-0000-000072320000}"/>
    <cellStyle name="Normal 2 3 3 3 5 2 5" xfId="19333" xr:uid="{00000000-0005-0000-0000-000073320000}"/>
    <cellStyle name="Normal 2 3 3 3 5 3" xfId="3447" xr:uid="{00000000-0005-0000-0000-000074320000}"/>
    <cellStyle name="Normal 2 3 3 3 5 3 2" xfId="7673" xr:uid="{00000000-0005-0000-0000-000075320000}"/>
    <cellStyle name="Normal 2 3 3 3 5 3 2 2" xfId="16121" xr:uid="{00000000-0005-0000-0000-000076320000}"/>
    <cellStyle name="Normal 2 3 3 3 5 3 2 2 2" xfId="33061" xr:uid="{00000000-0005-0000-0000-000077320000}"/>
    <cellStyle name="Normal 2 3 3 3 5 3 2 3" xfId="24613" xr:uid="{00000000-0005-0000-0000-000078320000}"/>
    <cellStyle name="Normal 2 3 3 3 5 3 3" xfId="11897" xr:uid="{00000000-0005-0000-0000-000079320000}"/>
    <cellStyle name="Normal 2 3 3 3 5 3 3 2" xfId="28837" xr:uid="{00000000-0005-0000-0000-00007A320000}"/>
    <cellStyle name="Normal 2 3 3 3 5 3 4" xfId="20389" xr:uid="{00000000-0005-0000-0000-00007B320000}"/>
    <cellStyle name="Normal 2 3 3 3 5 4" xfId="5561" xr:uid="{00000000-0005-0000-0000-00007C320000}"/>
    <cellStyle name="Normal 2 3 3 3 5 4 2" xfId="14009" xr:uid="{00000000-0005-0000-0000-00007D320000}"/>
    <cellStyle name="Normal 2 3 3 3 5 4 2 2" xfId="30949" xr:uid="{00000000-0005-0000-0000-00007E320000}"/>
    <cellStyle name="Normal 2 3 3 3 5 4 3" xfId="22501" xr:uid="{00000000-0005-0000-0000-00007F320000}"/>
    <cellStyle name="Normal 2 3 3 3 5 5" xfId="9785" xr:uid="{00000000-0005-0000-0000-000080320000}"/>
    <cellStyle name="Normal 2 3 3 3 5 5 2" xfId="26725" xr:uid="{00000000-0005-0000-0000-000081320000}"/>
    <cellStyle name="Normal 2 3 3 3 5 6" xfId="18277" xr:uid="{00000000-0005-0000-0000-000082320000}"/>
    <cellStyle name="Normal 2 3 3 3 6" xfId="1511" xr:uid="{00000000-0005-0000-0000-000083320000}"/>
    <cellStyle name="Normal 2 3 3 3 6 2" xfId="3623" xr:uid="{00000000-0005-0000-0000-000084320000}"/>
    <cellStyle name="Normal 2 3 3 3 6 2 2" xfId="7849" xr:uid="{00000000-0005-0000-0000-000085320000}"/>
    <cellStyle name="Normal 2 3 3 3 6 2 2 2" xfId="16297" xr:uid="{00000000-0005-0000-0000-000086320000}"/>
    <cellStyle name="Normal 2 3 3 3 6 2 2 2 2" xfId="33237" xr:uid="{00000000-0005-0000-0000-000087320000}"/>
    <cellStyle name="Normal 2 3 3 3 6 2 2 3" xfId="24789" xr:uid="{00000000-0005-0000-0000-000088320000}"/>
    <cellStyle name="Normal 2 3 3 3 6 2 3" xfId="12073" xr:uid="{00000000-0005-0000-0000-000089320000}"/>
    <cellStyle name="Normal 2 3 3 3 6 2 3 2" xfId="29013" xr:uid="{00000000-0005-0000-0000-00008A320000}"/>
    <cellStyle name="Normal 2 3 3 3 6 2 4" xfId="20565" xr:uid="{00000000-0005-0000-0000-00008B320000}"/>
    <cellStyle name="Normal 2 3 3 3 6 3" xfId="5737" xr:uid="{00000000-0005-0000-0000-00008C320000}"/>
    <cellStyle name="Normal 2 3 3 3 6 3 2" xfId="14185" xr:uid="{00000000-0005-0000-0000-00008D320000}"/>
    <cellStyle name="Normal 2 3 3 3 6 3 2 2" xfId="31125" xr:uid="{00000000-0005-0000-0000-00008E320000}"/>
    <cellStyle name="Normal 2 3 3 3 6 3 3" xfId="22677" xr:uid="{00000000-0005-0000-0000-00008F320000}"/>
    <cellStyle name="Normal 2 3 3 3 6 4" xfId="9961" xr:uid="{00000000-0005-0000-0000-000090320000}"/>
    <cellStyle name="Normal 2 3 3 3 6 4 2" xfId="26901" xr:uid="{00000000-0005-0000-0000-000091320000}"/>
    <cellStyle name="Normal 2 3 3 3 6 5" xfId="18453" xr:uid="{00000000-0005-0000-0000-000092320000}"/>
    <cellStyle name="Normal 2 3 3 3 7" xfId="2567" xr:uid="{00000000-0005-0000-0000-000093320000}"/>
    <cellStyle name="Normal 2 3 3 3 7 2" xfId="6793" xr:uid="{00000000-0005-0000-0000-000094320000}"/>
    <cellStyle name="Normal 2 3 3 3 7 2 2" xfId="15241" xr:uid="{00000000-0005-0000-0000-000095320000}"/>
    <cellStyle name="Normal 2 3 3 3 7 2 2 2" xfId="32181" xr:uid="{00000000-0005-0000-0000-000096320000}"/>
    <cellStyle name="Normal 2 3 3 3 7 2 3" xfId="23733" xr:uid="{00000000-0005-0000-0000-000097320000}"/>
    <cellStyle name="Normal 2 3 3 3 7 3" xfId="11017" xr:uid="{00000000-0005-0000-0000-000098320000}"/>
    <cellStyle name="Normal 2 3 3 3 7 3 2" xfId="27957" xr:uid="{00000000-0005-0000-0000-000099320000}"/>
    <cellStyle name="Normal 2 3 3 3 7 4" xfId="19509" xr:uid="{00000000-0005-0000-0000-00009A320000}"/>
    <cellStyle name="Normal 2 3 3 3 8" xfId="4680" xr:uid="{00000000-0005-0000-0000-00009B320000}"/>
    <cellStyle name="Normal 2 3 3 3 8 2" xfId="13129" xr:uid="{00000000-0005-0000-0000-00009C320000}"/>
    <cellStyle name="Normal 2 3 3 3 8 2 2" xfId="30069" xr:uid="{00000000-0005-0000-0000-00009D320000}"/>
    <cellStyle name="Normal 2 3 3 3 8 3" xfId="21621" xr:uid="{00000000-0005-0000-0000-00009E320000}"/>
    <cellStyle name="Normal 2 3 3 3 9" xfId="8905" xr:uid="{00000000-0005-0000-0000-00009F320000}"/>
    <cellStyle name="Normal 2 3 3 3 9 2" xfId="25845" xr:uid="{00000000-0005-0000-0000-0000A0320000}"/>
    <cellStyle name="Normal 2 3 3 4" xfId="623" xr:uid="{00000000-0005-0000-0000-0000A1320000}"/>
    <cellStyle name="Normal 2 3 3 4 2" xfId="975" xr:uid="{00000000-0005-0000-0000-0000A2320000}"/>
    <cellStyle name="Normal 2 3 3 4 2 2" xfId="2037" xr:uid="{00000000-0005-0000-0000-0000A3320000}"/>
    <cellStyle name="Normal 2 3 3 4 2 2 2" xfId="4149" xr:uid="{00000000-0005-0000-0000-0000A4320000}"/>
    <cellStyle name="Normal 2 3 3 4 2 2 2 2" xfId="8375" xr:uid="{00000000-0005-0000-0000-0000A5320000}"/>
    <cellStyle name="Normal 2 3 3 4 2 2 2 2 2" xfId="16823" xr:uid="{00000000-0005-0000-0000-0000A6320000}"/>
    <cellStyle name="Normal 2 3 3 4 2 2 2 2 2 2" xfId="33763" xr:uid="{00000000-0005-0000-0000-0000A7320000}"/>
    <cellStyle name="Normal 2 3 3 4 2 2 2 2 3" xfId="25315" xr:uid="{00000000-0005-0000-0000-0000A8320000}"/>
    <cellStyle name="Normal 2 3 3 4 2 2 2 3" xfId="12599" xr:uid="{00000000-0005-0000-0000-0000A9320000}"/>
    <cellStyle name="Normal 2 3 3 4 2 2 2 3 2" xfId="29539" xr:uid="{00000000-0005-0000-0000-0000AA320000}"/>
    <cellStyle name="Normal 2 3 3 4 2 2 2 4" xfId="21091" xr:uid="{00000000-0005-0000-0000-0000AB320000}"/>
    <cellStyle name="Normal 2 3 3 4 2 2 3" xfId="6263" xr:uid="{00000000-0005-0000-0000-0000AC320000}"/>
    <cellStyle name="Normal 2 3 3 4 2 2 3 2" xfId="14711" xr:uid="{00000000-0005-0000-0000-0000AD320000}"/>
    <cellStyle name="Normal 2 3 3 4 2 2 3 2 2" xfId="31651" xr:uid="{00000000-0005-0000-0000-0000AE320000}"/>
    <cellStyle name="Normal 2 3 3 4 2 2 3 3" xfId="23203" xr:uid="{00000000-0005-0000-0000-0000AF320000}"/>
    <cellStyle name="Normal 2 3 3 4 2 2 4" xfId="10487" xr:uid="{00000000-0005-0000-0000-0000B0320000}"/>
    <cellStyle name="Normal 2 3 3 4 2 2 4 2" xfId="27427" xr:uid="{00000000-0005-0000-0000-0000B1320000}"/>
    <cellStyle name="Normal 2 3 3 4 2 2 5" xfId="18979" xr:uid="{00000000-0005-0000-0000-0000B2320000}"/>
    <cellStyle name="Normal 2 3 3 4 2 3" xfId="3093" xr:uid="{00000000-0005-0000-0000-0000B3320000}"/>
    <cellStyle name="Normal 2 3 3 4 2 3 2" xfId="7319" xr:uid="{00000000-0005-0000-0000-0000B4320000}"/>
    <cellStyle name="Normal 2 3 3 4 2 3 2 2" xfId="15767" xr:uid="{00000000-0005-0000-0000-0000B5320000}"/>
    <cellStyle name="Normal 2 3 3 4 2 3 2 2 2" xfId="32707" xr:uid="{00000000-0005-0000-0000-0000B6320000}"/>
    <cellStyle name="Normal 2 3 3 4 2 3 2 3" xfId="24259" xr:uid="{00000000-0005-0000-0000-0000B7320000}"/>
    <cellStyle name="Normal 2 3 3 4 2 3 3" xfId="11543" xr:uid="{00000000-0005-0000-0000-0000B8320000}"/>
    <cellStyle name="Normal 2 3 3 4 2 3 3 2" xfId="28483" xr:uid="{00000000-0005-0000-0000-0000B9320000}"/>
    <cellStyle name="Normal 2 3 3 4 2 3 4" xfId="20035" xr:uid="{00000000-0005-0000-0000-0000BA320000}"/>
    <cellStyle name="Normal 2 3 3 4 2 4" xfId="5207" xr:uid="{00000000-0005-0000-0000-0000BB320000}"/>
    <cellStyle name="Normal 2 3 3 4 2 4 2" xfId="13655" xr:uid="{00000000-0005-0000-0000-0000BC320000}"/>
    <cellStyle name="Normal 2 3 3 4 2 4 2 2" xfId="30595" xr:uid="{00000000-0005-0000-0000-0000BD320000}"/>
    <cellStyle name="Normal 2 3 3 4 2 4 3" xfId="22147" xr:uid="{00000000-0005-0000-0000-0000BE320000}"/>
    <cellStyle name="Normal 2 3 3 4 2 5" xfId="9431" xr:uid="{00000000-0005-0000-0000-0000BF320000}"/>
    <cellStyle name="Normal 2 3 3 4 2 5 2" xfId="26371" xr:uid="{00000000-0005-0000-0000-0000C0320000}"/>
    <cellStyle name="Normal 2 3 3 4 2 6" xfId="17923" xr:uid="{00000000-0005-0000-0000-0000C1320000}"/>
    <cellStyle name="Normal 2 3 3 4 3" xfId="1685" xr:uid="{00000000-0005-0000-0000-0000C2320000}"/>
    <cellStyle name="Normal 2 3 3 4 3 2" xfId="3797" xr:uid="{00000000-0005-0000-0000-0000C3320000}"/>
    <cellStyle name="Normal 2 3 3 4 3 2 2" xfId="8023" xr:uid="{00000000-0005-0000-0000-0000C4320000}"/>
    <cellStyle name="Normal 2 3 3 4 3 2 2 2" xfId="16471" xr:uid="{00000000-0005-0000-0000-0000C5320000}"/>
    <cellStyle name="Normal 2 3 3 4 3 2 2 2 2" xfId="33411" xr:uid="{00000000-0005-0000-0000-0000C6320000}"/>
    <cellStyle name="Normal 2 3 3 4 3 2 2 3" xfId="24963" xr:uid="{00000000-0005-0000-0000-0000C7320000}"/>
    <cellStyle name="Normal 2 3 3 4 3 2 3" xfId="12247" xr:uid="{00000000-0005-0000-0000-0000C8320000}"/>
    <cellStyle name="Normal 2 3 3 4 3 2 3 2" xfId="29187" xr:uid="{00000000-0005-0000-0000-0000C9320000}"/>
    <cellStyle name="Normal 2 3 3 4 3 2 4" xfId="20739" xr:uid="{00000000-0005-0000-0000-0000CA320000}"/>
    <cellStyle name="Normal 2 3 3 4 3 3" xfId="5911" xr:uid="{00000000-0005-0000-0000-0000CB320000}"/>
    <cellStyle name="Normal 2 3 3 4 3 3 2" xfId="14359" xr:uid="{00000000-0005-0000-0000-0000CC320000}"/>
    <cellStyle name="Normal 2 3 3 4 3 3 2 2" xfId="31299" xr:uid="{00000000-0005-0000-0000-0000CD320000}"/>
    <cellStyle name="Normal 2 3 3 4 3 3 3" xfId="22851" xr:uid="{00000000-0005-0000-0000-0000CE320000}"/>
    <cellStyle name="Normal 2 3 3 4 3 4" xfId="10135" xr:uid="{00000000-0005-0000-0000-0000CF320000}"/>
    <cellStyle name="Normal 2 3 3 4 3 4 2" xfId="27075" xr:uid="{00000000-0005-0000-0000-0000D0320000}"/>
    <cellStyle name="Normal 2 3 3 4 3 5" xfId="18627" xr:uid="{00000000-0005-0000-0000-0000D1320000}"/>
    <cellStyle name="Normal 2 3 3 4 4" xfId="2741" xr:uid="{00000000-0005-0000-0000-0000D2320000}"/>
    <cellStyle name="Normal 2 3 3 4 4 2" xfId="6967" xr:uid="{00000000-0005-0000-0000-0000D3320000}"/>
    <cellStyle name="Normal 2 3 3 4 4 2 2" xfId="15415" xr:uid="{00000000-0005-0000-0000-0000D4320000}"/>
    <cellStyle name="Normal 2 3 3 4 4 2 2 2" xfId="32355" xr:uid="{00000000-0005-0000-0000-0000D5320000}"/>
    <cellStyle name="Normal 2 3 3 4 4 2 3" xfId="23907" xr:uid="{00000000-0005-0000-0000-0000D6320000}"/>
    <cellStyle name="Normal 2 3 3 4 4 3" xfId="11191" xr:uid="{00000000-0005-0000-0000-0000D7320000}"/>
    <cellStyle name="Normal 2 3 3 4 4 3 2" xfId="28131" xr:uid="{00000000-0005-0000-0000-0000D8320000}"/>
    <cellStyle name="Normal 2 3 3 4 4 4" xfId="19683" xr:uid="{00000000-0005-0000-0000-0000D9320000}"/>
    <cellStyle name="Normal 2 3 3 4 5" xfId="4855" xr:uid="{00000000-0005-0000-0000-0000DA320000}"/>
    <cellStyle name="Normal 2 3 3 4 5 2" xfId="13303" xr:uid="{00000000-0005-0000-0000-0000DB320000}"/>
    <cellStyle name="Normal 2 3 3 4 5 2 2" xfId="30243" xr:uid="{00000000-0005-0000-0000-0000DC320000}"/>
    <cellStyle name="Normal 2 3 3 4 5 3" xfId="21795" xr:uid="{00000000-0005-0000-0000-0000DD320000}"/>
    <cellStyle name="Normal 2 3 3 4 6" xfId="9079" xr:uid="{00000000-0005-0000-0000-0000DE320000}"/>
    <cellStyle name="Normal 2 3 3 4 6 2" xfId="26019" xr:uid="{00000000-0005-0000-0000-0000DF320000}"/>
    <cellStyle name="Normal 2 3 3 4 7" xfId="17571" xr:uid="{00000000-0005-0000-0000-0000E0320000}"/>
    <cellStyle name="Normal 2 3 3 5" xfId="799" xr:uid="{00000000-0005-0000-0000-0000E1320000}"/>
    <cellStyle name="Normal 2 3 3 5 2" xfId="1861" xr:uid="{00000000-0005-0000-0000-0000E2320000}"/>
    <cellStyle name="Normal 2 3 3 5 2 2" xfId="3973" xr:uid="{00000000-0005-0000-0000-0000E3320000}"/>
    <cellStyle name="Normal 2 3 3 5 2 2 2" xfId="8199" xr:uid="{00000000-0005-0000-0000-0000E4320000}"/>
    <cellStyle name="Normal 2 3 3 5 2 2 2 2" xfId="16647" xr:uid="{00000000-0005-0000-0000-0000E5320000}"/>
    <cellStyle name="Normal 2 3 3 5 2 2 2 2 2" xfId="33587" xr:uid="{00000000-0005-0000-0000-0000E6320000}"/>
    <cellStyle name="Normal 2 3 3 5 2 2 2 3" xfId="25139" xr:uid="{00000000-0005-0000-0000-0000E7320000}"/>
    <cellStyle name="Normal 2 3 3 5 2 2 3" xfId="12423" xr:uid="{00000000-0005-0000-0000-0000E8320000}"/>
    <cellStyle name="Normal 2 3 3 5 2 2 3 2" xfId="29363" xr:uid="{00000000-0005-0000-0000-0000E9320000}"/>
    <cellStyle name="Normal 2 3 3 5 2 2 4" xfId="20915" xr:uid="{00000000-0005-0000-0000-0000EA320000}"/>
    <cellStyle name="Normal 2 3 3 5 2 3" xfId="6087" xr:uid="{00000000-0005-0000-0000-0000EB320000}"/>
    <cellStyle name="Normal 2 3 3 5 2 3 2" xfId="14535" xr:uid="{00000000-0005-0000-0000-0000EC320000}"/>
    <cellStyle name="Normal 2 3 3 5 2 3 2 2" xfId="31475" xr:uid="{00000000-0005-0000-0000-0000ED320000}"/>
    <cellStyle name="Normal 2 3 3 5 2 3 3" xfId="23027" xr:uid="{00000000-0005-0000-0000-0000EE320000}"/>
    <cellStyle name="Normal 2 3 3 5 2 4" xfId="10311" xr:uid="{00000000-0005-0000-0000-0000EF320000}"/>
    <cellStyle name="Normal 2 3 3 5 2 4 2" xfId="27251" xr:uid="{00000000-0005-0000-0000-0000F0320000}"/>
    <cellStyle name="Normal 2 3 3 5 2 5" xfId="18803" xr:uid="{00000000-0005-0000-0000-0000F1320000}"/>
    <cellStyle name="Normal 2 3 3 5 3" xfId="2917" xr:uid="{00000000-0005-0000-0000-0000F2320000}"/>
    <cellStyle name="Normal 2 3 3 5 3 2" xfId="7143" xr:uid="{00000000-0005-0000-0000-0000F3320000}"/>
    <cellStyle name="Normal 2 3 3 5 3 2 2" xfId="15591" xr:uid="{00000000-0005-0000-0000-0000F4320000}"/>
    <cellStyle name="Normal 2 3 3 5 3 2 2 2" xfId="32531" xr:uid="{00000000-0005-0000-0000-0000F5320000}"/>
    <cellStyle name="Normal 2 3 3 5 3 2 3" xfId="24083" xr:uid="{00000000-0005-0000-0000-0000F6320000}"/>
    <cellStyle name="Normal 2 3 3 5 3 3" xfId="11367" xr:uid="{00000000-0005-0000-0000-0000F7320000}"/>
    <cellStyle name="Normal 2 3 3 5 3 3 2" xfId="28307" xr:uid="{00000000-0005-0000-0000-0000F8320000}"/>
    <cellStyle name="Normal 2 3 3 5 3 4" xfId="19859" xr:uid="{00000000-0005-0000-0000-0000F9320000}"/>
    <cellStyle name="Normal 2 3 3 5 4" xfId="5031" xr:uid="{00000000-0005-0000-0000-0000FA320000}"/>
    <cellStyle name="Normal 2 3 3 5 4 2" xfId="13479" xr:uid="{00000000-0005-0000-0000-0000FB320000}"/>
    <cellStyle name="Normal 2 3 3 5 4 2 2" xfId="30419" xr:uid="{00000000-0005-0000-0000-0000FC320000}"/>
    <cellStyle name="Normal 2 3 3 5 4 3" xfId="21971" xr:uid="{00000000-0005-0000-0000-0000FD320000}"/>
    <cellStyle name="Normal 2 3 3 5 5" xfId="9255" xr:uid="{00000000-0005-0000-0000-0000FE320000}"/>
    <cellStyle name="Normal 2 3 3 5 5 2" xfId="26195" xr:uid="{00000000-0005-0000-0000-0000FF320000}"/>
    <cellStyle name="Normal 2 3 3 5 6" xfId="17747" xr:uid="{00000000-0005-0000-0000-000000330000}"/>
    <cellStyle name="Normal 2 3 3 6" xfId="1151" xr:uid="{00000000-0005-0000-0000-000001330000}"/>
    <cellStyle name="Normal 2 3 3 6 2" xfId="2213" xr:uid="{00000000-0005-0000-0000-000002330000}"/>
    <cellStyle name="Normal 2 3 3 6 2 2" xfId="4325" xr:uid="{00000000-0005-0000-0000-000003330000}"/>
    <cellStyle name="Normal 2 3 3 6 2 2 2" xfId="8551" xr:uid="{00000000-0005-0000-0000-000004330000}"/>
    <cellStyle name="Normal 2 3 3 6 2 2 2 2" xfId="16999" xr:uid="{00000000-0005-0000-0000-000005330000}"/>
    <cellStyle name="Normal 2 3 3 6 2 2 2 2 2" xfId="33939" xr:uid="{00000000-0005-0000-0000-000006330000}"/>
    <cellStyle name="Normal 2 3 3 6 2 2 2 3" xfId="25491" xr:uid="{00000000-0005-0000-0000-000007330000}"/>
    <cellStyle name="Normal 2 3 3 6 2 2 3" xfId="12775" xr:uid="{00000000-0005-0000-0000-000008330000}"/>
    <cellStyle name="Normal 2 3 3 6 2 2 3 2" xfId="29715" xr:uid="{00000000-0005-0000-0000-000009330000}"/>
    <cellStyle name="Normal 2 3 3 6 2 2 4" xfId="21267" xr:uid="{00000000-0005-0000-0000-00000A330000}"/>
    <cellStyle name="Normal 2 3 3 6 2 3" xfId="6439" xr:uid="{00000000-0005-0000-0000-00000B330000}"/>
    <cellStyle name="Normal 2 3 3 6 2 3 2" xfId="14887" xr:uid="{00000000-0005-0000-0000-00000C330000}"/>
    <cellStyle name="Normal 2 3 3 6 2 3 2 2" xfId="31827" xr:uid="{00000000-0005-0000-0000-00000D330000}"/>
    <cellStyle name="Normal 2 3 3 6 2 3 3" xfId="23379" xr:uid="{00000000-0005-0000-0000-00000E330000}"/>
    <cellStyle name="Normal 2 3 3 6 2 4" xfId="10663" xr:uid="{00000000-0005-0000-0000-00000F330000}"/>
    <cellStyle name="Normal 2 3 3 6 2 4 2" xfId="27603" xr:uid="{00000000-0005-0000-0000-000010330000}"/>
    <cellStyle name="Normal 2 3 3 6 2 5" xfId="19155" xr:uid="{00000000-0005-0000-0000-000011330000}"/>
    <cellStyle name="Normal 2 3 3 6 3" xfId="3269" xr:uid="{00000000-0005-0000-0000-000012330000}"/>
    <cellStyle name="Normal 2 3 3 6 3 2" xfId="7495" xr:uid="{00000000-0005-0000-0000-000013330000}"/>
    <cellStyle name="Normal 2 3 3 6 3 2 2" xfId="15943" xr:uid="{00000000-0005-0000-0000-000014330000}"/>
    <cellStyle name="Normal 2 3 3 6 3 2 2 2" xfId="32883" xr:uid="{00000000-0005-0000-0000-000015330000}"/>
    <cellStyle name="Normal 2 3 3 6 3 2 3" xfId="24435" xr:uid="{00000000-0005-0000-0000-000016330000}"/>
    <cellStyle name="Normal 2 3 3 6 3 3" xfId="11719" xr:uid="{00000000-0005-0000-0000-000017330000}"/>
    <cellStyle name="Normal 2 3 3 6 3 3 2" xfId="28659" xr:uid="{00000000-0005-0000-0000-000018330000}"/>
    <cellStyle name="Normal 2 3 3 6 3 4" xfId="20211" xr:uid="{00000000-0005-0000-0000-000019330000}"/>
    <cellStyle name="Normal 2 3 3 6 4" xfId="5383" xr:uid="{00000000-0005-0000-0000-00001A330000}"/>
    <cellStyle name="Normal 2 3 3 6 4 2" xfId="13831" xr:uid="{00000000-0005-0000-0000-00001B330000}"/>
    <cellStyle name="Normal 2 3 3 6 4 2 2" xfId="30771" xr:uid="{00000000-0005-0000-0000-00001C330000}"/>
    <cellStyle name="Normal 2 3 3 6 4 3" xfId="22323" xr:uid="{00000000-0005-0000-0000-00001D330000}"/>
    <cellStyle name="Normal 2 3 3 6 5" xfId="9607" xr:uid="{00000000-0005-0000-0000-00001E330000}"/>
    <cellStyle name="Normal 2 3 3 6 5 2" xfId="26547" xr:uid="{00000000-0005-0000-0000-00001F330000}"/>
    <cellStyle name="Normal 2 3 3 6 6" xfId="18099" xr:uid="{00000000-0005-0000-0000-000020330000}"/>
    <cellStyle name="Normal 2 3 3 7" xfId="1333" xr:uid="{00000000-0005-0000-0000-000021330000}"/>
    <cellStyle name="Normal 2 3 3 7 2" xfId="2389" xr:uid="{00000000-0005-0000-0000-000022330000}"/>
    <cellStyle name="Normal 2 3 3 7 2 2" xfId="4501" xr:uid="{00000000-0005-0000-0000-000023330000}"/>
    <cellStyle name="Normal 2 3 3 7 2 2 2" xfId="8727" xr:uid="{00000000-0005-0000-0000-000024330000}"/>
    <cellStyle name="Normal 2 3 3 7 2 2 2 2" xfId="17175" xr:uid="{00000000-0005-0000-0000-000025330000}"/>
    <cellStyle name="Normal 2 3 3 7 2 2 2 2 2" xfId="34115" xr:uid="{00000000-0005-0000-0000-000026330000}"/>
    <cellStyle name="Normal 2 3 3 7 2 2 2 3" xfId="25667" xr:uid="{00000000-0005-0000-0000-000027330000}"/>
    <cellStyle name="Normal 2 3 3 7 2 2 3" xfId="12951" xr:uid="{00000000-0005-0000-0000-000028330000}"/>
    <cellStyle name="Normal 2 3 3 7 2 2 3 2" xfId="29891" xr:uid="{00000000-0005-0000-0000-000029330000}"/>
    <cellStyle name="Normal 2 3 3 7 2 2 4" xfId="21443" xr:uid="{00000000-0005-0000-0000-00002A330000}"/>
    <cellStyle name="Normal 2 3 3 7 2 3" xfId="6615" xr:uid="{00000000-0005-0000-0000-00002B330000}"/>
    <cellStyle name="Normal 2 3 3 7 2 3 2" xfId="15063" xr:uid="{00000000-0005-0000-0000-00002C330000}"/>
    <cellStyle name="Normal 2 3 3 7 2 3 2 2" xfId="32003" xr:uid="{00000000-0005-0000-0000-00002D330000}"/>
    <cellStyle name="Normal 2 3 3 7 2 3 3" xfId="23555" xr:uid="{00000000-0005-0000-0000-00002E330000}"/>
    <cellStyle name="Normal 2 3 3 7 2 4" xfId="10839" xr:uid="{00000000-0005-0000-0000-00002F330000}"/>
    <cellStyle name="Normal 2 3 3 7 2 4 2" xfId="27779" xr:uid="{00000000-0005-0000-0000-000030330000}"/>
    <cellStyle name="Normal 2 3 3 7 2 5" xfId="19331" xr:uid="{00000000-0005-0000-0000-000031330000}"/>
    <cellStyle name="Normal 2 3 3 7 3" xfId="3445" xr:uid="{00000000-0005-0000-0000-000032330000}"/>
    <cellStyle name="Normal 2 3 3 7 3 2" xfId="7671" xr:uid="{00000000-0005-0000-0000-000033330000}"/>
    <cellStyle name="Normal 2 3 3 7 3 2 2" xfId="16119" xr:uid="{00000000-0005-0000-0000-000034330000}"/>
    <cellStyle name="Normal 2 3 3 7 3 2 2 2" xfId="33059" xr:uid="{00000000-0005-0000-0000-000035330000}"/>
    <cellStyle name="Normal 2 3 3 7 3 2 3" xfId="24611" xr:uid="{00000000-0005-0000-0000-000036330000}"/>
    <cellStyle name="Normal 2 3 3 7 3 3" xfId="11895" xr:uid="{00000000-0005-0000-0000-000037330000}"/>
    <cellStyle name="Normal 2 3 3 7 3 3 2" xfId="28835" xr:uid="{00000000-0005-0000-0000-000038330000}"/>
    <cellStyle name="Normal 2 3 3 7 3 4" xfId="20387" xr:uid="{00000000-0005-0000-0000-000039330000}"/>
    <cellStyle name="Normal 2 3 3 7 4" xfId="5559" xr:uid="{00000000-0005-0000-0000-00003A330000}"/>
    <cellStyle name="Normal 2 3 3 7 4 2" xfId="14007" xr:uid="{00000000-0005-0000-0000-00003B330000}"/>
    <cellStyle name="Normal 2 3 3 7 4 2 2" xfId="30947" xr:uid="{00000000-0005-0000-0000-00003C330000}"/>
    <cellStyle name="Normal 2 3 3 7 4 3" xfId="22499" xr:uid="{00000000-0005-0000-0000-00003D330000}"/>
    <cellStyle name="Normal 2 3 3 7 5" xfId="9783" xr:uid="{00000000-0005-0000-0000-00003E330000}"/>
    <cellStyle name="Normal 2 3 3 7 5 2" xfId="26723" xr:uid="{00000000-0005-0000-0000-00003F330000}"/>
    <cellStyle name="Normal 2 3 3 7 6" xfId="18275" xr:uid="{00000000-0005-0000-0000-000040330000}"/>
    <cellStyle name="Normal 2 3 3 8" xfId="1509" xr:uid="{00000000-0005-0000-0000-000041330000}"/>
    <cellStyle name="Normal 2 3 3 8 2" xfId="3621" xr:uid="{00000000-0005-0000-0000-000042330000}"/>
    <cellStyle name="Normal 2 3 3 8 2 2" xfId="7847" xr:uid="{00000000-0005-0000-0000-000043330000}"/>
    <cellStyle name="Normal 2 3 3 8 2 2 2" xfId="16295" xr:uid="{00000000-0005-0000-0000-000044330000}"/>
    <cellStyle name="Normal 2 3 3 8 2 2 2 2" xfId="33235" xr:uid="{00000000-0005-0000-0000-000045330000}"/>
    <cellStyle name="Normal 2 3 3 8 2 2 3" xfId="24787" xr:uid="{00000000-0005-0000-0000-000046330000}"/>
    <cellStyle name="Normal 2 3 3 8 2 3" xfId="12071" xr:uid="{00000000-0005-0000-0000-000047330000}"/>
    <cellStyle name="Normal 2 3 3 8 2 3 2" xfId="29011" xr:uid="{00000000-0005-0000-0000-000048330000}"/>
    <cellStyle name="Normal 2 3 3 8 2 4" xfId="20563" xr:uid="{00000000-0005-0000-0000-000049330000}"/>
    <cellStyle name="Normal 2 3 3 8 3" xfId="5735" xr:uid="{00000000-0005-0000-0000-00004A330000}"/>
    <cellStyle name="Normal 2 3 3 8 3 2" xfId="14183" xr:uid="{00000000-0005-0000-0000-00004B330000}"/>
    <cellStyle name="Normal 2 3 3 8 3 2 2" xfId="31123" xr:uid="{00000000-0005-0000-0000-00004C330000}"/>
    <cellStyle name="Normal 2 3 3 8 3 3" xfId="22675" xr:uid="{00000000-0005-0000-0000-00004D330000}"/>
    <cellStyle name="Normal 2 3 3 8 4" xfId="9959" xr:uid="{00000000-0005-0000-0000-00004E330000}"/>
    <cellStyle name="Normal 2 3 3 8 4 2" xfId="26899" xr:uid="{00000000-0005-0000-0000-00004F330000}"/>
    <cellStyle name="Normal 2 3 3 8 5" xfId="18451" xr:uid="{00000000-0005-0000-0000-000050330000}"/>
    <cellStyle name="Normal 2 3 3 9" xfId="2565" xr:uid="{00000000-0005-0000-0000-000051330000}"/>
    <cellStyle name="Normal 2 3 3 9 2" xfId="6791" xr:uid="{00000000-0005-0000-0000-000052330000}"/>
    <cellStyle name="Normal 2 3 3 9 2 2" xfId="15239" xr:uid="{00000000-0005-0000-0000-000053330000}"/>
    <cellStyle name="Normal 2 3 3 9 2 2 2" xfId="32179" xr:uid="{00000000-0005-0000-0000-000054330000}"/>
    <cellStyle name="Normal 2 3 3 9 2 3" xfId="23731" xr:uid="{00000000-0005-0000-0000-000055330000}"/>
    <cellStyle name="Normal 2 3 3 9 3" xfId="11015" xr:uid="{00000000-0005-0000-0000-000056330000}"/>
    <cellStyle name="Normal 2 3 3 9 3 2" xfId="27955" xr:uid="{00000000-0005-0000-0000-000057330000}"/>
    <cellStyle name="Normal 2 3 3 9 4" xfId="19507" xr:uid="{00000000-0005-0000-0000-000058330000}"/>
    <cellStyle name="Normal 2 4" xfId="300" xr:uid="{00000000-0005-0000-0000-000059330000}"/>
    <cellStyle name="Normal 2 4 2" xfId="301" xr:uid="{00000000-0005-0000-0000-00005A330000}"/>
    <cellStyle name="Normal 2 4 3" xfId="302" xr:uid="{00000000-0005-0000-0000-00005B330000}"/>
    <cellStyle name="Normal 2 4 3 10" xfId="4681" xr:uid="{00000000-0005-0000-0000-00005C330000}"/>
    <cellStyle name="Normal 2 4 3 10 2" xfId="13130" xr:uid="{00000000-0005-0000-0000-00005D330000}"/>
    <cellStyle name="Normal 2 4 3 10 2 2" xfId="30070" xr:uid="{00000000-0005-0000-0000-00005E330000}"/>
    <cellStyle name="Normal 2 4 3 10 3" xfId="21622" xr:uid="{00000000-0005-0000-0000-00005F330000}"/>
    <cellStyle name="Normal 2 4 3 11" xfId="8906" xr:uid="{00000000-0005-0000-0000-000060330000}"/>
    <cellStyle name="Normal 2 4 3 11 2" xfId="25846" xr:uid="{00000000-0005-0000-0000-000061330000}"/>
    <cellStyle name="Normal 2 4 3 12" xfId="17398" xr:uid="{00000000-0005-0000-0000-000062330000}"/>
    <cellStyle name="Normal 2 4 3 2" xfId="303" xr:uid="{00000000-0005-0000-0000-000063330000}"/>
    <cellStyle name="Normal 2 4 3 2 10" xfId="17399" xr:uid="{00000000-0005-0000-0000-000064330000}"/>
    <cellStyle name="Normal 2 4 3 2 2" xfId="627" xr:uid="{00000000-0005-0000-0000-000065330000}"/>
    <cellStyle name="Normal 2 4 3 2 2 2" xfId="979" xr:uid="{00000000-0005-0000-0000-000066330000}"/>
    <cellStyle name="Normal 2 4 3 2 2 2 2" xfId="2041" xr:uid="{00000000-0005-0000-0000-000067330000}"/>
    <cellStyle name="Normal 2 4 3 2 2 2 2 2" xfId="4153" xr:uid="{00000000-0005-0000-0000-000068330000}"/>
    <cellStyle name="Normal 2 4 3 2 2 2 2 2 2" xfId="8379" xr:uid="{00000000-0005-0000-0000-000069330000}"/>
    <cellStyle name="Normal 2 4 3 2 2 2 2 2 2 2" xfId="16827" xr:uid="{00000000-0005-0000-0000-00006A330000}"/>
    <cellStyle name="Normal 2 4 3 2 2 2 2 2 2 2 2" xfId="33767" xr:uid="{00000000-0005-0000-0000-00006B330000}"/>
    <cellStyle name="Normal 2 4 3 2 2 2 2 2 2 3" xfId="25319" xr:uid="{00000000-0005-0000-0000-00006C330000}"/>
    <cellStyle name="Normal 2 4 3 2 2 2 2 2 3" xfId="12603" xr:uid="{00000000-0005-0000-0000-00006D330000}"/>
    <cellStyle name="Normal 2 4 3 2 2 2 2 2 3 2" xfId="29543" xr:uid="{00000000-0005-0000-0000-00006E330000}"/>
    <cellStyle name="Normal 2 4 3 2 2 2 2 2 4" xfId="21095" xr:uid="{00000000-0005-0000-0000-00006F330000}"/>
    <cellStyle name="Normal 2 4 3 2 2 2 2 3" xfId="6267" xr:uid="{00000000-0005-0000-0000-000070330000}"/>
    <cellStyle name="Normal 2 4 3 2 2 2 2 3 2" xfId="14715" xr:uid="{00000000-0005-0000-0000-000071330000}"/>
    <cellStyle name="Normal 2 4 3 2 2 2 2 3 2 2" xfId="31655" xr:uid="{00000000-0005-0000-0000-000072330000}"/>
    <cellStyle name="Normal 2 4 3 2 2 2 2 3 3" xfId="23207" xr:uid="{00000000-0005-0000-0000-000073330000}"/>
    <cellStyle name="Normal 2 4 3 2 2 2 2 4" xfId="10491" xr:uid="{00000000-0005-0000-0000-000074330000}"/>
    <cellStyle name="Normal 2 4 3 2 2 2 2 4 2" xfId="27431" xr:uid="{00000000-0005-0000-0000-000075330000}"/>
    <cellStyle name="Normal 2 4 3 2 2 2 2 5" xfId="18983" xr:uid="{00000000-0005-0000-0000-000076330000}"/>
    <cellStyle name="Normal 2 4 3 2 2 2 3" xfId="3097" xr:uid="{00000000-0005-0000-0000-000077330000}"/>
    <cellStyle name="Normal 2 4 3 2 2 2 3 2" xfId="7323" xr:uid="{00000000-0005-0000-0000-000078330000}"/>
    <cellStyle name="Normal 2 4 3 2 2 2 3 2 2" xfId="15771" xr:uid="{00000000-0005-0000-0000-000079330000}"/>
    <cellStyle name="Normal 2 4 3 2 2 2 3 2 2 2" xfId="32711" xr:uid="{00000000-0005-0000-0000-00007A330000}"/>
    <cellStyle name="Normal 2 4 3 2 2 2 3 2 3" xfId="24263" xr:uid="{00000000-0005-0000-0000-00007B330000}"/>
    <cellStyle name="Normal 2 4 3 2 2 2 3 3" xfId="11547" xr:uid="{00000000-0005-0000-0000-00007C330000}"/>
    <cellStyle name="Normal 2 4 3 2 2 2 3 3 2" xfId="28487" xr:uid="{00000000-0005-0000-0000-00007D330000}"/>
    <cellStyle name="Normal 2 4 3 2 2 2 3 4" xfId="20039" xr:uid="{00000000-0005-0000-0000-00007E330000}"/>
    <cellStyle name="Normal 2 4 3 2 2 2 4" xfId="5211" xr:uid="{00000000-0005-0000-0000-00007F330000}"/>
    <cellStyle name="Normal 2 4 3 2 2 2 4 2" xfId="13659" xr:uid="{00000000-0005-0000-0000-000080330000}"/>
    <cellStyle name="Normal 2 4 3 2 2 2 4 2 2" xfId="30599" xr:uid="{00000000-0005-0000-0000-000081330000}"/>
    <cellStyle name="Normal 2 4 3 2 2 2 4 3" xfId="22151" xr:uid="{00000000-0005-0000-0000-000082330000}"/>
    <cellStyle name="Normal 2 4 3 2 2 2 5" xfId="9435" xr:uid="{00000000-0005-0000-0000-000083330000}"/>
    <cellStyle name="Normal 2 4 3 2 2 2 5 2" xfId="26375" xr:uid="{00000000-0005-0000-0000-000084330000}"/>
    <cellStyle name="Normal 2 4 3 2 2 2 6" xfId="17927" xr:uid="{00000000-0005-0000-0000-000085330000}"/>
    <cellStyle name="Normal 2 4 3 2 2 3" xfId="1689" xr:uid="{00000000-0005-0000-0000-000086330000}"/>
    <cellStyle name="Normal 2 4 3 2 2 3 2" xfId="3801" xr:uid="{00000000-0005-0000-0000-000087330000}"/>
    <cellStyle name="Normal 2 4 3 2 2 3 2 2" xfId="8027" xr:uid="{00000000-0005-0000-0000-000088330000}"/>
    <cellStyle name="Normal 2 4 3 2 2 3 2 2 2" xfId="16475" xr:uid="{00000000-0005-0000-0000-000089330000}"/>
    <cellStyle name="Normal 2 4 3 2 2 3 2 2 2 2" xfId="33415" xr:uid="{00000000-0005-0000-0000-00008A330000}"/>
    <cellStyle name="Normal 2 4 3 2 2 3 2 2 3" xfId="24967" xr:uid="{00000000-0005-0000-0000-00008B330000}"/>
    <cellStyle name="Normal 2 4 3 2 2 3 2 3" xfId="12251" xr:uid="{00000000-0005-0000-0000-00008C330000}"/>
    <cellStyle name="Normal 2 4 3 2 2 3 2 3 2" xfId="29191" xr:uid="{00000000-0005-0000-0000-00008D330000}"/>
    <cellStyle name="Normal 2 4 3 2 2 3 2 4" xfId="20743" xr:uid="{00000000-0005-0000-0000-00008E330000}"/>
    <cellStyle name="Normal 2 4 3 2 2 3 3" xfId="5915" xr:uid="{00000000-0005-0000-0000-00008F330000}"/>
    <cellStyle name="Normal 2 4 3 2 2 3 3 2" xfId="14363" xr:uid="{00000000-0005-0000-0000-000090330000}"/>
    <cellStyle name="Normal 2 4 3 2 2 3 3 2 2" xfId="31303" xr:uid="{00000000-0005-0000-0000-000091330000}"/>
    <cellStyle name="Normal 2 4 3 2 2 3 3 3" xfId="22855" xr:uid="{00000000-0005-0000-0000-000092330000}"/>
    <cellStyle name="Normal 2 4 3 2 2 3 4" xfId="10139" xr:uid="{00000000-0005-0000-0000-000093330000}"/>
    <cellStyle name="Normal 2 4 3 2 2 3 4 2" xfId="27079" xr:uid="{00000000-0005-0000-0000-000094330000}"/>
    <cellStyle name="Normal 2 4 3 2 2 3 5" xfId="18631" xr:uid="{00000000-0005-0000-0000-000095330000}"/>
    <cellStyle name="Normal 2 4 3 2 2 4" xfId="2745" xr:uid="{00000000-0005-0000-0000-000096330000}"/>
    <cellStyle name="Normal 2 4 3 2 2 4 2" xfId="6971" xr:uid="{00000000-0005-0000-0000-000097330000}"/>
    <cellStyle name="Normal 2 4 3 2 2 4 2 2" xfId="15419" xr:uid="{00000000-0005-0000-0000-000098330000}"/>
    <cellStyle name="Normal 2 4 3 2 2 4 2 2 2" xfId="32359" xr:uid="{00000000-0005-0000-0000-000099330000}"/>
    <cellStyle name="Normal 2 4 3 2 2 4 2 3" xfId="23911" xr:uid="{00000000-0005-0000-0000-00009A330000}"/>
    <cellStyle name="Normal 2 4 3 2 2 4 3" xfId="11195" xr:uid="{00000000-0005-0000-0000-00009B330000}"/>
    <cellStyle name="Normal 2 4 3 2 2 4 3 2" xfId="28135" xr:uid="{00000000-0005-0000-0000-00009C330000}"/>
    <cellStyle name="Normal 2 4 3 2 2 4 4" xfId="19687" xr:uid="{00000000-0005-0000-0000-00009D330000}"/>
    <cellStyle name="Normal 2 4 3 2 2 5" xfId="4859" xr:uid="{00000000-0005-0000-0000-00009E330000}"/>
    <cellStyle name="Normal 2 4 3 2 2 5 2" xfId="13307" xr:uid="{00000000-0005-0000-0000-00009F330000}"/>
    <cellStyle name="Normal 2 4 3 2 2 5 2 2" xfId="30247" xr:uid="{00000000-0005-0000-0000-0000A0330000}"/>
    <cellStyle name="Normal 2 4 3 2 2 5 3" xfId="21799" xr:uid="{00000000-0005-0000-0000-0000A1330000}"/>
    <cellStyle name="Normal 2 4 3 2 2 6" xfId="9083" xr:uid="{00000000-0005-0000-0000-0000A2330000}"/>
    <cellStyle name="Normal 2 4 3 2 2 6 2" xfId="26023" xr:uid="{00000000-0005-0000-0000-0000A3330000}"/>
    <cellStyle name="Normal 2 4 3 2 2 7" xfId="17575" xr:uid="{00000000-0005-0000-0000-0000A4330000}"/>
    <cellStyle name="Normal 2 4 3 2 3" xfId="803" xr:uid="{00000000-0005-0000-0000-0000A5330000}"/>
    <cellStyle name="Normal 2 4 3 2 3 2" xfId="1865" xr:uid="{00000000-0005-0000-0000-0000A6330000}"/>
    <cellStyle name="Normal 2 4 3 2 3 2 2" xfId="3977" xr:uid="{00000000-0005-0000-0000-0000A7330000}"/>
    <cellStyle name="Normal 2 4 3 2 3 2 2 2" xfId="8203" xr:uid="{00000000-0005-0000-0000-0000A8330000}"/>
    <cellStyle name="Normal 2 4 3 2 3 2 2 2 2" xfId="16651" xr:uid="{00000000-0005-0000-0000-0000A9330000}"/>
    <cellStyle name="Normal 2 4 3 2 3 2 2 2 2 2" xfId="33591" xr:uid="{00000000-0005-0000-0000-0000AA330000}"/>
    <cellStyle name="Normal 2 4 3 2 3 2 2 2 3" xfId="25143" xr:uid="{00000000-0005-0000-0000-0000AB330000}"/>
    <cellStyle name="Normal 2 4 3 2 3 2 2 3" xfId="12427" xr:uid="{00000000-0005-0000-0000-0000AC330000}"/>
    <cellStyle name="Normal 2 4 3 2 3 2 2 3 2" xfId="29367" xr:uid="{00000000-0005-0000-0000-0000AD330000}"/>
    <cellStyle name="Normal 2 4 3 2 3 2 2 4" xfId="20919" xr:uid="{00000000-0005-0000-0000-0000AE330000}"/>
    <cellStyle name="Normal 2 4 3 2 3 2 3" xfId="6091" xr:uid="{00000000-0005-0000-0000-0000AF330000}"/>
    <cellStyle name="Normal 2 4 3 2 3 2 3 2" xfId="14539" xr:uid="{00000000-0005-0000-0000-0000B0330000}"/>
    <cellStyle name="Normal 2 4 3 2 3 2 3 2 2" xfId="31479" xr:uid="{00000000-0005-0000-0000-0000B1330000}"/>
    <cellStyle name="Normal 2 4 3 2 3 2 3 3" xfId="23031" xr:uid="{00000000-0005-0000-0000-0000B2330000}"/>
    <cellStyle name="Normal 2 4 3 2 3 2 4" xfId="10315" xr:uid="{00000000-0005-0000-0000-0000B3330000}"/>
    <cellStyle name="Normal 2 4 3 2 3 2 4 2" xfId="27255" xr:uid="{00000000-0005-0000-0000-0000B4330000}"/>
    <cellStyle name="Normal 2 4 3 2 3 2 5" xfId="18807" xr:uid="{00000000-0005-0000-0000-0000B5330000}"/>
    <cellStyle name="Normal 2 4 3 2 3 3" xfId="2921" xr:uid="{00000000-0005-0000-0000-0000B6330000}"/>
    <cellStyle name="Normal 2 4 3 2 3 3 2" xfId="7147" xr:uid="{00000000-0005-0000-0000-0000B7330000}"/>
    <cellStyle name="Normal 2 4 3 2 3 3 2 2" xfId="15595" xr:uid="{00000000-0005-0000-0000-0000B8330000}"/>
    <cellStyle name="Normal 2 4 3 2 3 3 2 2 2" xfId="32535" xr:uid="{00000000-0005-0000-0000-0000B9330000}"/>
    <cellStyle name="Normal 2 4 3 2 3 3 2 3" xfId="24087" xr:uid="{00000000-0005-0000-0000-0000BA330000}"/>
    <cellStyle name="Normal 2 4 3 2 3 3 3" xfId="11371" xr:uid="{00000000-0005-0000-0000-0000BB330000}"/>
    <cellStyle name="Normal 2 4 3 2 3 3 3 2" xfId="28311" xr:uid="{00000000-0005-0000-0000-0000BC330000}"/>
    <cellStyle name="Normal 2 4 3 2 3 3 4" xfId="19863" xr:uid="{00000000-0005-0000-0000-0000BD330000}"/>
    <cellStyle name="Normal 2 4 3 2 3 4" xfId="5035" xr:uid="{00000000-0005-0000-0000-0000BE330000}"/>
    <cellStyle name="Normal 2 4 3 2 3 4 2" xfId="13483" xr:uid="{00000000-0005-0000-0000-0000BF330000}"/>
    <cellStyle name="Normal 2 4 3 2 3 4 2 2" xfId="30423" xr:uid="{00000000-0005-0000-0000-0000C0330000}"/>
    <cellStyle name="Normal 2 4 3 2 3 4 3" xfId="21975" xr:uid="{00000000-0005-0000-0000-0000C1330000}"/>
    <cellStyle name="Normal 2 4 3 2 3 5" xfId="9259" xr:uid="{00000000-0005-0000-0000-0000C2330000}"/>
    <cellStyle name="Normal 2 4 3 2 3 5 2" xfId="26199" xr:uid="{00000000-0005-0000-0000-0000C3330000}"/>
    <cellStyle name="Normal 2 4 3 2 3 6" xfId="17751" xr:uid="{00000000-0005-0000-0000-0000C4330000}"/>
    <cellStyle name="Normal 2 4 3 2 4" xfId="1155" xr:uid="{00000000-0005-0000-0000-0000C5330000}"/>
    <cellStyle name="Normal 2 4 3 2 4 2" xfId="2217" xr:uid="{00000000-0005-0000-0000-0000C6330000}"/>
    <cellStyle name="Normal 2 4 3 2 4 2 2" xfId="4329" xr:uid="{00000000-0005-0000-0000-0000C7330000}"/>
    <cellStyle name="Normal 2 4 3 2 4 2 2 2" xfId="8555" xr:uid="{00000000-0005-0000-0000-0000C8330000}"/>
    <cellStyle name="Normal 2 4 3 2 4 2 2 2 2" xfId="17003" xr:uid="{00000000-0005-0000-0000-0000C9330000}"/>
    <cellStyle name="Normal 2 4 3 2 4 2 2 2 2 2" xfId="33943" xr:uid="{00000000-0005-0000-0000-0000CA330000}"/>
    <cellStyle name="Normal 2 4 3 2 4 2 2 2 3" xfId="25495" xr:uid="{00000000-0005-0000-0000-0000CB330000}"/>
    <cellStyle name="Normal 2 4 3 2 4 2 2 3" xfId="12779" xr:uid="{00000000-0005-0000-0000-0000CC330000}"/>
    <cellStyle name="Normal 2 4 3 2 4 2 2 3 2" xfId="29719" xr:uid="{00000000-0005-0000-0000-0000CD330000}"/>
    <cellStyle name="Normal 2 4 3 2 4 2 2 4" xfId="21271" xr:uid="{00000000-0005-0000-0000-0000CE330000}"/>
    <cellStyle name="Normal 2 4 3 2 4 2 3" xfId="6443" xr:uid="{00000000-0005-0000-0000-0000CF330000}"/>
    <cellStyle name="Normal 2 4 3 2 4 2 3 2" xfId="14891" xr:uid="{00000000-0005-0000-0000-0000D0330000}"/>
    <cellStyle name="Normal 2 4 3 2 4 2 3 2 2" xfId="31831" xr:uid="{00000000-0005-0000-0000-0000D1330000}"/>
    <cellStyle name="Normal 2 4 3 2 4 2 3 3" xfId="23383" xr:uid="{00000000-0005-0000-0000-0000D2330000}"/>
    <cellStyle name="Normal 2 4 3 2 4 2 4" xfId="10667" xr:uid="{00000000-0005-0000-0000-0000D3330000}"/>
    <cellStyle name="Normal 2 4 3 2 4 2 4 2" xfId="27607" xr:uid="{00000000-0005-0000-0000-0000D4330000}"/>
    <cellStyle name="Normal 2 4 3 2 4 2 5" xfId="19159" xr:uid="{00000000-0005-0000-0000-0000D5330000}"/>
    <cellStyle name="Normal 2 4 3 2 4 3" xfId="3273" xr:uid="{00000000-0005-0000-0000-0000D6330000}"/>
    <cellStyle name="Normal 2 4 3 2 4 3 2" xfId="7499" xr:uid="{00000000-0005-0000-0000-0000D7330000}"/>
    <cellStyle name="Normal 2 4 3 2 4 3 2 2" xfId="15947" xr:uid="{00000000-0005-0000-0000-0000D8330000}"/>
    <cellStyle name="Normal 2 4 3 2 4 3 2 2 2" xfId="32887" xr:uid="{00000000-0005-0000-0000-0000D9330000}"/>
    <cellStyle name="Normal 2 4 3 2 4 3 2 3" xfId="24439" xr:uid="{00000000-0005-0000-0000-0000DA330000}"/>
    <cellStyle name="Normal 2 4 3 2 4 3 3" xfId="11723" xr:uid="{00000000-0005-0000-0000-0000DB330000}"/>
    <cellStyle name="Normal 2 4 3 2 4 3 3 2" xfId="28663" xr:uid="{00000000-0005-0000-0000-0000DC330000}"/>
    <cellStyle name="Normal 2 4 3 2 4 3 4" xfId="20215" xr:uid="{00000000-0005-0000-0000-0000DD330000}"/>
    <cellStyle name="Normal 2 4 3 2 4 4" xfId="5387" xr:uid="{00000000-0005-0000-0000-0000DE330000}"/>
    <cellStyle name="Normal 2 4 3 2 4 4 2" xfId="13835" xr:uid="{00000000-0005-0000-0000-0000DF330000}"/>
    <cellStyle name="Normal 2 4 3 2 4 4 2 2" xfId="30775" xr:uid="{00000000-0005-0000-0000-0000E0330000}"/>
    <cellStyle name="Normal 2 4 3 2 4 4 3" xfId="22327" xr:uid="{00000000-0005-0000-0000-0000E1330000}"/>
    <cellStyle name="Normal 2 4 3 2 4 5" xfId="9611" xr:uid="{00000000-0005-0000-0000-0000E2330000}"/>
    <cellStyle name="Normal 2 4 3 2 4 5 2" xfId="26551" xr:uid="{00000000-0005-0000-0000-0000E3330000}"/>
    <cellStyle name="Normal 2 4 3 2 4 6" xfId="18103" xr:uid="{00000000-0005-0000-0000-0000E4330000}"/>
    <cellStyle name="Normal 2 4 3 2 5" xfId="1337" xr:uid="{00000000-0005-0000-0000-0000E5330000}"/>
    <cellStyle name="Normal 2 4 3 2 5 2" xfId="2393" xr:uid="{00000000-0005-0000-0000-0000E6330000}"/>
    <cellStyle name="Normal 2 4 3 2 5 2 2" xfId="4505" xr:uid="{00000000-0005-0000-0000-0000E7330000}"/>
    <cellStyle name="Normal 2 4 3 2 5 2 2 2" xfId="8731" xr:uid="{00000000-0005-0000-0000-0000E8330000}"/>
    <cellStyle name="Normal 2 4 3 2 5 2 2 2 2" xfId="17179" xr:uid="{00000000-0005-0000-0000-0000E9330000}"/>
    <cellStyle name="Normal 2 4 3 2 5 2 2 2 2 2" xfId="34119" xr:uid="{00000000-0005-0000-0000-0000EA330000}"/>
    <cellStyle name="Normal 2 4 3 2 5 2 2 2 3" xfId="25671" xr:uid="{00000000-0005-0000-0000-0000EB330000}"/>
    <cellStyle name="Normal 2 4 3 2 5 2 2 3" xfId="12955" xr:uid="{00000000-0005-0000-0000-0000EC330000}"/>
    <cellStyle name="Normal 2 4 3 2 5 2 2 3 2" xfId="29895" xr:uid="{00000000-0005-0000-0000-0000ED330000}"/>
    <cellStyle name="Normal 2 4 3 2 5 2 2 4" xfId="21447" xr:uid="{00000000-0005-0000-0000-0000EE330000}"/>
    <cellStyle name="Normal 2 4 3 2 5 2 3" xfId="6619" xr:uid="{00000000-0005-0000-0000-0000EF330000}"/>
    <cellStyle name="Normal 2 4 3 2 5 2 3 2" xfId="15067" xr:uid="{00000000-0005-0000-0000-0000F0330000}"/>
    <cellStyle name="Normal 2 4 3 2 5 2 3 2 2" xfId="32007" xr:uid="{00000000-0005-0000-0000-0000F1330000}"/>
    <cellStyle name="Normal 2 4 3 2 5 2 3 3" xfId="23559" xr:uid="{00000000-0005-0000-0000-0000F2330000}"/>
    <cellStyle name="Normal 2 4 3 2 5 2 4" xfId="10843" xr:uid="{00000000-0005-0000-0000-0000F3330000}"/>
    <cellStyle name="Normal 2 4 3 2 5 2 4 2" xfId="27783" xr:uid="{00000000-0005-0000-0000-0000F4330000}"/>
    <cellStyle name="Normal 2 4 3 2 5 2 5" xfId="19335" xr:uid="{00000000-0005-0000-0000-0000F5330000}"/>
    <cellStyle name="Normal 2 4 3 2 5 3" xfId="3449" xr:uid="{00000000-0005-0000-0000-0000F6330000}"/>
    <cellStyle name="Normal 2 4 3 2 5 3 2" xfId="7675" xr:uid="{00000000-0005-0000-0000-0000F7330000}"/>
    <cellStyle name="Normal 2 4 3 2 5 3 2 2" xfId="16123" xr:uid="{00000000-0005-0000-0000-0000F8330000}"/>
    <cellStyle name="Normal 2 4 3 2 5 3 2 2 2" xfId="33063" xr:uid="{00000000-0005-0000-0000-0000F9330000}"/>
    <cellStyle name="Normal 2 4 3 2 5 3 2 3" xfId="24615" xr:uid="{00000000-0005-0000-0000-0000FA330000}"/>
    <cellStyle name="Normal 2 4 3 2 5 3 3" xfId="11899" xr:uid="{00000000-0005-0000-0000-0000FB330000}"/>
    <cellStyle name="Normal 2 4 3 2 5 3 3 2" xfId="28839" xr:uid="{00000000-0005-0000-0000-0000FC330000}"/>
    <cellStyle name="Normal 2 4 3 2 5 3 4" xfId="20391" xr:uid="{00000000-0005-0000-0000-0000FD330000}"/>
    <cellStyle name="Normal 2 4 3 2 5 4" xfId="5563" xr:uid="{00000000-0005-0000-0000-0000FE330000}"/>
    <cellStyle name="Normal 2 4 3 2 5 4 2" xfId="14011" xr:uid="{00000000-0005-0000-0000-0000FF330000}"/>
    <cellStyle name="Normal 2 4 3 2 5 4 2 2" xfId="30951" xr:uid="{00000000-0005-0000-0000-000000340000}"/>
    <cellStyle name="Normal 2 4 3 2 5 4 3" xfId="22503" xr:uid="{00000000-0005-0000-0000-000001340000}"/>
    <cellStyle name="Normal 2 4 3 2 5 5" xfId="9787" xr:uid="{00000000-0005-0000-0000-000002340000}"/>
    <cellStyle name="Normal 2 4 3 2 5 5 2" xfId="26727" xr:uid="{00000000-0005-0000-0000-000003340000}"/>
    <cellStyle name="Normal 2 4 3 2 5 6" xfId="18279" xr:uid="{00000000-0005-0000-0000-000004340000}"/>
    <cellStyle name="Normal 2 4 3 2 6" xfId="1513" xr:uid="{00000000-0005-0000-0000-000005340000}"/>
    <cellStyle name="Normal 2 4 3 2 6 2" xfId="3625" xr:uid="{00000000-0005-0000-0000-000006340000}"/>
    <cellStyle name="Normal 2 4 3 2 6 2 2" xfId="7851" xr:uid="{00000000-0005-0000-0000-000007340000}"/>
    <cellStyle name="Normal 2 4 3 2 6 2 2 2" xfId="16299" xr:uid="{00000000-0005-0000-0000-000008340000}"/>
    <cellStyle name="Normal 2 4 3 2 6 2 2 2 2" xfId="33239" xr:uid="{00000000-0005-0000-0000-000009340000}"/>
    <cellStyle name="Normal 2 4 3 2 6 2 2 3" xfId="24791" xr:uid="{00000000-0005-0000-0000-00000A340000}"/>
    <cellStyle name="Normal 2 4 3 2 6 2 3" xfId="12075" xr:uid="{00000000-0005-0000-0000-00000B340000}"/>
    <cellStyle name="Normal 2 4 3 2 6 2 3 2" xfId="29015" xr:uid="{00000000-0005-0000-0000-00000C340000}"/>
    <cellStyle name="Normal 2 4 3 2 6 2 4" xfId="20567" xr:uid="{00000000-0005-0000-0000-00000D340000}"/>
    <cellStyle name="Normal 2 4 3 2 6 3" xfId="5739" xr:uid="{00000000-0005-0000-0000-00000E340000}"/>
    <cellStyle name="Normal 2 4 3 2 6 3 2" xfId="14187" xr:uid="{00000000-0005-0000-0000-00000F340000}"/>
    <cellStyle name="Normal 2 4 3 2 6 3 2 2" xfId="31127" xr:uid="{00000000-0005-0000-0000-000010340000}"/>
    <cellStyle name="Normal 2 4 3 2 6 3 3" xfId="22679" xr:uid="{00000000-0005-0000-0000-000011340000}"/>
    <cellStyle name="Normal 2 4 3 2 6 4" xfId="9963" xr:uid="{00000000-0005-0000-0000-000012340000}"/>
    <cellStyle name="Normal 2 4 3 2 6 4 2" xfId="26903" xr:uid="{00000000-0005-0000-0000-000013340000}"/>
    <cellStyle name="Normal 2 4 3 2 6 5" xfId="18455" xr:uid="{00000000-0005-0000-0000-000014340000}"/>
    <cellStyle name="Normal 2 4 3 2 7" xfId="2569" xr:uid="{00000000-0005-0000-0000-000015340000}"/>
    <cellStyle name="Normal 2 4 3 2 7 2" xfId="6795" xr:uid="{00000000-0005-0000-0000-000016340000}"/>
    <cellStyle name="Normal 2 4 3 2 7 2 2" xfId="15243" xr:uid="{00000000-0005-0000-0000-000017340000}"/>
    <cellStyle name="Normal 2 4 3 2 7 2 2 2" xfId="32183" xr:uid="{00000000-0005-0000-0000-000018340000}"/>
    <cellStyle name="Normal 2 4 3 2 7 2 3" xfId="23735" xr:uid="{00000000-0005-0000-0000-000019340000}"/>
    <cellStyle name="Normal 2 4 3 2 7 3" xfId="11019" xr:uid="{00000000-0005-0000-0000-00001A340000}"/>
    <cellStyle name="Normal 2 4 3 2 7 3 2" xfId="27959" xr:uid="{00000000-0005-0000-0000-00001B340000}"/>
    <cellStyle name="Normal 2 4 3 2 7 4" xfId="19511" xr:uid="{00000000-0005-0000-0000-00001C340000}"/>
    <cellStyle name="Normal 2 4 3 2 8" xfId="4682" xr:uid="{00000000-0005-0000-0000-00001D340000}"/>
    <cellStyle name="Normal 2 4 3 2 8 2" xfId="13131" xr:uid="{00000000-0005-0000-0000-00001E340000}"/>
    <cellStyle name="Normal 2 4 3 2 8 2 2" xfId="30071" xr:uid="{00000000-0005-0000-0000-00001F340000}"/>
    <cellStyle name="Normal 2 4 3 2 8 3" xfId="21623" xr:uid="{00000000-0005-0000-0000-000020340000}"/>
    <cellStyle name="Normal 2 4 3 2 9" xfId="8907" xr:uid="{00000000-0005-0000-0000-000021340000}"/>
    <cellStyle name="Normal 2 4 3 2 9 2" xfId="25847" xr:uid="{00000000-0005-0000-0000-000022340000}"/>
    <cellStyle name="Normal 2 4 3 3" xfId="304" xr:uid="{00000000-0005-0000-0000-000023340000}"/>
    <cellStyle name="Normal 2 4 3 3 10" xfId="17400" xr:uid="{00000000-0005-0000-0000-000024340000}"/>
    <cellStyle name="Normal 2 4 3 3 2" xfId="628" xr:uid="{00000000-0005-0000-0000-000025340000}"/>
    <cellStyle name="Normal 2 4 3 3 2 2" xfId="980" xr:uid="{00000000-0005-0000-0000-000026340000}"/>
    <cellStyle name="Normal 2 4 3 3 2 2 2" xfId="2042" xr:uid="{00000000-0005-0000-0000-000027340000}"/>
    <cellStyle name="Normal 2 4 3 3 2 2 2 2" xfId="4154" xr:uid="{00000000-0005-0000-0000-000028340000}"/>
    <cellStyle name="Normal 2 4 3 3 2 2 2 2 2" xfId="8380" xr:uid="{00000000-0005-0000-0000-000029340000}"/>
    <cellStyle name="Normal 2 4 3 3 2 2 2 2 2 2" xfId="16828" xr:uid="{00000000-0005-0000-0000-00002A340000}"/>
    <cellStyle name="Normal 2 4 3 3 2 2 2 2 2 2 2" xfId="33768" xr:uid="{00000000-0005-0000-0000-00002B340000}"/>
    <cellStyle name="Normal 2 4 3 3 2 2 2 2 2 3" xfId="25320" xr:uid="{00000000-0005-0000-0000-00002C340000}"/>
    <cellStyle name="Normal 2 4 3 3 2 2 2 2 3" xfId="12604" xr:uid="{00000000-0005-0000-0000-00002D340000}"/>
    <cellStyle name="Normal 2 4 3 3 2 2 2 2 3 2" xfId="29544" xr:uid="{00000000-0005-0000-0000-00002E340000}"/>
    <cellStyle name="Normal 2 4 3 3 2 2 2 2 4" xfId="21096" xr:uid="{00000000-0005-0000-0000-00002F340000}"/>
    <cellStyle name="Normal 2 4 3 3 2 2 2 3" xfId="6268" xr:uid="{00000000-0005-0000-0000-000030340000}"/>
    <cellStyle name="Normal 2 4 3 3 2 2 2 3 2" xfId="14716" xr:uid="{00000000-0005-0000-0000-000031340000}"/>
    <cellStyle name="Normal 2 4 3 3 2 2 2 3 2 2" xfId="31656" xr:uid="{00000000-0005-0000-0000-000032340000}"/>
    <cellStyle name="Normal 2 4 3 3 2 2 2 3 3" xfId="23208" xr:uid="{00000000-0005-0000-0000-000033340000}"/>
    <cellStyle name="Normal 2 4 3 3 2 2 2 4" xfId="10492" xr:uid="{00000000-0005-0000-0000-000034340000}"/>
    <cellStyle name="Normal 2 4 3 3 2 2 2 4 2" xfId="27432" xr:uid="{00000000-0005-0000-0000-000035340000}"/>
    <cellStyle name="Normal 2 4 3 3 2 2 2 5" xfId="18984" xr:uid="{00000000-0005-0000-0000-000036340000}"/>
    <cellStyle name="Normal 2 4 3 3 2 2 3" xfId="3098" xr:uid="{00000000-0005-0000-0000-000037340000}"/>
    <cellStyle name="Normal 2 4 3 3 2 2 3 2" xfId="7324" xr:uid="{00000000-0005-0000-0000-000038340000}"/>
    <cellStyle name="Normal 2 4 3 3 2 2 3 2 2" xfId="15772" xr:uid="{00000000-0005-0000-0000-000039340000}"/>
    <cellStyle name="Normal 2 4 3 3 2 2 3 2 2 2" xfId="32712" xr:uid="{00000000-0005-0000-0000-00003A340000}"/>
    <cellStyle name="Normal 2 4 3 3 2 2 3 2 3" xfId="24264" xr:uid="{00000000-0005-0000-0000-00003B340000}"/>
    <cellStyle name="Normal 2 4 3 3 2 2 3 3" xfId="11548" xr:uid="{00000000-0005-0000-0000-00003C340000}"/>
    <cellStyle name="Normal 2 4 3 3 2 2 3 3 2" xfId="28488" xr:uid="{00000000-0005-0000-0000-00003D340000}"/>
    <cellStyle name="Normal 2 4 3 3 2 2 3 4" xfId="20040" xr:uid="{00000000-0005-0000-0000-00003E340000}"/>
    <cellStyle name="Normal 2 4 3 3 2 2 4" xfId="5212" xr:uid="{00000000-0005-0000-0000-00003F340000}"/>
    <cellStyle name="Normal 2 4 3 3 2 2 4 2" xfId="13660" xr:uid="{00000000-0005-0000-0000-000040340000}"/>
    <cellStyle name="Normal 2 4 3 3 2 2 4 2 2" xfId="30600" xr:uid="{00000000-0005-0000-0000-000041340000}"/>
    <cellStyle name="Normal 2 4 3 3 2 2 4 3" xfId="22152" xr:uid="{00000000-0005-0000-0000-000042340000}"/>
    <cellStyle name="Normal 2 4 3 3 2 2 5" xfId="9436" xr:uid="{00000000-0005-0000-0000-000043340000}"/>
    <cellStyle name="Normal 2 4 3 3 2 2 5 2" xfId="26376" xr:uid="{00000000-0005-0000-0000-000044340000}"/>
    <cellStyle name="Normal 2 4 3 3 2 2 6" xfId="17928" xr:uid="{00000000-0005-0000-0000-000045340000}"/>
    <cellStyle name="Normal 2 4 3 3 2 3" xfId="1690" xr:uid="{00000000-0005-0000-0000-000046340000}"/>
    <cellStyle name="Normal 2 4 3 3 2 3 2" xfId="3802" xr:uid="{00000000-0005-0000-0000-000047340000}"/>
    <cellStyle name="Normal 2 4 3 3 2 3 2 2" xfId="8028" xr:uid="{00000000-0005-0000-0000-000048340000}"/>
    <cellStyle name="Normal 2 4 3 3 2 3 2 2 2" xfId="16476" xr:uid="{00000000-0005-0000-0000-000049340000}"/>
    <cellStyle name="Normal 2 4 3 3 2 3 2 2 2 2" xfId="33416" xr:uid="{00000000-0005-0000-0000-00004A340000}"/>
    <cellStyle name="Normal 2 4 3 3 2 3 2 2 3" xfId="24968" xr:uid="{00000000-0005-0000-0000-00004B340000}"/>
    <cellStyle name="Normal 2 4 3 3 2 3 2 3" xfId="12252" xr:uid="{00000000-0005-0000-0000-00004C340000}"/>
    <cellStyle name="Normal 2 4 3 3 2 3 2 3 2" xfId="29192" xr:uid="{00000000-0005-0000-0000-00004D340000}"/>
    <cellStyle name="Normal 2 4 3 3 2 3 2 4" xfId="20744" xr:uid="{00000000-0005-0000-0000-00004E340000}"/>
    <cellStyle name="Normal 2 4 3 3 2 3 3" xfId="5916" xr:uid="{00000000-0005-0000-0000-00004F340000}"/>
    <cellStyle name="Normal 2 4 3 3 2 3 3 2" xfId="14364" xr:uid="{00000000-0005-0000-0000-000050340000}"/>
    <cellStyle name="Normal 2 4 3 3 2 3 3 2 2" xfId="31304" xr:uid="{00000000-0005-0000-0000-000051340000}"/>
    <cellStyle name="Normal 2 4 3 3 2 3 3 3" xfId="22856" xr:uid="{00000000-0005-0000-0000-000052340000}"/>
    <cellStyle name="Normal 2 4 3 3 2 3 4" xfId="10140" xr:uid="{00000000-0005-0000-0000-000053340000}"/>
    <cellStyle name="Normal 2 4 3 3 2 3 4 2" xfId="27080" xr:uid="{00000000-0005-0000-0000-000054340000}"/>
    <cellStyle name="Normal 2 4 3 3 2 3 5" xfId="18632" xr:uid="{00000000-0005-0000-0000-000055340000}"/>
    <cellStyle name="Normal 2 4 3 3 2 4" xfId="2746" xr:uid="{00000000-0005-0000-0000-000056340000}"/>
    <cellStyle name="Normal 2 4 3 3 2 4 2" xfId="6972" xr:uid="{00000000-0005-0000-0000-000057340000}"/>
    <cellStyle name="Normal 2 4 3 3 2 4 2 2" xfId="15420" xr:uid="{00000000-0005-0000-0000-000058340000}"/>
    <cellStyle name="Normal 2 4 3 3 2 4 2 2 2" xfId="32360" xr:uid="{00000000-0005-0000-0000-000059340000}"/>
    <cellStyle name="Normal 2 4 3 3 2 4 2 3" xfId="23912" xr:uid="{00000000-0005-0000-0000-00005A340000}"/>
    <cellStyle name="Normal 2 4 3 3 2 4 3" xfId="11196" xr:uid="{00000000-0005-0000-0000-00005B340000}"/>
    <cellStyle name="Normal 2 4 3 3 2 4 3 2" xfId="28136" xr:uid="{00000000-0005-0000-0000-00005C340000}"/>
    <cellStyle name="Normal 2 4 3 3 2 4 4" xfId="19688" xr:uid="{00000000-0005-0000-0000-00005D340000}"/>
    <cellStyle name="Normal 2 4 3 3 2 5" xfId="4860" xr:uid="{00000000-0005-0000-0000-00005E340000}"/>
    <cellStyle name="Normal 2 4 3 3 2 5 2" xfId="13308" xr:uid="{00000000-0005-0000-0000-00005F340000}"/>
    <cellStyle name="Normal 2 4 3 3 2 5 2 2" xfId="30248" xr:uid="{00000000-0005-0000-0000-000060340000}"/>
    <cellStyle name="Normal 2 4 3 3 2 5 3" xfId="21800" xr:uid="{00000000-0005-0000-0000-000061340000}"/>
    <cellStyle name="Normal 2 4 3 3 2 6" xfId="9084" xr:uid="{00000000-0005-0000-0000-000062340000}"/>
    <cellStyle name="Normal 2 4 3 3 2 6 2" xfId="26024" xr:uid="{00000000-0005-0000-0000-000063340000}"/>
    <cellStyle name="Normal 2 4 3 3 2 7" xfId="17576" xr:uid="{00000000-0005-0000-0000-000064340000}"/>
    <cellStyle name="Normal 2 4 3 3 3" xfId="804" xr:uid="{00000000-0005-0000-0000-000065340000}"/>
    <cellStyle name="Normal 2 4 3 3 3 2" xfId="1866" xr:uid="{00000000-0005-0000-0000-000066340000}"/>
    <cellStyle name="Normal 2 4 3 3 3 2 2" xfId="3978" xr:uid="{00000000-0005-0000-0000-000067340000}"/>
    <cellStyle name="Normal 2 4 3 3 3 2 2 2" xfId="8204" xr:uid="{00000000-0005-0000-0000-000068340000}"/>
    <cellStyle name="Normal 2 4 3 3 3 2 2 2 2" xfId="16652" xr:uid="{00000000-0005-0000-0000-000069340000}"/>
    <cellStyle name="Normal 2 4 3 3 3 2 2 2 2 2" xfId="33592" xr:uid="{00000000-0005-0000-0000-00006A340000}"/>
    <cellStyle name="Normal 2 4 3 3 3 2 2 2 3" xfId="25144" xr:uid="{00000000-0005-0000-0000-00006B340000}"/>
    <cellStyle name="Normal 2 4 3 3 3 2 2 3" xfId="12428" xr:uid="{00000000-0005-0000-0000-00006C340000}"/>
    <cellStyle name="Normal 2 4 3 3 3 2 2 3 2" xfId="29368" xr:uid="{00000000-0005-0000-0000-00006D340000}"/>
    <cellStyle name="Normal 2 4 3 3 3 2 2 4" xfId="20920" xr:uid="{00000000-0005-0000-0000-00006E340000}"/>
    <cellStyle name="Normal 2 4 3 3 3 2 3" xfId="6092" xr:uid="{00000000-0005-0000-0000-00006F340000}"/>
    <cellStyle name="Normal 2 4 3 3 3 2 3 2" xfId="14540" xr:uid="{00000000-0005-0000-0000-000070340000}"/>
    <cellStyle name="Normal 2 4 3 3 3 2 3 2 2" xfId="31480" xr:uid="{00000000-0005-0000-0000-000071340000}"/>
    <cellStyle name="Normal 2 4 3 3 3 2 3 3" xfId="23032" xr:uid="{00000000-0005-0000-0000-000072340000}"/>
    <cellStyle name="Normal 2 4 3 3 3 2 4" xfId="10316" xr:uid="{00000000-0005-0000-0000-000073340000}"/>
    <cellStyle name="Normal 2 4 3 3 3 2 4 2" xfId="27256" xr:uid="{00000000-0005-0000-0000-000074340000}"/>
    <cellStyle name="Normal 2 4 3 3 3 2 5" xfId="18808" xr:uid="{00000000-0005-0000-0000-000075340000}"/>
    <cellStyle name="Normal 2 4 3 3 3 3" xfId="2922" xr:uid="{00000000-0005-0000-0000-000076340000}"/>
    <cellStyle name="Normal 2 4 3 3 3 3 2" xfId="7148" xr:uid="{00000000-0005-0000-0000-000077340000}"/>
    <cellStyle name="Normal 2 4 3 3 3 3 2 2" xfId="15596" xr:uid="{00000000-0005-0000-0000-000078340000}"/>
    <cellStyle name="Normal 2 4 3 3 3 3 2 2 2" xfId="32536" xr:uid="{00000000-0005-0000-0000-000079340000}"/>
    <cellStyle name="Normal 2 4 3 3 3 3 2 3" xfId="24088" xr:uid="{00000000-0005-0000-0000-00007A340000}"/>
    <cellStyle name="Normal 2 4 3 3 3 3 3" xfId="11372" xr:uid="{00000000-0005-0000-0000-00007B340000}"/>
    <cellStyle name="Normal 2 4 3 3 3 3 3 2" xfId="28312" xr:uid="{00000000-0005-0000-0000-00007C340000}"/>
    <cellStyle name="Normal 2 4 3 3 3 3 4" xfId="19864" xr:uid="{00000000-0005-0000-0000-00007D340000}"/>
    <cellStyle name="Normal 2 4 3 3 3 4" xfId="5036" xr:uid="{00000000-0005-0000-0000-00007E340000}"/>
    <cellStyle name="Normal 2 4 3 3 3 4 2" xfId="13484" xr:uid="{00000000-0005-0000-0000-00007F340000}"/>
    <cellStyle name="Normal 2 4 3 3 3 4 2 2" xfId="30424" xr:uid="{00000000-0005-0000-0000-000080340000}"/>
    <cellStyle name="Normal 2 4 3 3 3 4 3" xfId="21976" xr:uid="{00000000-0005-0000-0000-000081340000}"/>
    <cellStyle name="Normal 2 4 3 3 3 5" xfId="9260" xr:uid="{00000000-0005-0000-0000-000082340000}"/>
    <cellStyle name="Normal 2 4 3 3 3 5 2" xfId="26200" xr:uid="{00000000-0005-0000-0000-000083340000}"/>
    <cellStyle name="Normal 2 4 3 3 3 6" xfId="17752" xr:uid="{00000000-0005-0000-0000-000084340000}"/>
    <cellStyle name="Normal 2 4 3 3 4" xfId="1156" xr:uid="{00000000-0005-0000-0000-000085340000}"/>
    <cellStyle name="Normal 2 4 3 3 4 2" xfId="2218" xr:uid="{00000000-0005-0000-0000-000086340000}"/>
    <cellStyle name="Normal 2 4 3 3 4 2 2" xfId="4330" xr:uid="{00000000-0005-0000-0000-000087340000}"/>
    <cellStyle name="Normal 2 4 3 3 4 2 2 2" xfId="8556" xr:uid="{00000000-0005-0000-0000-000088340000}"/>
    <cellStyle name="Normal 2 4 3 3 4 2 2 2 2" xfId="17004" xr:uid="{00000000-0005-0000-0000-000089340000}"/>
    <cellStyle name="Normal 2 4 3 3 4 2 2 2 2 2" xfId="33944" xr:uid="{00000000-0005-0000-0000-00008A340000}"/>
    <cellStyle name="Normal 2 4 3 3 4 2 2 2 3" xfId="25496" xr:uid="{00000000-0005-0000-0000-00008B340000}"/>
    <cellStyle name="Normal 2 4 3 3 4 2 2 3" xfId="12780" xr:uid="{00000000-0005-0000-0000-00008C340000}"/>
    <cellStyle name="Normal 2 4 3 3 4 2 2 3 2" xfId="29720" xr:uid="{00000000-0005-0000-0000-00008D340000}"/>
    <cellStyle name="Normal 2 4 3 3 4 2 2 4" xfId="21272" xr:uid="{00000000-0005-0000-0000-00008E340000}"/>
    <cellStyle name="Normal 2 4 3 3 4 2 3" xfId="6444" xr:uid="{00000000-0005-0000-0000-00008F340000}"/>
    <cellStyle name="Normal 2 4 3 3 4 2 3 2" xfId="14892" xr:uid="{00000000-0005-0000-0000-000090340000}"/>
    <cellStyle name="Normal 2 4 3 3 4 2 3 2 2" xfId="31832" xr:uid="{00000000-0005-0000-0000-000091340000}"/>
    <cellStyle name="Normal 2 4 3 3 4 2 3 3" xfId="23384" xr:uid="{00000000-0005-0000-0000-000092340000}"/>
    <cellStyle name="Normal 2 4 3 3 4 2 4" xfId="10668" xr:uid="{00000000-0005-0000-0000-000093340000}"/>
    <cellStyle name="Normal 2 4 3 3 4 2 4 2" xfId="27608" xr:uid="{00000000-0005-0000-0000-000094340000}"/>
    <cellStyle name="Normal 2 4 3 3 4 2 5" xfId="19160" xr:uid="{00000000-0005-0000-0000-000095340000}"/>
    <cellStyle name="Normal 2 4 3 3 4 3" xfId="3274" xr:uid="{00000000-0005-0000-0000-000096340000}"/>
    <cellStyle name="Normal 2 4 3 3 4 3 2" xfId="7500" xr:uid="{00000000-0005-0000-0000-000097340000}"/>
    <cellStyle name="Normal 2 4 3 3 4 3 2 2" xfId="15948" xr:uid="{00000000-0005-0000-0000-000098340000}"/>
    <cellStyle name="Normal 2 4 3 3 4 3 2 2 2" xfId="32888" xr:uid="{00000000-0005-0000-0000-000099340000}"/>
    <cellStyle name="Normal 2 4 3 3 4 3 2 3" xfId="24440" xr:uid="{00000000-0005-0000-0000-00009A340000}"/>
    <cellStyle name="Normal 2 4 3 3 4 3 3" xfId="11724" xr:uid="{00000000-0005-0000-0000-00009B340000}"/>
    <cellStyle name="Normal 2 4 3 3 4 3 3 2" xfId="28664" xr:uid="{00000000-0005-0000-0000-00009C340000}"/>
    <cellStyle name="Normal 2 4 3 3 4 3 4" xfId="20216" xr:uid="{00000000-0005-0000-0000-00009D340000}"/>
    <cellStyle name="Normal 2 4 3 3 4 4" xfId="5388" xr:uid="{00000000-0005-0000-0000-00009E340000}"/>
    <cellStyle name="Normal 2 4 3 3 4 4 2" xfId="13836" xr:uid="{00000000-0005-0000-0000-00009F340000}"/>
    <cellStyle name="Normal 2 4 3 3 4 4 2 2" xfId="30776" xr:uid="{00000000-0005-0000-0000-0000A0340000}"/>
    <cellStyle name="Normal 2 4 3 3 4 4 3" xfId="22328" xr:uid="{00000000-0005-0000-0000-0000A1340000}"/>
    <cellStyle name="Normal 2 4 3 3 4 5" xfId="9612" xr:uid="{00000000-0005-0000-0000-0000A2340000}"/>
    <cellStyle name="Normal 2 4 3 3 4 5 2" xfId="26552" xr:uid="{00000000-0005-0000-0000-0000A3340000}"/>
    <cellStyle name="Normal 2 4 3 3 4 6" xfId="18104" xr:uid="{00000000-0005-0000-0000-0000A4340000}"/>
    <cellStyle name="Normal 2 4 3 3 5" xfId="1338" xr:uid="{00000000-0005-0000-0000-0000A5340000}"/>
    <cellStyle name="Normal 2 4 3 3 5 2" xfId="2394" xr:uid="{00000000-0005-0000-0000-0000A6340000}"/>
    <cellStyle name="Normal 2 4 3 3 5 2 2" xfId="4506" xr:uid="{00000000-0005-0000-0000-0000A7340000}"/>
    <cellStyle name="Normal 2 4 3 3 5 2 2 2" xfId="8732" xr:uid="{00000000-0005-0000-0000-0000A8340000}"/>
    <cellStyle name="Normal 2 4 3 3 5 2 2 2 2" xfId="17180" xr:uid="{00000000-0005-0000-0000-0000A9340000}"/>
    <cellStyle name="Normal 2 4 3 3 5 2 2 2 2 2" xfId="34120" xr:uid="{00000000-0005-0000-0000-0000AA340000}"/>
    <cellStyle name="Normal 2 4 3 3 5 2 2 2 3" xfId="25672" xr:uid="{00000000-0005-0000-0000-0000AB340000}"/>
    <cellStyle name="Normal 2 4 3 3 5 2 2 3" xfId="12956" xr:uid="{00000000-0005-0000-0000-0000AC340000}"/>
    <cellStyle name="Normal 2 4 3 3 5 2 2 3 2" xfId="29896" xr:uid="{00000000-0005-0000-0000-0000AD340000}"/>
    <cellStyle name="Normal 2 4 3 3 5 2 2 4" xfId="21448" xr:uid="{00000000-0005-0000-0000-0000AE340000}"/>
    <cellStyle name="Normal 2 4 3 3 5 2 3" xfId="6620" xr:uid="{00000000-0005-0000-0000-0000AF340000}"/>
    <cellStyle name="Normal 2 4 3 3 5 2 3 2" xfId="15068" xr:uid="{00000000-0005-0000-0000-0000B0340000}"/>
    <cellStyle name="Normal 2 4 3 3 5 2 3 2 2" xfId="32008" xr:uid="{00000000-0005-0000-0000-0000B1340000}"/>
    <cellStyle name="Normal 2 4 3 3 5 2 3 3" xfId="23560" xr:uid="{00000000-0005-0000-0000-0000B2340000}"/>
    <cellStyle name="Normal 2 4 3 3 5 2 4" xfId="10844" xr:uid="{00000000-0005-0000-0000-0000B3340000}"/>
    <cellStyle name="Normal 2 4 3 3 5 2 4 2" xfId="27784" xr:uid="{00000000-0005-0000-0000-0000B4340000}"/>
    <cellStyle name="Normal 2 4 3 3 5 2 5" xfId="19336" xr:uid="{00000000-0005-0000-0000-0000B5340000}"/>
    <cellStyle name="Normal 2 4 3 3 5 3" xfId="3450" xr:uid="{00000000-0005-0000-0000-0000B6340000}"/>
    <cellStyle name="Normal 2 4 3 3 5 3 2" xfId="7676" xr:uid="{00000000-0005-0000-0000-0000B7340000}"/>
    <cellStyle name="Normal 2 4 3 3 5 3 2 2" xfId="16124" xr:uid="{00000000-0005-0000-0000-0000B8340000}"/>
    <cellStyle name="Normal 2 4 3 3 5 3 2 2 2" xfId="33064" xr:uid="{00000000-0005-0000-0000-0000B9340000}"/>
    <cellStyle name="Normal 2 4 3 3 5 3 2 3" xfId="24616" xr:uid="{00000000-0005-0000-0000-0000BA340000}"/>
    <cellStyle name="Normal 2 4 3 3 5 3 3" xfId="11900" xr:uid="{00000000-0005-0000-0000-0000BB340000}"/>
    <cellStyle name="Normal 2 4 3 3 5 3 3 2" xfId="28840" xr:uid="{00000000-0005-0000-0000-0000BC340000}"/>
    <cellStyle name="Normal 2 4 3 3 5 3 4" xfId="20392" xr:uid="{00000000-0005-0000-0000-0000BD340000}"/>
    <cellStyle name="Normal 2 4 3 3 5 4" xfId="5564" xr:uid="{00000000-0005-0000-0000-0000BE340000}"/>
    <cellStyle name="Normal 2 4 3 3 5 4 2" xfId="14012" xr:uid="{00000000-0005-0000-0000-0000BF340000}"/>
    <cellStyle name="Normal 2 4 3 3 5 4 2 2" xfId="30952" xr:uid="{00000000-0005-0000-0000-0000C0340000}"/>
    <cellStyle name="Normal 2 4 3 3 5 4 3" xfId="22504" xr:uid="{00000000-0005-0000-0000-0000C1340000}"/>
    <cellStyle name="Normal 2 4 3 3 5 5" xfId="9788" xr:uid="{00000000-0005-0000-0000-0000C2340000}"/>
    <cellStyle name="Normal 2 4 3 3 5 5 2" xfId="26728" xr:uid="{00000000-0005-0000-0000-0000C3340000}"/>
    <cellStyle name="Normal 2 4 3 3 5 6" xfId="18280" xr:uid="{00000000-0005-0000-0000-0000C4340000}"/>
    <cellStyle name="Normal 2 4 3 3 6" xfId="1514" xr:uid="{00000000-0005-0000-0000-0000C5340000}"/>
    <cellStyle name="Normal 2 4 3 3 6 2" xfId="3626" xr:uid="{00000000-0005-0000-0000-0000C6340000}"/>
    <cellStyle name="Normal 2 4 3 3 6 2 2" xfId="7852" xr:uid="{00000000-0005-0000-0000-0000C7340000}"/>
    <cellStyle name="Normal 2 4 3 3 6 2 2 2" xfId="16300" xr:uid="{00000000-0005-0000-0000-0000C8340000}"/>
    <cellStyle name="Normal 2 4 3 3 6 2 2 2 2" xfId="33240" xr:uid="{00000000-0005-0000-0000-0000C9340000}"/>
    <cellStyle name="Normal 2 4 3 3 6 2 2 3" xfId="24792" xr:uid="{00000000-0005-0000-0000-0000CA340000}"/>
    <cellStyle name="Normal 2 4 3 3 6 2 3" xfId="12076" xr:uid="{00000000-0005-0000-0000-0000CB340000}"/>
    <cellStyle name="Normal 2 4 3 3 6 2 3 2" xfId="29016" xr:uid="{00000000-0005-0000-0000-0000CC340000}"/>
    <cellStyle name="Normal 2 4 3 3 6 2 4" xfId="20568" xr:uid="{00000000-0005-0000-0000-0000CD340000}"/>
    <cellStyle name="Normal 2 4 3 3 6 3" xfId="5740" xr:uid="{00000000-0005-0000-0000-0000CE340000}"/>
    <cellStyle name="Normal 2 4 3 3 6 3 2" xfId="14188" xr:uid="{00000000-0005-0000-0000-0000CF340000}"/>
    <cellStyle name="Normal 2 4 3 3 6 3 2 2" xfId="31128" xr:uid="{00000000-0005-0000-0000-0000D0340000}"/>
    <cellStyle name="Normal 2 4 3 3 6 3 3" xfId="22680" xr:uid="{00000000-0005-0000-0000-0000D1340000}"/>
    <cellStyle name="Normal 2 4 3 3 6 4" xfId="9964" xr:uid="{00000000-0005-0000-0000-0000D2340000}"/>
    <cellStyle name="Normal 2 4 3 3 6 4 2" xfId="26904" xr:uid="{00000000-0005-0000-0000-0000D3340000}"/>
    <cellStyle name="Normal 2 4 3 3 6 5" xfId="18456" xr:uid="{00000000-0005-0000-0000-0000D4340000}"/>
    <cellStyle name="Normal 2 4 3 3 7" xfId="2570" xr:uid="{00000000-0005-0000-0000-0000D5340000}"/>
    <cellStyle name="Normal 2 4 3 3 7 2" xfId="6796" xr:uid="{00000000-0005-0000-0000-0000D6340000}"/>
    <cellStyle name="Normal 2 4 3 3 7 2 2" xfId="15244" xr:uid="{00000000-0005-0000-0000-0000D7340000}"/>
    <cellStyle name="Normal 2 4 3 3 7 2 2 2" xfId="32184" xr:uid="{00000000-0005-0000-0000-0000D8340000}"/>
    <cellStyle name="Normal 2 4 3 3 7 2 3" xfId="23736" xr:uid="{00000000-0005-0000-0000-0000D9340000}"/>
    <cellStyle name="Normal 2 4 3 3 7 3" xfId="11020" xr:uid="{00000000-0005-0000-0000-0000DA340000}"/>
    <cellStyle name="Normal 2 4 3 3 7 3 2" xfId="27960" xr:uid="{00000000-0005-0000-0000-0000DB340000}"/>
    <cellStyle name="Normal 2 4 3 3 7 4" xfId="19512" xr:uid="{00000000-0005-0000-0000-0000DC340000}"/>
    <cellStyle name="Normal 2 4 3 3 8" xfId="4683" xr:uid="{00000000-0005-0000-0000-0000DD340000}"/>
    <cellStyle name="Normal 2 4 3 3 8 2" xfId="13132" xr:uid="{00000000-0005-0000-0000-0000DE340000}"/>
    <cellStyle name="Normal 2 4 3 3 8 2 2" xfId="30072" xr:uid="{00000000-0005-0000-0000-0000DF340000}"/>
    <cellStyle name="Normal 2 4 3 3 8 3" xfId="21624" xr:uid="{00000000-0005-0000-0000-0000E0340000}"/>
    <cellStyle name="Normal 2 4 3 3 9" xfId="8908" xr:uid="{00000000-0005-0000-0000-0000E1340000}"/>
    <cellStyle name="Normal 2 4 3 3 9 2" xfId="25848" xr:uid="{00000000-0005-0000-0000-0000E2340000}"/>
    <cellStyle name="Normal 2 4 3 4" xfId="626" xr:uid="{00000000-0005-0000-0000-0000E3340000}"/>
    <cellStyle name="Normal 2 4 3 4 2" xfId="978" xr:uid="{00000000-0005-0000-0000-0000E4340000}"/>
    <cellStyle name="Normal 2 4 3 4 2 2" xfId="2040" xr:uid="{00000000-0005-0000-0000-0000E5340000}"/>
    <cellStyle name="Normal 2 4 3 4 2 2 2" xfId="4152" xr:uid="{00000000-0005-0000-0000-0000E6340000}"/>
    <cellStyle name="Normal 2 4 3 4 2 2 2 2" xfId="8378" xr:uid="{00000000-0005-0000-0000-0000E7340000}"/>
    <cellStyle name="Normal 2 4 3 4 2 2 2 2 2" xfId="16826" xr:uid="{00000000-0005-0000-0000-0000E8340000}"/>
    <cellStyle name="Normal 2 4 3 4 2 2 2 2 2 2" xfId="33766" xr:uid="{00000000-0005-0000-0000-0000E9340000}"/>
    <cellStyle name="Normal 2 4 3 4 2 2 2 2 3" xfId="25318" xr:uid="{00000000-0005-0000-0000-0000EA340000}"/>
    <cellStyle name="Normal 2 4 3 4 2 2 2 3" xfId="12602" xr:uid="{00000000-0005-0000-0000-0000EB340000}"/>
    <cellStyle name="Normal 2 4 3 4 2 2 2 3 2" xfId="29542" xr:uid="{00000000-0005-0000-0000-0000EC340000}"/>
    <cellStyle name="Normal 2 4 3 4 2 2 2 4" xfId="21094" xr:uid="{00000000-0005-0000-0000-0000ED340000}"/>
    <cellStyle name="Normal 2 4 3 4 2 2 3" xfId="6266" xr:uid="{00000000-0005-0000-0000-0000EE340000}"/>
    <cellStyle name="Normal 2 4 3 4 2 2 3 2" xfId="14714" xr:uid="{00000000-0005-0000-0000-0000EF340000}"/>
    <cellStyle name="Normal 2 4 3 4 2 2 3 2 2" xfId="31654" xr:uid="{00000000-0005-0000-0000-0000F0340000}"/>
    <cellStyle name="Normal 2 4 3 4 2 2 3 3" xfId="23206" xr:uid="{00000000-0005-0000-0000-0000F1340000}"/>
    <cellStyle name="Normal 2 4 3 4 2 2 4" xfId="10490" xr:uid="{00000000-0005-0000-0000-0000F2340000}"/>
    <cellStyle name="Normal 2 4 3 4 2 2 4 2" xfId="27430" xr:uid="{00000000-0005-0000-0000-0000F3340000}"/>
    <cellStyle name="Normal 2 4 3 4 2 2 5" xfId="18982" xr:uid="{00000000-0005-0000-0000-0000F4340000}"/>
    <cellStyle name="Normal 2 4 3 4 2 3" xfId="3096" xr:uid="{00000000-0005-0000-0000-0000F5340000}"/>
    <cellStyle name="Normal 2 4 3 4 2 3 2" xfId="7322" xr:uid="{00000000-0005-0000-0000-0000F6340000}"/>
    <cellStyle name="Normal 2 4 3 4 2 3 2 2" xfId="15770" xr:uid="{00000000-0005-0000-0000-0000F7340000}"/>
    <cellStyle name="Normal 2 4 3 4 2 3 2 2 2" xfId="32710" xr:uid="{00000000-0005-0000-0000-0000F8340000}"/>
    <cellStyle name="Normal 2 4 3 4 2 3 2 3" xfId="24262" xr:uid="{00000000-0005-0000-0000-0000F9340000}"/>
    <cellStyle name="Normal 2 4 3 4 2 3 3" xfId="11546" xr:uid="{00000000-0005-0000-0000-0000FA340000}"/>
    <cellStyle name="Normal 2 4 3 4 2 3 3 2" xfId="28486" xr:uid="{00000000-0005-0000-0000-0000FB340000}"/>
    <cellStyle name="Normal 2 4 3 4 2 3 4" xfId="20038" xr:uid="{00000000-0005-0000-0000-0000FC340000}"/>
    <cellStyle name="Normal 2 4 3 4 2 4" xfId="5210" xr:uid="{00000000-0005-0000-0000-0000FD340000}"/>
    <cellStyle name="Normal 2 4 3 4 2 4 2" xfId="13658" xr:uid="{00000000-0005-0000-0000-0000FE340000}"/>
    <cellStyle name="Normal 2 4 3 4 2 4 2 2" xfId="30598" xr:uid="{00000000-0005-0000-0000-0000FF340000}"/>
    <cellStyle name="Normal 2 4 3 4 2 4 3" xfId="22150" xr:uid="{00000000-0005-0000-0000-000000350000}"/>
    <cellStyle name="Normal 2 4 3 4 2 5" xfId="9434" xr:uid="{00000000-0005-0000-0000-000001350000}"/>
    <cellStyle name="Normal 2 4 3 4 2 5 2" xfId="26374" xr:uid="{00000000-0005-0000-0000-000002350000}"/>
    <cellStyle name="Normal 2 4 3 4 2 6" xfId="17926" xr:uid="{00000000-0005-0000-0000-000003350000}"/>
    <cellStyle name="Normal 2 4 3 4 3" xfId="1688" xr:uid="{00000000-0005-0000-0000-000004350000}"/>
    <cellStyle name="Normal 2 4 3 4 3 2" xfId="3800" xr:uid="{00000000-0005-0000-0000-000005350000}"/>
    <cellStyle name="Normal 2 4 3 4 3 2 2" xfId="8026" xr:uid="{00000000-0005-0000-0000-000006350000}"/>
    <cellStyle name="Normal 2 4 3 4 3 2 2 2" xfId="16474" xr:uid="{00000000-0005-0000-0000-000007350000}"/>
    <cellStyle name="Normal 2 4 3 4 3 2 2 2 2" xfId="33414" xr:uid="{00000000-0005-0000-0000-000008350000}"/>
    <cellStyle name="Normal 2 4 3 4 3 2 2 3" xfId="24966" xr:uid="{00000000-0005-0000-0000-000009350000}"/>
    <cellStyle name="Normal 2 4 3 4 3 2 3" xfId="12250" xr:uid="{00000000-0005-0000-0000-00000A350000}"/>
    <cellStyle name="Normal 2 4 3 4 3 2 3 2" xfId="29190" xr:uid="{00000000-0005-0000-0000-00000B350000}"/>
    <cellStyle name="Normal 2 4 3 4 3 2 4" xfId="20742" xr:uid="{00000000-0005-0000-0000-00000C350000}"/>
    <cellStyle name="Normal 2 4 3 4 3 3" xfId="5914" xr:uid="{00000000-0005-0000-0000-00000D350000}"/>
    <cellStyle name="Normal 2 4 3 4 3 3 2" xfId="14362" xr:uid="{00000000-0005-0000-0000-00000E350000}"/>
    <cellStyle name="Normal 2 4 3 4 3 3 2 2" xfId="31302" xr:uid="{00000000-0005-0000-0000-00000F350000}"/>
    <cellStyle name="Normal 2 4 3 4 3 3 3" xfId="22854" xr:uid="{00000000-0005-0000-0000-000010350000}"/>
    <cellStyle name="Normal 2 4 3 4 3 4" xfId="10138" xr:uid="{00000000-0005-0000-0000-000011350000}"/>
    <cellStyle name="Normal 2 4 3 4 3 4 2" xfId="27078" xr:uid="{00000000-0005-0000-0000-000012350000}"/>
    <cellStyle name="Normal 2 4 3 4 3 5" xfId="18630" xr:uid="{00000000-0005-0000-0000-000013350000}"/>
    <cellStyle name="Normal 2 4 3 4 4" xfId="2744" xr:uid="{00000000-0005-0000-0000-000014350000}"/>
    <cellStyle name="Normal 2 4 3 4 4 2" xfId="6970" xr:uid="{00000000-0005-0000-0000-000015350000}"/>
    <cellStyle name="Normal 2 4 3 4 4 2 2" xfId="15418" xr:uid="{00000000-0005-0000-0000-000016350000}"/>
    <cellStyle name="Normal 2 4 3 4 4 2 2 2" xfId="32358" xr:uid="{00000000-0005-0000-0000-000017350000}"/>
    <cellStyle name="Normal 2 4 3 4 4 2 3" xfId="23910" xr:uid="{00000000-0005-0000-0000-000018350000}"/>
    <cellStyle name="Normal 2 4 3 4 4 3" xfId="11194" xr:uid="{00000000-0005-0000-0000-000019350000}"/>
    <cellStyle name="Normal 2 4 3 4 4 3 2" xfId="28134" xr:uid="{00000000-0005-0000-0000-00001A350000}"/>
    <cellStyle name="Normal 2 4 3 4 4 4" xfId="19686" xr:uid="{00000000-0005-0000-0000-00001B350000}"/>
    <cellStyle name="Normal 2 4 3 4 5" xfId="4858" xr:uid="{00000000-0005-0000-0000-00001C350000}"/>
    <cellStyle name="Normal 2 4 3 4 5 2" xfId="13306" xr:uid="{00000000-0005-0000-0000-00001D350000}"/>
    <cellStyle name="Normal 2 4 3 4 5 2 2" xfId="30246" xr:uid="{00000000-0005-0000-0000-00001E350000}"/>
    <cellStyle name="Normal 2 4 3 4 5 3" xfId="21798" xr:uid="{00000000-0005-0000-0000-00001F350000}"/>
    <cellStyle name="Normal 2 4 3 4 6" xfId="9082" xr:uid="{00000000-0005-0000-0000-000020350000}"/>
    <cellStyle name="Normal 2 4 3 4 6 2" xfId="26022" xr:uid="{00000000-0005-0000-0000-000021350000}"/>
    <cellStyle name="Normal 2 4 3 4 7" xfId="17574" xr:uid="{00000000-0005-0000-0000-000022350000}"/>
    <cellStyle name="Normal 2 4 3 5" xfId="802" xr:uid="{00000000-0005-0000-0000-000023350000}"/>
    <cellStyle name="Normal 2 4 3 5 2" xfId="1864" xr:uid="{00000000-0005-0000-0000-000024350000}"/>
    <cellStyle name="Normal 2 4 3 5 2 2" xfId="3976" xr:uid="{00000000-0005-0000-0000-000025350000}"/>
    <cellStyle name="Normal 2 4 3 5 2 2 2" xfId="8202" xr:uid="{00000000-0005-0000-0000-000026350000}"/>
    <cellStyle name="Normal 2 4 3 5 2 2 2 2" xfId="16650" xr:uid="{00000000-0005-0000-0000-000027350000}"/>
    <cellStyle name="Normal 2 4 3 5 2 2 2 2 2" xfId="33590" xr:uid="{00000000-0005-0000-0000-000028350000}"/>
    <cellStyle name="Normal 2 4 3 5 2 2 2 3" xfId="25142" xr:uid="{00000000-0005-0000-0000-000029350000}"/>
    <cellStyle name="Normal 2 4 3 5 2 2 3" xfId="12426" xr:uid="{00000000-0005-0000-0000-00002A350000}"/>
    <cellStyle name="Normal 2 4 3 5 2 2 3 2" xfId="29366" xr:uid="{00000000-0005-0000-0000-00002B350000}"/>
    <cellStyle name="Normal 2 4 3 5 2 2 4" xfId="20918" xr:uid="{00000000-0005-0000-0000-00002C350000}"/>
    <cellStyle name="Normal 2 4 3 5 2 3" xfId="6090" xr:uid="{00000000-0005-0000-0000-00002D350000}"/>
    <cellStyle name="Normal 2 4 3 5 2 3 2" xfId="14538" xr:uid="{00000000-0005-0000-0000-00002E350000}"/>
    <cellStyle name="Normal 2 4 3 5 2 3 2 2" xfId="31478" xr:uid="{00000000-0005-0000-0000-00002F350000}"/>
    <cellStyle name="Normal 2 4 3 5 2 3 3" xfId="23030" xr:uid="{00000000-0005-0000-0000-000030350000}"/>
    <cellStyle name="Normal 2 4 3 5 2 4" xfId="10314" xr:uid="{00000000-0005-0000-0000-000031350000}"/>
    <cellStyle name="Normal 2 4 3 5 2 4 2" xfId="27254" xr:uid="{00000000-0005-0000-0000-000032350000}"/>
    <cellStyle name="Normal 2 4 3 5 2 5" xfId="18806" xr:uid="{00000000-0005-0000-0000-000033350000}"/>
    <cellStyle name="Normal 2 4 3 5 3" xfId="2920" xr:uid="{00000000-0005-0000-0000-000034350000}"/>
    <cellStyle name="Normal 2 4 3 5 3 2" xfId="7146" xr:uid="{00000000-0005-0000-0000-000035350000}"/>
    <cellStyle name="Normal 2 4 3 5 3 2 2" xfId="15594" xr:uid="{00000000-0005-0000-0000-000036350000}"/>
    <cellStyle name="Normal 2 4 3 5 3 2 2 2" xfId="32534" xr:uid="{00000000-0005-0000-0000-000037350000}"/>
    <cellStyle name="Normal 2 4 3 5 3 2 3" xfId="24086" xr:uid="{00000000-0005-0000-0000-000038350000}"/>
    <cellStyle name="Normal 2 4 3 5 3 3" xfId="11370" xr:uid="{00000000-0005-0000-0000-000039350000}"/>
    <cellStyle name="Normal 2 4 3 5 3 3 2" xfId="28310" xr:uid="{00000000-0005-0000-0000-00003A350000}"/>
    <cellStyle name="Normal 2 4 3 5 3 4" xfId="19862" xr:uid="{00000000-0005-0000-0000-00003B350000}"/>
    <cellStyle name="Normal 2 4 3 5 4" xfId="5034" xr:uid="{00000000-0005-0000-0000-00003C350000}"/>
    <cellStyle name="Normal 2 4 3 5 4 2" xfId="13482" xr:uid="{00000000-0005-0000-0000-00003D350000}"/>
    <cellStyle name="Normal 2 4 3 5 4 2 2" xfId="30422" xr:uid="{00000000-0005-0000-0000-00003E350000}"/>
    <cellStyle name="Normal 2 4 3 5 4 3" xfId="21974" xr:uid="{00000000-0005-0000-0000-00003F350000}"/>
    <cellStyle name="Normal 2 4 3 5 5" xfId="9258" xr:uid="{00000000-0005-0000-0000-000040350000}"/>
    <cellStyle name="Normal 2 4 3 5 5 2" xfId="26198" xr:uid="{00000000-0005-0000-0000-000041350000}"/>
    <cellStyle name="Normal 2 4 3 5 6" xfId="17750" xr:uid="{00000000-0005-0000-0000-000042350000}"/>
    <cellStyle name="Normal 2 4 3 6" xfId="1154" xr:uid="{00000000-0005-0000-0000-000043350000}"/>
    <cellStyle name="Normal 2 4 3 6 2" xfId="2216" xr:uid="{00000000-0005-0000-0000-000044350000}"/>
    <cellStyle name="Normal 2 4 3 6 2 2" xfId="4328" xr:uid="{00000000-0005-0000-0000-000045350000}"/>
    <cellStyle name="Normal 2 4 3 6 2 2 2" xfId="8554" xr:uid="{00000000-0005-0000-0000-000046350000}"/>
    <cellStyle name="Normal 2 4 3 6 2 2 2 2" xfId="17002" xr:uid="{00000000-0005-0000-0000-000047350000}"/>
    <cellStyle name="Normal 2 4 3 6 2 2 2 2 2" xfId="33942" xr:uid="{00000000-0005-0000-0000-000048350000}"/>
    <cellStyle name="Normal 2 4 3 6 2 2 2 3" xfId="25494" xr:uid="{00000000-0005-0000-0000-000049350000}"/>
    <cellStyle name="Normal 2 4 3 6 2 2 3" xfId="12778" xr:uid="{00000000-0005-0000-0000-00004A350000}"/>
    <cellStyle name="Normal 2 4 3 6 2 2 3 2" xfId="29718" xr:uid="{00000000-0005-0000-0000-00004B350000}"/>
    <cellStyle name="Normal 2 4 3 6 2 2 4" xfId="21270" xr:uid="{00000000-0005-0000-0000-00004C350000}"/>
    <cellStyle name="Normal 2 4 3 6 2 3" xfId="6442" xr:uid="{00000000-0005-0000-0000-00004D350000}"/>
    <cellStyle name="Normal 2 4 3 6 2 3 2" xfId="14890" xr:uid="{00000000-0005-0000-0000-00004E350000}"/>
    <cellStyle name="Normal 2 4 3 6 2 3 2 2" xfId="31830" xr:uid="{00000000-0005-0000-0000-00004F350000}"/>
    <cellStyle name="Normal 2 4 3 6 2 3 3" xfId="23382" xr:uid="{00000000-0005-0000-0000-000050350000}"/>
    <cellStyle name="Normal 2 4 3 6 2 4" xfId="10666" xr:uid="{00000000-0005-0000-0000-000051350000}"/>
    <cellStyle name="Normal 2 4 3 6 2 4 2" xfId="27606" xr:uid="{00000000-0005-0000-0000-000052350000}"/>
    <cellStyle name="Normal 2 4 3 6 2 5" xfId="19158" xr:uid="{00000000-0005-0000-0000-000053350000}"/>
    <cellStyle name="Normal 2 4 3 6 3" xfId="3272" xr:uid="{00000000-0005-0000-0000-000054350000}"/>
    <cellStyle name="Normal 2 4 3 6 3 2" xfId="7498" xr:uid="{00000000-0005-0000-0000-000055350000}"/>
    <cellStyle name="Normal 2 4 3 6 3 2 2" xfId="15946" xr:uid="{00000000-0005-0000-0000-000056350000}"/>
    <cellStyle name="Normal 2 4 3 6 3 2 2 2" xfId="32886" xr:uid="{00000000-0005-0000-0000-000057350000}"/>
    <cellStyle name="Normal 2 4 3 6 3 2 3" xfId="24438" xr:uid="{00000000-0005-0000-0000-000058350000}"/>
    <cellStyle name="Normal 2 4 3 6 3 3" xfId="11722" xr:uid="{00000000-0005-0000-0000-000059350000}"/>
    <cellStyle name="Normal 2 4 3 6 3 3 2" xfId="28662" xr:uid="{00000000-0005-0000-0000-00005A350000}"/>
    <cellStyle name="Normal 2 4 3 6 3 4" xfId="20214" xr:uid="{00000000-0005-0000-0000-00005B350000}"/>
    <cellStyle name="Normal 2 4 3 6 4" xfId="5386" xr:uid="{00000000-0005-0000-0000-00005C350000}"/>
    <cellStyle name="Normal 2 4 3 6 4 2" xfId="13834" xr:uid="{00000000-0005-0000-0000-00005D350000}"/>
    <cellStyle name="Normal 2 4 3 6 4 2 2" xfId="30774" xr:uid="{00000000-0005-0000-0000-00005E350000}"/>
    <cellStyle name="Normal 2 4 3 6 4 3" xfId="22326" xr:uid="{00000000-0005-0000-0000-00005F350000}"/>
    <cellStyle name="Normal 2 4 3 6 5" xfId="9610" xr:uid="{00000000-0005-0000-0000-000060350000}"/>
    <cellStyle name="Normal 2 4 3 6 5 2" xfId="26550" xr:uid="{00000000-0005-0000-0000-000061350000}"/>
    <cellStyle name="Normal 2 4 3 6 6" xfId="18102" xr:uid="{00000000-0005-0000-0000-000062350000}"/>
    <cellStyle name="Normal 2 4 3 7" xfId="1336" xr:uid="{00000000-0005-0000-0000-000063350000}"/>
    <cellStyle name="Normal 2 4 3 7 2" xfId="2392" xr:uid="{00000000-0005-0000-0000-000064350000}"/>
    <cellStyle name="Normal 2 4 3 7 2 2" xfId="4504" xr:uid="{00000000-0005-0000-0000-000065350000}"/>
    <cellStyle name="Normal 2 4 3 7 2 2 2" xfId="8730" xr:uid="{00000000-0005-0000-0000-000066350000}"/>
    <cellStyle name="Normal 2 4 3 7 2 2 2 2" xfId="17178" xr:uid="{00000000-0005-0000-0000-000067350000}"/>
    <cellStyle name="Normal 2 4 3 7 2 2 2 2 2" xfId="34118" xr:uid="{00000000-0005-0000-0000-000068350000}"/>
    <cellStyle name="Normal 2 4 3 7 2 2 2 3" xfId="25670" xr:uid="{00000000-0005-0000-0000-000069350000}"/>
    <cellStyle name="Normal 2 4 3 7 2 2 3" xfId="12954" xr:uid="{00000000-0005-0000-0000-00006A350000}"/>
    <cellStyle name="Normal 2 4 3 7 2 2 3 2" xfId="29894" xr:uid="{00000000-0005-0000-0000-00006B350000}"/>
    <cellStyle name="Normal 2 4 3 7 2 2 4" xfId="21446" xr:uid="{00000000-0005-0000-0000-00006C350000}"/>
    <cellStyle name="Normal 2 4 3 7 2 3" xfId="6618" xr:uid="{00000000-0005-0000-0000-00006D350000}"/>
    <cellStyle name="Normal 2 4 3 7 2 3 2" xfId="15066" xr:uid="{00000000-0005-0000-0000-00006E350000}"/>
    <cellStyle name="Normal 2 4 3 7 2 3 2 2" xfId="32006" xr:uid="{00000000-0005-0000-0000-00006F350000}"/>
    <cellStyle name="Normal 2 4 3 7 2 3 3" xfId="23558" xr:uid="{00000000-0005-0000-0000-000070350000}"/>
    <cellStyle name="Normal 2 4 3 7 2 4" xfId="10842" xr:uid="{00000000-0005-0000-0000-000071350000}"/>
    <cellStyle name="Normal 2 4 3 7 2 4 2" xfId="27782" xr:uid="{00000000-0005-0000-0000-000072350000}"/>
    <cellStyle name="Normal 2 4 3 7 2 5" xfId="19334" xr:uid="{00000000-0005-0000-0000-000073350000}"/>
    <cellStyle name="Normal 2 4 3 7 3" xfId="3448" xr:uid="{00000000-0005-0000-0000-000074350000}"/>
    <cellStyle name="Normal 2 4 3 7 3 2" xfId="7674" xr:uid="{00000000-0005-0000-0000-000075350000}"/>
    <cellStyle name="Normal 2 4 3 7 3 2 2" xfId="16122" xr:uid="{00000000-0005-0000-0000-000076350000}"/>
    <cellStyle name="Normal 2 4 3 7 3 2 2 2" xfId="33062" xr:uid="{00000000-0005-0000-0000-000077350000}"/>
    <cellStyle name="Normal 2 4 3 7 3 2 3" xfId="24614" xr:uid="{00000000-0005-0000-0000-000078350000}"/>
    <cellStyle name="Normal 2 4 3 7 3 3" xfId="11898" xr:uid="{00000000-0005-0000-0000-000079350000}"/>
    <cellStyle name="Normal 2 4 3 7 3 3 2" xfId="28838" xr:uid="{00000000-0005-0000-0000-00007A350000}"/>
    <cellStyle name="Normal 2 4 3 7 3 4" xfId="20390" xr:uid="{00000000-0005-0000-0000-00007B350000}"/>
    <cellStyle name="Normal 2 4 3 7 4" xfId="5562" xr:uid="{00000000-0005-0000-0000-00007C350000}"/>
    <cellStyle name="Normal 2 4 3 7 4 2" xfId="14010" xr:uid="{00000000-0005-0000-0000-00007D350000}"/>
    <cellStyle name="Normal 2 4 3 7 4 2 2" xfId="30950" xr:uid="{00000000-0005-0000-0000-00007E350000}"/>
    <cellStyle name="Normal 2 4 3 7 4 3" xfId="22502" xr:uid="{00000000-0005-0000-0000-00007F350000}"/>
    <cellStyle name="Normal 2 4 3 7 5" xfId="9786" xr:uid="{00000000-0005-0000-0000-000080350000}"/>
    <cellStyle name="Normal 2 4 3 7 5 2" xfId="26726" xr:uid="{00000000-0005-0000-0000-000081350000}"/>
    <cellStyle name="Normal 2 4 3 7 6" xfId="18278" xr:uid="{00000000-0005-0000-0000-000082350000}"/>
    <cellStyle name="Normal 2 4 3 8" xfId="1512" xr:uid="{00000000-0005-0000-0000-000083350000}"/>
    <cellStyle name="Normal 2 4 3 8 2" xfId="3624" xr:uid="{00000000-0005-0000-0000-000084350000}"/>
    <cellStyle name="Normal 2 4 3 8 2 2" xfId="7850" xr:uid="{00000000-0005-0000-0000-000085350000}"/>
    <cellStyle name="Normal 2 4 3 8 2 2 2" xfId="16298" xr:uid="{00000000-0005-0000-0000-000086350000}"/>
    <cellStyle name="Normal 2 4 3 8 2 2 2 2" xfId="33238" xr:uid="{00000000-0005-0000-0000-000087350000}"/>
    <cellStyle name="Normal 2 4 3 8 2 2 3" xfId="24790" xr:uid="{00000000-0005-0000-0000-000088350000}"/>
    <cellStyle name="Normal 2 4 3 8 2 3" xfId="12074" xr:uid="{00000000-0005-0000-0000-000089350000}"/>
    <cellStyle name="Normal 2 4 3 8 2 3 2" xfId="29014" xr:uid="{00000000-0005-0000-0000-00008A350000}"/>
    <cellStyle name="Normal 2 4 3 8 2 4" xfId="20566" xr:uid="{00000000-0005-0000-0000-00008B350000}"/>
    <cellStyle name="Normal 2 4 3 8 3" xfId="5738" xr:uid="{00000000-0005-0000-0000-00008C350000}"/>
    <cellStyle name="Normal 2 4 3 8 3 2" xfId="14186" xr:uid="{00000000-0005-0000-0000-00008D350000}"/>
    <cellStyle name="Normal 2 4 3 8 3 2 2" xfId="31126" xr:uid="{00000000-0005-0000-0000-00008E350000}"/>
    <cellStyle name="Normal 2 4 3 8 3 3" xfId="22678" xr:uid="{00000000-0005-0000-0000-00008F350000}"/>
    <cellStyle name="Normal 2 4 3 8 4" xfId="9962" xr:uid="{00000000-0005-0000-0000-000090350000}"/>
    <cellStyle name="Normal 2 4 3 8 4 2" xfId="26902" xr:uid="{00000000-0005-0000-0000-000091350000}"/>
    <cellStyle name="Normal 2 4 3 8 5" xfId="18454" xr:uid="{00000000-0005-0000-0000-000092350000}"/>
    <cellStyle name="Normal 2 4 3 9" xfId="2568" xr:uid="{00000000-0005-0000-0000-000093350000}"/>
    <cellStyle name="Normal 2 4 3 9 2" xfId="6794" xr:uid="{00000000-0005-0000-0000-000094350000}"/>
    <cellStyle name="Normal 2 4 3 9 2 2" xfId="15242" xr:uid="{00000000-0005-0000-0000-000095350000}"/>
    <cellStyle name="Normal 2 4 3 9 2 2 2" xfId="32182" xr:uid="{00000000-0005-0000-0000-000096350000}"/>
    <cellStyle name="Normal 2 4 3 9 2 3" xfId="23734" xr:uid="{00000000-0005-0000-0000-000097350000}"/>
    <cellStyle name="Normal 2 4 3 9 3" xfId="11018" xr:uid="{00000000-0005-0000-0000-000098350000}"/>
    <cellStyle name="Normal 2 4 3 9 3 2" xfId="27958" xr:uid="{00000000-0005-0000-0000-000099350000}"/>
    <cellStyle name="Normal 2 4 3 9 4" xfId="19510" xr:uid="{00000000-0005-0000-0000-00009A350000}"/>
    <cellStyle name="Normal 2 5" xfId="305" xr:uid="{00000000-0005-0000-0000-00009B350000}"/>
    <cellStyle name="Normal 2 5 2" xfId="306" xr:uid="{00000000-0005-0000-0000-00009C350000}"/>
    <cellStyle name="Normal 2 5 3" xfId="307" xr:uid="{00000000-0005-0000-0000-00009D350000}"/>
    <cellStyle name="Normal 2 6" xfId="34229" xr:uid="{00000000-0005-0000-0000-00009E350000}"/>
    <cellStyle name="Normal 20" xfId="308" xr:uid="{00000000-0005-0000-0000-00009F350000}"/>
    <cellStyle name="Normal 21" xfId="309" xr:uid="{00000000-0005-0000-0000-0000A0350000}"/>
    <cellStyle name="Normal 22" xfId="310" xr:uid="{00000000-0005-0000-0000-0000A1350000}"/>
    <cellStyle name="Normal 23" xfId="311" xr:uid="{00000000-0005-0000-0000-0000A2350000}"/>
    <cellStyle name="Normal 24" xfId="312" xr:uid="{00000000-0005-0000-0000-0000A3350000}"/>
    <cellStyle name="Normal 25" xfId="313" xr:uid="{00000000-0005-0000-0000-0000A4350000}"/>
    <cellStyle name="Normal 26" xfId="314" xr:uid="{00000000-0005-0000-0000-0000A5350000}"/>
    <cellStyle name="Normal 27" xfId="315" xr:uid="{00000000-0005-0000-0000-0000A6350000}"/>
    <cellStyle name="Normal 28" xfId="316" xr:uid="{00000000-0005-0000-0000-0000A7350000}"/>
    <cellStyle name="Normal 29" xfId="317" xr:uid="{00000000-0005-0000-0000-0000A8350000}"/>
    <cellStyle name="Normal 29 10" xfId="4684" xr:uid="{00000000-0005-0000-0000-0000A9350000}"/>
    <cellStyle name="Normal 29 10 2" xfId="13133" xr:uid="{00000000-0005-0000-0000-0000AA350000}"/>
    <cellStyle name="Normal 29 10 2 2" xfId="30073" xr:uid="{00000000-0005-0000-0000-0000AB350000}"/>
    <cellStyle name="Normal 29 10 3" xfId="21625" xr:uid="{00000000-0005-0000-0000-0000AC350000}"/>
    <cellStyle name="Normal 29 11" xfId="8909" xr:uid="{00000000-0005-0000-0000-0000AD350000}"/>
    <cellStyle name="Normal 29 11 2" xfId="25849" xr:uid="{00000000-0005-0000-0000-0000AE350000}"/>
    <cellStyle name="Normal 29 12" xfId="17401" xr:uid="{00000000-0005-0000-0000-0000AF350000}"/>
    <cellStyle name="Normal 29 2" xfId="318" xr:uid="{00000000-0005-0000-0000-0000B0350000}"/>
    <cellStyle name="Normal 29 2 10" xfId="17402" xr:uid="{00000000-0005-0000-0000-0000B1350000}"/>
    <cellStyle name="Normal 29 2 2" xfId="630" xr:uid="{00000000-0005-0000-0000-0000B2350000}"/>
    <cellStyle name="Normal 29 2 2 2" xfId="982" xr:uid="{00000000-0005-0000-0000-0000B3350000}"/>
    <cellStyle name="Normal 29 2 2 2 2" xfId="2044" xr:uid="{00000000-0005-0000-0000-0000B4350000}"/>
    <cellStyle name="Normal 29 2 2 2 2 2" xfId="4156" xr:uid="{00000000-0005-0000-0000-0000B5350000}"/>
    <cellStyle name="Normal 29 2 2 2 2 2 2" xfId="8382" xr:uid="{00000000-0005-0000-0000-0000B6350000}"/>
    <cellStyle name="Normal 29 2 2 2 2 2 2 2" xfId="16830" xr:uid="{00000000-0005-0000-0000-0000B7350000}"/>
    <cellStyle name="Normal 29 2 2 2 2 2 2 2 2" xfId="33770" xr:uid="{00000000-0005-0000-0000-0000B8350000}"/>
    <cellStyle name="Normal 29 2 2 2 2 2 2 3" xfId="25322" xr:uid="{00000000-0005-0000-0000-0000B9350000}"/>
    <cellStyle name="Normal 29 2 2 2 2 2 3" xfId="12606" xr:uid="{00000000-0005-0000-0000-0000BA350000}"/>
    <cellStyle name="Normal 29 2 2 2 2 2 3 2" xfId="29546" xr:uid="{00000000-0005-0000-0000-0000BB350000}"/>
    <cellStyle name="Normal 29 2 2 2 2 2 4" xfId="21098" xr:uid="{00000000-0005-0000-0000-0000BC350000}"/>
    <cellStyle name="Normal 29 2 2 2 2 3" xfId="6270" xr:uid="{00000000-0005-0000-0000-0000BD350000}"/>
    <cellStyle name="Normal 29 2 2 2 2 3 2" xfId="14718" xr:uid="{00000000-0005-0000-0000-0000BE350000}"/>
    <cellStyle name="Normal 29 2 2 2 2 3 2 2" xfId="31658" xr:uid="{00000000-0005-0000-0000-0000BF350000}"/>
    <cellStyle name="Normal 29 2 2 2 2 3 3" xfId="23210" xr:uid="{00000000-0005-0000-0000-0000C0350000}"/>
    <cellStyle name="Normal 29 2 2 2 2 4" xfId="10494" xr:uid="{00000000-0005-0000-0000-0000C1350000}"/>
    <cellStyle name="Normal 29 2 2 2 2 4 2" xfId="27434" xr:uid="{00000000-0005-0000-0000-0000C2350000}"/>
    <cellStyle name="Normal 29 2 2 2 2 5" xfId="18986" xr:uid="{00000000-0005-0000-0000-0000C3350000}"/>
    <cellStyle name="Normal 29 2 2 2 3" xfId="3100" xr:uid="{00000000-0005-0000-0000-0000C4350000}"/>
    <cellStyle name="Normal 29 2 2 2 3 2" xfId="7326" xr:uid="{00000000-0005-0000-0000-0000C5350000}"/>
    <cellStyle name="Normal 29 2 2 2 3 2 2" xfId="15774" xr:uid="{00000000-0005-0000-0000-0000C6350000}"/>
    <cellStyle name="Normal 29 2 2 2 3 2 2 2" xfId="32714" xr:uid="{00000000-0005-0000-0000-0000C7350000}"/>
    <cellStyle name="Normal 29 2 2 2 3 2 3" xfId="24266" xr:uid="{00000000-0005-0000-0000-0000C8350000}"/>
    <cellStyle name="Normal 29 2 2 2 3 3" xfId="11550" xr:uid="{00000000-0005-0000-0000-0000C9350000}"/>
    <cellStyle name="Normal 29 2 2 2 3 3 2" xfId="28490" xr:uid="{00000000-0005-0000-0000-0000CA350000}"/>
    <cellStyle name="Normal 29 2 2 2 3 4" xfId="20042" xr:uid="{00000000-0005-0000-0000-0000CB350000}"/>
    <cellStyle name="Normal 29 2 2 2 4" xfId="5214" xr:uid="{00000000-0005-0000-0000-0000CC350000}"/>
    <cellStyle name="Normal 29 2 2 2 4 2" xfId="13662" xr:uid="{00000000-0005-0000-0000-0000CD350000}"/>
    <cellStyle name="Normal 29 2 2 2 4 2 2" xfId="30602" xr:uid="{00000000-0005-0000-0000-0000CE350000}"/>
    <cellStyle name="Normal 29 2 2 2 4 3" xfId="22154" xr:uid="{00000000-0005-0000-0000-0000CF350000}"/>
    <cellStyle name="Normal 29 2 2 2 5" xfId="9438" xr:uid="{00000000-0005-0000-0000-0000D0350000}"/>
    <cellStyle name="Normal 29 2 2 2 5 2" xfId="26378" xr:uid="{00000000-0005-0000-0000-0000D1350000}"/>
    <cellStyle name="Normal 29 2 2 2 6" xfId="17930" xr:uid="{00000000-0005-0000-0000-0000D2350000}"/>
    <cellStyle name="Normal 29 2 2 3" xfId="1692" xr:uid="{00000000-0005-0000-0000-0000D3350000}"/>
    <cellStyle name="Normal 29 2 2 3 2" xfId="3804" xr:uid="{00000000-0005-0000-0000-0000D4350000}"/>
    <cellStyle name="Normal 29 2 2 3 2 2" xfId="8030" xr:uid="{00000000-0005-0000-0000-0000D5350000}"/>
    <cellStyle name="Normal 29 2 2 3 2 2 2" xfId="16478" xr:uid="{00000000-0005-0000-0000-0000D6350000}"/>
    <cellStyle name="Normal 29 2 2 3 2 2 2 2" xfId="33418" xr:uid="{00000000-0005-0000-0000-0000D7350000}"/>
    <cellStyle name="Normal 29 2 2 3 2 2 3" xfId="24970" xr:uid="{00000000-0005-0000-0000-0000D8350000}"/>
    <cellStyle name="Normal 29 2 2 3 2 3" xfId="12254" xr:uid="{00000000-0005-0000-0000-0000D9350000}"/>
    <cellStyle name="Normal 29 2 2 3 2 3 2" xfId="29194" xr:uid="{00000000-0005-0000-0000-0000DA350000}"/>
    <cellStyle name="Normal 29 2 2 3 2 4" xfId="20746" xr:uid="{00000000-0005-0000-0000-0000DB350000}"/>
    <cellStyle name="Normal 29 2 2 3 3" xfId="5918" xr:uid="{00000000-0005-0000-0000-0000DC350000}"/>
    <cellStyle name="Normal 29 2 2 3 3 2" xfId="14366" xr:uid="{00000000-0005-0000-0000-0000DD350000}"/>
    <cellStyle name="Normal 29 2 2 3 3 2 2" xfId="31306" xr:uid="{00000000-0005-0000-0000-0000DE350000}"/>
    <cellStyle name="Normal 29 2 2 3 3 3" xfId="22858" xr:uid="{00000000-0005-0000-0000-0000DF350000}"/>
    <cellStyle name="Normal 29 2 2 3 4" xfId="10142" xr:uid="{00000000-0005-0000-0000-0000E0350000}"/>
    <cellStyle name="Normal 29 2 2 3 4 2" xfId="27082" xr:uid="{00000000-0005-0000-0000-0000E1350000}"/>
    <cellStyle name="Normal 29 2 2 3 5" xfId="18634" xr:uid="{00000000-0005-0000-0000-0000E2350000}"/>
    <cellStyle name="Normal 29 2 2 4" xfId="2748" xr:uid="{00000000-0005-0000-0000-0000E3350000}"/>
    <cellStyle name="Normal 29 2 2 4 2" xfId="6974" xr:uid="{00000000-0005-0000-0000-0000E4350000}"/>
    <cellStyle name="Normal 29 2 2 4 2 2" xfId="15422" xr:uid="{00000000-0005-0000-0000-0000E5350000}"/>
    <cellStyle name="Normal 29 2 2 4 2 2 2" xfId="32362" xr:uid="{00000000-0005-0000-0000-0000E6350000}"/>
    <cellStyle name="Normal 29 2 2 4 2 3" xfId="23914" xr:uid="{00000000-0005-0000-0000-0000E7350000}"/>
    <cellStyle name="Normal 29 2 2 4 3" xfId="11198" xr:uid="{00000000-0005-0000-0000-0000E8350000}"/>
    <cellStyle name="Normal 29 2 2 4 3 2" xfId="28138" xr:uid="{00000000-0005-0000-0000-0000E9350000}"/>
    <cellStyle name="Normal 29 2 2 4 4" xfId="19690" xr:uid="{00000000-0005-0000-0000-0000EA350000}"/>
    <cellStyle name="Normal 29 2 2 5" xfId="4862" xr:uid="{00000000-0005-0000-0000-0000EB350000}"/>
    <cellStyle name="Normal 29 2 2 5 2" xfId="13310" xr:uid="{00000000-0005-0000-0000-0000EC350000}"/>
    <cellStyle name="Normal 29 2 2 5 2 2" xfId="30250" xr:uid="{00000000-0005-0000-0000-0000ED350000}"/>
    <cellStyle name="Normal 29 2 2 5 3" xfId="21802" xr:uid="{00000000-0005-0000-0000-0000EE350000}"/>
    <cellStyle name="Normal 29 2 2 6" xfId="9086" xr:uid="{00000000-0005-0000-0000-0000EF350000}"/>
    <cellStyle name="Normal 29 2 2 6 2" xfId="26026" xr:uid="{00000000-0005-0000-0000-0000F0350000}"/>
    <cellStyle name="Normal 29 2 2 7" xfId="17578" xr:uid="{00000000-0005-0000-0000-0000F1350000}"/>
    <cellStyle name="Normal 29 2 3" xfId="806" xr:uid="{00000000-0005-0000-0000-0000F2350000}"/>
    <cellStyle name="Normal 29 2 3 2" xfId="1868" xr:uid="{00000000-0005-0000-0000-0000F3350000}"/>
    <cellStyle name="Normal 29 2 3 2 2" xfId="3980" xr:uid="{00000000-0005-0000-0000-0000F4350000}"/>
    <cellStyle name="Normal 29 2 3 2 2 2" xfId="8206" xr:uid="{00000000-0005-0000-0000-0000F5350000}"/>
    <cellStyle name="Normal 29 2 3 2 2 2 2" xfId="16654" xr:uid="{00000000-0005-0000-0000-0000F6350000}"/>
    <cellStyle name="Normal 29 2 3 2 2 2 2 2" xfId="33594" xr:uid="{00000000-0005-0000-0000-0000F7350000}"/>
    <cellStyle name="Normal 29 2 3 2 2 2 3" xfId="25146" xr:uid="{00000000-0005-0000-0000-0000F8350000}"/>
    <cellStyle name="Normal 29 2 3 2 2 3" xfId="12430" xr:uid="{00000000-0005-0000-0000-0000F9350000}"/>
    <cellStyle name="Normal 29 2 3 2 2 3 2" xfId="29370" xr:uid="{00000000-0005-0000-0000-0000FA350000}"/>
    <cellStyle name="Normal 29 2 3 2 2 4" xfId="20922" xr:uid="{00000000-0005-0000-0000-0000FB350000}"/>
    <cellStyle name="Normal 29 2 3 2 3" xfId="6094" xr:uid="{00000000-0005-0000-0000-0000FC350000}"/>
    <cellStyle name="Normal 29 2 3 2 3 2" xfId="14542" xr:uid="{00000000-0005-0000-0000-0000FD350000}"/>
    <cellStyle name="Normal 29 2 3 2 3 2 2" xfId="31482" xr:uid="{00000000-0005-0000-0000-0000FE350000}"/>
    <cellStyle name="Normal 29 2 3 2 3 3" xfId="23034" xr:uid="{00000000-0005-0000-0000-0000FF350000}"/>
    <cellStyle name="Normal 29 2 3 2 4" xfId="10318" xr:uid="{00000000-0005-0000-0000-000000360000}"/>
    <cellStyle name="Normal 29 2 3 2 4 2" xfId="27258" xr:uid="{00000000-0005-0000-0000-000001360000}"/>
    <cellStyle name="Normal 29 2 3 2 5" xfId="18810" xr:uid="{00000000-0005-0000-0000-000002360000}"/>
    <cellStyle name="Normal 29 2 3 3" xfId="2924" xr:uid="{00000000-0005-0000-0000-000003360000}"/>
    <cellStyle name="Normal 29 2 3 3 2" xfId="7150" xr:uid="{00000000-0005-0000-0000-000004360000}"/>
    <cellStyle name="Normal 29 2 3 3 2 2" xfId="15598" xr:uid="{00000000-0005-0000-0000-000005360000}"/>
    <cellStyle name="Normal 29 2 3 3 2 2 2" xfId="32538" xr:uid="{00000000-0005-0000-0000-000006360000}"/>
    <cellStyle name="Normal 29 2 3 3 2 3" xfId="24090" xr:uid="{00000000-0005-0000-0000-000007360000}"/>
    <cellStyle name="Normal 29 2 3 3 3" xfId="11374" xr:uid="{00000000-0005-0000-0000-000008360000}"/>
    <cellStyle name="Normal 29 2 3 3 3 2" xfId="28314" xr:uid="{00000000-0005-0000-0000-000009360000}"/>
    <cellStyle name="Normal 29 2 3 3 4" xfId="19866" xr:uid="{00000000-0005-0000-0000-00000A360000}"/>
    <cellStyle name="Normal 29 2 3 4" xfId="5038" xr:uid="{00000000-0005-0000-0000-00000B360000}"/>
    <cellStyle name="Normal 29 2 3 4 2" xfId="13486" xr:uid="{00000000-0005-0000-0000-00000C360000}"/>
    <cellStyle name="Normal 29 2 3 4 2 2" xfId="30426" xr:uid="{00000000-0005-0000-0000-00000D360000}"/>
    <cellStyle name="Normal 29 2 3 4 3" xfId="21978" xr:uid="{00000000-0005-0000-0000-00000E360000}"/>
    <cellStyle name="Normal 29 2 3 5" xfId="9262" xr:uid="{00000000-0005-0000-0000-00000F360000}"/>
    <cellStyle name="Normal 29 2 3 5 2" xfId="26202" xr:uid="{00000000-0005-0000-0000-000010360000}"/>
    <cellStyle name="Normal 29 2 3 6" xfId="17754" xr:uid="{00000000-0005-0000-0000-000011360000}"/>
    <cellStyle name="Normal 29 2 4" xfId="1158" xr:uid="{00000000-0005-0000-0000-000012360000}"/>
    <cellStyle name="Normal 29 2 4 2" xfId="2220" xr:uid="{00000000-0005-0000-0000-000013360000}"/>
    <cellStyle name="Normal 29 2 4 2 2" xfId="4332" xr:uid="{00000000-0005-0000-0000-000014360000}"/>
    <cellStyle name="Normal 29 2 4 2 2 2" xfId="8558" xr:uid="{00000000-0005-0000-0000-000015360000}"/>
    <cellStyle name="Normal 29 2 4 2 2 2 2" xfId="17006" xr:uid="{00000000-0005-0000-0000-000016360000}"/>
    <cellStyle name="Normal 29 2 4 2 2 2 2 2" xfId="33946" xr:uid="{00000000-0005-0000-0000-000017360000}"/>
    <cellStyle name="Normal 29 2 4 2 2 2 3" xfId="25498" xr:uid="{00000000-0005-0000-0000-000018360000}"/>
    <cellStyle name="Normal 29 2 4 2 2 3" xfId="12782" xr:uid="{00000000-0005-0000-0000-000019360000}"/>
    <cellStyle name="Normal 29 2 4 2 2 3 2" xfId="29722" xr:uid="{00000000-0005-0000-0000-00001A360000}"/>
    <cellStyle name="Normal 29 2 4 2 2 4" xfId="21274" xr:uid="{00000000-0005-0000-0000-00001B360000}"/>
    <cellStyle name="Normal 29 2 4 2 3" xfId="6446" xr:uid="{00000000-0005-0000-0000-00001C360000}"/>
    <cellStyle name="Normal 29 2 4 2 3 2" xfId="14894" xr:uid="{00000000-0005-0000-0000-00001D360000}"/>
    <cellStyle name="Normal 29 2 4 2 3 2 2" xfId="31834" xr:uid="{00000000-0005-0000-0000-00001E360000}"/>
    <cellStyle name="Normal 29 2 4 2 3 3" xfId="23386" xr:uid="{00000000-0005-0000-0000-00001F360000}"/>
    <cellStyle name="Normal 29 2 4 2 4" xfId="10670" xr:uid="{00000000-0005-0000-0000-000020360000}"/>
    <cellStyle name="Normal 29 2 4 2 4 2" xfId="27610" xr:uid="{00000000-0005-0000-0000-000021360000}"/>
    <cellStyle name="Normal 29 2 4 2 5" xfId="19162" xr:uid="{00000000-0005-0000-0000-000022360000}"/>
    <cellStyle name="Normal 29 2 4 3" xfId="3276" xr:uid="{00000000-0005-0000-0000-000023360000}"/>
    <cellStyle name="Normal 29 2 4 3 2" xfId="7502" xr:uid="{00000000-0005-0000-0000-000024360000}"/>
    <cellStyle name="Normal 29 2 4 3 2 2" xfId="15950" xr:uid="{00000000-0005-0000-0000-000025360000}"/>
    <cellStyle name="Normal 29 2 4 3 2 2 2" xfId="32890" xr:uid="{00000000-0005-0000-0000-000026360000}"/>
    <cellStyle name="Normal 29 2 4 3 2 3" xfId="24442" xr:uid="{00000000-0005-0000-0000-000027360000}"/>
    <cellStyle name="Normal 29 2 4 3 3" xfId="11726" xr:uid="{00000000-0005-0000-0000-000028360000}"/>
    <cellStyle name="Normal 29 2 4 3 3 2" xfId="28666" xr:uid="{00000000-0005-0000-0000-000029360000}"/>
    <cellStyle name="Normal 29 2 4 3 4" xfId="20218" xr:uid="{00000000-0005-0000-0000-00002A360000}"/>
    <cellStyle name="Normal 29 2 4 4" xfId="5390" xr:uid="{00000000-0005-0000-0000-00002B360000}"/>
    <cellStyle name="Normal 29 2 4 4 2" xfId="13838" xr:uid="{00000000-0005-0000-0000-00002C360000}"/>
    <cellStyle name="Normal 29 2 4 4 2 2" xfId="30778" xr:uid="{00000000-0005-0000-0000-00002D360000}"/>
    <cellStyle name="Normal 29 2 4 4 3" xfId="22330" xr:uid="{00000000-0005-0000-0000-00002E360000}"/>
    <cellStyle name="Normal 29 2 4 5" xfId="9614" xr:uid="{00000000-0005-0000-0000-00002F360000}"/>
    <cellStyle name="Normal 29 2 4 5 2" xfId="26554" xr:uid="{00000000-0005-0000-0000-000030360000}"/>
    <cellStyle name="Normal 29 2 4 6" xfId="18106" xr:uid="{00000000-0005-0000-0000-000031360000}"/>
    <cellStyle name="Normal 29 2 5" xfId="1340" xr:uid="{00000000-0005-0000-0000-000032360000}"/>
    <cellStyle name="Normal 29 2 5 2" xfId="2396" xr:uid="{00000000-0005-0000-0000-000033360000}"/>
    <cellStyle name="Normal 29 2 5 2 2" xfId="4508" xr:uid="{00000000-0005-0000-0000-000034360000}"/>
    <cellStyle name="Normal 29 2 5 2 2 2" xfId="8734" xr:uid="{00000000-0005-0000-0000-000035360000}"/>
    <cellStyle name="Normal 29 2 5 2 2 2 2" xfId="17182" xr:uid="{00000000-0005-0000-0000-000036360000}"/>
    <cellStyle name="Normal 29 2 5 2 2 2 2 2" xfId="34122" xr:uid="{00000000-0005-0000-0000-000037360000}"/>
    <cellStyle name="Normal 29 2 5 2 2 2 3" xfId="25674" xr:uid="{00000000-0005-0000-0000-000038360000}"/>
    <cellStyle name="Normal 29 2 5 2 2 3" xfId="12958" xr:uid="{00000000-0005-0000-0000-000039360000}"/>
    <cellStyle name="Normal 29 2 5 2 2 3 2" xfId="29898" xr:uid="{00000000-0005-0000-0000-00003A360000}"/>
    <cellStyle name="Normal 29 2 5 2 2 4" xfId="21450" xr:uid="{00000000-0005-0000-0000-00003B360000}"/>
    <cellStyle name="Normal 29 2 5 2 3" xfId="6622" xr:uid="{00000000-0005-0000-0000-00003C360000}"/>
    <cellStyle name="Normal 29 2 5 2 3 2" xfId="15070" xr:uid="{00000000-0005-0000-0000-00003D360000}"/>
    <cellStyle name="Normal 29 2 5 2 3 2 2" xfId="32010" xr:uid="{00000000-0005-0000-0000-00003E360000}"/>
    <cellStyle name="Normal 29 2 5 2 3 3" xfId="23562" xr:uid="{00000000-0005-0000-0000-00003F360000}"/>
    <cellStyle name="Normal 29 2 5 2 4" xfId="10846" xr:uid="{00000000-0005-0000-0000-000040360000}"/>
    <cellStyle name="Normal 29 2 5 2 4 2" xfId="27786" xr:uid="{00000000-0005-0000-0000-000041360000}"/>
    <cellStyle name="Normal 29 2 5 2 5" xfId="19338" xr:uid="{00000000-0005-0000-0000-000042360000}"/>
    <cellStyle name="Normal 29 2 5 3" xfId="3452" xr:uid="{00000000-0005-0000-0000-000043360000}"/>
    <cellStyle name="Normal 29 2 5 3 2" xfId="7678" xr:uid="{00000000-0005-0000-0000-000044360000}"/>
    <cellStyle name="Normal 29 2 5 3 2 2" xfId="16126" xr:uid="{00000000-0005-0000-0000-000045360000}"/>
    <cellStyle name="Normal 29 2 5 3 2 2 2" xfId="33066" xr:uid="{00000000-0005-0000-0000-000046360000}"/>
    <cellStyle name="Normal 29 2 5 3 2 3" xfId="24618" xr:uid="{00000000-0005-0000-0000-000047360000}"/>
    <cellStyle name="Normal 29 2 5 3 3" xfId="11902" xr:uid="{00000000-0005-0000-0000-000048360000}"/>
    <cellStyle name="Normal 29 2 5 3 3 2" xfId="28842" xr:uid="{00000000-0005-0000-0000-000049360000}"/>
    <cellStyle name="Normal 29 2 5 3 4" xfId="20394" xr:uid="{00000000-0005-0000-0000-00004A360000}"/>
    <cellStyle name="Normal 29 2 5 4" xfId="5566" xr:uid="{00000000-0005-0000-0000-00004B360000}"/>
    <cellStyle name="Normal 29 2 5 4 2" xfId="14014" xr:uid="{00000000-0005-0000-0000-00004C360000}"/>
    <cellStyle name="Normal 29 2 5 4 2 2" xfId="30954" xr:uid="{00000000-0005-0000-0000-00004D360000}"/>
    <cellStyle name="Normal 29 2 5 4 3" xfId="22506" xr:uid="{00000000-0005-0000-0000-00004E360000}"/>
    <cellStyle name="Normal 29 2 5 5" xfId="9790" xr:uid="{00000000-0005-0000-0000-00004F360000}"/>
    <cellStyle name="Normal 29 2 5 5 2" xfId="26730" xr:uid="{00000000-0005-0000-0000-000050360000}"/>
    <cellStyle name="Normal 29 2 5 6" xfId="18282" xr:uid="{00000000-0005-0000-0000-000051360000}"/>
    <cellStyle name="Normal 29 2 6" xfId="1516" xr:uid="{00000000-0005-0000-0000-000052360000}"/>
    <cellStyle name="Normal 29 2 6 2" xfId="3628" xr:uid="{00000000-0005-0000-0000-000053360000}"/>
    <cellStyle name="Normal 29 2 6 2 2" xfId="7854" xr:uid="{00000000-0005-0000-0000-000054360000}"/>
    <cellStyle name="Normal 29 2 6 2 2 2" xfId="16302" xr:uid="{00000000-0005-0000-0000-000055360000}"/>
    <cellStyle name="Normal 29 2 6 2 2 2 2" xfId="33242" xr:uid="{00000000-0005-0000-0000-000056360000}"/>
    <cellStyle name="Normal 29 2 6 2 2 3" xfId="24794" xr:uid="{00000000-0005-0000-0000-000057360000}"/>
    <cellStyle name="Normal 29 2 6 2 3" xfId="12078" xr:uid="{00000000-0005-0000-0000-000058360000}"/>
    <cellStyle name="Normal 29 2 6 2 3 2" xfId="29018" xr:uid="{00000000-0005-0000-0000-000059360000}"/>
    <cellStyle name="Normal 29 2 6 2 4" xfId="20570" xr:uid="{00000000-0005-0000-0000-00005A360000}"/>
    <cellStyle name="Normal 29 2 6 3" xfId="5742" xr:uid="{00000000-0005-0000-0000-00005B360000}"/>
    <cellStyle name="Normal 29 2 6 3 2" xfId="14190" xr:uid="{00000000-0005-0000-0000-00005C360000}"/>
    <cellStyle name="Normal 29 2 6 3 2 2" xfId="31130" xr:uid="{00000000-0005-0000-0000-00005D360000}"/>
    <cellStyle name="Normal 29 2 6 3 3" xfId="22682" xr:uid="{00000000-0005-0000-0000-00005E360000}"/>
    <cellStyle name="Normal 29 2 6 4" xfId="9966" xr:uid="{00000000-0005-0000-0000-00005F360000}"/>
    <cellStyle name="Normal 29 2 6 4 2" xfId="26906" xr:uid="{00000000-0005-0000-0000-000060360000}"/>
    <cellStyle name="Normal 29 2 6 5" xfId="18458" xr:uid="{00000000-0005-0000-0000-000061360000}"/>
    <cellStyle name="Normal 29 2 7" xfId="2572" xr:uid="{00000000-0005-0000-0000-000062360000}"/>
    <cellStyle name="Normal 29 2 7 2" xfId="6798" xr:uid="{00000000-0005-0000-0000-000063360000}"/>
    <cellStyle name="Normal 29 2 7 2 2" xfId="15246" xr:uid="{00000000-0005-0000-0000-000064360000}"/>
    <cellStyle name="Normal 29 2 7 2 2 2" xfId="32186" xr:uid="{00000000-0005-0000-0000-000065360000}"/>
    <cellStyle name="Normal 29 2 7 2 3" xfId="23738" xr:uid="{00000000-0005-0000-0000-000066360000}"/>
    <cellStyle name="Normal 29 2 7 3" xfId="11022" xr:uid="{00000000-0005-0000-0000-000067360000}"/>
    <cellStyle name="Normal 29 2 7 3 2" xfId="27962" xr:uid="{00000000-0005-0000-0000-000068360000}"/>
    <cellStyle name="Normal 29 2 7 4" xfId="19514" xr:uid="{00000000-0005-0000-0000-000069360000}"/>
    <cellStyle name="Normal 29 2 8" xfId="4685" xr:uid="{00000000-0005-0000-0000-00006A360000}"/>
    <cellStyle name="Normal 29 2 8 2" xfId="13134" xr:uid="{00000000-0005-0000-0000-00006B360000}"/>
    <cellStyle name="Normal 29 2 8 2 2" xfId="30074" xr:uid="{00000000-0005-0000-0000-00006C360000}"/>
    <cellStyle name="Normal 29 2 8 3" xfId="21626" xr:uid="{00000000-0005-0000-0000-00006D360000}"/>
    <cellStyle name="Normal 29 2 9" xfId="8910" xr:uid="{00000000-0005-0000-0000-00006E360000}"/>
    <cellStyle name="Normal 29 2 9 2" xfId="25850" xr:uid="{00000000-0005-0000-0000-00006F360000}"/>
    <cellStyle name="Normal 29 3" xfId="319" xr:uid="{00000000-0005-0000-0000-000070360000}"/>
    <cellStyle name="Normal 29 3 10" xfId="17403" xr:uid="{00000000-0005-0000-0000-000071360000}"/>
    <cellStyle name="Normal 29 3 2" xfId="631" xr:uid="{00000000-0005-0000-0000-000072360000}"/>
    <cellStyle name="Normal 29 3 2 2" xfId="983" xr:uid="{00000000-0005-0000-0000-000073360000}"/>
    <cellStyle name="Normal 29 3 2 2 2" xfId="2045" xr:uid="{00000000-0005-0000-0000-000074360000}"/>
    <cellStyle name="Normal 29 3 2 2 2 2" xfId="4157" xr:uid="{00000000-0005-0000-0000-000075360000}"/>
    <cellStyle name="Normal 29 3 2 2 2 2 2" xfId="8383" xr:uid="{00000000-0005-0000-0000-000076360000}"/>
    <cellStyle name="Normal 29 3 2 2 2 2 2 2" xfId="16831" xr:uid="{00000000-0005-0000-0000-000077360000}"/>
    <cellStyle name="Normal 29 3 2 2 2 2 2 2 2" xfId="33771" xr:uid="{00000000-0005-0000-0000-000078360000}"/>
    <cellStyle name="Normal 29 3 2 2 2 2 2 3" xfId="25323" xr:uid="{00000000-0005-0000-0000-000079360000}"/>
    <cellStyle name="Normal 29 3 2 2 2 2 3" xfId="12607" xr:uid="{00000000-0005-0000-0000-00007A360000}"/>
    <cellStyle name="Normal 29 3 2 2 2 2 3 2" xfId="29547" xr:uid="{00000000-0005-0000-0000-00007B360000}"/>
    <cellStyle name="Normal 29 3 2 2 2 2 4" xfId="21099" xr:uid="{00000000-0005-0000-0000-00007C360000}"/>
    <cellStyle name="Normal 29 3 2 2 2 3" xfId="6271" xr:uid="{00000000-0005-0000-0000-00007D360000}"/>
    <cellStyle name="Normal 29 3 2 2 2 3 2" xfId="14719" xr:uid="{00000000-0005-0000-0000-00007E360000}"/>
    <cellStyle name="Normal 29 3 2 2 2 3 2 2" xfId="31659" xr:uid="{00000000-0005-0000-0000-00007F360000}"/>
    <cellStyle name="Normal 29 3 2 2 2 3 3" xfId="23211" xr:uid="{00000000-0005-0000-0000-000080360000}"/>
    <cellStyle name="Normal 29 3 2 2 2 4" xfId="10495" xr:uid="{00000000-0005-0000-0000-000081360000}"/>
    <cellStyle name="Normal 29 3 2 2 2 4 2" xfId="27435" xr:uid="{00000000-0005-0000-0000-000082360000}"/>
    <cellStyle name="Normal 29 3 2 2 2 5" xfId="18987" xr:uid="{00000000-0005-0000-0000-000083360000}"/>
    <cellStyle name="Normal 29 3 2 2 3" xfId="3101" xr:uid="{00000000-0005-0000-0000-000084360000}"/>
    <cellStyle name="Normal 29 3 2 2 3 2" xfId="7327" xr:uid="{00000000-0005-0000-0000-000085360000}"/>
    <cellStyle name="Normal 29 3 2 2 3 2 2" xfId="15775" xr:uid="{00000000-0005-0000-0000-000086360000}"/>
    <cellStyle name="Normal 29 3 2 2 3 2 2 2" xfId="32715" xr:uid="{00000000-0005-0000-0000-000087360000}"/>
    <cellStyle name="Normal 29 3 2 2 3 2 3" xfId="24267" xr:uid="{00000000-0005-0000-0000-000088360000}"/>
    <cellStyle name="Normal 29 3 2 2 3 3" xfId="11551" xr:uid="{00000000-0005-0000-0000-000089360000}"/>
    <cellStyle name="Normal 29 3 2 2 3 3 2" xfId="28491" xr:uid="{00000000-0005-0000-0000-00008A360000}"/>
    <cellStyle name="Normal 29 3 2 2 3 4" xfId="20043" xr:uid="{00000000-0005-0000-0000-00008B360000}"/>
    <cellStyle name="Normal 29 3 2 2 4" xfId="5215" xr:uid="{00000000-0005-0000-0000-00008C360000}"/>
    <cellStyle name="Normal 29 3 2 2 4 2" xfId="13663" xr:uid="{00000000-0005-0000-0000-00008D360000}"/>
    <cellStyle name="Normal 29 3 2 2 4 2 2" xfId="30603" xr:uid="{00000000-0005-0000-0000-00008E360000}"/>
    <cellStyle name="Normal 29 3 2 2 4 3" xfId="22155" xr:uid="{00000000-0005-0000-0000-00008F360000}"/>
    <cellStyle name="Normal 29 3 2 2 5" xfId="9439" xr:uid="{00000000-0005-0000-0000-000090360000}"/>
    <cellStyle name="Normal 29 3 2 2 5 2" xfId="26379" xr:uid="{00000000-0005-0000-0000-000091360000}"/>
    <cellStyle name="Normal 29 3 2 2 6" xfId="17931" xr:uid="{00000000-0005-0000-0000-000092360000}"/>
    <cellStyle name="Normal 29 3 2 3" xfId="1693" xr:uid="{00000000-0005-0000-0000-000093360000}"/>
    <cellStyle name="Normal 29 3 2 3 2" xfId="3805" xr:uid="{00000000-0005-0000-0000-000094360000}"/>
    <cellStyle name="Normal 29 3 2 3 2 2" xfId="8031" xr:uid="{00000000-0005-0000-0000-000095360000}"/>
    <cellStyle name="Normal 29 3 2 3 2 2 2" xfId="16479" xr:uid="{00000000-0005-0000-0000-000096360000}"/>
    <cellStyle name="Normal 29 3 2 3 2 2 2 2" xfId="33419" xr:uid="{00000000-0005-0000-0000-000097360000}"/>
    <cellStyle name="Normal 29 3 2 3 2 2 3" xfId="24971" xr:uid="{00000000-0005-0000-0000-000098360000}"/>
    <cellStyle name="Normal 29 3 2 3 2 3" xfId="12255" xr:uid="{00000000-0005-0000-0000-000099360000}"/>
    <cellStyle name="Normal 29 3 2 3 2 3 2" xfId="29195" xr:uid="{00000000-0005-0000-0000-00009A360000}"/>
    <cellStyle name="Normal 29 3 2 3 2 4" xfId="20747" xr:uid="{00000000-0005-0000-0000-00009B360000}"/>
    <cellStyle name="Normal 29 3 2 3 3" xfId="5919" xr:uid="{00000000-0005-0000-0000-00009C360000}"/>
    <cellStyle name="Normal 29 3 2 3 3 2" xfId="14367" xr:uid="{00000000-0005-0000-0000-00009D360000}"/>
    <cellStyle name="Normal 29 3 2 3 3 2 2" xfId="31307" xr:uid="{00000000-0005-0000-0000-00009E360000}"/>
    <cellStyle name="Normal 29 3 2 3 3 3" xfId="22859" xr:uid="{00000000-0005-0000-0000-00009F360000}"/>
    <cellStyle name="Normal 29 3 2 3 4" xfId="10143" xr:uid="{00000000-0005-0000-0000-0000A0360000}"/>
    <cellStyle name="Normal 29 3 2 3 4 2" xfId="27083" xr:uid="{00000000-0005-0000-0000-0000A1360000}"/>
    <cellStyle name="Normal 29 3 2 3 5" xfId="18635" xr:uid="{00000000-0005-0000-0000-0000A2360000}"/>
    <cellStyle name="Normal 29 3 2 4" xfId="2749" xr:uid="{00000000-0005-0000-0000-0000A3360000}"/>
    <cellStyle name="Normal 29 3 2 4 2" xfId="6975" xr:uid="{00000000-0005-0000-0000-0000A4360000}"/>
    <cellStyle name="Normal 29 3 2 4 2 2" xfId="15423" xr:uid="{00000000-0005-0000-0000-0000A5360000}"/>
    <cellStyle name="Normal 29 3 2 4 2 2 2" xfId="32363" xr:uid="{00000000-0005-0000-0000-0000A6360000}"/>
    <cellStyle name="Normal 29 3 2 4 2 3" xfId="23915" xr:uid="{00000000-0005-0000-0000-0000A7360000}"/>
    <cellStyle name="Normal 29 3 2 4 3" xfId="11199" xr:uid="{00000000-0005-0000-0000-0000A8360000}"/>
    <cellStyle name="Normal 29 3 2 4 3 2" xfId="28139" xr:uid="{00000000-0005-0000-0000-0000A9360000}"/>
    <cellStyle name="Normal 29 3 2 4 4" xfId="19691" xr:uid="{00000000-0005-0000-0000-0000AA360000}"/>
    <cellStyle name="Normal 29 3 2 5" xfId="4863" xr:uid="{00000000-0005-0000-0000-0000AB360000}"/>
    <cellStyle name="Normal 29 3 2 5 2" xfId="13311" xr:uid="{00000000-0005-0000-0000-0000AC360000}"/>
    <cellStyle name="Normal 29 3 2 5 2 2" xfId="30251" xr:uid="{00000000-0005-0000-0000-0000AD360000}"/>
    <cellStyle name="Normal 29 3 2 5 3" xfId="21803" xr:uid="{00000000-0005-0000-0000-0000AE360000}"/>
    <cellStyle name="Normal 29 3 2 6" xfId="9087" xr:uid="{00000000-0005-0000-0000-0000AF360000}"/>
    <cellStyle name="Normal 29 3 2 6 2" xfId="26027" xr:uid="{00000000-0005-0000-0000-0000B0360000}"/>
    <cellStyle name="Normal 29 3 2 7" xfId="17579" xr:uid="{00000000-0005-0000-0000-0000B1360000}"/>
    <cellStyle name="Normal 29 3 3" xfId="807" xr:uid="{00000000-0005-0000-0000-0000B2360000}"/>
    <cellStyle name="Normal 29 3 3 2" xfId="1869" xr:uid="{00000000-0005-0000-0000-0000B3360000}"/>
    <cellStyle name="Normal 29 3 3 2 2" xfId="3981" xr:uid="{00000000-0005-0000-0000-0000B4360000}"/>
    <cellStyle name="Normal 29 3 3 2 2 2" xfId="8207" xr:uid="{00000000-0005-0000-0000-0000B5360000}"/>
    <cellStyle name="Normal 29 3 3 2 2 2 2" xfId="16655" xr:uid="{00000000-0005-0000-0000-0000B6360000}"/>
    <cellStyle name="Normal 29 3 3 2 2 2 2 2" xfId="33595" xr:uid="{00000000-0005-0000-0000-0000B7360000}"/>
    <cellStyle name="Normal 29 3 3 2 2 2 3" xfId="25147" xr:uid="{00000000-0005-0000-0000-0000B8360000}"/>
    <cellStyle name="Normal 29 3 3 2 2 3" xfId="12431" xr:uid="{00000000-0005-0000-0000-0000B9360000}"/>
    <cellStyle name="Normal 29 3 3 2 2 3 2" xfId="29371" xr:uid="{00000000-0005-0000-0000-0000BA360000}"/>
    <cellStyle name="Normal 29 3 3 2 2 4" xfId="20923" xr:uid="{00000000-0005-0000-0000-0000BB360000}"/>
    <cellStyle name="Normal 29 3 3 2 3" xfId="6095" xr:uid="{00000000-0005-0000-0000-0000BC360000}"/>
    <cellStyle name="Normal 29 3 3 2 3 2" xfId="14543" xr:uid="{00000000-0005-0000-0000-0000BD360000}"/>
    <cellStyle name="Normal 29 3 3 2 3 2 2" xfId="31483" xr:uid="{00000000-0005-0000-0000-0000BE360000}"/>
    <cellStyle name="Normal 29 3 3 2 3 3" xfId="23035" xr:uid="{00000000-0005-0000-0000-0000BF360000}"/>
    <cellStyle name="Normal 29 3 3 2 4" xfId="10319" xr:uid="{00000000-0005-0000-0000-0000C0360000}"/>
    <cellStyle name="Normal 29 3 3 2 4 2" xfId="27259" xr:uid="{00000000-0005-0000-0000-0000C1360000}"/>
    <cellStyle name="Normal 29 3 3 2 5" xfId="18811" xr:uid="{00000000-0005-0000-0000-0000C2360000}"/>
    <cellStyle name="Normal 29 3 3 3" xfId="2925" xr:uid="{00000000-0005-0000-0000-0000C3360000}"/>
    <cellStyle name="Normal 29 3 3 3 2" xfId="7151" xr:uid="{00000000-0005-0000-0000-0000C4360000}"/>
    <cellStyle name="Normal 29 3 3 3 2 2" xfId="15599" xr:uid="{00000000-0005-0000-0000-0000C5360000}"/>
    <cellStyle name="Normal 29 3 3 3 2 2 2" xfId="32539" xr:uid="{00000000-0005-0000-0000-0000C6360000}"/>
    <cellStyle name="Normal 29 3 3 3 2 3" xfId="24091" xr:uid="{00000000-0005-0000-0000-0000C7360000}"/>
    <cellStyle name="Normal 29 3 3 3 3" xfId="11375" xr:uid="{00000000-0005-0000-0000-0000C8360000}"/>
    <cellStyle name="Normal 29 3 3 3 3 2" xfId="28315" xr:uid="{00000000-0005-0000-0000-0000C9360000}"/>
    <cellStyle name="Normal 29 3 3 3 4" xfId="19867" xr:uid="{00000000-0005-0000-0000-0000CA360000}"/>
    <cellStyle name="Normal 29 3 3 4" xfId="5039" xr:uid="{00000000-0005-0000-0000-0000CB360000}"/>
    <cellStyle name="Normal 29 3 3 4 2" xfId="13487" xr:uid="{00000000-0005-0000-0000-0000CC360000}"/>
    <cellStyle name="Normal 29 3 3 4 2 2" xfId="30427" xr:uid="{00000000-0005-0000-0000-0000CD360000}"/>
    <cellStyle name="Normal 29 3 3 4 3" xfId="21979" xr:uid="{00000000-0005-0000-0000-0000CE360000}"/>
    <cellStyle name="Normal 29 3 3 5" xfId="9263" xr:uid="{00000000-0005-0000-0000-0000CF360000}"/>
    <cellStyle name="Normal 29 3 3 5 2" xfId="26203" xr:uid="{00000000-0005-0000-0000-0000D0360000}"/>
    <cellStyle name="Normal 29 3 3 6" xfId="17755" xr:uid="{00000000-0005-0000-0000-0000D1360000}"/>
    <cellStyle name="Normal 29 3 4" xfId="1159" xr:uid="{00000000-0005-0000-0000-0000D2360000}"/>
    <cellStyle name="Normal 29 3 4 2" xfId="2221" xr:uid="{00000000-0005-0000-0000-0000D3360000}"/>
    <cellStyle name="Normal 29 3 4 2 2" xfId="4333" xr:uid="{00000000-0005-0000-0000-0000D4360000}"/>
    <cellStyle name="Normal 29 3 4 2 2 2" xfId="8559" xr:uid="{00000000-0005-0000-0000-0000D5360000}"/>
    <cellStyle name="Normal 29 3 4 2 2 2 2" xfId="17007" xr:uid="{00000000-0005-0000-0000-0000D6360000}"/>
    <cellStyle name="Normal 29 3 4 2 2 2 2 2" xfId="33947" xr:uid="{00000000-0005-0000-0000-0000D7360000}"/>
    <cellStyle name="Normal 29 3 4 2 2 2 3" xfId="25499" xr:uid="{00000000-0005-0000-0000-0000D8360000}"/>
    <cellStyle name="Normal 29 3 4 2 2 3" xfId="12783" xr:uid="{00000000-0005-0000-0000-0000D9360000}"/>
    <cellStyle name="Normal 29 3 4 2 2 3 2" xfId="29723" xr:uid="{00000000-0005-0000-0000-0000DA360000}"/>
    <cellStyle name="Normal 29 3 4 2 2 4" xfId="21275" xr:uid="{00000000-0005-0000-0000-0000DB360000}"/>
    <cellStyle name="Normal 29 3 4 2 3" xfId="6447" xr:uid="{00000000-0005-0000-0000-0000DC360000}"/>
    <cellStyle name="Normal 29 3 4 2 3 2" xfId="14895" xr:uid="{00000000-0005-0000-0000-0000DD360000}"/>
    <cellStyle name="Normal 29 3 4 2 3 2 2" xfId="31835" xr:uid="{00000000-0005-0000-0000-0000DE360000}"/>
    <cellStyle name="Normal 29 3 4 2 3 3" xfId="23387" xr:uid="{00000000-0005-0000-0000-0000DF360000}"/>
    <cellStyle name="Normal 29 3 4 2 4" xfId="10671" xr:uid="{00000000-0005-0000-0000-0000E0360000}"/>
    <cellStyle name="Normal 29 3 4 2 4 2" xfId="27611" xr:uid="{00000000-0005-0000-0000-0000E1360000}"/>
    <cellStyle name="Normal 29 3 4 2 5" xfId="19163" xr:uid="{00000000-0005-0000-0000-0000E2360000}"/>
    <cellStyle name="Normal 29 3 4 3" xfId="3277" xr:uid="{00000000-0005-0000-0000-0000E3360000}"/>
    <cellStyle name="Normal 29 3 4 3 2" xfId="7503" xr:uid="{00000000-0005-0000-0000-0000E4360000}"/>
    <cellStyle name="Normal 29 3 4 3 2 2" xfId="15951" xr:uid="{00000000-0005-0000-0000-0000E5360000}"/>
    <cellStyle name="Normal 29 3 4 3 2 2 2" xfId="32891" xr:uid="{00000000-0005-0000-0000-0000E6360000}"/>
    <cellStyle name="Normal 29 3 4 3 2 3" xfId="24443" xr:uid="{00000000-0005-0000-0000-0000E7360000}"/>
    <cellStyle name="Normal 29 3 4 3 3" xfId="11727" xr:uid="{00000000-0005-0000-0000-0000E8360000}"/>
    <cellStyle name="Normal 29 3 4 3 3 2" xfId="28667" xr:uid="{00000000-0005-0000-0000-0000E9360000}"/>
    <cellStyle name="Normal 29 3 4 3 4" xfId="20219" xr:uid="{00000000-0005-0000-0000-0000EA360000}"/>
    <cellStyle name="Normal 29 3 4 4" xfId="5391" xr:uid="{00000000-0005-0000-0000-0000EB360000}"/>
    <cellStyle name="Normal 29 3 4 4 2" xfId="13839" xr:uid="{00000000-0005-0000-0000-0000EC360000}"/>
    <cellStyle name="Normal 29 3 4 4 2 2" xfId="30779" xr:uid="{00000000-0005-0000-0000-0000ED360000}"/>
    <cellStyle name="Normal 29 3 4 4 3" xfId="22331" xr:uid="{00000000-0005-0000-0000-0000EE360000}"/>
    <cellStyle name="Normal 29 3 4 5" xfId="9615" xr:uid="{00000000-0005-0000-0000-0000EF360000}"/>
    <cellStyle name="Normal 29 3 4 5 2" xfId="26555" xr:uid="{00000000-0005-0000-0000-0000F0360000}"/>
    <cellStyle name="Normal 29 3 4 6" xfId="18107" xr:uid="{00000000-0005-0000-0000-0000F1360000}"/>
    <cellStyle name="Normal 29 3 5" xfId="1341" xr:uid="{00000000-0005-0000-0000-0000F2360000}"/>
    <cellStyle name="Normal 29 3 5 2" xfId="2397" xr:uid="{00000000-0005-0000-0000-0000F3360000}"/>
    <cellStyle name="Normal 29 3 5 2 2" xfId="4509" xr:uid="{00000000-0005-0000-0000-0000F4360000}"/>
    <cellStyle name="Normal 29 3 5 2 2 2" xfId="8735" xr:uid="{00000000-0005-0000-0000-0000F5360000}"/>
    <cellStyle name="Normal 29 3 5 2 2 2 2" xfId="17183" xr:uid="{00000000-0005-0000-0000-0000F6360000}"/>
    <cellStyle name="Normal 29 3 5 2 2 2 2 2" xfId="34123" xr:uid="{00000000-0005-0000-0000-0000F7360000}"/>
    <cellStyle name="Normal 29 3 5 2 2 2 3" xfId="25675" xr:uid="{00000000-0005-0000-0000-0000F8360000}"/>
    <cellStyle name="Normal 29 3 5 2 2 3" xfId="12959" xr:uid="{00000000-0005-0000-0000-0000F9360000}"/>
    <cellStyle name="Normal 29 3 5 2 2 3 2" xfId="29899" xr:uid="{00000000-0005-0000-0000-0000FA360000}"/>
    <cellStyle name="Normal 29 3 5 2 2 4" xfId="21451" xr:uid="{00000000-0005-0000-0000-0000FB360000}"/>
    <cellStyle name="Normal 29 3 5 2 3" xfId="6623" xr:uid="{00000000-0005-0000-0000-0000FC360000}"/>
    <cellStyle name="Normal 29 3 5 2 3 2" xfId="15071" xr:uid="{00000000-0005-0000-0000-0000FD360000}"/>
    <cellStyle name="Normal 29 3 5 2 3 2 2" xfId="32011" xr:uid="{00000000-0005-0000-0000-0000FE360000}"/>
    <cellStyle name="Normal 29 3 5 2 3 3" xfId="23563" xr:uid="{00000000-0005-0000-0000-0000FF360000}"/>
    <cellStyle name="Normal 29 3 5 2 4" xfId="10847" xr:uid="{00000000-0005-0000-0000-000000370000}"/>
    <cellStyle name="Normal 29 3 5 2 4 2" xfId="27787" xr:uid="{00000000-0005-0000-0000-000001370000}"/>
    <cellStyle name="Normal 29 3 5 2 5" xfId="19339" xr:uid="{00000000-0005-0000-0000-000002370000}"/>
    <cellStyle name="Normal 29 3 5 3" xfId="3453" xr:uid="{00000000-0005-0000-0000-000003370000}"/>
    <cellStyle name="Normal 29 3 5 3 2" xfId="7679" xr:uid="{00000000-0005-0000-0000-000004370000}"/>
    <cellStyle name="Normal 29 3 5 3 2 2" xfId="16127" xr:uid="{00000000-0005-0000-0000-000005370000}"/>
    <cellStyle name="Normal 29 3 5 3 2 2 2" xfId="33067" xr:uid="{00000000-0005-0000-0000-000006370000}"/>
    <cellStyle name="Normal 29 3 5 3 2 3" xfId="24619" xr:uid="{00000000-0005-0000-0000-000007370000}"/>
    <cellStyle name="Normal 29 3 5 3 3" xfId="11903" xr:uid="{00000000-0005-0000-0000-000008370000}"/>
    <cellStyle name="Normal 29 3 5 3 3 2" xfId="28843" xr:uid="{00000000-0005-0000-0000-000009370000}"/>
    <cellStyle name="Normal 29 3 5 3 4" xfId="20395" xr:uid="{00000000-0005-0000-0000-00000A370000}"/>
    <cellStyle name="Normal 29 3 5 4" xfId="5567" xr:uid="{00000000-0005-0000-0000-00000B370000}"/>
    <cellStyle name="Normal 29 3 5 4 2" xfId="14015" xr:uid="{00000000-0005-0000-0000-00000C370000}"/>
    <cellStyle name="Normal 29 3 5 4 2 2" xfId="30955" xr:uid="{00000000-0005-0000-0000-00000D370000}"/>
    <cellStyle name="Normal 29 3 5 4 3" xfId="22507" xr:uid="{00000000-0005-0000-0000-00000E370000}"/>
    <cellStyle name="Normal 29 3 5 5" xfId="9791" xr:uid="{00000000-0005-0000-0000-00000F370000}"/>
    <cellStyle name="Normal 29 3 5 5 2" xfId="26731" xr:uid="{00000000-0005-0000-0000-000010370000}"/>
    <cellStyle name="Normal 29 3 5 6" xfId="18283" xr:uid="{00000000-0005-0000-0000-000011370000}"/>
    <cellStyle name="Normal 29 3 6" xfId="1517" xr:uid="{00000000-0005-0000-0000-000012370000}"/>
    <cellStyle name="Normal 29 3 6 2" xfId="3629" xr:uid="{00000000-0005-0000-0000-000013370000}"/>
    <cellStyle name="Normal 29 3 6 2 2" xfId="7855" xr:uid="{00000000-0005-0000-0000-000014370000}"/>
    <cellStyle name="Normal 29 3 6 2 2 2" xfId="16303" xr:uid="{00000000-0005-0000-0000-000015370000}"/>
    <cellStyle name="Normal 29 3 6 2 2 2 2" xfId="33243" xr:uid="{00000000-0005-0000-0000-000016370000}"/>
    <cellStyle name="Normal 29 3 6 2 2 3" xfId="24795" xr:uid="{00000000-0005-0000-0000-000017370000}"/>
    <cellStyle name="Normal 29 3 6 2 3" xfId="12079" xr:uid="{00000000-0005-0000-0000-000018370000}"/>
    <cellStyle name="Normal 29 3 6 2 3 2" xfId="29019" xr:uid="{00000000-0005-0000-0000-000019370000}"/>
    <cellStyle name="Normal 29 3 6 2 4" xfId="20571" xr:uid="{00000000-0005-0000-0000-00001A370000}"/>
    <cellStyle name="Normal 29 3 6 3" xfId="5743" xr:uid="{00000000-0005-0000-0000-00001B370000}"/>
    <cellStyle name="Normal 29 3 6 3 2" xfId="14191" xr:uid="{00000000-0005-0000-0000-00001C370000}"/>
    <cellStyle name="Normal 29 3 6 3 2 2" xfId="31131" xr:uid="{00000000-0005-0000-0000-00001D370000}"/>
    <cellStyle name="Normal 29 3 6 3 3" xfId="22683" xr:uid="{00000000-0005-0000-0000-00001E370000}"/>
    <cellStyle name="Normal 29 3 6 4" xfId="9967" xr:uid="{00000000-0005-0000-0000-00001F370000}"/>
    <cellStyle name="Normal 29 3 6 4 2" xfId="26907" xr:uid="{00000000-0005-0000-0000-000020370000}"/>
    <cellStyle name="Normal 29 3 6 5" xfId="18459" xr:uid="{00000000-0005-0000-0000-000021370000}"/>
    <cellStyle name="Normal 29 3 7" xfId="2573" xr:uid="{00000000-0005-0000-0000-000022370000}"/>
    <cellStyle name="Normal 29 3 7 2" xfId="6799" xr:uid="{00000000-0005-0000-0000-000023370000}"/>
    <cellStyle name="Normal 29 3 7 2 2" xfId="15247" xr:uid="{00000000-0005-0000-0000-000024370000}"/>
    <cellStyle name="Normal 29 3 7 2 2 2" xfId="32187" xr:uid="{00000000-0005-0000-0000-000025370000}"/>
    <cellStyle name="Normal 29 3 7 2 3" xfId="23739" xr:uid="{00000000-0005-0000-0000-000026370000}"/>
    <cellStyle name="Normal 29 3 7 3" xfId="11023" xr:uid="{00000000-0005-0000-0000-000027370000}"/>
    <cellStyle name="Normal 29 3 7 3 2" xfId="27963" xr:uid="{00000000-0005-0000-0000-000028370000}"/>
    <cellStyle name="Normal 29 3 7 4" xfId="19515" xr:uid="{00000000-0005-0000-0000-000029370000}"/>
    <cellStyle name="Normal 29 3 8" xfId="4686" xr:uid="{00000000-0005-0000-0000-00002A370000}"/>
    <cellStyle name="Normal 29 3 8 2" xfId="13135" xr:uid="{00000000-0005-0000-0000-00002B370000}"/>
    <cellStyle name="Normal 29 3 8 2 2" xfId="30075" xr:uid="{00000000-0005-0000-0000-00002C370000}"/>
    <cellStyle name="Normal 29 3 8 3" xfId="21627" xr:uid="{00000000-0005-0000-0000-00002D370000}"/>
    <cellStyle name="Normal 29 3 9" xfId="8911" xr:uid="{00000000-0005-0000-0000-00002E370000}"/>
    <cellStyle name="Normal 29 3 9 2" xfId="25851" xr:uid="{00000000-0005-0000-0000-00002F370000}"/>
    <cellStyle name="Normal 29 4" xfId="629" xr:uid="{00000000-0005-0000-0000-000030370000}"/>
    <cellStyle name="Normal 29 4 2" xfId="981" xr:uid="{00000000-0005-0000-0000-000031370000}"/>
    <cellStyle name="Normal 29 4 2 2" xfId="2043" xr:uid="{00000000-0005-0000-0000-000032370000}"/>
    <cellStyle name="Normal 29 4 2 2 2" xfId="4155" xr:uid="{00000000-0005-0000-0000-000033370000}"/>
    <cellStyle name="Normal 29 4 2 2 2 2" xfId="8381" xr:uid="{00000000-0005-0000-0000-000034370000}"/>
    <cellStyle name="Normal 29 4 2 2 2 2 2" xfId="16829" xr:uid="{00000000-0005-0000-0000-000035370000}"/>
    <cellStyle name="Normal 29 4 2 2 2 2 2 2" xfId="33769" xr:uid="{00000000-0005-0000-0000-000036370000}"/>
    <cellStyle name="Normal 29 4 2 2 2 2 3" xfId="25321" xr:uid="{00000000-0005-0000-0000-000037370000}"/>
    <cellStyle name="Normal 29 4 2 2 2 3" xfId="12605" xr:uid="{00000000-0005-0000-0000-000038370000}"/>
    <cellStyle name="Normal 29 4 2 2 2 3 2" xfId="29545" xr:uid="{00000000-0005-0000-0000-000039370000}"/>
    <cellStyle name="Normal 29 4 2 2 2 4" xfId="21097" xr:uid="{00000000-0005-0000-0000-00003A370000}"/>
    <cellStyle name="Normal 29 4 2 2 3" xfId="6269" xr:uid="{00000000-0005-0000-0000-00003B370000}"/>
    <cellStyle name="Normal 29 4 2 2 3 2" xfId="14717" xr:uid="{00000000-0005-0000-0000-00003C370000}"/>
    <cellStyle name="Normal 29 4 2 2 3 2 2" xfId="31657" xr:uid="{00000000-0005-0000-0000-00003D370000}"/>
    <cellStyle name="Normal 29 4 2 2 3 3" xfId="23209" xr:uid="{00000000-0005-0000-0000-00003E370000}"/>
    <cellStyle name="Normal 29 4 2 2 4" xfId="10493" xr:uid="{00000000-0005-0000-0000-00003F370000}"/>
    <cellStyle name="Normal 29 4 2 2 4 2" xfId="27433" xr:uid="{00000000-0005-0000-0000-000040370000}"/>
    <cellStyle name="Normal 29 4 2 2 5" xfId="18985" xr:uid="{00000000-0005-0000-0000-000041370000}"/>
    <cellStyle name="Normal 29 4 2 3" xfId="3099" xr:uid="{00000000-0005-0000-0000-000042370000}"/>
    <cellStyle name="Normal 29 4 2 3 2" xfId="7325" xr:uid="{00000000-0005-0000-0000-000043370000}"/>
    <cellStyle name="Normal 29 4 2 3 2 2" xfId="15773" xr:uid="{00000000-0005-0000-0000-000044370000}"/>
    <cellStyle name="Normal 29 4 2 3 2 2 2" xfId="32713" xr:uid="{00000000-0005-0000-0000-000045370000}"/>
    <cellStyle name="Normal 29 4 2 3 2 3" xfId="24265" xr:uid="{00000000-0005-0000-0000-000046370000}"/>
    <cellStyle name="Normal 29 4 2 3 3" xfId="11549" xr:uid="{00000000-0005-0000-0000-000047370000}"/>
    <cellStyle name="Normal 29 4 2 3 3 2" xfId="28489" xr:uid="{00000000-0005-0000-0000-000048370000}"/>
    <cellStyle name="Normal 29 4 2 3 4" xfId="20041" xr:uid="{00000000-0005-0000-0000-000049370000}"/>
    <cellStyle name="Normal 29 4 2 4" xfId="5213" xr:uid="{00000000-0005-0000-0000-00004A370000}"/>
    <cellStyle name="Normal 29 4 2 4 2" xfId="13661" xr:uid="{00000000-0005-0000-0000-00004B370000}"/>
    <cellStyle name="Normal 29 4 2 4 2 2" xfId="30601" xr:uid="{00000000-0005-0000-0000-00004C370000}"/>
    <cellStyle name="Normal 29 4 2 4 3" xfId="22153" xr:uid="{00000000-0005-0000-0000-00004D370000}"/>
    <cellStyle name="Normal 29 4 2 5" xfId="9437" xr:uid="{00000000-0005-0000-0000-00004E370000}"/>
    <cellStyle name="Normal 29 4 2 5 2" xfId="26377" xr:uid="{00000000-0005-0000-0000-00004F370000}"/>
    <cellStyle name="Normal 29 4 2 6" xfId="17929" xr:uid="{00000000-0005-0000-0000-000050370000}"/>
    <cellStyle name="Normal 29 4 3" xfId="1691" xr:uid="{00000000-0005-0000-0000-000051370000}"/>
    <cellStyle name="Normal 29 4 3 2" xfId="3803" xr:uid="{00000000-0005-0000-0000-000052370000}"/>
    <cellStyle name="Normal 29 4 3 2 2" xfId="8029" xr:uid="{00000000-0005-0000-0000-000053370000}"/>
    <cellStyle name="Normal 29 4 3 2 2 2" xfId="16477" xr:uid="{00000000-0005-0000-0000-000054370000}"/>
    <cellStyle name="Normal 29 4 3 2 2 2 2" xfId="33417" xr:uid="{00000000-0005-0000-0000-000055370000}"/>
    <cellStyle name="Normal 29 4 3 2 2 3" xfId="24969" xr:uid="{00000000-0005-0000-0000-000056370000}"/>
    <cellStyle name="Normal 29 4 3 2 3" xfId="12253" xr:uid="{00000000-0005-0000-0000-000057370000}"/>
    <cellStyle name="Normal 29 4 3 2 3 2" xfId="29193" xr:uid="{00000000-0005-0000-0000-000058370000}"/>
    <cellStyle name="Normal 29 4 3 2 4" xfId="20745" xr:uid="{00000000-0005-0000-0000-000059370000}"/>
    <cellStyle name="Normal 29 4 3 3" xfId="5917" xr:uid="{00000000-0005-0000-0000-00005A370000}"/>
    <cellStyle name="Normal 29 4 3 3 2" xfId="14365" xr:uid="{00000000-0005-0000-0000-00005B370000}"/>
    <cellStyle name="Normal 29 4 3 3 2 2" xfId="31305" xr:uid="{00000000-0005-0000-0000-00005C370000}"/>
    <cellStyle name="Normal 29 4 3 3 3" xfId="22857" xr:uid="{00000000-0005-0000-0000-00005D370000}"/>
    <cellStyle name="Normal 29 4 3 4" xfId="10141" xr:uid="{00000000-0005-0000-0000-00005E370000}"/>
    <cellStyle name="Normal 29 4 3 4 2" xfId="27081" xr:uid="{00000000-0005-0000-0000-00005F370000}"/>
    <cellStyle name="Normal 29 4 3 5" xfId="18633" xr:uid="{00000000-0005-0000-0000-000060370000}"/>
    <cellStyle name="Normal 29 4 4" xfId="2747" xr:uid="{00000000-0005-0000-0000-000061370000}"/>
    <cellStyle name="Normal 29 4 4 2" xfId="6973" xr:uid="{00000000-0005-0000-0000-000062370000}"/>
    <cellStyle name="Normal 29 4 4 2 2" xfId="15421" xr:uid="{00000000-0005-0000-0000-000063370000}"/>
    <cellStyle name="Normal 29 4 4 2 2 2" xfId="32361" xr:uid="{00000000-0005-0000-0000-000064370000}"/>
    <cellStyle name="Normal 29 4 4 2 3" xfId="23913" xr:uid="{00000000-0005-0000-0000-000065370000}"/>
    <cellStyle name="Normal 29 4 4 3" xfId="11197" xr:uid="{00000000-0005-0000-0000-000066370000}"/>
    <cellStyle name="Normal 29 4 4 3 2" xfId="28137" xr:uid="{00000000-0005-0000-0000-000067370000}"/>
    <cellStyle name="Normal 29 4 4 4" xfId="19689" xr:uid="{00000000-0005-0000-0000-000068370000}"/>
    <cellStyle name="Normal 29 4 5" xfId="4861" xr:uid="{00000000-0005-0000-0000-000069370000}"/>
    <cellStyle name="Normal 29 4 5 2" xfId="13309" xr:uid="{00000000-0005-0000-0000-00006A370000}"/>
    <cellStyle name="Normal 29 4 5 2 2" xfId="30249" xr:uid="{00000000-0005-0000-0000-00006B370000}"/>
    <cellStyle name="Normal 29 4 5 3" xfId="21801" xr:uid="{00000000-0005-0000-0000-00006C370000}"/>
    <cellStyle name="Normal 29 4 6" xfId="9085" xr:uid="{00000000-0005-0000-0000-00006D370000}"/>
    <cellStyle name="Normal 29 4 6 2" xfId="26025" xr:uid="{00000000-0005-0000-0000-00006E370000}"/>
    <cellStyle name="Normal 29 4 7" xfId="17577" xr:uid="{00000000-0005-0000-0000-00006F370000}"/>
    <cellStyle name="Normal 29 5" xfId="805" xr:uid="{00000000-0005-0000-0000-000070370000}"/>
    <cellStyle name="Normal 29 5 2" xfId="1867" xr:uid="{00000000-0005-0000-0000-000071370000}"/>
    <cellStyle name="Normal 29 5 2 2" xfId="3979" xr:uid="{00000000-0005-0000-0000-000072370000}"/>
    <cellStyle name="Normal 29 5 2 2 2" xfId="8205" xr:uid="{00000000-0005-0000-0000-000073370000}"/>
    <cellStyle name="Normal 29 5 2 2 2 2" xfId="16653" xr:uid="{00000000-0005-0000-0000-000074370000}"/>
    <cellStyle name="Normal 29 5 2 2 2 2 2" xfId="33593" xr:uid="{00000000-0005-0000-0000-000075370000}"/>
    <cellStyle name="Normal 29 5 2 2 2 3" xfId="25145" xr:uid="{00000000-0005-0000-0000-000076370000}"/>
    <cellStyle name="Normal 29 5 2 2 3" xfId="12429" xr:uid="{00000000-0005-0000-0000-000077370000}"/>
    <cellStyle name="Normal 29 5 2 2 3 2" xfId="29369" xr:uid="{00000000-0005-0000-0000-000078370000}"/>
    <cellStyle name="Normal 29 5 2 2 4" xfId="20921" xr:uid="{00000000-0005-0000-0000-000079370000}"/>
    <cellStyle name="Normal 29 5 2 3" xfId="6093" xr:uid="{00000000-0005-0000-0000-00007A370000}"/>
    <cellStyle name="Normal 29 5 2 3 2" xfId="14541" xr:uid="{00000000-0005-0000-0000-00007B370000}"/>
    <cellStyle name="Normal 29 5 2 3 2 2" xfId="31481" xr:uid="{00000000-0005-0000-0000-00007C370000}"/>
    <cellStyle name="Normal 29 5 2 3 3" xfId="23033" xr:uid="{00000000-0005-0000-0000-00007D370000}"/>
    <cellStyle name="Normal 29 5 2 4" xfId="10317" xr:uid="{00000000-0005-0000-0000-00007E370000}"/>
    <cellStyle name="Normal 29 5 2 4 2" xfId="27257" xr:uid="{00000000-0005-0000-0000-00007F370000}"/>
    <cellStyle name="Normal 29 5 2 5" xfId="18809" xr:uid="{00000000-0005-0000-0000-000080370000}"/>
    <cellStyle name="Normal 29 5 3" xfId="2923" xr:uid="{00000000-0005-0000-0000-000081370000}"/>
    <cellStyle name="Normal 29 5 3 2" xfId="7149" xr:uid="{00000000-0005-0000-0000-000082370000}"/>
    <cellStyle name="Normal 29 5 3 2 2" xfId="15597" xr:uid="{00000000-0005-0000-0000-000083370000}"/>
    <cellStyle name="Normal 29 5 3 2 2 2" xfId="32537" xr:uid="{00000000-0005-0000-0000-000084370000}"/>
    <cellStyle name="Normal 29 5 3 2 3" xfId="24089" xr:uid="{00000000-0005-0000-0000-000085370000}"/>
    <cellStyle name="Normal 29 5 3 3" xfId="11373" xr:uid="{00000000-0005-0000-0000-000086370000}"/>
    <cellStyle name="Normal 29 5 3 3 2" xfId="28313" xr:uid="{00000000-0005-0000-0000-000087370000}"/>
    <cellStyle name="Normal 29 5 3 4" xfId="19865" xr:uid="{00000000-0005-0000-0000-000088370000}"/>
    <cellStyle name="Normal 29 5 4" xfId="5037" xr:uid="{00000000-0005-0000-0000-000089370000}"/>
    <cellStyle name="Normal 29 5 4 2" xfId="13485" xr:uid="{00000000-0005-0000-0000-00008A370000}"/>
    <cellStyle name="Normal 29 5 4 2 2" xfId="30425" xr:uid="{00000000-0005-0000-0000-00008B370000}"/>
    <cellStyle name="Normal 29 5 4 3" xfId="21977" xr:uid="{00000000-0005-0000-0000-00008C370000}"/>
    <cellStyle name="Normal 29 5 5" xfId="9261" xr:uid="{00000000-0005-0000-0000-00008D370000}"/>
    <cellStyle name="Normal 29 5 5 2" xfId="26201" xr:uid="{00000000-0005-0000-0000-00008E370000}"/>
    <cellStyle name="Normal 29 5 6" xfId="17753" xr:uid="{00000000-0005-0000-0000-00008F370000}"/>
    <cellStyle name="Normal 29 6" xfId="1157" xr:uid="{00000000-0005-0000-0000-000090370000}"/>
    <cellStyle name="Normal 29 6 2" xfId="2219" xr:uid="{00000000-0005-0000-0000-000091370000}"/>
    <cellStyle name="Normal 29 6 2 2" xfId="4331" xr:uid="{00000000-0005-0000-0000-000092370000}"/>
    <cellStyle name="Normal 29 6 2 2 2" xfId="8557" xr:uid="{00000000-0005-0000-0000-000093370000}"/>
    <cellStyle name="Normal 29 6 2 2 2 2" xfId="17005" xr:uid="{00000000-0005-0000-0000-000094370000}"/>
    <cellStyle name="Normal 29 6 2 2 2 2 2" xfId="33945" xr:uid="{00000000-0005-0000-0000-000095370000}"/>
    <cellStyle name="Normal 29 6 2 2 2 3" xfId="25497" xr:uid="{00000000-0005-0000-0000-000096370000}"/>
    <cellStyle name="Normal 29 6 2 2 3" xfId="12781" xr:uid="{00000000-0005-0000-0000-000097370000}"/>
    <cellStyle name="Normal 29 6 2 2 3 2" xfId="29721" xr:uid="{00000000-0005-0000-0000-000098370000}"/>
    <cellStyle name="Normal 29 6 2 2 4" xfId="21273" xr:uid="{00000000-0005-0000-0000-000099370000}"/>
    <cellStyle name="Normal 29 6 2 3" xfId="6445" xr:uid="{00000000-0005-0000-0000-00009A370000}"/>
    <cellStyle name="Normal 29 6 2 3 2" xfId="14893" xr:uid="{00000000-0005-0000-0000-00009B370000}"/>
    <cellStyle name="Normal 29 6 2 3 2 2" xfId="31833" xr:uid="{00000000-0005-0000-0000-00009C370000}"/>
    <cellStyle name="Normal 29 6 2 3 3" xfId="23385" xr:uid="{00000000-0005-0000-0000-00009D370000}"/>
    <cellStyle name="Normal 29 6 2 4" xfId="10669" xr:uid="{00000000-0005-0000-0000-00009E370000}"/>
    <cellStyle name="Normal 29 6 2 4 2" xfId="27609" xr:uid="{00000000-0005-0000-0000-00009F370000}"/>
    <cellStyle name="Normal 29 6 2 5" xfId="19161" xr:uid="{00000000-0005-0000-0000-0000A0370000}"/>
    <cellStyle name="Normal 29 6 3" xfId="3275" xr:uid="{00000000-0005-0000-0000-0000A1370000}"/>
    <cellStyle name="Normal 29 6 3 2" xfId="7501" xr:uid="{00000000-0005-0000-0000-0000A2370000}"/>
    <cellStyle name="Normal 29 6 3 2 2" xfId="15949" xr:uid="{00000000-0005-0000-0000-0000A3370000}"/>
    <cellStyle name="Normal 29 6 3 2 2 2" xfId="32889" xr:uid="{00000000-0005-0000-0000-0000A4370000}"/>
    <cellStyle name="Normal 29 6 3 2 3" xfId="24441" xr:uid="{00000000-0005-0000-0000-0000A5370000}"/>
    <cellStyle name="Normal 29 6 3 3" xfId="11725" xr:uid="{00000000-0005-0000-0000-0000A6370000}"/>
    <cellStyle name="Normal 29 6 3 3 2" xfId="28665" xr:uid="{00000000-0005-0000-0000-0000A7370000}"/>
    <cellStyle name="Normal 29 6 3 4" xfId="20217" xr:uid="{00000000-0005-0000-0000-0000A8370000}"/>
    <cellStyle name="Normal 29 6 4" xfId="5389" xr:uid="{00000000-0005-0000-0000-0000A9370000}"/>
    <cellStyle name="Normal 29 6 4 2" xfId="13837" xr:uid="{00000000-0005-0000-0000-0000AA370000}"/>
    <cellStyle name="Normal 29 6 4 2 2" xfId="30777" xr:uid="{00000000-0005-0000-0000-0000AB370000}"/>
    <cellStyle name="Normal 29 6 4 3" xfId="22329" xr:uid="{00000000-0005-0000-0000-0000AC370000}"/>
    <cellStyle name="Normal 29 6 5" xfId="9613" xr:uid="{00000000-0005-0000-0000-0000AD370000}"/>
    <cellStyle name="Normal 29 6 5 2" xfId="26553" xr:uid="{00000000-0005-0000-0000-0000AE370000}"/>
    <cellStyle name="Normal 29 6 6" xfId="18105" xr:uid="{00000000-0005-0000-0000-0000AF370000}"/>
    <cellStyle name="Normal 29 7" xfId="1339" xr:uid="{00000000-0005-0000-0000-0000B0370000}"/>
    <cellStyle name="Normal 29 7 2" xfId="2395" xr:uid="{00000000-0005-0000-0000-0000B1370000}"/>
    <cellStyle name="Normal 29 7 2 2" xfId="4507" xr:uid="{00000000-0005-0000-0000-0000B2370000}"/>
    <cellStyle name="Normal 29 7 2 2 2" xfId="8733" xr:uid="{00000000-0005-0000-0000-0000B3370000}"/>
    <cellStyle name="Normal 29 7 2 2 2 2" xfId="17181" xr:uid="{00000000-0005-0000-0000-0000B4370000}"/>
    <cellStyle name="Normal 29 7 2 2 2 2 2" xfId="34121" xr:uid="{00000000-0005-0000-0000-0000B5370000}"/>
    <cellStyle name="Normal 29 7 2 2 2 3" xfId="25673" xr:uid="{00000000-0005-0000-0000-0000B6370000}"/>
    <cellStyle name="Normal 29 7 2 2 3" xfId="12957" xr:uid="{00000000-0005-0000-0000-0000B7370000}"/>
    <cellStyle name="Normal 29 7 2 2 3 2" xfId="29897" xr:uid="{00000000-0005-0000-0000-0000B8370000}"/>
    <cellStyle name="Normal 29 7 2 2 4" xfId="21449" xr:uid="{00000000-0005-0000-0000-0000B9370000}"/>
    <cellStyle name="Normal 29 7 2 3" xfId="6621" xr:uid="{00000000-0005-0000-0000-0000BA370000}"/>
    <cellStyle name="Normal 29 7 2 3 2" xfId="15069" xr:uid="{00000000-0005-0000-0000-0000BB370000}"/>
    <cellStyle name="Normal 29 7 2 3 2 2" xfId="32009" xr:uid="{00000000-0005-0000-0000-0000BC370000}"/>
    <cellStyle name="Normal 29 7 2 3 3" xfId="23561" xr:uid="{00000000-0005-0000-0000-0000BD370000}"/>
    <cellStyle name="Normal 29 7 2 4" xfId="10845" xr:uid="{00000000-0005-0000-0000-0000BE370000}"/>
    <cellStyle name="Normal 29 7 2 4 2" xfId="27785" xr:uid="{00000000-0005-0000-0000-0000BF370000}"/>
    <cellStyle name="Normal 29 7 2 5" xfId="19337" xr:uid="{00000000-0005-0000-0000-0000C0370000}"/>
    <cellStyle name="Normal 29 7 3" xfId="3451" xr:uid="{00000000-0005-0000-0000-0000C1370000}"/>
    <cellStyle name="Normal 29 7 3 2" xfId="7677" xr:uid="{00000000-0005-0000-0000-0000C2370000}"/>
    <cellStyle name="Normal 29 7 3 2 2" xfId="16125" xr:uid="{00000000-0005-0000-0000-0000C3370000}"/>
    <cellStyle name="Normal 29 7 3 2 2 2" xfId="33065" xr:uid="{00000000-0005-0000-0000-0000C4370000}"/>
    <cellStyle name="Normal 29 7 3 2 3" xfId="24617" xr:uid="{00000000-0005-0000-0000-0000C5370000}"/>
    <cellStyle name="Normal 29 7 3 3" xfId="11901" xr:uid="{00000000-0005-0000-0000-0000C6370000}"/>
    <cellStyle name="Normal 29 7 3 3 2" xfId="28841" xr:uid="{00000000-0005-0000-0000-0000C7370000}"/>
    <cellStyle name="Normal 29 7 3 4" xfId="20393" xr:uid="{00000000-0005-0000-0000-0000C8370000}"/>
    <cellStyle name="Normal 29 7 4" xfId="5565" xr:uid="{00000000-0005-0000-0000-0000C9370000}"/>
    <cellStyle name="Normal 29 7 4 2" xfId="14013" xr:uid="{00000000-0005-0000-0000-0000CA370000}"/>
    <cellStyle name="Normal 29 7 4 2 2" xfId="30953" xr:uid="{00000000-0005-0000-0000-0000CB370000}"/>
    <cellStyle name="Normal 29 7 4 3" xfId="22505" xr:uid="{00000000-0005-0000-0000-0000CC370000}"/>
    <cellStyle name="Normal 29 7 5" xfId="9789" xr:uid="{00000000-0005-0000-0000-0000CD370000}"/>
    <cellStyle name="Normal 29 7 5 2" xfId="26729" xr:uid="{00000000-0005-0000-0000-0000CE370000}"/>
    <cellStyle name="Normal 29 7 6" xfId="18281" xr:uid="{00000000-0005-0000-0000-0000CF370000}"/>
    <cellStyle name="Normal 29 8" xfId="1515" xr:uid="{00000000-0005-0000-0000-0000D0370000}"/>
    <cellStyle name="Normal 29 8 2" xfId="3627" xr:uid="{00000000-0005-0000-0000-0000D1370000}"/>
    <cellStyle name="Normal 29 8 2 2" xfId="7853" xr:uid="{00000000-0005-0000-0000-0000D2370000}"/>
    <cellStyle name="Normal 29 8 2 2 2" xfId="16301" xr:uid="{00000000-0005-0000-0000-0000D3370000}"/>
    <cellStyle name="Normal 29 8 2 2 2 2" xfId="33241" xr:uid="{00000000-0005-0000-0000-0000D4370000}"/>
    <cellStyle name="Normal 29 8 2 2 3" xfId="24793" xr:uid="{00000000-0005-0000-0000-0000D5370000}"/>
    <cellStyle name="Normal 29 8 2 3" xfId="12077" xr:uid="{00000000-0005-0000-0000-0000D6370000}"/>
    <cellStyle name="Normal 29 8 2 3 2" xfId="29017" xr:uid="{00000000-0005-0000-0000-0000D7370000}"/>
    <cellStyle name="Normal 29 8 2 4" xfId="20569" xr:uid="{00000000-0005-0000-0000-0000D8370000}"/>
    <cellStyle name="Normal 29 8 3" xfId="5741" xr:uid="{00000000-0005-0000-0000-0000D9370000}"/>
    <cellStyle name="Normal 29 8 3 2" xfId="14189" xr:uid="{00000000-0005-0000-0000-0000DA370000}"/>
    <cellStyle name="Normal 29 8 3 2 2" xfId="31129" xr:uid="{00000000-0005-0000-0000-0000DB370000}"/>
    <cellStyle name="Normal 29 8 3 3" xfId="22681" xr:uid="{00000000-0005-0000-0000-0000DC370000}"/>
    <cellStyle name="Normal 29 8 4" xfId="9965" xr:uid="{00000000-0005-0000-0000-0000DD370000}"/>
    <cellStyle name="Normal 29 8 4 2" xfId="26905" xr:uid="{00000000-0005-0000-0000-0000DE370000}"/>
    <cellStyle name="Normal 29 8 5" xfId="18457" xr:uid="{00000000-0005-0000-0000-0000DF370000}"/>
    <cellStyle name="Normal 29 9" xfId="2571" xr:uid="{00000000-0005-0000-0000-0000E0370000}"/>
    <cellStyle name="Normal 29 9 2" xfId="6797" xr:uid="{00000000-0005-0000-0000-0000E1370000}"/>
    <cellStyle name="Normal 29 9 2 2" xfId="15245" xr:uid="{00000000-0005-0000-0000-0000E2370000}"/>
    <cellStyle name="Normal 29 9 2 2 2" xfId="32185" xr:uid="{00000000-0005-0000-0000-0000E3370000}"/>
    <cellStyle name="Normal 29 9 2 3" xfId="23737" xr:uid="{00000000-0005-0000-0000-0000E4370000}"/>
    <cellStyle name="Normal 29 9 3" xfId="11021" xr:uid="{00000000-0005-0000-0000-0000E5370000}"/>
    <cellStyle name="Normal 29 9 3 2" xfId="27961" xr:uid="{00000000-0005-0000-0000-0000E6370000}"/>
    <cellStyle name="Normal 29 9 4" xfId="19513" xr:uid="{00000000-0005-0000-0000-0000E7370000}"/>
    <cellStyle name="Normal 3" xfId="320" xr:uid="{00000000-0005-0000-0000-0000E8370000}"/>
    <cellStyle name="Normal 3 2" xfId="321" xr:uid="{00000000-0005-0000-0000-0000E9370000}"/>
    <cellStyle name="Normal 3 2 2" xfId="322" xr:uid="{00000000-0005-0000-0000-0000EA370000}"/>
    <cellStyle name="Normal 3 2 3" xfId="323" xr:uid="{00000000-0005-0000-0000-0000EB370000}"/>
    <cellStyle name="Normal 3 2 3 10" xfId="4687" xr:uid="{00000000-0005-0000-0000-0000EC370000}"/>
    <cellStyle name="Normal 3 2 3 10 2" xfId="13136" xr:uid="{00000000-0005-0000-0000-0000ED370000}"/>
    <cellStyle name="Normal 3 2 3 10 2 2" xfId="30076" xr:uid="{00000000-0005-0000-0000-0000EE370000}"/>
    <cellStyle name="Normal 3 2 3 10 3" xfId="21628" xr:uid="{00000000-0005-0000-0000-0000EF370000}"/>
    <cellStyle name="Normal 3 2 3 11" xfId="8912" xr:uid="{00000000-0005-0000-0000-0000F0370000}"/>
    <cellStyle name="Normal 3 2 3 11 2" xfId="25852" xr:uid="{00000000-0005-0000-0000-0000F1370000}"/>
    <cellStyle name="Normal 3 2 3 12" xfId="17404" xr:uid="{00000000-0005-0000-0000-0000F2370000}"/>
    <cellStyle name="Normal 3 2 3 2" xfId="324" xr:uid="{00000000-0005-0000-0000-0000F3370000}"/>
    <cellStyle name="Normal 3 2 3 2 10" xfId="17405" xr:uid="{00000000-0005-0000-0000-0000F4370000}"/>
    <cellStyle name="Normal 3 2 3 2 2" xfId="633" xr:uid="{00000000-0005-0000-0000-0000F5370000}"/>
    <cellStyle name="Normal 3 2 3 2 2 2" xfId="985" xr:uid="{00000000-0005-0000-0000-0000F6370000}"/>
    <cellStyle name="Normal 3 2 3 2 2 2 2" xfId="2047" xr:uid="{00000000-0005-0000-0000-0000F7370000}"/>
    <cellStyle name="Normal 3 2 3 2 2 2 2 2" xfId="4159" xr:uid="{00000000-0005-0000-0000-0000F8370000}"/>
    <cellStyle name="Normal 3 2 3 2 2 2 2 2 2" xfId="8385" xr:uid="{00000000-0005-0000-0000-0000F9370000}"/>
    <cellStyle name="Normal 3 2 3 2 2 2 2 2 2 2" xfId="16833" xr:uid="{00000000-0005-0000-0000-0000FA370000}"/>
    <cellStyle name="Normal 3 2 3 2 2 2 2 2 2 2 2" xfId="33773" xr:uid="{00000000-0005-0000-0000-0000FB370000}"/>
    <cellStyle name="Normal 3 2 3 2 2 2 2 2 2 3" xfId="25325" xr:uid="{00000000-0005-0000-0000-0000FC370000}"/>
    <cellStyle name="Normal 3 2 3 2 2 2 2 2 3" xfId="12609" xr:uid="{00000000-0005-0000-0000-0000FD370000}"/>
    <cellStyle name="Normal 3 2 3 2 2 2 2 2 3 2" xfId="29549" xr:uid="{00000000-0005-0000-0000-0000FE370000}"/>
    <cellStyle name="Normal 3 2 3 2 2 2 2 2 4" xfId="21101" xr:uid="{00000000-0005-0000-0000-0000FF370000}"/>
    <cellStyle name="Normal 3 2 3 2 2 2 2 3" xfId="6273" xr:uid="{00000000-0005-0000-0000-000000380000}"/>
    <cellStyle name="Normal 3 2 3 2 2 2 2 3 2" xfId="14721" xr:uid="{00000000-0005-0000-0000-000001380000}"/>
    <cellStyle name="Normal 3 2 3 2 2 2 2 3 2 2" xfId="31661" xr:uid="{00000000-0005-0000-0000-000002380000}"/>
    <cellStyle name="Normal 3 2 3 2 2 2 2 3 3" xfId="23213" xr:uid="{00000000-0005-0000-0000-000003380000}"/>
    <cellStyle name="Normal 3 2 3 2 2 2 2 4" xfId="10497" xr:uid="{00000000-0005-0000-0000-000004380000}"/>
    <cellStyle name="Normal 3 2 3 2 2 2 2 4 2" xfId="27437" xr:uid="{00000000-0005-0000-0000-000005380000}"/>
    <cellStyle name="Normal 3 2 3 2 2 2 2 5" xfId="18989" xr:uid="{00000000-0005-0000-0000-000006380000}"/>
    <cellStyle name="Normal 3 2 3 2 2 2 3" xfId="3103" xr:uid="{00000000-0005-0000-0000-000007380000}"/>
    <cellStyle name="Normal 3 2 3 2 2 2 3 2" xfId="7329" xr:uid="{00000000-0005-0000-0000-000008380000}"/>
    <cellStyle name="Normal 3 2 3 2 2 2 3 2 2" xfId="15777" xr:uid="{00000000-0005-0000-0000-000009380000}"/>
    <cellStyle name="Normal 3 2 3 2 2 2 3 2 2 2" xfId="32717" xr:uid="{00000000-0005-0000-0000-00000A380000}"/>
    <cellStyle name="Normal 3 2 3 2 2 2 3 2 3" xfId="24269" xr:uid="{00000000-0005-0000-0000-00000B380000}"/>
    <cellStyle name="Normal 3 2 3 2 2 2 3 3" xfId="11553" xr:uid="{00000000-0005-0000-0000-00000C380000}"/>
    <cellStyle name="Normal 3 2 3 2 2 2 3 3 2" xfId="28493" xr:uid="{00000000-0005-0000-0000-00000D380000}"/>
    <cellStyle name="Normal 3 2 3 2 2 2 3 4" xfId="20045" xr:uid="{00000000-0005-0000-0000-00000E380000}"/>
    <cellStyle name="Normal 3 2 3 2 2 2 4" xfId="5217" xr:uid="{00000000-0005-0000-0000-00000F380000}"/>
    <cellStyle name="Normal 3 2 3 2 2 2 4 2" xfId="13665" xr:uid="{00000000-0005-0000-0000-000010380000}"/>
    <cellStyle name="Normal 3 2 3 2 2 2 4 2 2" xfId="30605" xr:uid="{00000000-0005-0000-0000-000011380000}"/>
    <cellStyle name="Normal 3 2 3 2 2 2 4 3" xfId="22157" xr:uid="{00000000-0005-0000-0000-000012380000}"/>
    <cellStyle name="Normal 3 2 3 2 2 2 5" xfId="9441" xr:uid="{00000000-0005-0000-0000-000013380000}"/>
    <cellStyle name="Normal 3 2 3 2 2 2 5 2" xfId="26381" xr:uid="{00000000-0005-0000-0000-000014380000}"/>
    <cellStyle name="Normal 3 2 3 2 2 2 6" xfId="17933" xr:uid="{00000000-0005-0000-0000-000015380000}"/>
    <cellStyle name="Normal 3 2 3 2 2 3" xfId="1695" xr:uid="{00000000-0005-0000-0000-000016380000}"/>
    <cellStyle name="Normal 3 2 3 2 2 3 2" xfId="3807" xr:uid="{00000000-0005-0000-0000-000017380000}"/>
    <cellStyle name="Normal 3 2 3 2 2 3 2 2" xfId="8033" xr:uid="{00000000-0005-0000-0000-000018380000}"/>
    <cellStyle name="Normal 3 2 3 2 2 3 2 2 2" xfId="16481" xr:uid="{00000000-0005-0000-0000-000019380000}"/>
    <cellStyle name="Normal 3 2 3 2 2 3 2 2 2 2" xfId="33421" xr:uid="{00000000-0005-0000-0000-00001A380000}"/>
    <cellStyle name="Normal 3 2 3 2 2 3 2 2 3" xfId="24973" xr:uid="{00000000-0005-0000-0000-00001B380000}"/>
    <cellStyle name="Normal 3 2 3 2 2 3 2 3" xfId="12257" xr:uid="{00000000-0005-0000-0000-00001C380000}"/>
    <cellStyle name="Normal 3 2 3 2 2 3 2 3 2" xfId="29197" xr:uid="{00000000-0005-0000-0000-00001D380000}"/>
    <cellStyle name="Normal 3 2 3 2 2 3 2 4" xfId="20749" xr:uid="{00000000-0005-0000-0000-00001E380000}"/>
    <cellStyle name="Normal 3 2 3 2 2 3 3" xfId="5921" xr:uid="{00000000-0005-0000-0000-00001F380000}"/>
    <cellStyle name="Normal 3 2 3 2 2 3 3 2" xfId="14369" xr:uid="{00000000-0005-0000-0000-000020380000}"/>
    <cellStyle name="Normal 3 2 3 2 2 3 3 2 2" xfId="31309" xr:uid="{00000000-0005-0000-0000-000021380000}"/>
    <cellStyle name="Normal 3 2 3 2 2 3 3 3" xfId="22861" xr:uid="{00000000-0005-0000-0000-000022380000}"/>
    <cellStyle name="Normal 3 2 3 2 2 3 4" xfId="10145" xr:uid="{00000000-0005-0000-0000-000023380000}"/>
    <cellStyle name="Normal 3 2 3 2 2 3 4 2" xfId="27085" xr:uid="{00000000-0005-0000-0000-000024380000}"/>
    <cellStyle name="Normal 3 2 3 2 2 3 5" xfId="18637" xr:uid="{00000000-0005-0000-0000-000025380000}"/>
    <cellStyle name="Normal 3 2 3 2 2 4" xfId="2751" xr:uid="{00000000-0005-0000-0000-000026380000}"/>
    <cellStyle name="Normal 3 2 3 2 2 4 2" xfId="6977" xr:uid="{00000000-0005-0000-0000-000027380000}"/>
    <cellStyle name="Normal 3 2 3 2 2 4 2 2" xfId="15425" xr:uid="{00000000-0005-0000-0000-000028380000}"/>
    <cellStyle name="Normal 3 2 3 2 2 4 2 2 2" xfId="32365" xr:uid="{00000000-0005-0000-0000-000029380000}"/>
    <cellStyle name="Normal 3 2 3 2 2 4 2 3" xfId="23917" xr:uid="{00000000-0005-0000-0000-00002A380000}"/>
    <cellStyle name="Normal 3 2 3 2 2 4 3" xfId="11201" xr:uid="{00000000-0005-0000-0000-00002B380000}"/>
    <cellStyle name="Normal 3 2 3 2 2 4 3 2" xfId="28141" xr:uid="{00000000-0005-0000-0000-00002C380000}"/>
    <cellStyle name="Normal 3 2 3 2 2 4 4" xfId="19693" xr:uid="{00000000-0005-0000-0000-00002D380000}"/>
    <cellStyle name="Normal 3 2 3 2 2 5" xfId="4865" xr:uid="{00000000-0005-0000-0000-00002E380000}"/>
    <cellStyle name="Normal 3 2 3 2 2 5 2" xfId="13313" xr:uid="{00000000-0005-0000-0000-00002F380000}"/>
    <cellStyle name="Normal 3 2 3 2 2 5 2 2" xfId="30253" xr:uid="{00000000-0005-0000-0000-000030380000}"/>
    <cellStyle name="Normal 3 2 3 2 2 5 3" xfId="21805" xr:uid="{00000000-0005-0000-0000-000031380000}"/>
    <cellStyle name="Normal 3 2 3 2 2 6" xfId="9089" xr:uid="{00000000-0005-0000-0000-000032380000}"/>
    <cellStyle name="Normal 3 2 3 2 2 6 2" xfId="26029" xr:uid="{00000000-0005-0000-0000-000033380000}"/>
    <cellStyle name="Normal 3 2 3 2 2 7" xfId="17581" xr:uid="{00000000-0005-0000-0000-000034380000}"/>
    <cellStyle name="Normal 3 2 3 2 3" xfId="809" xr:uid="{00000000-0005-0000-0000-000035380000}"/>
    <cellStyle name="Normal 3 2 3 2 3 2" xfId="1871" xr:uid="{00000000-0005-0000-0000-000036380000}"/>
    <cellStyle name="Normal 3 2 3 2 3 2 2" xfId="3983" xr:uid="{00000000-0005-0000-0000-000037380000}"/>
    <cellStyle name="Normal 3 2 3 2 3 2 2 2" xfId="8209" xr:uid="{00000000-0005-0000-0000-000038380000}"/>
    <cellStyle name="Normal 3 2 3 2 3 2 2 2 2" xfId="16657" xr:uid="{00000000-0005-0000-0000-000039380000}"/>
    <cellStyle name="Normal 3 2 3 2 3 2 2 2 2 2" xfId="33597" xr:uid="{00000000-0005-0000-0000-00003A380000}"/>
    <cellStyle name="Normal 3 2 3 2 3 2 2 2 3" xfId="25149" xr:uid="{00000000-0005-0000-0000-00003B380000}"/>
    <cellStyle name="Normal 3 2 3 2 3 2 2 3" xfId="12433" xr:uid="{00000000-0005-0000-0000-00003C380000}"/>
    <cellStyle name="Normal 3 2 3 2 3 2 2 3 2" xfId="29373" xr:uid="{00000000-0005-0000-0000-00003D380000}"/>
    <cellStyle name="Normal 3 2 3 2 3 2 2 4" xfId="20925" xr:uid="{00000000-0005-0000-0000-00003E380000}"/>
    <cellStyle name="Normal 3 2 3 2 3 2 3" xfId="6097" xr:uid="{00000000-0005-0000-0000-00003F380000}"/>
    <cellStyle name="Normal 3 2 3 2 3 2 3 2" xfId="14545" xr:uid="{00000000-0005-0000-0000-000040380000}"/>
    <cellStyle name="Normal 3 2 3 2 3 2 3 2 2" xfId="31485" xr:uid="{00000000-0005-0000-0000-000041380000}"/>
    <cellStyle name="Normal 3 2 3 2 3 2 3 3" xfId="23037" xr:uid="{00000000-0005-0000-0000-000042380000}"/>
    <cellStyle name="Normal 3 2 3 2 3 2 4" xfId="10321" xr:uid="{00000000-0005-0000-0000-000043380000}"/>
    <cellStyle name="Normal 3 2 3 2 3 2 4 2" xfId="27261" xr:uid="{00000000-0005-0000-0000-000044380000}"/>
    <cellStyle name="Normal 3 2 3 2 3 2 5" xfId="18813" xr:uid="{00000000-0005-0000-0000-000045380000}"/>
    <cellStyle name="Normal 3 2 3 2 3 3" xfId="2927" xr:uid="{00000000-0005-0000-0000-000046380000}"/>
    <cellStyle name="Normal 3 2 3 2 3 3 2" xfId="7153" xr:uid="{00000000-0005-0000-0000-000047380000}"/>
    <cellStyle name="Normal 3 2 3 2 3 3 2 2" xfId="15601" xr:uid="{00000000-0005-0000-0000-000048380000}"/>
    <cellStyle name="Normal 3 2 3 2 3 3 2 2 2" xfId="32541" xr:uid="{00000000-0005-0000-0000-000049380000}"/>
    <cellStyle name="Normal 3 2 3 2 3 3 2 3" xfId="24093" xr:uid="{00000000-0005-0000-0000-00004A380000}"/>
    <cellStyle name="Normal 3 2 3 2 3 3 3" xfId="11377" xr:uid="{00000000-0005-0000-0000-00004B380000}"/>
    <cellStyle name="Normal 3 2 3 2 3 3 3 2" xfId="28317" xr:uid="{00000000-0005-0000-0000-00004C380000}"/>
    <cellStyle name="Normal 3 2 3 2 3 3 4" xfId="19869" xr:uid="{00000000-0005-0000-0000-00004D380000}"/>
    <cellStyle name="Normal 3 2 3 2 3 4" xfId="5041" xr:uid="{00000000-0005-0000-0000-00004E380000}"/>
    <cellStyle name="Normal 3 2 3 2 3 4 2" xfId="13489" xr:uid="{00000000-0005-0000-0000-00004F380000}"/>
    <cellStyle name="Normal 3 2 3 2 3 4 2 2" xfId="30429" xr:uid="{00000000-0005-0000-0000-000050380000}"/>
    <cellStyle name="Normal 3 2 3 2 3 4 3" xfId="21981" xr:uid="{00000000-0005-0000-0000-000051380000}"/>
    <cellStyle name="Normal 3 2 3 2 3 5" xfId="9265" xr:uid="{00000000-0005-0000-0000-000052380000}"/>
    <cellStyle name="Normal 3 2 3 2 3 5 2" xfId="26205" xr:uid="{00000000-0005-0000-0000-000053380000}"/>
    <cellStyle name="Normal 3 2 3 2 3 6" xfId="17757" xr:uid="{00000000-0005-0000-0000-000054380000}"/>
    <cellStyle name="Normal 3 2 3 2 4" xfId="1161" xr:uid="{00000000-0005-0000-0000-000055380000}"/>
    <cellStyle name="Normal 3 2 3 2 4 2" xfId="2223" xr:uid="{00000000-0005-0000-0000-000056380000}"/>
    <cellStyle name="Normal 3 2 3 2 4 2 2" xfId="4335" xr:uid="{00000000-0005-0000-0000-000057380000}"/>
    <cellStyle name="Normal 3 2 3 2 4 2 2 2" xfId="8561" xr:uid="{00000000-0005-0000-0000-000058380000}"/>
    <cellStyle name="Normal 3 2 3 2 4 2 2 2 2" xfId="17009" xr:uid="{00000000-0005-0000-0000-000059380000}"/>
    <cellStyle name="Normal 3 2 3 2 4 2 2 2 2 2" xfId="33949" xr:uid="{00000000-0005-0000-0000-00005A380000}"/>
    <cellStyle name="Normal 3 2 3 2 4 2 2 2 3" xfId="25501" xr:uid="{00000000-0005-0000-0000-00005B380000}"/>
    <cellStyle name="Normal 3 2 3 2 4 2 2 3" xfId="12785" xr:uid="{00000000-0005-0000-0000-00005C380000}"/>
    <cellStyle name="Normal 3 2 3 2 4 2 2 3 2" xfId="29725" xr:uid="{00000000-0005-0000-0000-00005D380000}"/>
    <cellStyle name="Normal 3 2 3 2 4 2 2 4" xfId="21277" xr:uid="{00000000-0005-0000-0000-00005E380000}"/>
    <cellStyle name="Normal 3 2 3 2 4 2 3" xfId="6449" xr:uid="{00000000-0005-0000-0000-00005F380000}"/>
    <cellStyle name="Normal 3 2 3 2 4 2 3 2" xfId="14897" xr:uid="{00000000-0005-0000-0000-000060380000}"/>
    <cellStyle name="Normal 3 2 3 2 4 2 3 2 2" xfId="31837" xr:uid="{00000000-0005-0000-0000-000061380000}"/>
    <cellStyle name="Normal 3 2 3 2 4 2 3 3" xfId="23389" xr:uid="{00000000-0005-0000-0000-000062380000}"/>
    <cellStyle name="Normal 3 2 3 2 4 2 4" xfId="10673" xr:uid="{00000000-0005-0000-0000-000063380000}"/>
    <cellStyle name="Normal 3 2 3 2 4 2 4 2" xfId="27613" xr:uid="{00000000-0005-0000-0000-000064380000}"/>
    <cellStyle name="Normal 3 2 3 2 4 2 5" xfId="19165" xr:uid="{00000000-0005-0000-0000-000065380000}"/>
    <cellStyle name="Normal 3 2 3 2 4 3" xfId="3279" xr:uid="{00000000-0005-0000-0000-000066380000}"/>
    <cellStyle name="Normal 3 2 3 2 4 3 2" xfId="7505" xr:uid="{00000000-0005-0000-0000-000067380000}"/>
    <cellStyle name="Normal 3 2 3 2 4 3 2 2" xfId="15953" xr:uid="{00000000-0005-0000-0000-000068380000}"/>
    <cellStyle name="Normal 3 2 3 2 4 3 2 2 2" xfId="32893" xr:uid="{00000000-0005-0000-0000-000069380000}"/>
    <cellStyle name="Normal 3 2 3 2 4 3 2 3" xfId="24445" xr:uid="{00000000-0005-0000-0000-00006A380000}"/>
    <cellStyle name="Normal 3 2 3 2 4 3 3" xfId="11729" xr:uid="{00000000-0005-0000-0000-00006B380000}"/>
    <cellStyle name="Normal 3 2 3 2 4 3 3 2" xfId="28669" xr:uid="{00000000-0005-0000-0000-00006C380000}"/>
    <cellStyle name="Normal 3 2 3 2 4 3 4" xfId="20221" xr:uid="{00000000-0005-0000-0000-00006D380000}"/>
    <cellStyle name="Normal 3 2 3 2 4 4" xfId="5393" xr:uid="{00000000-0005-0000-0000-00006E380000}"/>
    <cellStyle name="Normal 3 2 3 2 4 4 2" xfId="13841" xr:uid="{00000000-0005-0000-0000-00006F380000}"/>
    <cellStyle name="Normal 3 2 3 2 4 4 2 2" xfId="30781" xr:uid="{00000000-0005-0000-0000-000070380000}"/>
    <cellStyle name="Normal 3 2 3 2 4 4 3" xfId="22333" xr:uid="{00000000-0005-0000-0000-000071380000}"/>
    <cellStyle name="Normal 3 2 3 2 4 5" xfId="9617" xr:uid="{00000000-0005-0000-0000-000072380000}"/>
    <cellStyle name="Normal 3 2 3 2 4 5 2" xfId="26557" xr:uid="{00000000-0005-0000-0000-000073380000}"/>
    <cellStyle name="Normal 3 2 3 2 4 6" xfId="18109" xr:uid="{00000000-0005-0000-0000-000074380000}"/>
    <cellStyle name="Normal 3 2 3 2 5" xfId="1343" xr:uid="{00000000-0005-0000-0000-000075380000}"/>
    <cellStyle name="Normal 3 2 3 2 5 2" xfId="2399" xr:uid="{00000000-0005-0000-0000-000076380000}"/>
    <cellStyle name="Normal 3 2 3 2 5 2 2" xfId="4511" xr:uid="{00000000-0005-0000-0000-000077380000}"/>
    <cellStyle name="Normal 3 2 3 2 5 2 2 2" xfId="8737" xr:uid="{00000000-0005-0000-0000-000078380000}"/>
    <cellStyle name="Normal 3 2 3 2 5 2 2 2 2" xfId="17185" xr:uid="{00000000-0005-0000-0000-000079380000}"/>
    <cellStyle name="Normal 3 2 3 2 5 2 2 2 2 2" xfId="34125" xr:uid="{00000000-0005-0000-0000-00007A380000}"/>
    <cellStyle name="Normal 3 2 3 2 5 2 2 2 3" xfId="25677" xr:uid="{00000000-0005-0000-0000-00007B380000}"/>
    <cellStyle name="Normal 3 2 3 2 5 2 2 3" xfId="12961" xr:uid="{00000000-0005-0000-0000-00007C380000}"/>
    <cellStyle name="Normal 3 2 3 2 5 2 2 3 2" xfId="29901" xr:uid="{00000000-0005-0000-0000-00007D380000}"/>
    <cellStyle name="Normal 3 2 3 2 5 2 2 4" xfId="21453" xr:uid="{00000000-0005-0000-0000-00007E380000}"/>
    <cellStyle name="Normal 3 2 3 2 5 2 3" xfId="6625" xr:uid="{00000000-0005-0000-0000-00007F380000}"/>
    <cellStyle name="Normal 3 2 3 2 5 2 3 2" xfId="15073" xr:uid="{00000000-0005-0000-0000-000080380000}"/>
    <cellStyle name="Normal 3 2 3 2 5 2 3 2 2" xfId="32013" xr:uid="{00000000-0005-0000-0000-000081380000}"/>
    <cellStyle name="Normal 3 2 3 2 5 2 3 3" xfId="23565" xr:uid="{00000000-0005-0000-0000-000082380000}"/>
    <cellStyle name="Normal 3 2 3 2 5 2 4" xfId="10849" xr:uid="{00000000-0005-0000-0000-000083380000}"/>
    <cellStyle name="Normal 3 2 3 2 5 2 4 2" xfId="27789" xr:uid="{00000000-0005-0000-0000-000084380000}"/>
    <cellStyle name="Normal 3 2 3 2 5 2 5" xfId="19341" xr:uid="{00000000-0005-0000-0000-000085380000}"/>
    <cellStyle name="Normal 3 2 3 2 5 3" xfId="3455" xr:uid="{00000000-0005-0000-0000-000086380000}"/>
    <cellStyle name="Normal 3 2 3 2 5 3 2" xfId="7681" xr:uid="{00000000-0005-0000-0000-000087380000}"/>
    <cellStyle name="Normal 3 2 3 2 5 3 2 2" xfId="16129" xr:uid="{00000000-0005-0000-0000-000088380000}"/>
    <cellStyle name="Normal 3 2 3 2 5 3 2 2 2" xfId="33069" xr:uid="{00000000-0005-0000-0000-000089380000}"/>
    <cellStyle name="Normal 3 2 3 2 5 3 2 3" xfId="24621" xr:uid="{00000000-0005-0000-0000-00008A380000}"/>
    <cellStyle name="Normal 3 2 3 2 5 3 3" xfId="11905" xr:uid="{00000000-0005-0000-0000-00008B380000}"/>
    <cellStyle name="Normal 3 2 3 2 5 3 3 2" xfId="28845" xr:uid="{00000000-0005-0000-0000-00008C380000}"/>
    <cellStyle name="Normal 3 2 3 2 5 3 4" xfId="20397" xr:uid="{00000000-0005-0000-0000-00008D380000}"/>
    <cellStyle name="Normal 3 2 3 2 5 4" xfId="5569" xr:uid="{00000000-0005-0000-0000-00008E380000}"/>
    <cellStyle name="Normal 3 2 3 2 5 4 2" xfId="14017" xr:uid="{00000000-0005-0000-0000-00008F380000}"/>
    <cellStyle name="Normal 3 2 3 2 5 4 2 2" xfId="30957" xr:uid="{00000000-0005-0000-0000-000090380000}"/>
    <cellStyle name="Normal 3 2 3 2 5 4 3" xfId="22509" xr:uid="{00000000-0005-0000-0000-000091380000}"/>
    <cellStyle name="Normal 3 2 3 2 5 5" xfId="9793" xr:uid="{00000000-0005-0000-0000-000092380000}"/>
    <cellStyle name="Normal 3 2 3 2 5 5 2" xfId="26733" xr:uid="{00000000-0005-0000-0000-000093380000}"/>
    <cellStyle name="Normal 3 2 3 2 5 6" xfId="18285" xr:uid="{00000000-0005-0000-0000-000094380000}"/>
    <cellStyle name="Normal 3 2 3 2 6" xfId="1519" xr:uid="{00000000-0005-0000-0000-000095380000}"/>
    <cellStyle name="Normal 3 2 3 2 6 2" xfId="3631" xr:uid="{00000000-0005-0000-0000-000096380000}"/>
    <cellStyle name="Normal 3 2 3 2 6 2 2" xfId="7857" xr:uid="{00000000-0005-0000-0000-000097380000}"/>
    <cellStyle name="Normal 3 2 3 2 6 2 2 2" xfId="16305" xr:uid="{00000000-0005-0000-0000-000098380000}"/>
    <cellStyle name="Normal 3 2 3 2 6 2 2 2 2" xfId="33245" xr:uid="{00000000-0005-0000-0000-000099380000}"/>
    <cellStyle name="Normal 3 2 3 2 6 2 2 3" xfId="24797" xr:uid="{00000000-0005-0000-0000-00009A380000}"/>
    <cellStyle name="Normal 3 2 3 2 6 2 3" xfId="12081" xr:uid="{00000000-0005-0000-0000-00009B380000}"/>
    <cellStyle name="Normal 3 2 3 2 6 2 3 2" xfId="29021" xr:uid="{00000000-0005-0000-0000-00009C380000}"/>
    <cellStyle name="Normal 3 2 3 2 6 2 4" xfId="20573" xr:uid="{00000000-0005-0000-0000-00009D380000}"/>
    <cellStyle name="Normal 3 2 3 2 6 3" xfId="5745" xr:uid="{00000000-0005-0000-0000-00009E380000}"/>
    <cellStyle name="Normal 3 2 3 2 6 3 2" xfId="14193" xr:uid="{00000000-0005-0000-0000-00009F380000}"/>
    <cellStyle name="Normal 3 2 3 2 6 3 2 2" xfId="31133" xr:uid="{00000000-0005-0000-0000-0000A0380000}"/>
    <cellStyle name="Normal 3 2 3 2 6 3 3" xfId="22685" xr:uid="{00000000-0005-0000-0000-0000A1380000}"/>
    <cellStyle name="Normal 3 2 3 2 6 4" xfId="9969" xr:uid="{00000000-0005-0000-0000-0000A2380000}"/>
    <cellStyle name="Normal 3 2 3 2 6 4 2" xfId="26909" xr:uid="{00000000-0005-0000-0000-0000A3380000}"/>
    <cellStyle name="Normal 3 2 3 2 6 5" xfId="18461" xr:uid="{00000000-0005-0000-0000-0000A4380000}"/>
    <cellStyle name="Normal 3 2 3 2 7" xfId="2575" xr:uid="{00000000-0005-0000-0000-0000A5380000}"/>
    <cellStyle name="Normal 3 2 3 2 7 2" xfId="6801" xr:uid="{00000000-0005-0000-0000-0000A6380000}"/>
    <cellStyle name="Normal 3 2 3 2 7 2 2" xfId="15249" xr:uid="{00000000-0005-0000-0000-0000A7380000}"/>
    <cellStyle name="Normal 3 2 3 2 7 2 2 2" xfId="32189" xr:uid="{00000000-0005-0000-0000-0000A8380000}"/>
    <cellStyle name="Normal 3 2 3 2 7 2 3" xfId="23741" xr:uid="{00000000-0005-0000-0000-0000A9380000}"/>
    <cellStyle name="Normal 3 2 3 2 7 3" xfId="11025" xr:uid="{00000000-0005-0000-0000-0000AA380000}"/>
    <cellStyle name="Normal 3 2 3 2 7 3 2" xfId="27965" xr:uid="{00000000-0005-0000-0000-0000AB380000}"/>
    <cellStyle name="Normal 3 2 3 2 7 4" xfId="19517" xr:uid="{00000000-0005-0000-0000-0000AC380000}"/>
    <cellStyle name="Normal 3 2 3 2 8" xfId="4688" xr:uid="{00000000-0005-0000-0000-0000AD380000}"/>
    <cellStyle name="Normal 3 2 3 2 8 2" xfId="13137" xr:uid="{00000000-0005-0000-0000-0000AE380000}"/>
    <cellStyle name="Normal 3 2 3 2 8 2 2" xfId="30077" xr:uid="{00000000-0005-0000-0000-0000AF380000}"/>
    <cellStyle name="Normal 3 2 3 2 8 3" xfId="21629" xr:uid="{00000000-0005-0000-0000-0000B0380000}"/>
    <cellStyle name="Normal 3 2 3 2 9" xfId="8913" xr:uid="{00000000-0005-0000-0000-0000B1380000}"/>
    <cellStyle name="Normal 3 2 3 2 9 2" xfId="25853" xr:uid="{00000000-0005-0000-0000-0000B2380000}"/>
    <cellStyle name="Normal 3 2 3 3" xfId="325" xr:uid="{00000000-0005-0000-0000-0000B3380000}"/>
    <cellStyle name="Normal 3 2 3 3 10" xfId="17406" xr:uid="{00000000-0005-0000-0000-0000B4380000}"/>
    <cellStyle name="Normal 3 2 3 3 2" xfId="634" xr:uid="{00000000-0005-0000-0000-0000B5380000}"/>
    <cellStyle name="Normal 3 2 3 3 2 2" xfId="986" xr:uid="{00000000-0005-0000-0000-0000B6380000}"/>
    <cellStyle name="Normal 3 2 3 3 2 2 2" xfId="2048" xr:uid="{00000000-0005-0000-0000-0000B7380000}"/>
    <cellStyle name="Normal 3 2 3 3 2 2 2 2" xfId="4160" xr:uid="{00000000-0005-0000-0000-0000B8380000}"/>
    <cellStyle name="Normal 3 2 3 3 2 2 2 2 2" xfId="8386" xr:uid="{00000000-0005-0000-0000-0000B9380000}"/>
    <cellStyle name="Normal 3 2 3 3 2 2 2 2 2 2" xfId="16834" xr:uid="{00000000-0005-0000-0000-0000BA380000}"/>
    <cellStyle name="Normal 3 2 3 3 2 2 2 2 2 2 2" xfId="33774" xr:uid="{00000000-0005-0000-0000-0000BB380000}"/>
    <cellStyle name="Normal 3 2 3 3 2 2 2 2 2 3" xfId="25326" xr:uid="{00000000-0005-0000-0000-0000BC380000}"/>
    <cellStyle name="Normal 3 2 3 3 2 2 2 2 3" xfId="12610" xr:uid="{00000000-0005-0000-0000-0000BD380000}"/>
    <cellStyle name="Normal 3 2 3 3 2 2 2 2 3 2" xfId="29550" xr:uid="{00000000-0005-0000-0000-0000BE380000}"/>
    <cellStyle name="Normal 3 2 3 3 2 2 2 2 4" xfId="21102" xr:uid="{00000000-0005-0000-0000-0000BF380000}"/>
    <cellStyle name="Normal 3 2 3 3 2 2 2 3" xfId="6274" xr:uid="{00000000-0005-0000-0000-0000C0380000}"/>
    <cellStyle name="Normal 3 2 3 3 2 2 2 3 2" xfId="14722" xr:uid="{00000000-0005-0000-0000-0000C1380000}"/>
    <cellStyle name="Normal 3 2 3 3 2 2 2 3 2 2" xfId="31662" xr:uid="{00000000-0005-0000-0000-0000C2380000}"/>
    <cellStyle name="Normal 3 2 3 3 2 2 2 3 3" xfId="23214" xr:uid="{00000000-0005-0000-0000-0000C3380000}"/>
    <cellStyle name="Normal 3 2 3 3 2 2 2 4" xfId="10498" xr:uid="{00000000-0005-0000-0000-0000C4380000}"/>
    <cellStyle name="Normal 3 2 3 3 2 2 2 4 2" xfId="27438" xr:uid="{00000000-0005-0000-0000-0000C5380000}"/>
    <cellStyle name="Normal 3 2 3 3 2 2 2 5" xfId="18990" xr:uid="{00000000-0005-0000-0000-0000C6380000}"/>
    <cellStyle name="Normal 3 2 3 3 2 2 3" xfId="3104" xr:uid="{00000000-0005-0000-0000-0000C7380000}"/>
    <cellStyle name="Normal 3 2 3 3 2 2 3 2" xfId="7330" xr:uid="{00000000-0005-0000-0000-0000C8380000}"/>
    <cellStyle name="Normal 3 2 3 3 2 2 3 2 2" xfId="15778" xr:uid="{00000000-0005-0000-0000-0000C9380000}"/>
    <cellStyle name="Normal 3 2 3 3 2 2 3 2 2 2" xfId="32718" xr:uid="{00000000-0005-0000-0000-0000CA380000}"/>
    <cellStyle name="Normal 3 2 3 3 2 2 3 2 3" xfId="24270" xr:uid="{00000000-0005-0000-0000-0000CB380000}"/>
    <cellStyle name="Normal 3 2 3 3 2 2 3 3" xfId="11554" xr:uid="{00000000-0005-0000-0000-0000CC380000}"/>
    <cellStyle name="Normal 3 2 3 3 2 2 3 3 2" xfId="28494" xr:uid="{00000000-0005-0000-0000-0000CD380000}"/>
    <cellStyle name="Normal 3 2 3 3 2 2 3 4" xfId="20046" xr:uid="{00000000-0005-0000-0000-0000CE380000}"/>
    <cellStyle name="Normal 3 2 3 3 2 2 4" xfId="5218" xr:uid="{00000000-0005-0000-0000-0000CF380000}"/>
    <cellStyle name="Normal 3 2 3 3 2 2 4 2" xfId="13666" xr:uid="{00000000-0005-0000-0000-0000D0380000}"/>
    <cellStyle name="Normal 3 2 3 3 2 2 4 2 2" xfId="30606" xr:uid="{00000000-0005-0000-0000-0000D1380000}"/>
    <cellStyle name="Normal 3 2 3 3 2 2 4 3" xfId="22158" xr:uid="{00000000-0005-0000-0000-0000D2380000}"/>
    <cellStyle name="Normal 3 2 3 3 2 2 5" xfId="9442" xr:uid="{00000000-0005-0000-0000-0000D3380000}"/>
    <cellStyle name="Normal 3 2 3 3 2 2 5 2" xfId="26382" xr:uid="{00000000-0005-0000-0000-0000D4380000}"/>
    <cellStyle name="Normal 3 2 3 3 2 2 6" xfId="17934" xr:uid="{00000000-0005-0000-0000-0000D5380000}"/>
    <cellStyle name="Normal 3 2 3 3 2 3" xfId="1696" xr:uid="{00000000-0005-0000-0000-0000D6380000}"/>
    <cellStyle name="Normal 3 2 3 3 2 3 2" xfId="3808" xr:uid="{00000000-0005-0000-0000-0000D7380000}"/>
    <cellStyle name="Normal 3 2 3 3 2 3 2 2" xfId="8034" xr:uid="{00000000-0005-0000-0000-0000D8380000}"/>
    <cellStyle name="Normal 3 2 3 3 2 3 2 2 2" xfId="16482" xr:uid="{00000000-0005-0000-0000-0000D9380000}"/>
    <cellStyle name="Normal 3 2 3 3 2 3 2 2 2 2" xfId="33422" xr:uid="{00000000-0005-0000-0000-0000DA380000}"/>
    <cellStyle name="Normal 3 2 3 3 2 3 2 2 3" xfId="24974" xr:uid="{00000000-0005-0000-0000-0000DB380000}"/>
    <cellStyle name="Normal 3 2 3 3 2 3 2 3" xfId="12258" xr:uid="{00000000-0005-0000-0000-0000DC380000}"/>
    <cellStyle name="Normal 3 2 3 3 2 3 2 3 2" xfId="29198" xr:uid="{00000000-0005-0000-0000-0000DD380000}"/>
    <cellStyle name="Normal 3 2 3 3 2 3 2 4" xfId="20750" xr:uid="{00000000-0005-0000-0000-0000DE380000}"/>
    <cellStyle name="Normal 3 2 3 3 2 3 3" xfId="5922" xr:uid="{00000000-0005-0000-0000-0000DF380000}"/>
    <cellStyle name="Normal 3 2 3 3 2 3 3 2" xfId="14370" xr:uid="{00000000-0005-0000-0000-0000E0380000}"/>
    <cellStyle name="Normal 3 2 3 3 2 3 3 2 2" xfId="31310" xr:uid="{00000000-0005-0000-0000-0000E1380000}"/>
    <cellStyle name="Normal 3 2 3 3 2 3 3 3" xfId="22862" xr:uid="{00000000-0005-0000-0000-0000E2380000}"/>
    <cellStyle name="Normal 3 2 3 3 2 3 4" xfId="10146" xr:uid="{00000000-0005-0000-0000-0000E3380000}"/>
    <cellStyle name="Normal 3 2 3 3 2 3 4 2" xfId="27086" xr:uid="{00000000-0005-0000-0000-0000E4380000}"/>
    <cellStyle name="Normal 3 2 3 3 2 3 5" xfId="18638" xr:uid="{00000000-0005-0000-0000-0000E5380000}"/>
    <cellStyle name="Normal 3 2 3 3 2 4" xfId="2752" xr:uid="{00000000-0005-0000-0000-0000E6380000}"/>
    <cellStyle name="Normal 3 2 3 3 2 4 2" xfId="6978" xr:uid="{00000000-0005-0000-0000-0000E7380000}"/>
    <cellStyle name="Normal 3 2 3 3 2 4 2 2" xfId="15426" xr:uid="{00000000-0005-0000-0000-0000E8380000}"/>
    <cellStyle name="Normal 3 2 3 3 2 4 2 2 2" xfId="32366" xr:uid="{00000000-0005-0000-0000-0000E9380000}"/>
    <cellStyle name="Normal 3 2 3 3 2 4 2 3" xfId="23918" xr:uid="{00000000-0005-0000-0000-0000EA380000}"/>
    <cellStyle name="Normal 3 2 3 3 2 4 3" xfId="11202" xr:uid="{00000000-0005-0000-0000-0000EB380000}"/>
    <cellStyle name="Normal 3 2 3 3 2 4 3 2" xfId="28142" xr:uid="{00000000-0005-0000-0000-0000EC380000}"/>
    <cellStyle name="Normal 3 2 3 3 2 4 4" xfId="19694" xr:uid="{00000000-0005-0000-0000-0000ED380000}"/>
    <cellStyle name="Normal 3 2 3 3 2 5" xfId="4866" xr:uid="{00000000-0005-0000-0000-0000EE380000}"/>
    <cellStyle name="Normal 3 2 3 3 2 5 2" xfId="13314" xr:uid="{00000000-0005-0000-0000-0000EF380000}"/>
    <cellStyle name="Normal 3 2 3 3 2 5 2 2" xfId="30254" xr:uid="{00000000-0005-0000-0000-0000F0380000}"/>
    <cellStyle name="Normal 3 2 3 3 2 5 3" xfId="21806" xr:uid="{00000000-0005-0000-0000-0000F1380000}"/>
    <cellStyle name="Normal 3 2 3 3 2 6" xfId="9090" xr:uid="{00000000-0005-0000-0000-0000F2380000}"/>
    <cellStyle name="Normal 3 2 3 3 2 6 2" xfId="26030" xr:uid="{00000000-0005-0000-0000-0000F3380000}"/>
    <cellStyle name="Normal 3 2 3 3 2 7" xfId="17582" xr:uid="{00000000-0005-0000-0000-0000F4380000}"/>
    <cellStyle name="Normal 3 2 3 3 3" xfId="810" xr:uid="{00000000-0005-0000-0000-0000F5380000}"/>
    <cellStyle name="Normal 3 2 3 3 3 2" xfId="1872" xr:uid="{00000000-0005-0000-0000-0000F6380000}"/>
    <cellStyle name="Normal 3 2 3 3 3 2 2" xfId="3984" xr:uid="{00000000-0005-0000-0000-0000F7380000}"/>
    <cellStyle name="Normal 3 2 3 3 3 2 2 2" xfId="8210" xr:uid="{00000000-0005-0000-0000-0000F8380000}"/>
    <cellStyle name="Normal 3 2 3 3 3 2 2 2 2" xfId="16658" xr:uid="{00000000-0005-0000-0000-0000F9380000}"/>
    <cellStyle name="Normal 3 2 3 3 3 2 2 2 2 2" xfId="33598" xr:uid="{00000000-0005-0000-0000-0000FA380000}"/>
    <cellStyle name="Normal 3 2 3 3 3 2 2 2 3" xfId="25150" xr:uid="{00000000-0005-0000-0000-0000FB380000}"/>
    <cellStyle name="Normal 3 2 3 3 3 2 2 3" xfId="12434" xr:uid="{00000000-0005-0000-0000-0000FC380000}"/>
    <cellStyle name="Normal 3 2 3 3 3 2 2 3 2" xfId="29374" xr:uid="{00000000-0005-0000-0000-0000FD380000}"/>
    <cellStyle name="Normal 3 2 3 3 3 2 2 4" xfId="20926" xr:uid="{00000000-0005-0000-0000-0000FE380000}"/>
    <cellStyle name="Normal 3 2 3 3 3 2 3" xfId="6098" xr:uid="{00000000-0005-0000-0000-0000FF380000}"/>
    <cellStyle name="Normal 3 2 3 3 3 2 3 2" xfId="14546" xr:uid="{00000000-0005-0000-0000-000000390000}"/>
    <cellStyle name="Normal 3 2 3 3 3 2 3 2 2" xfId="31486" xr:uid="{00000000-0005-0000-0000-000001390000}"/>
    <cellStyle name="Normal 3 2 3 3 3 2 3 3" xfId="23038" xr:uid="{00000000-0005-0000-0000-000002390000}"/>
    <cellStyle name="Normal 3 2 3 3 3 2 4" xfId="10322" xr:uid="{00000000-0005-0000-0000-000003390000}"/>
    <cellStyle name="Normal 3 2 3 3 3 2 4 2" xfId="27262" xr:uid="{00000000-0005-0000-0000-000004390000}"/>
    <cellStyle name="Normal 3 2 3 3 3 2 5" xfId="18814" xr:uid="{00000000-0005-0000-0000-000005390000}"/>
    <cellStyle name="Normal 3 2 3 3 3 3" xfId="2928" xr:uid="{00000000-0005-0000-0000-000006390000}"/>
    <cellStyle name="Normal 3 2 3 3 3 3 2" xfId="7154" xr:uid="{00000000-0005-0000-0000-000007390000}"/>
    <cellStyle name="Normal 3 2 3 3 3 3 2 2" xfId="15602" xr:uid="{00000000-0005-0000-0000-000008390000}"/>
    <cellStyle name="Normal 3 2 3 3 3 3 2 2 2" xfId="32542" xr:uid="{00000000-0005-0000-0000-000009390000}"/>
    <cellStyle name="Normal 3 2 3 3 3 3 2 3" xfId="24094" xr:uid="{00000000-0005-0000-0000-00000A390000}"/>
    <cellStyle name="Normal 3 2 3 3 3 3 3" xfId="11378" xr:uid="{00000000-0005-0000-0000-00000B390000}"/>
    <cellStyle name="Normal 3 2 3 3 3 3 3 2" xfId="28318" xr:uid="{00000000-0005-0000-0000-00000C390000}"/>
    <cellStyle name="Normal 3 2 3 3 3 3 4" xfId="19870" xr:uid="{00000000-0005-0000-0000-00000D390000}"/>
    <cellStyle name="Normal 3 2 3 3 3 4" xfId="5042" xr:uid="{00000000-0005-0000-0000-00000E390000}"/>
    <cellStyle name="Normal 3 2 3 3 3 4 2" xfId="13490" xr:uid="{00000000-0005-0000-0000-00000F390000}"/>
    <cellStyle name="Normal 3 2 3 3 3 4 2 2" xfId="30430" xr:uid="{00000000-0005-0000-0000-000010390000}"/>
    <cellStyle name="Normal 3 2 3 3 3 4 3" xfId="21982" xr:uid="{00000000-0005-0000-0000-000011390000}"/>
    <cellStyle name="Normal 3 2 3 3 3 5" xfId="9266" xr:uid="{00000000-0005-0000-0000-000012390000}"/>
    <cellStyle name="Normal 3 2 3 3 3 5 2" xfId="26206" xr:uid="{00000000-0005-0000-0000-000013390000}"/>
    <cellStyle name="Normal 3 2 3 3 3 6" xfId="17758" xr:uid="{00000000-0005-0000-0000-000014390000}"/>
    <cellStyle name="Normal 3 2 3 3 4" xfId="1162" xr:uid="{00000000-0005-0000-0000-000015390000}"/>
    <cellStyle name="Normal 3 2 3 3 4 2" xfId="2224" xr:uid="{00000000-0005-0000-0000-000016390000}"/>
    <cellStyle name="Normal 3 2 3 3 4 2 2" xfId="4336" xr:uid="{00000000-0005-0000-0000-000017390000}"/>
    <cellStyle name="Normal 3 2 3 3 4 2 2 2" xfId="8562" xr:uid="{00000000-0005-0000-0000-000018390000}"/>
    <cellStyle name="Normal 3 2 3 3 4 2 2 2 2" xfId="17010" xr:uid="{00000000-0005-0000-0000-000019390000}"/>
    <cellStyle name="Normal 3 2 3 3 4 2 2 2 2 2" xfId="33950" xr:uid="{00000000-0005-0000-0000-00001A390000}"/>
    <cellStyle name="Normal 3 2 3 3 4 2 2 2 3" xfId="25502" xr:uid="{00000000-0005-0000-0000-00001B390000}"/>
    <cellStyle name="Normal 3 2 3 3 4 2 2 3" xfId="12786" xr:uid="{00000000-0005-0000-0000-00001C390000}"/>
    <cellStyle name="Normal 3 2 3 3 4 2 2 3 2" xfId="29726" xr:uid="{00000000-0005-0000-0000-00001D390000}"/>
    <cellStyle name="Normal 3 2 3 3 4 2 2 4" xfId="21278" xr:uid="{00000000-0005-0000-0000-00001E390000}"/>
    <cellStyle name="Normal 3 2 3 3 4 2 3" xfId="6450" xr:uid="{00000000-0005-0000-0000-00001F390000}"/>
    <cellStyle name="Normal 3 2 3 3 4 2 3 2" xfId="14898" xr:uid="{00000000-0005-0000-0000-000020390000}"/>
    <cellStyle name="Normal 3 2 3 3 4 2 3 2 2" xfId="31838" xr:uid="{00000000-0005-0000-0000-000021390000}"/>
    <cellStyle name="Normal 3 2 3 3 4 2 3 3" xfId="23390" xr:uid="{00000000-0005-0000-0000-000022390000}"/>
    <cellStyle name="Normal 3 2 3 3 4 2 4" xfId="10674" xr:uid="{00000000-0005-0000-0000-000023390000}"/>
    <cellStyle name="Normal 3 2 3 3 4 2 4 2" xfId="27614" xr:uid="{00000000-0005-0000-0000-000024390000}"/>
    <cellStyle name="Normal 3 2 3 3 4 2 5" xfId="19166" xr:uid="{00000000-0005-0000-0000-000025390000}"/>
    <cellStyle name="Normal 3 2 3 3 4 3" xfId="3280" xr:uid="{00000000-0005-0000-0000-000026390000}"/>
    <cellStyle name="Normal 3 2 3 3 4 3 2" xfId="7506" xr:uid="{00000000-0005-0000-0000-000027390000}"/>
    <cellStyle name="Normal 3 2 3 3 4 3 2 2" xfId="15954" xr:uid="{00000000-0005-0000-0000-000028390000}"/>
    <cellStyle name="Normal 3 2 3 3 4 3 2 2 2" xfId="32894" xr:uid="{00000000-0005-0000-0000-000029390000}"/>
    <cellStyle name="Normal 3 2 3 3 4 3 2 3" xfId="24446" xr:uid="{00000000-0005-0000-0000-00002A390000}"/>
    <cellStyle name="Normal 3 2 3 3 4 3 3" xfId="11730" xr:uid="{00000000-0005-0000-0000-00002B390000}"/>
    <cellStyle name="Normal 3 2 3 3 4 3 3 2" xfId="28670" xr:uid="{00000000-0005-0000-0000-00002C390000}"/>
    <cellStyle name="Normal 3 2 3 3 4 3 4" xfId="20222" xr:uid="{00000000-0005-0000-0000-00002D390000}"/>
    <cellStyle name="Normal 3 2 3 3 4 4" xfId="5394" xr:uid="{00000000-0005-0000-0000-00002E390000}"/>
    <cellStyle name="Normal 3 2 3 3 4 4 2" xfId="13842" xr:uid="{00000000-0005-0000-0000-00002F390000}"/>
    <cellStyle name="Normal 3 2 3 3 4 4 2 2" xfId="30782" xr:uid="{00000000-0005-0000-0000-000030390000}"/>
    <cellStyle name="Normal 3 2 3 3 4 4 3" xfId="22334" xr:uid="{00000000-0005-0000-0000-000031390000}"/>
    <cellStyle name="Normal 3 2 3 3 4 5" xfId="9618" xr:uid="{00000000-0005-0000-0000-000032390000}"/>
    <cellStyle name="Normal 3 2 3 3 4 5 2" xfId="26558" xr:uid="{00000000-0005-0000-0000-000033390000}"/>
    <cellStyle name="Normal 3 2 3 3 4 6" xfId="18110" xr:uid="{00000000-0005-0000-0000-000034390000}"/>
    <cellStyle name="Normal 3 2 3 3 5" xfId="1344" xr:uid="{00000000-0005-0000-0000-000035390000}"/>
    <cellStyle name="Normal 3 2 3 3 5 2" xfId="2400" xr:uid="{00000000-0005-0000-0000-000036390000}"/>
    <cellStyle name="Normal 3 2 3 3 5 2 2" xfId="4512" xr:uid="{00000000-0005-0000-0000-000037390000}"/>
    <cellStyle name="Normal 3 2 3 3 5 2 2 2" xfId="8738" xr:uid="{00000000-0005-0000-0000-000038390000}"/>
    <cellStyle name="Normal 3 2 3 3 5 2 2 2 2" xfId="17186" xr:uid="{00000000-0005-0000-0000-000039390000}"/>
    <cellStyle name="Normal 3 2 3 3 5 2 2 2 2 2" xfId="34126" xr:uid="{00000000-0005-0000-0000-00003A390000}"/>
    <cellStyle name="Normal 3 2 3 3 5 2 2 2 3" xfId="25678" xr:uid="{00000000-0005-0000-0000-00003B390000}"/>
    <cellStyle name="Normal 3 2 3 3 5 2 2 3" xfId="12962" xr:uid="{00000000-0005-0000-0000-00003C390000}"/>
    <cellStyle name="Normal 3 2 3 3 5 2 2 3 2" xfId="29902" xr:uid="{00000000-0005-0000-0000-00003D390000}"/>
    <cellStyle name="Normal 3 2 3 3 5 2 2 4" xfId="21454" xr:uid="{00000000-0005-0000-0000-00003E390000}"/>
    <cellStyle name="Normal 3 2 3 3 5 2 3" xfId="6626" xr:uid="{00000000-0005-0000-0000-00003F390000}"/>
    <cellStyle name="Normal 3 2 3 3 5 2 3 2" xfId="15074" xr:uid="{00000000-0005-0000-0000-000040390000}"/>
    <cellStyle name="Normal 3 2 3 3 5 2 3 2 2" xfId="32014" xr:uid="{00000000-0005-0000-0000-000041390000}"/>
    <cellStyle name="Normal 3 2 3 3 5 2 3 3" xfId="23566" xr:uid="{00000000-0005-0000-0000-000042390000}"/>
    <cellStyle name="Normal 3 2 3 3 5 2 4" xfId="10850" xr:uid="{00000000-0005-0000-0000-000043390000}"/>
    <cellStyle name="Normal 3 2 3 3 5 2 4 2" xfId="27790" xr:uid="{00000000-0005-0000-0000-000044390000}"/>
    <cellStyle name="Normal 3 2 3 3 5 2 5" xfId="19342" xr:uid="{00000000-0005-0000-0000-000045390000}"/>
    <cellStyle name="Normal 3 2 3 3 5 3" xfId="3456" xr:uid="{00000000-0005-0000-0000-000046390000}"/>
    <cellStyle name="Normal 3 2 3 3 5 3 2" xfId="7682" xr:uid="{00000000-0005-0000-0000-000047390000}"/>
    <cellStyle name="Normal 3 2 3 3 5 3 2 2" xfId="16130" xr:uid="{00000000-0005-0000-0000-000048390000}"/>
    <cellStyle name="Normal 3 2 3 3 5 3 2 2 2" xfId="33070" xr:uid="{00000000-0005-0000-0000-000049390000}"/>
    <cellStyle name="Normal 3 2 3 3 5 3 2 3" xfId="24622" xr:uid="{00000000-0005-0000-0000-00004A390000}"/>
    <cellStyle name="Normal 3 2 3 3 5 3 3" xfId="11906" xr:uid="{00000000-0005-0000-0000-00004B390000}"/>
    <cellStyle name="Normal 3 2 3 3 5 3 3 2" xfId="28846" xr:uid="{00000000-0005-0000-0000-00004C390000}"/>
    <cellStyle name="Normal 3 2 3 3 5 3 4" xfId="20398" xr:uid="{00000000-0005-0000-0000-00004D390000}"/>
    <cellStyle name="Normal 3 2 3 3 5 4" xfId="5570" xr:uid="{00000000-0005-0000-0000-00004E390000}"/>
    <cellStyle name="Normal 3 2 3 3 5 4 2" xfId="14018" xr:uid="{00000000-0005-0000-0000-00004F390000}"/>
    <cellStyle name="Normal 3 2 3 3 5 4 2 2" xfId="30958" xr:uid="{00000000-0005-0000-0000-000050390000}"/>
    <cellStyle name="Normal 3 2 3 3 5 4 3" xfId="22510" xr:uid="{00000000-0005-0000-0000-000051390000}"/>
    <cellStyle name="Normal 3 2 3 3 5 5" xfId="9794" xr:uid="{00000000-0005-0000-0000-000052390000}"/>
    <cellStyle name="Normal 3 2 3 3 5 5 2" xfId="26734" xr:uid="{00000000-0005-0000-0000-000053390000}"/>
    <cellStyle name="Normal 3 2 3 3 5 6" xfId="18286" xr:uid="{00000000-0005-0000-0000-000054390000}"/>
    <cellStyle name="Normal 3 2 3 3 6" xfId="1520" xr:uid="{00000000-0005-0000-0000-000055390000}"/>
    <cellStyle name="Normal 3 2 3 3 6 2" xfId="3632" xr:uid="{00000000-0005-0000-0000-000056390000}"/>
    <cellStyle name="Normal 3 2 3 3 6 2 2" xfId="7858" xr:uid="{00000000-0005-0000-0000-000057390000}"/>
    <cellStyle name="Normal 3 2 3 3 6 2 2 2" xfId="16306" xr:uid="{00000000-0005-0000-0000-000058390000}"/>
    <cellStyle name="Normal 3 2 3 3 6 2 2 2 2" xfId="33246" xr:uid="{00000000-0005-0000-0000-000059390000}"/>
    <cellStyle name="Normal 3 2 3 3 6 2 2 3" xfId="24798" xr:uid="{00000000-0005-0000-0000-00005A390000}"/>
    <cellStyle name="Normal 3 2 3 3 6 2 3" xfId="12082" xr:uid="{00000000-0005-0000-0000-00005B390000}"/>
    <cellStyle name="Normal 3 2 3 3 6 2 3 2" xfId="29022" xr:uid="{00000000-0005-0000-0000-00005C390000}"/>
    <cellStyle name="Normal 3 2 3 3 6 2 4" xfId="20574" xr:uid="{00000000-0005-0000-0000-00005D390000}"/>
    <cellStyle name="Normal 3 2 3 3 6 3" xfId="5746" xr:uid="{00000000-0005-0000-0000-00005E390000}"/>
    <cellStyle name="Normal 3 2 3 3 6 3 2" xfId="14194" xr:uid="{00000000-0005-0000-0000-00005F390000}"/>
    <cellStyle name="Normal 3 2 3 3 6 3 2 2" xfId="31134" xr:uid="{00000000-0005-0000-0000-000060390000}"/>
    <cellStyle name="Normal 3 2 3 3 6 3 3" xfId="22686" xr:uid="{00000000-0005-0000-0000-000061390000}"/>
    <cellStyle name="Normal 3 2 3 3 6 4" xfId="9970" xr:uid="{00000000-0005-0000-0000-000062390000}"/>
    <cellStyle name="Normal 3 2 3 3 6 4 2" xfId="26910" xr:uid="{00000000-0005-0000-0000-000063390000}"/>
    <cellStyle name="Normal 3 2 3 3 6 5" xfId="18462" xr:uid="{00000000-0005-0000-0000-000064390000}"/>
    <cellStyle name="Normal 3 2 3 3 7" xfId="2576" xr:uid="{00000000-0005-0000-0000-000065390000}"/>
    <cellStyle name="Normal 3 2 3 3 7 2" xfId="6802" xr:uid="{00000000-0005-0000-0000-000066390000}"/>
    <cellStyle name="Normal 3 2 3 3 7 2 2" xfId="15250" xr:uid="{00000000-0005-0000-0000-000067390000}"/>
    <cellStyle name="Normal 3 2 3 3 7 2 2 2" xfId="32190" xr:uid="{00000000-0005-0000-0000-000068390000}"/>
    <cellStyle name="Normal 3 2 3 3 7 2 3" xfId="23742" xr:uid="{00000000-0005-0000-0000-000069390000}"/>
    <cellStyle name="Normal 3 2 3 3 7 3" xfId="11026" xr:uid="{00000000-0005-0000-0000-00006A390000}"/>
    <cellStyle name="Normal 3 2 3 3 7 3 2" xfId="27966" xr:uid="{00000000-0005-0000-0000-00006B390000}"/>
    <cellStyle name="Normal 3 2 3 3 7 4" xfId="19518" xr:uid="{00000000-0005-0000-0000-00006C390000}"/>
    <cellStyle name="Normal 3 2 3 3 8" xfId="4689" xr:uid="{00000000-0005-0000-0000-00006D390000}"/>
    <cellStyle name="Normal 3 2 3 3 8 2" xfId="13138" xr:uid="{00000000-0005-0000-0000-00006E390000}"/>
    <cellStyle name="Normal 3 2 3 3 8 2 2" xfId="30078" xr:uid="{00000000-0005-0000-0000-00006F390000}"/>
    <cellStyle name="Normal 3 2 3 3 8 3" xfId="21630" xr:uid="{00000000-0005-0000-0000-000070390000}"/>
    <cellStyle name="Normal 3 2 3 3 9" xfId="8914" xr:uid="{00000000-0005-0000-0000-000071390000}"/>
    <cellStyle name="Normal 3 2 3 3 9 2" xfId="25854" xr:uid="{00000000-0005-0000-0000-000072390000}"/>
    <cellStyle name="Normal 3 2 3 4" xfId="632" xr:uid="{00000000-0005-0000-0000-000073390000}"/>
    <cellStyle name="Normal 3 2 3 4 2" xfId="984" xr:uid="{00000000-0005-0000-0000-000074390000}"/>
    <cellStyle name="Normal 3 2 3 4 2 2" xfId="2046" xr:uid="{00000000-0005-0000-0000-000075390000}"/>
    <cellStyle name="Normal 3 2 3 4 2 2 2" xfId="4158" xr:uid="{00000000-0005-0000-0000-000076390000}"/>
    <cellStyle name="Normal 3 2 3 4 2 2 2 2" xfId="8384" xr:uid="{00000000-0005-0000-0000-000077390000}"/>
    <cellStyle name="Normal 3 2 3 4 2 2 2 2 2" xfId="16832" xr:uid="{00000000-0005-0000-0000-000078390000}"/>
    <cellStyle name="Normal 3 2 3 4 2 2 2 2 2 2" xfId="33772" xr:uid="{00000000-0005-0000-0000-000079390000}"/>
    <cellStyle name="Normal 3 2 3 4 2 2 2 2 3" xfId="25324" xr:uid="{00000000-0005-0000-0000-00007A390000}"/>
    <cellStyle name="Normal 3 2 3 4 2 2 2 3" xfId="12608" xr:uid="{00000000-0005-0000-0000-00007B390000}"/>
    <cellStyle name="Normal 3 2 3 4 2 2 2 3 2" xfId="29548" xr:uid="{00000000-0005-0000-0000-00007C390000}"/>
    <cellStyle name="Normal 3 2 3 4 2 2 2 4" xfId="21100" xr:uid="{00000000-0005-0000-0000-00007D390000}"/>
    <cellStyle name="Normal 3 2 3 4 2 2 3" xfId="6272" xr:uid="{00000000-0005-0000-0000-00007E390000}"/>
    <cellStyle name="Normal 3 2 3 4 2 2 3 2" xfId="14720" xr:uid="{00000000-0005-0000-0000-00007F390000}"/>
    <cellStyle name="Normal 3 2 3 4 2 2 3 2 2" xfId="31660" xr:uid="{00000000-0005-0000-0000-000080390000}"/>
    <cellStyle name="Normal 3 2 3 4 2 2 3 3" xfId="23212" xr:uid="{00000000-0005-0000-0000-000081390000}"/>
    <cellStyle name="Normal 3 2 3 4 2 2 4" xfId="10496" xr:uid="{00000000-0005-0000-0000-000082390000}"/>
    <cellStyle name="Normal 3 2 3 4 2 2 4 2" xfId="27436" xr:uid="{00000000-0005-0000-0000-000083390000}"/>
    <cellStyle name="Normal 3 2 3 4 2 2 5" xfId="18988" xr:uid="{00000000-0005-0000-0000-000084390000}"/>
    <cellStyle name="Normal 3 2 3 4 2 3" xfId="3102" xr:uid="{00000000-0005-0000-0000-000085390000}"/>
    <cellStyle name="Normal 3 2 3 4 2 3 2" xfId="7328" xr:uid="{00000000-0005-0000-0000-000086390000}"/>
    <cellStyle name="Normal 3 2 3 4 2 3 2 2" xfId="15776" xr:uid="{00000000-0005-0000-0000-000087390000}"/>
    <cellStyle name="Normal 3 2 3 4 2 3 2 2 2" xfId="32716" xr:uid="{00000000-0005-0000-0000-000088390000}"/>
    <cellStyle name="Normal 3 2 3 4 2 3 2 3" xfId="24268" xr:uid="{00000000-0005-0000-0000-000089390000}"/>
    <cellStyle name="Normal 3 2 3 4 2 3 3" xfId="11552" xr:uid="{00000000-0005-0000-0000-00008A390000}"/>
    <cellStyle name="Normal 3 2 3 4 2 3 3 2" xfId="28492" xr:uid="{00000000-0005-0000-0000-00008B390000}"/>
    <cellStyle name="Normal 3 2 3 4 2 3 4" xfId="20044" xr:uid="{00000000-0005-0000-0000-00008C390000}"/>
    <cellStyle name="Normal 3 2 3 4 2 4" xfId="5216" xr:uid="{00000000-0005-0000-0000-00008D390000}"/>
    <cellStyle name="Normal 3 2 3 4 2 4 2" xfId="13664" xr:uid="{00000000-0005-0000-0000-00008E390000}"/>
    <cellStyle name="Normal 3 2 3 4 2 4 2 2" xfId="30604" xr:uid="{00000000-0005-0000-0000-00008F390000}"/>
    <cellStyle name="Normal 3 2 3 4 2 4 3" xfId="22156" xr:uid="{00000000-0005-0000-0000-000090390000}"/>
    <cellStyle name="Normal 3 2 3 4 2 5" xfId="9440" xr:uid="{00000000-0005-0000-0000-000091390000}"/>
    <cellStyle name="Normal 3 2 3 4 2 5 2" xfId="26380" xr:uid="{00000000-0005-0000-0000-000092390000}"/>
    <cellStyle name="Normal 3 2 3 4 2 6" xfId="17932" xr:uid="{00000000-0005-0000-0000-000093390000}"/>
    <cellStyle name="Normal 3 2 3 4 3" xfId="1694" xr:uid="{00000000-0005-0000-0000-000094390000}"/>
    <cellStyle name="Normal 3 2 3 4 3 2" xfId="3806" xr:uid="{00000000-0005-0000-0000-000095390000}"/>
    <cellStyle name="Normal 3 2 3 4 3 2 2" xfId="8032" xr:uid="{00000000-0005-0000-0000-000096390000}"/>
    <cellStyle name="Normal 3 2 3 4 3 2 2 2" xfId="16480" xr:uid="{00000000-0005-0000-0000-000097390000}"/>
    <cellStyle name="Normal 3 2 3 4 3 2 2 2 2" xfId="33420" xr:uid="{00000000-0005-0000-0000-000098390000}"/>
    <cellStyle name="Normal 3 2 3 4 3 2 2 3" xfId="24972" xr:uid="{00000000-0005-0000-0000-000099390000}"/>
    <cellStyle name="Normal 3 2 3 4 3 2 3" xfId="12256" xr:uid="{00000000-0005-0000-0000-00009A390000}"/>
    <cellStyle name="Normal 3 2 3 4 3 2 3 2" xfId="29196" xr:uid="{00000000-0005-0000-0000-00009B390000}"/>
    <cellStyle name="Normal 3 2 3 4 3 2 4" xfId="20748" xr:uid="{00000000-0005-0000-0000-00009C390000}"/>
    <cellStyle name="Normal 3 2 3 4 3 3" xfId="5920" xr:uid="{00000000-0005-0000-0000-00009D390000}"/>
    <cellStyle name="Normal 3 2 3 4 3 3 2" xfId="14368" xr:uid="{00000000-0005-0000-0000-00009E390000}"/>
    <cellStyle name="Normal 3 2 3 4 3 3 2 2" xfId="31308" xr:uid="{00000000-0005-0000-0000-00009F390000}"/>
    <cellStyle name="Normal 3 2 3 4 3 3 3" xfId="22860" xr:uid="{00000000-0005-0000-0000-0000A0390000}"/>
    <cellStyle name="Normal 3 2 3 4 3 4" xfId="10144" xr:uid="{00000000-0005-0000-0000-0000A1390000}"/>
    <cellStyle name="Normal 3 2 3 4 3 4 2" xfId="27084" xr:uid="{00000000-0005-0000-0000-0000A2390000}"/>
    <cellStyle name="Normal 3 2 3 4 3 5" xfId="18636" xr:uid="{00000000-0005-0000-0000-0000A3390000}"/>
    <cellStyle name="Normal 3 2 3 4 4" xfId="2750" xr:uid="{00000000-0005-0000-0000-0000A4390000}"/>
    <cellStyle name="Normal 3 2 3 4 4 2" xfId="6976" xr:uid="{00000000-0005-0000-0000-0000A5390000}"/>
    <cellStyle name="Normal 3 2 3 4 4 2 2" xfId="15424" xr:uid="{00000000-0005-0000-0000-0000A6390000}"/>
    <cellStyle name="Normal 3 2 3 4 4 2 2 2" xfId="32364" xr:uid="{00000000-0005-0000-0000-0000A7390000}"/>
    <cellStyle name="Normal 3 2 3 4 4 2 3" xfId="23916" xr:uid="{00000000-0005-0000-0000-0000A8390000}"/>
    <cellStyle name="Normal 3 2 3 4 4 3" xfId="11200" xr:uid="{00000000-0005-0000-0000-0000A9390000}"/>
    <cellStyle name="Normal 3 2 3 4 4 3 2" xfId="28140" xr:uid="{00000000-0005-0000-0000-0000AA390000}"/>
    <cellStyle name="Normal 3 2 3 4 4 4" xfId="19692" xr:uid="{00000000-0005-0000-0000-0000AB390000}"/>
    <cellStyle name="Normal 3 2 3 4 5" xfId="4864" xr:uid="{00000000-0005-0000-0000-0000AC390000}"/>
    <cellStyle name="Normal 3 2 3 4 5 2" xfId="13312" xr:uid="{00000000-0005-0000-0000-0000AD390000}"/>
    <cellStyle name="Normal 3 2 3 4 5 2 2" xfId="30252" xr:uid="{00000000-0005-0000-0000-0000AE390000}"/>
    <cellStyle name="Normal 3 2 3 4 5 3" xfId="21804" xr:uid="{00000000-0005-0000-0000-0000AF390000}"/>
    <cellStyle name="Normal 3 2 3 4 6" xfId="9088" xr:uid="{00000000-0005-0000-0000-0000B0390000}"/>
    <cellStyle name="Normal 3 2 3 4 6 2" xfId="26028" xr:uid="{00000000-0005-0000-0000-0000B1390000}"/>
    <cellStyle name="Normal 3 2 3 4 7" xfId="17580" xr:uid="{00000000-0005-0000-0000-0000B2390000}"/>
    <cellStyle name="Normal 3 2 3 5" xfId="808" xr:uid="{00000000-0005-0000-0000-0000B3390000}"/>
    <cellStyle name="Normal 3 2 3 5 2" xfId="1870" xr:uid="{00000000-0005-0000-0000-0000B4390000}"/>
    <cellStyle name="Normal 3 2 3 5 2 2" xfId="3982" xr:uid="{00000000-0005-0000-0000-0000B5390000}"/>
    <cellStyle name="Normal 3 2 3 5 2 2 2" xfId="8208" xr:uid="{00000000-0005-0000-0000-0000B6390000}"/>
    <cellStyle name="Normal 3 2 3 5 2 2 2 2" xfId="16656" xr:uid="{00000000-0005-0000-0000-0000B7390000}"/>
    <cellStyle name="Normal 3 2 3 5 2 2 2 2 2" xfId="33596" xr:uid="{00000000-0005-0000-0000-0000B8390000}"/>
    <cellStyle name="Normal 3 2 3 5 2 2 2 3" xfId="25148" xr:uid="{00000000-0005-0000-0000-0000B9390000}"/>
    <cellStyle name="Normal 3 2 3 5 2 2 3" xfId="12432" xr:uid="{00000000-0005-0000-0000-0000BA390000}"/>
    <cellStyle name="Normal 3 2 3 5 2 2 3 2" xfId="29372" xr:uid="{00000000-0005-0000-0000-0000BB390000}"/>
    <cellStyle name="Normal 3 2 3 5 2 2 4" xfId="20924" xr:uid="{00000000-0005-0000-0000-0000BC390000}"/>
    <cellStyle name="Normal 3 2 3 5 2 3" xfId="6096" xr:uid="{00000000-0005-0000-0000-0000BD390000}"/>
    <cellStyle name="Normal 3 2 3 5 2 3 2" xfId="14544" xr:uid="{00000000-0005-0000-0000-0000BE390000}"/>
    <cellStyle name="Normal 3 2 3 5 2 3 2 2" xfId="31484" xr:uid="{00000000-0005-0000-0000-0000BF390000}"/>
    <cellStyle name="Normal 3 2 3 5 2 3 3" xfId="23036" xr:uid="{00000000-0005-0000-0000-0000C0390000}"/>
    <cellStyle name="Normal 3 2 3 5 2 4" xfId="10320" xr:uid="{00000000-0005-0000-0000-0000C1390000}"/>
    <cellStyle name="Normal 3 2 3 5 2 4 2" xfId="27260" xr:uid="{00000000-0005-0000-0000-0000C2390000}"/>
    <cellStyle name="Normal 3 2 3 5 2 5" xfId="18812" xr:uid="{00000000-0005-0000-0000-0000C3390000}"/>
    <cellStyle name="Normal 3 2 3 5 3" xfId="2926" xr:uid="{00000000-0005-0000-0000-0000C4390000}"/>
    <cellStyle name="Normal 3 2 3 5 3 2" xfId="7152" xr:uid="{00000000-0005-0000-0000-0000C5390000}"/>
    <cellStyle name="Normal 3 2 3 5 3 2 2" xfId="15600" xr:uid="{00000000-0005-0000-0000-0000C6390000}"/>
    <cellStyle name="Normal 3 2 3 5 3 2 2 2" xfId="32540" xr:uid="{00000000-0005-0000-0000-0000C7390000}"/>
    <cellStyle name="Normal 3 2 3 5 3 2 3" xfId="24092" xr:uid="{00000000-0005-0000-0000-0000C8390000}"/>
    <cellStyle name="Normal 3 2 3 5 3 3" xfId="11376" xr:uid="{00000000-0005-0000-0000-0000C9390000}"/>
    <cellStyle name="Normal 3 2 3 5 3 3 2" xfId="28316" xr:uid="{00000000-0005-0000-0000-0000CA390000}"/>
    <cellStyle name="Normal 3 2 3 5 3 4" xfId="19868" xr:uid="{00000000-0005-0000-0000-0000CB390000}"/>
    <cellStyle name="Normal 3 2 3 5 4" xfId="5040" xr:uid="{00000000-0005-0000-0000-0000CC390000}"/>
    <cellStyle name="Normal 3 2 3 5 4 2" xfId="13488" xr:uid="{00000000-0005-0000-0000-0000CD390000}"/>
    <cellStyle name="Normal 3 2 3 5 4 2 2" xfId="30428" xr:uid="{00000000-0005-0000-0000-0000CE390000}"/>
    <cellStyle name="Normal 3 2 3 5 4 3" xfId="21980" xr:uid="{00000000-0005-0000-0000-0000CF390000}"/>
    <cellStyle name="Normal 3 2 3 5 5" xfId="9264" xr:uid="{00000000-0005-0000-0000-0000D0390000}"/>
    <cellStyle name="Normal 3 2 3 5 5 2" xfId="26204" xr:uid="{00000000-0005-0000-0000-0000D1390000}"/>
    <cellStyle name="Normal 3 2 3 5 6" xfId="17756" xr:uid="{00000000-0005-0000-0000-0000D2390000}"/>
    <cellStyle name="Normal 3 2 3 6" xfId="1160" xr:uid="{00000000-0005-0000-0000-0000D3390000}"/>
    <cellStyle name="Normal 3 2 3 6 2" xfId="2222" xr:uid="{00000000-0005-0000-0000-0000D4390000}"/>
    <cellStyle name="Normal 3 2 3 6 2 2" xfId="4334" xr:uid="{00000000-0005-0000-0000-0000D5390000}"/>
    <cellStyle name="Normal 3 2 3 6 2 2 2" xfId="8560" xr:uid="{00000000-0005-0000-0000-0000D6390000}"/>
    <cellStyle name="Normal 3 2 3 6 2 2 2 2" xfId="17008" xr:uid="{00000000-0005-0000-0000-0000D7390000}"/>
    <cellStyle name="Normal 3 2 3 6 2 2 2 2 2" xfId="33948" xr:uid="{00000000-0005-0000-0000-0000D8390000}"/>
    <cellStyle name="Normal 3 2 3 6 2 2 2 3" xfId="25500" xr:uid="{00000000-0005-0000-0000-0000D9390000}"/>
    <cellStyle name="Normal 3 2 3 6 2 2 3" xfId="12784" xr:uid="{00000000-0005-0000-0000-0000DA390000}"/>
    <cellStyle name="Normal 3 2 3 6 2 2 3 2" xfId="29724" xr:uid="{00000000-0005-0000-0000-0000DB390000}"/>
    <cellStyle name="Normal 3 2 3 6 2 2 4" xfId="21276" xr:uid="{00000000-0005-0000-0000-0000DC390000}"/>
    <cellStyle name="Normal 3 2 3 6 2 3" xfId="6448" xr:uid="{00000000-0005-0000-0000-0000DD390000}"/>
    <cellStyle name="Normal 3 2 3 6 2 3 2" xfId="14896" xr:uid="{00000000-0005-0000-0000-0000DE390000}"/>
    <cellStyle name="Normal 3 2 3 6 2 3 2 2" xfId="31836" xr:uid="{00000000-0005-0000-0000-0000DF390000}"/>
    <cellStyle name="Normal 3 2 3 6 2 3 3" xfId="23388" xr:uid="{00000000-0005-0000-0000-0000E0390000}"/>
    <cellStyle name="Normal 3 2 3 6 2 4" xfId="10672" xr:uid="{00000000-0005-0000-0000-0000E1390000}"/>
    <cellStyle name="Normal 3 2 3 6 2 4 2" xfId="27612" xr:uid="{00000000-0005-0000-0000-0000E2390000}"/>
    <cellStyle name="Normal 3 2 3 6 2 5" xfId="19164" xr:uid="{00000000-0005-0000-0000-0000E3390000}"/>
    <cellStyle name="Normal 3 2 3 6 3" xfId="3278" xr:uid="{00000000-0005-0000-0000-0000E4390000}"/>
    <cellStyle name="Normal 3 2 3 6 3 2" xfId="7504" xr:uid="{00000000-0005-0000-0000-0000E5390000}"/>
    <cellStyle name="Normal 3 2 3 6 3 2 2" xfId="15952" xr:uid="{00000000-0005-0000-0000-0000E6390000}"/>
    <cellStyle name="Normal 3 2 3 6 3 2 2 2" xfId="32892" xr:uid="{00000000-0005-0000-0000-0000E7390000}"/>
    <cellStyle name="Normal 3 2 3 6 3 2 3" xfId="24444" xr:uid="{00000000-0005-0000-0000-0000E8390000}"/>
    <cellStyle name="Normal 3 2 3 6 3 3" xfId="11728" xr:uid="{00000000-0005-0000-0000-0000E9390000}"/>
    <cellStyle name="Normal 3 2 3 6 3 3 2" xfId="28668" xr:uid="{00000000-0005-0000-0000-0000EA390000}"/>
    <cellStyle name="Normal 3 2 3 6 3 4" xfId="20220" xr:uid="{00000000-0005-0000-0000-0000EB390000}"/>
    <cellStyle name="Normal 3 2 3 6 4" xfId="5392" xr:uid="{00000000-0005-0000-0000-0000EC390000}"/>
    <cellStyle name="Normal 3 2 3 6 4 2" xfId="13840" xr:uid="{00000000-0005-0000-0000-0000ED390000}"/>
    <cellStyle name="Normal 3 2 3 6 4 2 2" xfId="30780" xr:uid="{00000000-0005-0000-0000-0000EE390000}"/>
    <cellStyle name="Normal 3 2 3 6 4 3" xfId="22332" xr:uid="{00000000-0005-0000-0000-0000EF390000}"/>
    <cellStyle name="Normal 3 2 3 6 5" xfId="9616" xr:uid="{00000000-0005-0000-0000-0000F0390000}"/>
    <cellStyle name="Normal 3 2 3 6 5 2" xfId="26556" xr:uid="{00000000-0005-0000-0000-0000F1390000}"/>
    <cellStyle name="Normal 3 2 3 6 6" xfId="18108" xr:uid="{00000000-0005-0000-0000-0000F2390000}"/>
    <cellStyle name="Normal 3 2 3 7" xfId="1342" xr:uid="{00000000-0005-0000-0000-0000F3390000}"/>
    <cellStyle name="Normal 3 2 3 7 2" xfId="2398" xr:uid="{00000000-0005-0000-0000-0000F4390000}"/>
    <cellStyle name="Normal 3 2 3 7 2 2" xfId="4510" xr:uid="{00000000-0005-0000-0000-0000F5390000}"/>
    <cellStyle name="Normal 3 2 3 7 2 2 2" xfId="8736" xr:uid="{00000000-0005-0000-0000-0000F6390000}"/>
    <cellStyle name="Normal 3 2 3 7 2 2 2 2" xfId="17184" xr:uid="{00000000-0005-0000-0000-0000F7390000}"/>
    <cellStyle name="Normal 3 2 3 7 2 2 2 2 2" xfId="34124" xr:uid="{00000000-0005-0000-0000-0000F8390000}"/>
    <cellStyle name="Normal 3 2 3 7 2 2 2 3" xfId="25676" xr:uid="{00000000-0005-0000-0000-0000F9390000}"/>
    <cellStyle name="Normal 3 2 3 7 2 2 3" xfId="12960" xr:uid="{00000000-0005-0000-0000-0000FA390000}"/>
    <cellStyle name="Normal 3 2 3 7 2 2 3 2" xfId="29900" xr:uid="{00000000-0005-0000-0000-0000FB390000}"/>
    <cellStyle name="Normal 3 2 3 7 2 2 4" xfId="21452" xr:uid="{00000000-0005-0000-0000-0000FC390000}"/>
    <cellStyle name="Normal 3 2 3 7 2 3" xfId="6624" xr:uid="{00000000-0005-0000-0000-0000FD390000}"/>
    <cellStyle name="Normal 3 2 3 7 2 3 2" xfId="15072" xr:uid="{00000000-0005-0000-0000-0000FE390000}"/>
    <cellStyle name="Normal 3 2 3 7 2 3 2 2" xfId="32012" xr:uid="{00000000-0005-0000-0000-0000FF390000}"/>
    <cellStyle name="Normal 3 2 3 7 2 3 3" xfId="23564" xr:uid="{00000000-0005-0000-0000-0000003A0000}"/>
    <cellStyle name="Normal 3 2 3 7 2 4" xfId="10848" xr:uid="{00000000-0005-0000-0000-0000013A0000}"/>
    <cellStyle name="Normal 3 2 3 7 2 4 2" xfId="27788" xr:uid="{00000000-0005-0000-0000-0000023A0000}"/>
    <cellStyle name="Normal 3 2 3 7 2 5" xfId="19340" xr:uid="{00000000-0005-0000-0000-0000033A0000}"/>
    <cellStyle name="Normal 3 2 3 7 3" xfId="3454" xr:uid="{00000000-0005-0000-0000-0000043A0000}"/>
    <cellStyle name="Normal 3 2 3 7 3 2" xfId="7680" xr:uid="{00000000-0005-0000-0000-0000053A0000}"/>
    <cellStyle name="Normal 3 2 3 7 3 2 2" xfId="16128" xr:uid="{00000000-0005-0000-0000-0000063A0000}"/>
    <cellStyle name="Normal 3 2 3 7 3 2 2 2" xfId="33068" xr:uid="{00000000-0005-0000-0000-0000073A0000}"/>
    <cellStyle name="Normal 3 2 3 7 3 2 3" xfId="24620" xr:uid="{00000000-0005-0000-0000-0000083A0000}"/>
    <cellStyle name="Normal 3 2 3 7 3 3" xfId="11904" xr:uid="{00000000-0005-0000-0000-0000093A0000}"/>
    <cellStyle name="Normal 3 2 3 7 3 3 2" xfId="28844" xr:uid="{00000000-0005-0000-0000-00000A3A0000}"/>
    <cellStyle name="Normal 3 2 3 7 3 4" xfId="20396" xr:uid="{00000000-0005-0000-0000-00000B3A0000}"/>
    <cellStyle name="Normal 3 2 3 7 4" xfId="5568" xr:uid="{00000000-0005-0000-0000-00000C3A0000}"/>
    <cellStyle name="Normal 3 2 3 7 4 2" xfId="14016" xr:uid="{00000000-0005-0000-0000-00000D3A0000}"/>
    <cellStyle name="Normal 3 2 3 7 4 2 2" xfId="30956" xr:uid="{00000000-0005-0000-0000-00000E3A0000}"/>
    <cellStyle name="Normal 3 2 3 7 4 3" xfId="22508" xr:uid="{00000000-0005-0000-0000-00000F3A0000}"/>
    <cellStyle name="Normal 3 2 3 7 5" xfId="9792" xr:uid="{00000000-0005-0000-0000-0000103A0000}"/>
    <cellStyle name="Normal 3 2 3 7 5 2" xfId="26732" xr:uid="{00000000-0005-0000-0000-0000113A0000}"/>
    <cellStyle name="Normal 3 2 3 7 6" xfId="18284" xr:uid="{00000000-0005-0000-0000-0000123A0000}"/>
    <cellStyle name="Normal 3 2 3 8" xfId="1518" xr:uid="{00000000-0005-0000-0000-0000133A0000}"/>
    <cellStyle name="Normal 3 2 3 8 2" xfId="3630" xr:uid="{00000000-0005-0000-0000-0000143A0000}"/>
    <cellStyle name="Normal 3 2 3 8 2 2" xfId="7856" xr:uid="{00000000-0005-0000-0000-0000153A0000}"/>
    <cellStyle name="Normal 3 2 3 8 2 2 2" xfId="16304" xr:uid="{00000000-0005-0000-0000-0000163A0000}"/>
    <cellStyle name="Normal 3 2 3 8 2 2 2 2" xfId="33244" xr:uid="{00000000-0005-0000-0000-0000173A0000}"/>
    <cellStyle name="Normal 3 2 3 8 2 2 3" xfId="24796" xr:uid="{00000000-0005-0000-0000-0000183A0000}"/>
    <cellStyle name="Normal 3 2 3 8 2 3" xfId="12080" xr:uid="{00000000-0005-0000-0000-0000193A0000}"/>
    <cellStyle name="Normal 3 2 3 8 2 3 2" xfId="29020" xr:uid="{00000000-0005-0000-0000-00001A3A0000}"/>
    <cellStyle name="Normal 3 2 3 8 2 4" xfId="20572" xr:uid="{00000000-0005-0000-0000-00001B3A0000}"/>
    <cellStyle name="Normal 3 2 3 8 3" xfId="5744" xr:uid="{00000000-0005-0000-0000-00001C3A0000}"/>
    <cellStyle name="Normal 3 2 3 8 3 2" xfId="14192" xr:uid="{00000000-0005-0000-0000-00001D3A0000}"/>
    <cellStyle name="Normal 3 2 3 8 3 2 2" xfId="31132" xr:uid="{00000000-0005-0000-0000-00001E3A0000}"/>
    <cellStyle name="Normal 3 2 3 8 3 3" xfId="22684" xr:uid="{00000000-0005-0000-0000-00001F3A0000}"/>
    <cellStyle name="Normal 3 2 3 8 4" xfId="9968" xr:uid="{00000000-0005-0000-0000-0000203A0000}"/>
    <cellStyle name="Normal 3 2 3 8 4 2" xfId="26908" xr:uid="{00000000-0005-0000-0000-0000213A0000}"/>
    <cellStyle name="Normal 3 2 3 8 5" xfId="18460" xr:uid="{00000000-0005-0000-0000-0000223A0000}"/>
    <cellStyle name="Normal 3 2 3 9" xfId="2574" xr:uid="{00000000-0005-0000-0000-0000233A0000}"/>
    <cellStyle name="Normal 3 2 3 9 2" xfId="6800" xr:uid="{00000000-0005-0000-0000-0000243A0000}"/>
    <cellStyle name="Normal 3 2 3 9 2 2" xfId="15248" xr:uid="{00000000-0005-0000-0000-0000253A0000}"/>
    <cellStyle name="Normal 3 2 3 9 2 2 2" xfId="32188" xr:uid="{00000000-0005-0000-0000-0000263A0000}"/>
    <cellStyle name="Normal 3 2 3 9 2 3" xfId="23740" xr:uid="{00000000-0005-0000-0000-0000273A0000}"/>
    <cellStyle name="Normal 3 2 3 9 3" xfId="11024" xr:uid="{00000000-0005-0000-0000-0000283A0000}"/>
    <cellStyle name="Normal 3 2 3 9 3 2" xfId="27964" xr:uid="{00000000-0005-0000-0000-0000293A0000}"/>
    <cellStyle name="Normal 3 2 3 9 4" xfId="19516" xr:uid="{00000000-0005-0000-0000-00002A3A0000}"/>
    <cellStyle name="Normal 3 3" xfId="326" xr:uid="{00000000-0005-0000-0000-00002B3A0000}"/>
    <cellStyle name="Normal 3 3 10" xfId="4690" xr:uid="{00000000-0005-0000-0000-00002C3A0000}"/>
    <cellStyle name="Normal 3 3 10 2" xfId="13139" xr:uid="{00000000-0005-0000-0000-00002D3A0000}"/>
    <cellStyle name="Normal 3 3 10 2 2" xfId="30079" xr:uid="{00000000-0005-0000-0000-00002E3A0000}"/>
    <cellStyle name="Normal 3 3 10 3" xfId="21631" xr:uid="{00000000-0005-0000-0000-00002F3A0000}"/>
    <cellStyle name="Normal 3 3 11" xfId="8915" xr:uid="{00000000-0005-0000-0000-0000303A0000}"/>
    <cellStyle name="Normal 3 3 11 2" xfId="25855" xr:uid="{00000000-0005-0000-0000-0000313A0000}"/>
    <cellStyle name="Normal 3 3 12" xfId="17407" xr:uid="{00000000-0005-0000-0000-0000323A0000}"/>
    <cellStyle name="Normal 3 3 2" xfId="327" xr:uid="{00000000-0005-0000-0000-0000333A0000}"/>
    <cellStyle name="Normal 3 3 2 10" xfId="17408" xr:uid="{00000000-0005-0000-0000-0000343A0000}"/>
    <cellStyle name="Normal 3 3 2 2" xfId="636" xr:uid="{00000000-0005-0000-0000-0000353A0000}"/>
    <cellStyle name="Normal 3 3 2 2 2" xfId="988" xr:uid="{00000000-0005-0000-0000-0000363A0000}"/>
    <cellStyle name="Normal 3 3 2 2 2 2" xfId="2050" xr:uid="{00000000-0005-0000-0000-0000373A0000}"/>
    <cellStyle name="Normal 3 3 2 2 2 2 2" xfId="4162" xr:uid="{00000000-0005-0000-0000-0000383A0000}"/>
    <cellStyle name="Normal 3 3 2 2 2 2 2 2" xfId="8388" xr:uid="{00000000-0005-0000-0000-0000393A0000}"/>
    <cellStyle name="Normal 3 3 2 2 2 2 2 2 2" xfId="16836" xr:uid="{00000000-0005-0000-0000-00003A3A0000}"/>
    <cellStyle name="Normal 3 3 2 2 2 2 2 2 2 2" xfId="33776" xr:uid="{00000000-0005-0000-0000-00003B3A0000}"/>
    <cellStyle name="Normal 3 3 2 2 2 2 2 2 3" xfId="25328" xr:uid="{00000000-0005-0000-0000-00003C3A0000}"/>
    <cellStyle name="Normal 3 3 2 2 2 2 2 3" xfId="12612" xr:uid="{00000000-0005-0000-0000-00003D3A0000}"/>
    <cellStyle name="Normal 3 3 2 2 2 2 2 3 2" xfId="29552" xr:uid="{00000000-0005-0000-0000-00003E3A0000}"/>
    <cellStyle name="Normal 3 3 2 2 2 2 2 4" xfId="21104" xr:uid="{00000000-0005-0000-0000-00003F3A0000}"/>
    <cellStyle name="Normal 3 3 2 2 2 2 3" xfId="6276" xr:uid="{00000000-0005-0000-0000-0000403A0000}"/>
    <cellStyle name="Normal 3 3 2 2 2 2 3 2" xfId="14724" xr:uid="{00000000-0005-0000-0000-0000413A0000}"/>
    <cellStyle name="Normal 3 3 2 2 2 2 3 2 2" xfId="31664" xr:uid="{00000000-0005-0000-0000-0000423A0000}"/>
    <cellStyle name="Normal 3 3 2 2 2 2 3 3" xfId="23216" xr:uid="{00000000-0005-0000-0000-0000433A0000}"/>
    <cellStyle name="Normal 3 3 2 2 2 2 4" xfId="10500" xr:uid="{00000000-0005-0000-0000-0000443A0000}"/>
    <cellStyle name="Normal 3 3 2 2 2 2 4 2" xfId="27440" xr:uid="{00000000-0005-0000-0000-0000453A0000}"/>
    <cellStyle name="Normal 3 3 2 2 2 2 5" xfId="18992" xr:uid="{00000000-0005-0000-0000-0000463A0000}"/>
    <cellStyle name="Normal 3 3 2 2 2 3" xfId="3106" xr:uid="{00000000-0005-0000-0000-0000473A0000}"/>
    <cellStyle name="Normal 3 3 2 2 2 3 2" xfId="7332" xr:uid="{00000000-0005-0000-0000-0000483A0000}"/>
    <cellStyle name="Normal 3 3 2 2 2 3 2 2" xfId="15780" xr:uid="{00000000-0005-0000-0000-0000493A0000}"/>
    <cellStyle name="Normal 3 3 2 2 2 3 2 2 2" xfId="32720" xr:uid="{00000000-0005-0000-0000-00004A3A0000}"/>
    <cellStyle name="Normal 3 3 2 2 2 3 2 3" xfId="24272" xr:uid="{00000000-0005-0000-0000-00004B3A0000}"/>
    <cellStyle name="Normal 3 3 2 2 2 3 3" xfId="11556" xr:uid="{00000000-0005-0000-0000-00004C3A0000}"/>
    <cellStyle name="Normal 3 3 2 2 2 3 3 2" xfId="28496" xr:uid="{00000000-0005-0000-0000-00004D3A0000}"/>
    <cellStyle name="Normal 3 3 2 2 2 3 4" xfId="20048" xr:uid="{00000000-0005-0000-0000-00004E3A0000}"/>
    <cellStyle name="Normal 3 3 2 2 2 4" xfId="5220" xr:uid="{00000000-0005-0000-0000-00004F3A0000}"/>
    <cellStyle name="Normal 3 3 2 2 2 4 2" xfId="13668" xr:uid="{00000000-0005-0000-0000-0000503A0000}"/>
    <cellStyle name="Normal 3 3 2 2 2 4 2 2" xfId="30608" xr:uid="{00000000-0005-0000-0000-0000513A0000}"/>
    <cellStyle name="Normal 3 3 2 2 2 4 3" xfId="22160" xr:uid="{00000000-0005-0000-0000-0000523A0000}"/>
    <cellStyle name="Normal 3 3 2 2 2 5" xfId="9444" xr:uid="{00000000-0005-0000-0000-0000533A0000}"/>
    <cellStyle name="Normal 3 3 2 2 2 5 2" xfId="26384" xr:uid="{00000000-0005-0000-0000-0000543A0000}"/>
    <cellStyle name="Normal 3 3 2 2 2 6" xfId="17936" xr:uid="{00000000-0005-0000-0000-0000553A0000}"/>
    <cellStyle name="Normal 3 3 2 2 3" xfId="1698" xr:uid="{00000000-0005-0000-0000-0000563A0000}"/>
    <cellStyle name="Normal 3 3 2 2 3 2" xfId="3810" xr:uid="{00000000-0005-0000-0000-0000573A0000}"/>
    <cellStyle name="Normal 3 3 2 2 3 2 2" xfId="8036" xr:uid="{00000000-0005-0000-0000-0000583A0000}"/>
    <cellStyle name="Normal 3 3 2 2 3 2 2 2" xfId="16484" xr:uid="{00000000-0005-0000-0000-0000593A0000}"/>
    <cellStyle name="Normal 3 3 2 2 3 2 2 2 2" xfId="33424" xr:uid="{00000000-0005-0000-0000-00005A3A0000}"/>
    <cellStyle name="Normal 3 3 2 2 3 2 2 3" xfId="24976" xr:uid="{00000000-0005-0000-0000-00005B3A0000}"/>
    <cellStyle name="Normal 3 3 2 2 3 2 3" xfId="12260" xr:uid="{00000000-0005-0000-0000-00005C3A0000}"/>
    <cellStyle name="Normal 3 3 2 2 3 2 3 2" xfId="29200" xr:uid="{00000000-0005-0000-0000-00005D3A0000}"/>
    <cellStyle name="Normal 3 3 2 2 3 2 4" xfId="20752" xr:uid="{00000000-0005-0000-0000-00005E3A0000}"/>
    <cellStyle name="Normal 3 3 2 2 3 3" xfId="5924" xr:uid="{00000000-0005-0000-0000-00005F3A0000}"/>
    <cellStyle name="Normal 3 3 2 2 3 3 2" xfId="14372" xr:uid="{00000000-0005-0000-0000-0000603A0000}"/>
    <cellStyle name="Normal 3 3 2 2 3 3 2 2" xfId="31312" xr:uid="{00000000-0005-0000-0000-0000613A0000}"/>
    <cellStyle name="Normal 3 3 2 2 3 3 3" xfId="22864" xr:uid="{00000000-0005-0000-0000-0000623A0000}"/>
    <cellStyle name="Normal 3 3 2 2 3 4" xfId="10148" xr:uid="{00000000-0005-0000-0000-0000633A0000}"/>
    <cellStyle name="Normal 3 3 2 2 3 4 2" xfId="27088" xr:uid="{00000000-0005-0000-0000-0000643A0000}"/>
    <cellStyle name="Normal 3 3 2 2 3 5" xfId="18640" xr:uid="{00000000-0005-0000-0000-0000653A0000}"/>
    <cellStyle name="Normal 3 3 2 2 4" xfId="2754" xr:uid="{00000000-0005-0000-0000-0000663A0000}"/>
    <cellStyle name="Normal 3 3 2 2 4 2" xfId="6980" xr:uid="{00000000-0005-0000-0000-0000673A0000}"/>
    <cellStyle name="Normal 3 3 2 2 4 2 2" xfId="15428" xr:uid="{00000000-0005-0000-0000-0000683A0000}"/>
    <cellStyle name="Normal 3 3 2 2 4 2 2 2" xfId="32368" xr:uid="{00000000-0005-0000-0000-0000693A0000}"/>
    <cellStyle name="Normal 3 3 2 2 4 2 3" xfId="23920" xr:uid="{00000000-0005-0000-0000-00006A3A0000}"/>
    <cellStyle name="Normal 3 3 2 2 4 3" xfId="11204" xr:uid="{00000000-0005-0000-0000-00006B3A0000}"/>
    <cellStyle name="Normal 3 3 2 2 4 3 2" xfId="28144" xr:uid="{00000000-0005-0000-0000-00006C3A0000}"/>
    <cellStyle name="Normal 3 3 2 2 4 4" xfId="19696" xr:uid="{00000000-0005-0000-0000-00006D3A0000}"/>
    <cellStyle name="Normal 3 3 2 2 5" xfId="4868" xr:uid="{00000000-0005-0000-0000-00006E3A0000}"/>
    <cellStyle name="Normal 3 3 2 2 5 2" xfId="13316" xr:uid="{00000000-0005-0000-0000-00006F3A0000}"/>
    <cellStyle name="Normal 3 3 2 2 5 2 2" xfId="30256" xr:uid="{00000000-0005-0000-0000-0000703A0000}"/>
    <cellStyle name="Normal 3 3 2 2 5 3" xfId="21808" xr:uid="{00000000-0005-0000-0000-0000713A0000}"/>
    <cellStyle name="Normal 3 3 2 2 6" xfId="9092" xr:uid="{00000000-0005-0000-0000-0000723A0000}"/>
    <cellStyle name="Normal 3 3 2 2 6 2" xfId="26032" xr:uid="{00000000-0005-0000-0000-0000733A0000}"/>
    <cellStyle name="Normal 3 3 2 2 7" xfId="17584" xr:uid="{00000000-0005-0000-0000-0000743A0000}"/>
    <cellStyle name="Normal 3 3 2 3" xfId="812" xr:uid="{00000000-0005-0000-0000-0000753A0000}"/>
    <cellStyle name="Normal 3 3 2 3 2" xfId="1874" xr:uid="{00000000-0005-0000-0000-0000763A0000}"/>
    <cellStyle name="Normal 3 3 2 3 2 2" xfId="3986" xr:uid="{00000000-0005-0000-0000-0000773A0000}"/>
    <cellStyle name="Normal 3 3 2 3 2 2 2" xfId="8212" xr:uid="{00000000-0005-0000-0000-0000783A0000}"/>
    <cellStyle name="Normal 3 3 2 3 2 2 2 2" xfId="16660" xr:uid="{00000000-0005-0000-0000-0000793A0000}"/>
    <cellStyle name="Normal 3 3 2 3 2 2 2 2 2" xfId="33600" xr:uid="{00000000-0005-0000-0000-00007A3A0000}"/>
    <cellStyle name="Normal 3 3 2 3 2 2 2 3" xfId="25152" xr:uid="{00000000-0005-0000-0000-00007B3A0000}"/>
    <cellStyle name="Normal 3 3 2 3 2 2 3" xfId="12436" xr:uid="{00000000-0005-0000-0000-00007C3A0000}"/>
    <cellStyle name="Normal 3 3 2 3 2 2 3 2" xfId="29376" xr:uid="{00000000-0005-0000-0000-00007D3A0000}"/>
    <cellStyle name="Normal 3 3 2 3 2 2 4" xfId="20928" xr:uid="{00000000-0005-0000-0000-00007E3A0000}"/>
    <cellStyle name="Normal 3 3 2 3 2 3" xfId="6100" xr:uid="{00000000-0005-0000-0000-00007F3A0000}"/>
    <cellStyle name="Normal 3 3 2 3 2 3 2" xfId="14548" xr:uid="{00000000-0005-0000-0000-0000803A0000}"/>
    <cellStyle name="Normal 3 3 2 3 2 3 2 2" xfId="31488" xr:uid="{00000000-0005-0000-0000-0000813A0000}"/>
    <cellStyle name="Normal 3 3 2 3 2 3 3" xfId="23040" xr:uid="{00000000-0005-0000-0000-0000823A0000}"/>
    <cellStyle name="Normal 3 3 2 3 2 4" xfId="10324" xr:uid="{00000000-0005-0000-0000-0000833A0000}"/>
    <cellStyle name="Normal 3 3 2 3 2 4 2" xfId="27264" xr:uid="{00000000-0005-0000-0000-0000843A0000}"/>
    <cellStyle name="Normal 3 3 2 3 2 5" xfId="18816" xr:uid="{00000000-0005-0000-0000-0000853A0000}"/>
    <cellStyle name="Normal 3 3 2 3 3" xfId="2930" xr:uid="{00000000-0005-0000-0000-0000863A0000}"/>
    <cellStyle name="Normal 3 3 2 3 3 2" xfId="7156" xr:uid="{00000000-0005-0000-0000-0000873A0000}"/>
    <cellStyle name="Normal 3 3 2 3 3 2 2" xfId="15604" xr:uid="{00000000-0005-0000-0000-0000883A0000}"/>
    <cellStyle name="Normal 3 3 2 3 3 2 2 2" xfId="32544" xr:uid="{00000000-0005-0000-0000-0000893A0000}"/>
    <cellStyle name="Normal 3 3 2 3 3 2 3" xfId="24096" xr:uid="{00000000-0005-0000-0000-00008A3A0000}"/>
    <cellStyle name="Normal 3 3 2 3 3 3" xfId="11380" xr:uid="{00000000-0005-0000-0000-00008B3A0000}"/>
    <cellStyle name="Normal 3 3 2 3 3 3 2" xfId="28320" xr:uid="{00000000-0005-0000-0000-00008C3A0000}"/>
    <cellStyle name="Normal 3 3 2 3 3 4" xfId="19872" xr:uid="{00000000-0005-0000-0000-00008D3A0000}"/>
    <cellStyle name="Normal 3 3 2 3 4" xfId="5044" xr:uid="{00000000-0005-0000-0000-00008E3A0000}"/>
    <cellStyle name="Normal 3 3 2 3 4 2" xfId="13492" xr:uid="{00000000-0005-0000-0000-00008F3A0000}"/>
    <cellStyle name="Normal 3 3 2 3 4 2 2" xfId="30432" xr:uid="{00000000-0005-0000-0000-0000903A0000}"/>
    <cellStyle name="Normal 3 3 2 3 4 3" xfId="21984" xr:uid="{00000000-0005-0000-0000-0000913A0000}"/>
    <cellStyle name="Normal 3 3 2 3 5" xfId="9268" xr:uid="{00000000-0005-0000-0000-0000923A0000}"/>
    <cellStyle name="Normal 3 3 2 3 5 2" xfId="26208" xr:uid="{00000000-0005-0000-0000-0000933A0000}"/>
    <cellStyle name="Normal 3 3 2 3 6" xfId="17760" xr:uid="{00000000-0005-0000-0000-0000943A0000}"/>
    <cellStyle name="Normal 3 3 2 4" xfId="1164" xr:uid="{00000000-0005-0000-0000-0000953A0000}"/>
    <cellStyle name="Normal 3 3 2 4 2" xfId="2226" xr:uid="{00000000-0005-0000-0000-0000963A0000}"/>
    <cellStyle name="Normal 3 3 2 4 2 2" xfId="4338" xr:uid="{00000000-0005-0000-0000-0000973A0000}"/>
    <cellStyle name="Normal 3 3 2 4 2 2 2" xfId="8564" xr:uid="{00000000-0005-0000-0000-0000983A0000}"/>
    <cellStyle name="Normal 3 3 2 4 2 2 2 2" xfId="17012" xr:uid="{00000000-0005-0000-0000-0000993A0000}"/>
    <cellStyle name="Normal 3 3 2 4 2 2 2 2 2" xfId="33952" xr:uid="{00000000-0005-0000-0000-00009A3A0000}"/>
    <cellStyle name="Normal 3 3 2 4 2 2 2 3" xfId="25504" xr:uid="{00000000-0005-0000-0000-00009B3A0000}"/>
    <cellStyle name="Normal 3 3 2 4 2 2 3" xfId="12788" xr:uid="{00000000-0005-0000-0000-00009C3A0000}"/>
    <cellStyle name="Normal 3 3 2 4 2 2 3 2" xfId="29728" xr:uid="{00000000-0005-0000-0000-00009D3A0000}"/>
    <cellStyle name="Normal 3 3 2 4 2 2 4" xfId="21280" xr:uid="{00000000-0005-0000-0000-00009E3A0000}"/>
    <cellStyle name="Normal 3 3 2 4 2 3" xfId="6452" xr:uid="{00000000-0005-0000-0000-00009F3A0000}"/>
    <cellStyle name="Normal 3 3 2 4 2 3 2" xfId="14900" xr:uid="{00000000-0005-0000-0000-0000A03A0000}"/>
    <cellStyle name="Normal 3 3 2 4 2 3 2 2" xfId="31840" xr:uid="{00000000-0005-0000-0000-0000A13A0000}"/>
    <cellStyle name="Normal 3 3 2 4 2 3 3" xfId="23392" xr:uid="{00000000-0005-0000-0000-0000A23A0000}"/>
    <cellStyle name="Normal 3 3 2 4 2 4" xfId="10676" xr:uid="{00000000-0005-0000-0000-0000A33A0000}"/>
    <cellStyle name="Normal 3 3 2 4 2 4 2" xfId="27616" xr:uid="{00000000-0005-0000-0000-0000A43A0000}"/>
    <cellStyle name="Normal 3 3 2 4 2 5" xfId="19168" xr:uid="{00000000-0005-0000-0000-0000A53A0000}"/>
    <cellStyle name="Normal 3 3 2 4 3" xfId="3282" xr:uid="{00000000-0005-0000-0000-0000A63A0000}"/>
    <cellStyle name="Normal 3 3 2 4 3 2" xfId="7508" xr:uid="{00000000-0005-0000-0000-0000A73A0000}"/>
    <cellStyle name="Normal 3 3 2 4 3 2 2" xfId="15956" xr:uid="{00000000-0005-0000-0000-0000A83A0000}"/>
    <cellStyle name="Normal 3 3 2 4 3 2 2 2" xfId="32896" xr:uid="{00000000-0005-0000-0000-0000A93A0000}"/>
    <cellStyle name="Normal 3 3 2 4 3 2 3" xfId="24448" xr:uid="{00000000-0005-0000-0000-0000AA3A0000}"/>
    <cellStyle name="Normal 3 3 2 4 3 3" xfId="11732" xr:uid="{00000000-0005-0000-0000-0000AB3A0000}"/>
    <cellStyle name="Normal 3 3 2 4 3 3 2" xfId="28672" xr:uid="{00000000-0005-0000-0000-0000AC3A0000}"/>
    <cellStyle name="Normal 3 3 2 4 3 4" xfId="20224" xr:uid="{00000000-0005-0000-0000-0000AD3A0000}"/>
    <cellStyle name="Normal 3 3 2 4 4" xfId="5396" xr:uid="{00000000-0005-0000-0000-0000AE3A0000}"/>
    <cellStyle name="Normal 3 3 2 4 4 2" xfId="13844" xr:uid="{00000000-0005-0000-0000-0000AF3A0000}"/>
    <cellStyle name="Normal 3 3 2 4 4 2 2" xfId="30784" xr:uid="{00000000-0005-0000-0000-0000B03A0000}"/>
    <cellStyle name="Normal 3 3 2 4 4 3" xfId="22336" xr:uid="{00000000-0005-0000-0000-0000B13A0000}"/>
    <cellStyle name="Normal 3 3 2 4 5" xfId="9620" xr:uid="{00000000-0005-0000-0000-0000B23A0000}"/>
    <cellStyle name="Normal 3 3 2 4 5 2" xfId="26560" xr:uid="{00000000-0005-0000-0000-0000B33A0000}"/>
    <cellStyle name="Normal 3 3 2 4 6" xfId="18112" xr:uid="{00000000-0005-0000-0000-0000B43A0000}"/>
    <cellStyle name="Normal 3 3 2 5" xfId="1346" xr:uid="{00000000-0005-0000-0000-0000B53A0000}"/>
    <cellStyle name="Normal 3 3 2 5 2" xfId="2402" xr:uid="{00000000-0005-0000-0000-0000B63A0000}"/>
    <cellStyle name="Normal 3 3 2 5 2 2" xfId="4514" xr:uid="{00000000-0005-0000-0000-0000B73A0000}"/>
    <cellStyle name="Normal 3 3 2 5 2 2 2" xfId="8740" xr:uid="{00000000-0005-0000-0000-0000B83A0000}"/>
    <cellStyle name="Normal 3 3 2 5 2 2 2 2" xfId="17188" xr:uid="{00000000-0005-0000-0000-0000B93A0000}"/>
    <cellStyle name="Normal 3 3 2 5 2 2 2 2 2" xfId="34128" xr:uid="{00000000-0005-0000-0000-0000BA3A0000}"/>
    <cellStyle name="Normal 3 3 2 5 2 2 2 3" xfId="25680" xr:uid="{00000000-0005-0000-0000-0000BB3A0000}"/>
    <cellStyle name="Normal 3 3 2 5 2 2 3" xfId="12964" xr:uid="{00000000-0005-0000-0000-0000BC3A0000}"/>
    <cellStyle name="Normal 3 3 2 5 2 2 3 2" xfId="29904" xr:uid="{00000000-0005-0000-0000-0000BD3A0000}"/>
    <cellStyle name="Normal 3 3 2 5 2 2 4" xfId="21456" xr:uid="{00000000-0005-0000-0000-0000BE3A0000}"/>
    <cellStyle name="Normal 3 3 2 5 2 3" xfId="6628" xr:uid="{00000000-0005-0000-0000-0000BF3A0000}"/>
    <cellStyle name="Normal 3 3 2 5 2 3 2" xfId="15076" xr:uid="{00000000-0005-0000-0000-0000C03A0000}"/>
    <cellStyle name="Normal 3 3 2 5 2 3 2 2" xfId="32016" xr:uid="{00000000-0005-0000-0000-0000C13A0000}"/>
    <cellStyle name="Normal 3 3 2 5 2 3 3" xfId="23568" xr:uid="{00000000-0005-0000-0000-0000C23A0000}"/>
    <cellStyle name="Normal 3 3 2 5 2 4" xfId="10852" xr:uid="{00000000-0005-0000-0000-0000C33A0000}"/>
    <cellStyle name="Normal 3 3 2 5 2 4 2" xfId="27792" xr:uid="{00000000-0005-0000-0000-0000C43A0000}"/>
    <cellStyle name="Normal 3 3 2 5 2 5" xfId="19344" xr:uid="{00000000-0005-0000-0000-0000C53A0000}"/>
    <cellStyle name="Normal 3 3 2 5 3" xfId="3458" xr:uid="{00000000-0005-0000-0000-0000C63A0000}"/>
    <cellStyle name="Normal 3 3 2 5 3 2" xfId="7684" xr:uid="{00000000-0005-0000-0000-0000C73A0000}"/>
    <cellStyle name="Normal 3 3 2 5 3 2 2" xfId="16132" xr:uid="{00000000-0005-0000-0000-0000C83A0000}"/>
    <cellStyle name="Normal 3 3 2 5 3 2 2 2" xfId="33072" xr:uid="{00000000-0005-0000-0000-0000C93A0000}"/>
    <cellStyle name="Normal 3 3 2 5 3 2 3" xfId="24624" xr:uid="{00000000-0005-0000-0000-0000CA3A0000}"/>
    <cellStyle name="Normal 3 3 2 5 3 3" xfId="11908" xr:uid="{00000000-0005-0000-0000-0000CB3A0000}"/>
    <cellStyle name="Normal 3 3 2 5 3 3 2" xfId="28848" xr:uid="{00000000-0005-0000-0000-0000CC3A0000}"/>
    <cellStyle name="Normal 3 3 2 5 3 4" xfId="20400" xr:uid="{00000000-0005-0000-0000-0000CD3A0000}"/>
    <cellStyle name="Normal 3 3 2 5 4" xfId="5572" xr:uid="{00000000-0005-0000-0000-0000CE3A0000}"/>
    <cellStyle name="Normal 3 3 2 5 4 2" xfId="14020" xr:uid="{00000000-0005-0000-0000-0000CF3A0000}"/>
    <cellStyle name="Normal 3 3 2 5 4 2 2" xfId="30960" xr:uid="{00000000-0005-0000-0000-0000D03A0000}"/>
    <cellStyle name="Normal 3 3 2 5 4 3" xfId="22512" xr:uid="{00000000-0005-0000-0000-0000D13A0000}"/>
    <cellStyle name="Normal 3 3 2 5 5" xfId="9796" xr:uid="{00000000-0005-0000-0000-0000D23A0000}"/>
    <cellStyle name="Normal 3 3 2 5 5 2" xfId="26736" xr:uid="{00000000-0005-0000-0000-0000D33A0000}"/>
    <cellStyle name="Normal 3 3 2 5 6" xfId="18288" xr:uid="{00000000-0005-0000-0000-0000D43A0000}"/>
    <cellStyle name="Normal 3 3 2 6" xfId="1522" xr:uid="{00000000-0005-0000-0000-0000D53A0000}"/>
    <cellStyle name="Normal 3 3 2 6 2" xfId="3634" xr:uid="{00000000-0005-0000-0000-0000D63A0000}"/>
    <cellStyle name="Normal 3 3 2 6 2 2" xfId="7860" xr:uid="{00000000-0005-0000-0000-0000D73A0000}"/>
    <cellStyle name="Normal 3 3 2 6 2 2 2" xfId="16308" xr:uid="{00000000-0005-0000-0000-0000D83A0000}"/>
    <cellStyle name="Normal 3 3 2 6 2 2 2 2" xfId="33248" xr:uid="{00000000-0005-0000-0000-0000D93A0000}"/>
    <cellStyle name="Normal 3 3 2 6 2 2 3" xfId="24800" xr:uid="{00000000-0005-0000-0000-0000DA3A0000}"/>
    <cellStyle name="Normal 3 3 2 6 2 3" xfId="12084" xr:uid="{00000000-0005-0000-0000-0000DB3A0000}"/>
    <cellStyle name="Normal 3 3 2 6 2 3 2" xfId="29024" xr:uid="{00000000-0005-0000-0000-0000DC3A0000}"/>
    <cellStyle name="Normal 3 3 2 6 2 4" xfId="20576" xr:uid="{00000000-0005-0000-0000-0000DD3A0000}"/>
    <cellStyle name="Normal 3 3 2 6 3" xfId="5748" xr:uid="{00000000-0005-0000-0000-0000DE3A0000}"/>
    <cellStyle name="Normal 3 3 2 6 3 2" xfId="14196" xr:uid="{00000000-0005-0000-0000-0000DF3A0000}"/>
    <cellStyle name="Normal 3 3 2 6 3 2 2" xfId="31136" xr:uid="{00000000-0005-0000-0000-0000E03A0000}"/>
    <cellStyle name="Normal 3 3 2 6 3 3" xfId="22688" xr:uid="{00000000-0005-0000-0000-0000E13A0000}"/>
    <cellStyle name="Normal 3 3 2 6 4" xfId="9972" xr:uid="{00000000-0005-0000-0000-0000E23A0000}"/>
    <cellStyle name="Normal 3 3 2 6 4 2" xfId="26912" xr:uid="{00000000-0005-0000-0000-0000E33A0000}"/>
    <cellStyle name="Normal 3 3 2 6 5" xfId="18464" xr:uid="{00000000-0005-0000-0000-0000E43A0000}"/>
    <cellStyle name="Normal 3 3 2 7" xfId="2578" xr:uid="{00000000-0005-0000-0000-0000E53A0000}"/>
    <cellStyle name="Normal 3 3 2 7 2" xfId="6804" xr:uid="{00000000-0005-0000-0000-0000E63A0000}"/>
    <cellStyle name="Normal 3 3 2 7 2 2" xfId="15252" xr:uid="{00000000-0005-0000-0000-0000E73A0000}"/>
    <cellStyle name="Normal 3 3 2 7 2 2 2" xfId="32192" xr:uid="{00000000-0005-0000-0000-0000E83A0000}"/>
    <cellStyle name="Normal 3 3 2 7 2 3" xfId="23744" xr:uid="{00000000-0005-0000-0000-0000E93A0000}"/>
    <cellStyle name="Normal 3 3 2 7 3" xfId="11028" xr:uid="{00000000-0005-0000-0000-0000EA3A0000}"/>
    <cellStyle name="Normal 3 3 2 7 3 2" xfId="27968" xr:uid="{00000000-0005-0000-0000-0000EB3A0000}"/>
    <cellStyle name="Normal 3 3 2 7 4" xfId="19520" xr:uid="{00000000-0005-0000-0000-0000EC3A0000}"/>
    <cellStyle name="Normal 3 3 2 8" xfId="4691" xr:uid="{00000000-0005-0000-0000-0000ED3A0000}"/>
    <cellStyle name="Normal 3 3 2 8 2" xfId="13140" xr:uid="{00000000-0005-0000-0000-0000EE3A0000}"/>
    <cellStyle name="Normal 3 3 2 8 2 2" xfId="30080" xr:uid="{00000000-0005-0000-0000-0000EF3A0000}"/>
    <cellStyle name="Normal 3 3 2 8 3" xfId="21632" xr:uid="{00000000-0005-0000-0000-0000F03A0000}"/>
    <cellStyle name="Normal 3 3 2 9" xfId="8916" xr:uid="{00000000-0005-0000-0000-0000F13A0000}"/>
    <cellStyle name="Normal 3 3 2 9 2" xfId="25856" xr:uid="{00000000-0005-0000-0000-0000F23A0000}"/>
    <cellStyle name="Normal 3 3 3" xfId="328" xr:uid="{00000000-0005-0000-0000-0000F33A0000}"/>
    <cellStyle name="Normal 3 3 3 10" xfId="17409" xr:uid="{00000000-0005-0000-0000-0000F43A0000}"/>
    <cellStyle name="Normal 3 3 3 2" xfId="637" xr:uid="{00000000-0005-0000-0000-0000F53A0000}"/>
    <cellStyle name="Normal 3 3 3 2 2" xfId="989" xr:uid="{00000000-0005-0000-0000-0000F63A0000}"/>
    <cellStyle name="Normal 3 3 3 2 2 2" xfId="2051" xr:uid="{00000000-0005-0000-0000-0000F73A0000}"/>
    <cellStyle name="Normal 3 3 3 2 2 2 2" xfId="4163" xr:uid="{00000000-0005-0000-0000-0000F83A0000}"/>
    <cellStyle name="Normal 3 3 3 2 2 2 2 2" xfId="8389" xr:uid="{00000000-0005-0000-0000-0000F93A0000}"/>
    <cellStyle name="Normal 3 3 3 2 2 2 2 2 2" xfId="16837" xr:uid="{00000000-0005-0000-0000-0000FA3A0000}"/>
    <cellStyle name="Normal 3 3 3 2 2 2 2 2 2 2" xfId="33777" xr:uid="{00000000-0005-0000-0000-0000FB3A0000}"/>
    <cellStyle name="Normal 3 3 3 2 2 2 2 2 3" xfId="25329" xr:uid="{00000000-0005-0000-0000-0000FC3A0000}"/>
    <cellStyle name="Normal 3 3 3 2 2 2 2 3" xfId="12613" xr:uid="{00000000-0005-0000-0000-0000FD3A0000}"/>
    <cellStyle name="Normal 3 3 3 2 2 2 2 3 2" xfId="29553" xr:uid="{00000000-0005-0000-0000-0000FE3A0000}"/>
    <cellStyle name="Normal 3 3 3 2 2 2 2 4" xfId="21105" xr:uid="{00000000-0005-0000-0000-0000FF3A0000}"/>
    <cellStyle name="Normal 3 3 3 2 2 2 3" xfId="6277" xr:uid="{00000000-0005-0000-0000-0000003B0000}"/>
    <cellStyle name="Normal 3 3 3 2 2 2 3 2" xfId="14725" xr:uid="{00000000-0005-0000-0000-0000013B0000}"/>
    <cellStyle name="Normal 3 3 3 2 2 2 3 2 2" xfId="31665" xr:uid="{00000000-0005-0000-0000-0000023B0000}"/>
    <cellStyle name="Normal 3 3 3 2 2 2 3 3" xfId="23217" xr:uid="{00000000-0005-0000-0000-0000033B0000}"/>
    <cellStyle name="Normal 3 3 3 2 2 2 4" xfId="10501" xr:uid="{00000000-0005-0000-0000-0000043B0000}"/>
    <cellStyle name="Normal 3 3 3 2 2 2 4 2" xfId="27441" xr:uid="{00000000-0005-0000-0000-0000053B0000}"/>
    <cellStyle name="Normal 3 3 3 2 2 2 5" xfId="18993" xr:uid="{00000000-0005-0000-0000-0000063B0000}"/>
    <cellStyle name="Normal 3 3 3 2 2 3" xfId="3107" xr:uid="{00000000-0005-0000-0000-0000073B0000}"/>
    <cellStyle name="Normal 3 3 3 2 2 3 2" xfId="7333" xr:uid="{00000000-0005-0000-0000-0000083B0000}"/>
    <cellStyle name="Normal 3 3 3 2 2 3 2 2" xfId="15781" xr:uid="{00000000-0005-0000-0000-0000093B0000}"/>
    <cellStyle name="Normal 3 3 3 2 2 3 2 2 2" xfId="32721" xr:uid="{00000000-0005-0000-0000-00000A3B0000}"/>
    <cellStyle name="Normal 3 3 3 2 2 3 2 3" xfId="24273" xr:uid="{00000000-0005-0000-0000-00000B3B0000}"/>
    <cellStyle name="Normal 3 3 3 2 2 3 3" xfId="11557" xr:uid="{00000000-0005-0000-0000-00000C3B0000}"/>
    <cellStyle name="Normal 3 3 3 2 2 3 3 2" xfId="28497" xr:uid="{00000000-0005-0000-0000-00000D3B0000}"/>
    <cellStyle name="Normal 3 3 3 2 2 3 4" xfId="20049" xr:uid="{00000000-0005-0000-0000-00000E3B0000}"/>
    <cellStyle name="Normal 3 3 3 2 2 4" xfId="5221" xr:uid="{00000000-0005-0000-0000-00000F3B0000}"/>
    <cellStyle name="Normal 3 3 3 2 2 4 2" xfId="13669" xr:uid="{00000000-0005-0000-0000-0000103B0000}"/>
    <cellStyle name="Normal 3 3 3 2 2 4 2 2" xfId="30609" xr:uid="{00000000-0005-0000-0000-0000113B0000}"/>
    <cellStyle name="Normal 3 3 3 2 2 4 3" xfId="22161" xr:uid="{00000000-0005-0000-0000-0000123B0000}"/>
    <cellStyle name="Normal 3 3 3 2 2 5" xfId="9445" xr:uid="{00000000-0005-0000-0000-0000133B0000}"/>
    <cellStyle name="Normal 3 3 3 2 2 5 2" xfId="26385" xr:uid="{00000000-0005-0000-0000-0000143B0000}"/>
    <cellStyle name="Normal 3 3 3 2 2 6" xfId="17937" xr:uid="{00000000-0005-0000-0000-0000153B0000}"/>
    <cellStyle name="Normal 3 3 3 2 3" xfId="1699" xr:uid="{00000000-0005-0000-0000-0000163B0000}"/>
    <cellStyle name="Normal 3 3 3 2 3 2" xfId="3811" xr:uid="{00000000-0005-0000-0000-0000173B0000}"/>
    <cellStyle name="Normal 3 3 3 2 3 2 2" xfId="8037" xr:uid="{00000000-0005-0000-0000-0000183B0000}"/>
    <cellStyle name="Normal 3 3 3 2 3 2 2 2" xfId="16485" xr:uid="{00000000-0005-0000-0000-0000193B0000}"/>
    <cellStyle name="Normal 3 3 3 2 3 2 2 2 2" xfId="33425" xr:uid="{00000000-0005-0000-0000-00001A3B0000}"/>
    <cellStyle name="Normal 3 3 3 2 3 2 2 3" xfId="24977" xr:uid="{00000000-0005-0000-0000-00001B3B0000}"/>
    <cellStyle name="Normal 3 3 3 2 3 2 3" xfId="12261" xr:uid="{00000000-0005-0000-0000-00001C3B0000}"/>
    <cellStyle name="Normal 3 3 3 2 3 2 3 2" xfId="29201" xr:uid="{00000000-0005-0000-0000-00001D3B0000}"/>
    <cellStyle name="Normal 3 3 3 2 3 2 4" xfId="20753" xr:uid="{00000000-0005-0000-0000-00001E3B0000}"/>
    <cellStyle name="Normal 3 3 3 2 3 3" xfId="5925" xr:uid="{00000000-0005-0000-0000-00001F3B0000}"/>
    <cellStyle name="Normal 3 3 3 2 3 3 2" xfId="14373" xr:uid="{00000000-0005-0000-0000-0000203B0000}"/>
    <cellStyle name="Normal 3 3 3 2 3 3 2 2" xfId="31313" xr:uid="{00000000-0005-0000-0000-0000213B0000}"/>
    <cellStyle name="Normal 3 3 3 2 3 3 3" xfId="22865" xr:uid="{00000000-0005-0000-0000-0000223B0000}"/>
    <cellStyle name="Normal 3 3 3 2 3 4" xfId="10149" xr:uid="{00000000-0005-0000-0000-0000233B0000}"/>
    <cellStyle name="Normal 3 3 3 2 3 4 2" xfId="27089" xr:uid="{00000000-0005-0000-0000-0000243B0000}"/>
    <cellStyle name="Normal 3 3 3 2 3 5" xfId="18641" xr:uid="{00000000-0005-0000-0000-0000253B0000}"/>
    <cellStyle name="Normal 3 3 3 2 4" xfId="2755" xr:uid="{00000000-0005-0000-0000-0000263B0000}"/>
    <cellStyle name="Normal 3 3 3 2 4 2" xfId="6981" xr:uid="{00000000-0005-0000-0000-0000273B0000}"/>
    <cellStyle name="Normal 3 3 3 2 4 2 2" xfId="15429" xr:uid="{00000000-0005-0000-0000-0000283B0000}"/>
    <cellStyle name="Normal 3 3 3 2 4 2 2 2" xfId="32369" xr:uid="{00000000-0005-0000-0000-0000293B0000}"/>
    <cellStyle name="Normal 3 3 3 2 4 2 3" xfId="23921" xr:uid="{00000000-0005-0000-0000-00002A3B0000}"/>
    <cellStyle name="Normal 3 3 3 2 4 3" xfId="11205" xr:uid="{00000000-0005-0000-0000-00002B3B0000}"/>
    <cellStyle name="Normal 3 3 3 2 4 3 2" xfId="28145" xr:uid="{00000000-0005-0000-0000-00002C3B0000}"/>
    <cellStyle name="Normal 3 3 3 2 4 4" xfId="19697" xr:uid="{00000000-0005-0000-0000-00002D3B0000}"/>
    <cellStyle name="Normal 3 3 3 2 5" xfId="4869" xr:uid="{00000000-0005-0000-0000-00002E3B0000}"/>
    <cellStyle name="Normal 3 3 3 2 5 2" xfId="13317" xr:uid="{00000000-0005-0000-0000-00002F3B0000}"/>
    <cellStyle name="Normal 3 3 3 2 5 2 2" xfId="30257" xr:uid="{00000000-0005-0000-0000-0000303B0000}"/>
    <cellStyle name="Normal 3 3 3 2 5 3" xfId="21809" xr:uid="{00000000-0005-0000-0000-0000313B0000}"/>
    <cellStyle name="Normal 3 3 3 2 6" xfId="9093" xr:uid="{00000000-0005-0000-0000-0000323B0000}"/>
    <cellStyle name="Normal 3 3 3 2 6 2" xfId="26033" xr:uid="{00000000-0005-0000-0000-0000333B0000}"/>
    <cellStyle name="Normal 3 3 3 2 7" xfId="17585" xr:uid="{00000000-0005-0000-0000-0000343B0000}"/>
    <cellStyle name="Normal 3 3 3 3" xfId="813" xr:uid="{00000000-0005-0000-0000-0000353B0000}"/>
    <cellStyle name="Normal 3 3 3 3 2" xfId="1875" xr:uid="{00000000-0005-0000-0000-0000363B0000}"/>
    <cellStyle name="Normal 3 3 3 3 2 2" xfId="3987" xr:uid="{00000000-0005-0000-0000-0000373B0000}"/>
    <cellStyle name="Normal 3 3 3 3 2 2 2" xfId="8213" xr:uid="{00000000-0005-0000-0000-0000383B0000}"/>
    <cellStyle name="Normal 3 3 3 3 2 2 2 2" xfId="16661" xr:uid="{00000000-0005-0000-0000-0000393B0000}"/>
    <cellStyle name="Normal 3 3 3 3 2 2 2 2 2" xfId="33601" xr:uid="{00000000-0005-0000-0000-00003A3B0000}"/>
    <cellStyle name="Normal 3 3 3 3 2 2 2 3" xfId="25153" xr:uid="{00000000-0005-0000-0000-00003B3B0000}"/>
    <cellStyle name="Normal 3 3 3 3 2 2 3" xfId="12437" xr:uid="{00000000-0005-0000-0000-00003C3B0000}"/>
    <cellStyle name="Normal 3 3 3 3 2 2 3 2" xfId="29377" xr:uid="{00000000-0005-0000-0000-00003D3B0000}"/>
    <cellStyle name="Normal 3 3 3 3 2 2 4" xfId="20929" xr:uid="{00000000-0005-0000-0000-00003E3B0000}"/>
    <cellStyle name="Normal 3 3 3 3 2 3" xfId="6101" xr:uid="{00000000-0005-0000-0000-00003F3B0000}"/>
    <cellStyle name="Normal 3 3 3 3 2 3 2" xfId="14549" xr:uid="{00000000-0005-0000-0000-0000403B0000}"/>
    <cellStyle name="Normal 3 3 3 3 2 3 2 2" xfId="31489" xr:uid="{00000000-0005-0000-0000-0000413B0000}"/>
    <cellStyle name="Normal 3 3 3 3 2 3 3" xfId="23041" xr:uid="{00000000-0005-0000-0000-0000423B0000}"/>
    <cellStyle name="Normal 3 3 3 3 2 4" xfId="10325" xr:uid="{00000000-0005-0000-0000-0000433B0000}"/>
    <cellStyle name="Normal 3 3 3 3 2 4 2" xfId="27265" xr:uid="{00000000-0005-0000-0000-0000443B0000}"/>
    <cellStyle name="Normal 3 3 3 3 2 5" xfId="18817" xr:uid="{00000000-0005-0000-0000-0000453B0000}"/>
    <cellStyle name="Normal 3 3 3 3 3" xfId="2931" xr:uid="{00000000-0005-0000-0000-0000463B0000}"/>
    <cellStyle name="Normal 3 3 3 3 3 2" xfId="7157" xr:uid="{00000000-0005-0000-0000-0000473B0000}"/>
    <cellStyle name="Normal 3 3 3 3 3 2 2" xfId="15605" xr:uid="{00000000-0005-0000-0000-0000483B0000}"/>
    <cellStyle name="Normal 3 3 3 3 3 2 2 2" xfId="32545" xr:uid="{00000000-0005-0000-0000-0000493B0000}"/>
    <cellStyle name="Normal 3 3 3 3 3 2 3" xfId="24097" xr:uid="{00000000-0005-0000-0000-00004A3B0000}"/>
    <cellStyle name="Normal 3 3 3 3 3 3" xfId="11381" xr:uid="{00000000-0005-0000-0000-00004B3B0000}"/>
    <cellStyle name="Normal 3 3 3 3 3 3 2" xfId="28321" xr:uid="{00000000-0005-0000-0000-00004C3B0000}"/>
    <cellStyle name="Normal 3 3 3 3 3 4" xfId="19873" xr:uid="{00000000-0005-0000-0000-00004D3B0000}"/>
    <cellStyle name="Normal 3 3 3 3 4" xfId="5045" xr:uid="{00000000-0005-0000-0000-00004E3B0000}"/>
    <cellStyle name="Normal 3 3 3 3 4 2" xfId="13493" xr:uid="{00000000-0005-0000-0000-00004F3B0000}"/>
    <cellStyle name="Normal 3 3 3 3 4 2 2" xfId="30433" xr:uid="{00000000-0005-0000-0000-0000503B0000}"/>
    <cellStyle name="Normal 3 3 3 3 4 3" xfId="21985" xr:uid="{00000000-0005-0000-0000-0000513B0000}"/>
    <cellStyle name="Normal 3 3 3 3 5" xfId="9269" xr:uid="{00000000-0005-0000-0000-0000523B0000}"/>
    <cellStyle name="Normal 3 3 3 3 5 2" xfId="26209" xr:uid="{00000000-0005-0000-0000-0000533B0000}"/>
    <cellStyle name="Normal 3 3 3 3 6" xfId="17761" xr:uid="{00000000-0005-0000-0000-0000543B0000}"/>
    <cellStyle name="Normal 3 3 3 4" xfId="1165" xr:uid="{00000000-0005-0000-0000-0000553B0000}"/>
    <cellStyle name="Normal 3 3 3 4 2" xfId="2227" xr:uid="{00000000-0005-0000-0000-0000563B0000}"/>
    <cellStyle name="Normal 3 3 3 4 2 2" xfId="4339" xr:uid="{00000000-0005-0000-0000-0000573B0000}"/>
    <cellStyle name="Normal 3 3 3 4 2 2 2" xfId="8565" xr:uid="{00000000-0005-0000-0000-0000583B0000}"/>
    <cellStyle name="Normal 3 3 3 4 2 2 2 2" xfId="17013" xr:uid="{00000000-0005-0000-0000-0000593B0000}"/>
    <cellStyle name="Normal 3 3 3 4 2 2 2 2 2" xfId="33953" xr:uid="{00000000-0005-0000-0000-00005A3B0000}"/>
    <cellStyle name="Normal 3 3 3 4 2 2 2 3" xfId="25505" xr:uid="{00000000-0005-0000-0000-00005B3B0000}"/>
    <cellStyle name="Normal 3 3 3 4 2 2 3" xfId="12789" xr:uid="{00000000-0005-0000-0000-00005C3B0000}"/>
    <cellStyle name="Normal 3 3 3 4 2 2 3 2" xfId="29729" xr:uid="{00000000-0005-0000-0000-00005D3B0000}"/>
    <cellStyle name="Normal 3 3 3 4 2 2 4" xfId="21281" xr:uid="{00000000-0005-0000-0000-00005E3B0000}"/>
    <cellStyle name="Normal 3 3 3 4 2 3" xfId="6453" xr:uid="{00000000-0005-0000-0000-00005F3B0000}"/>
    <cellStyle name="Normal 3 3 3 4 2 3 2" xfId="14901" xr:uid="{00000000-0005-0000-0000-0000603B0000}"/>
    <cellStyle name="Normal 3 3 3 4 2 3 2 2" xfId="31841" xr:uid="{00000000-0005-0000-0000-0000613B0000}"/>
    <cellStyle name="Normal 3 3 3 4 2 3 3" xfId="23393" xr:uid="{00000000-0005-0000-0000-0000623B0000}"/>
    <cellStyle name="Normal 3 3 3 4 2 4" xfId="10677" xr:uid="{00000000-0005-0000-0000-0000633B0000}"/>
    <cellStyle name="Normal 3 3 3 4 2 4 2" xfId="27617" xr:uid="{00000000-0005-0000-0000-0000643B0000}"/>
    <cellStyle name="Normal 3 3 3 4 2 5" xfId="19169" xr:uid="{00000000-0005-0000-0000-0000653B0000}"/>
    <cellStyle name="Normal 3 3 3 4 3" xfId="3283" xr:uid="{00000000-0005-0000-0000-0000663B0000}"/>
    <cellStyle name="Normal 3 3 3 4 3 2" xfId="7509" xr:uid="{00000000-0005-0000-0000-0000673B0000}"/>
    <cellStyle name="Normal 3 3 3 4 3 2 2" xfId="15957" xr:uid="{00000000-0005-0000-0000-0000683B0000}"/>
    <cellStyle name="Normal 3 3 3 4 3 2 2 2" xfId="32897" xr:uid="{00000000-0005-0000-0000-0000693B0000}"/>
    <cellStyle name="Normal 3 3 3 4 3 2 3" xfId="24449" xr:uid="{00000000-0005-0000-0000-00006A3B0000}"/>
    <cellStyle name="Normal 3 3 3 4 3 3" xfId="11733" xr:uid="{00000000-0005-0000-0000-00006B3B0000}"/>
    <cellStyle name="Normal 3 3 3 4 3 3 2" xfId="28673" xr:uid="{00000000-0005-0000-0000-00006C3B0000}"/>
    <cellStyle name="Normal 3 3 3 4 3 4" xfId="20225" xr:uid="{00000000-0005-0000-0000-00006D3B0000}"/>
    <cellStyle name="Normal 3 3 3 4 4" xfId="5397" xr:uid="{00000000-0005-0000-0000-00006E3B0000}"/>
    <cellStyle name="Normal 3 3 3 4 4 2" xfId="13845" xr:uid="{00000000-0005-0000-0000-00006F3B0000}"/>
    <cellStyle name="Normal 3 3 3 4 4 2 2" xfId="30785" xr:uid="{00000000-0005-0000-0000-0000703B0000}"/>
    <cellStyle name="Normal 3 3 3 4 4 3" xfId="22337" xr:uid="{00000000-0005-0000-0000-0000713B0000}"/>
    <cellStyle name="Normal 3 3 3 4 5" xfId="9621" xr:uid="{00000000-0005-0000-0000-0000723B0000}"/>
    <cellStyle name="Normal 3 3 3 4 5 2" xfId="26561" xr:uid="{00000000-0005-0000-0000-0000733B0000}"/>
    <cellStyle name="Normal 3 3 3 4 6" xfId="18113" xr:uid="{00000000-0005-0000-0000-0000743B0000}"/>
    <cellStyle name="Normal 3 3 3 5" xfId="1347" xr:uid="{00000000-0005-0000-0000-0000753B0000}"/>
    <cellStyle name="Normal 3 3 3 5 2" xfId="2403" xr:uid="{00000000-0005-0000-0000-0000763B0000}"/>
    <cellStyle name="Normal 3 3 3 5 2 2" xfId="4515" xr:uid="{00000000-0005-0000-0000-0000773B0000}"/>
    <cellStyle name="Normal 3 3 3 5 2 2 2" xfId="8741" xr:uid="{00000000-0005-0000-0000-0000783B0000}"/>
    <cellStyle name="Normal 3 3 3 5 2 2 2 2" xfId="17189" xr:uid="{00000000-0005-0000-0000-0000793B0000}"/>
    <cellStyle name="Normal 3 3 3 5 2 2 2 2 2" xfId="34129" xr:uid="{00000000-0005-0000-0000-00007A3B0000}"/>
    <cellStyle name="Normal 3 3 3 5 2 2 2 3" xfId="25681" xr:uid="{00000000-0005-0000-0000-00007B3B0000}"/>
    <cellStyle name="Normal 3 3 3 5 2 2 3" xfId="12965" xr:uid="{00000000-0005-0000-0000-00007C3B0000}"/>
    <cellStyle name="Normal 3 3 3 5 2 2 3 2" xfId="29905" xr:uid="{00000000-0005-0000-0000-00007D3B0000}"/>
    <cellStyle name="Normal 3 3 3 5 2 2 4" xfId="21457" xr:uid="{00000000-0005-0000-0000-00007E3B0000}"/>
    <cellStyle name="Normal 3 3 3 5 2 3" xfId="6629" xr:uid="{00000000-0005-0000-0000-00007F3B0000}"/>
    <cellStyle name="Normal 3 3 3 5 2 3 2" xfId="15077" xr:uid="{00000000-0005-0000-0000-0000803B0000}"/>
    <cellStyle name="Normal 3 3 3 5 2 3 2 2" xfId="32017" xr:uid="{00000000-0005-0000-0000-0000813B0000}"/>
    <cellStyle name="Normal 3 3 3 5 2 3 3" xfId="23569" xr:uid="{00000000-0005-0000-0000-0000823B0000}"/>
    <cellStyle name="Normal 3 3 3 5 2 4" xfId="10853" xr:uid="{00000000-0005-0000-0000-0000833B0000}"/>
    <cellStyle name="Normal 3 3 3 5 2 4 2" xfId="27793" xr:uid="{00000000-0005-0000-0000-0000843B0000}"/>
    <cellStyle name="Normal 3 3 3 5 2 5" xfId="19345" xr:uid="{00000000-0005-0000-0000-0000853B0000}"/>
    <cellStyle name="Normal 3 3 3 5 3" xfId="3459" xr:uid="{00000000-0005-0000-0000-0000863B0000}"/>
    <cellStyle name="Normal 3 3 3 5 3 2" xfId="7685" xr:uid="{00000000-0005-0000-0000-0000873B0000}"/>
    <cellStyle name="Normal 3 3 3 5 3 2 2" xfId="16133" xr:uid="{00000000-0005-0000-0000-0000883B0000}"/>
    <cellStyle name="Normal 3 3 3 5 3 2 2 2" xfId="33073" xr:uid="{00000000-0005-0000-0000-0000893B0000}"/>
    <cellStyle name="Normal 3 3 3 5 3 2 3" xfId="24625" xr:uid="{00000000-0005-0000-0000-00008A3B0000}"/>
    <cellStyle name="Normal 3 3 3 5 3 3" xfId="11909" xr:uid="{00000000-0005-0000-0000-00008B3B0000}"/>
    <cellStyle name="Normal 3 3 3 5 3 3 2" xfId="28849" xr:uid="{00000000-0005-0000-0000-00008C3B0000}"/>
    <cellStyle name="Normal 3 3 3 5 3 4" xfId="20401" xr:uid="{00000000-0005-0000-0000-00008D3B0000}"/>
    <cellStyle name="Normal 3 3 3 5 4" xfId="5573" xr:uid="{00000000-0005-0000-0000-00008E3B0000}"/>
    <cellStyle name="Normal 3 3 3 5 4 2" xfId="14021" xr:uid="{00000000-0005-0000-0000-00008F3B0000}"/>
    <cellStyle name="Normal 3 3 3 5 4 2 2" xfId="30961" xr:uid="{00000000-0005-0000-0000-0000903B0000}"/>
    <cellStyle name="Normal 3 3 3 5 4 3" xfId="22513" xr:uid="{00000000-0005-0000-0000-0000913B0000}"/>
    <cellStyle name="Normal 3 3 3 5 5" xfId="9797" xr:uid="{00000000-0005-0000-0000-0000923B0000}"/>
    <cellStyle name="Normal 3 3 3 5 5 2" xfId="26737" xr:uid="{00000000-0005-0000-0000-0000933B0000}"/>
    <cellStyle name="Normal 3 3 3 5 6" xfId="18289" xr:uid="{00000000-0005-0000-0000-0000943B0000}"/>
    <cellStyle name="Normal 3 3 3 6" xfId="1523" xr:uid="{00000000-0005-0000-0000-0000953B0000}"/>
    <cellStyle name="Normal 3 3 3 6 2" xfId="3635" xr:uid="{00000000-0005-0000-0000-0000963B0000}"/>
    <cellStyle name="Normal 3 3 3 6 2 2" xfId="7861" xr:uid="{00000000-0005-0000-0000-0000973B0000}"/>
    <cellStyle name="Normal 3 3 3 6 2 2 2" xfId="16309" xr:uid="{00000000-0005-0000-0000-0000983B0000}"/>
    <cellStyle name="Normal 3 3 3 6 2 2 2 2" xfId="33249" xr:uid="{00000000-0005-0000-0000-0000993B0000}"/>
    <cellStyle name="Normal 3 3 3 6 2 2 3" xfId="24801" xr:uid="{00000000-0005-0000-0000-00009A3B0000}"/>
    <cellStyle name="Normal 3 3 3 6 2 3" xfId="12085" xr:uid="{00000000-0005-0000-0000-00009B3B0000}"/>
    <cellStyle name="Normal 3 3 3 6 2 3 2" xfId="29025" xr:uid="{00000000-0005-0000-0000-00009C3B0000}"/>
    <cellStyle name="Normal 3 3 3 6 2 4" xfId="20577" xr:uid="{00000000-0005-0000-0000-00009D3B0000}"/>
    <cellStyle name="Normal 3 3 3 6 3" xfId="5749" xr:uid="{00000000-0005-0000-0000-00009E3B0000}"/>
    <cellStyle name="Normal 3 3 3 6 3 2" xfId="14197" xr:uid="{00000000-0005-0000-0000-00009F3B0000}"/>
    <cellStyle name="Normal 3 3 3 6 3 2 2" xfId="31137" xr:uid="{00000000-0005-0000-0000-0000A03B0000}"/>
    <cellStyle name="Normal 3 3 3 6 3 3" xfId="22689" xr:uid="{00000000-0005-0000-0000-0000A13B0000}"/>
    <cellStyle name="Normal 3 3 3 6 4" xfId="9973" xr:uid="{00000000-0005-0000-0000-0000A23B0000}"/>
    <cellStyle name="Normal 3 3 3 6 4 2" xfId="26913" xr:uid="{00000000-0005-0000-0000-0000A33B0000}"/>
    <cellStyle name="Normal 3 3 3 6 5" xfId="18465" xr:uid="{00000000-0005-0000-0000-0000A43B0000}"/>
    <cellStyle name="Normal 3 3 3 7" xfId="2579" xr:uid="{00000000-0005-0000-0000-0000A53B0000}"/>
    <cellStyle name="Normal 3 3 3 7 2" xfId="6805" xr:uid="{00000000-0005-0000-0000-0000A63B0000}"/>
    <cellStyle name="Normal 3 3 3 7 2 2" xfId="15253" xr:uid="{00000000-0005-0000-0000-0000A73B0000}"/>
    <cellStyle name="Normal 3 3 3 7 2 2 2" xfId="32193" xr:uid="{00000000-0005-0000-0000-0000A83B0000}"/>
    <cellStyle name="Normal 3 3 3 7 2 3" xfId="23745" xr:uid="{00000000-0005-0000-0000-0000A93B0000}"/>
    <cellStyle name="Normal 3 3 3 7 3" xfId="11029" xr:uid="{00000000-0005-0000-0000-0000AA3B0000}"/>
    <cellStyle name="Normal 3 3 3 7 3 2" xfId="27969" xr:uid="{00000000-0005-0000-0000-0000AB3B0000}"/>
    <cellStyle name="Normal 3 3 3 7 4" xfId="19521" xr:uid="{00000000-0005-0000-0000-0000AC3B0000}"/>
    <cellStyle name="Normal 3 3 3 8" xfId="4692" xr:uid="{00000000-0005-0000-0000-0000AD3B0000}"/>
    <cellStyle name="Normal 3 3 3 8 2" xfId="13141" xr:uid="{00000000-0005-0000-0000-0000AE3B0000}"/>
    <cellStyle name="Normal 3 3 3 8 2 2" xfId="30081" xr:uid="{00000000-0005-0000-0000-0000AF3B0000}"/>
    <cellStyle name="Normal 3 3 3 8 3" xfId="21633" xr:uid="{00000000-0005-0000-0000-0000B03B0000}"/>
    <cellStyle name="Normal 3 3 3 9" xfId="8917" xr:uid="{00000000-0005-0000-0000-0000B13B0000}"/>
    <cellStyle name="Normal 3 3 3 9 2" xfId="25857" xr:uid="{00000000-0005-0000-0000-0000B23B0000}"/>
    <cellStyle name="Normal 3 3 4" xfId="635" xr:uid="{00000000-0005-0000-0000-0000B33B0000}"/>
    <cellStyle name="Normal 3 3 4 2" xfId="987" xr:uid="{00000000-0005-0000-0000-0000B43B0000}"/>
    <cellStyle name="Normal 3 3 4 2 2" xfId="2049" xr:uid="{00000000-0005-0000-0000-0000B53B0000}"/>
    <cellStyle name="Normal 3 3 4 2 2 2" xfId="4161" xr:uid="{00000000-0005-0000-0000-0000B63B0000}"/>
    <cellStyle name="Normal 3 3 4 2 2 2 2" xfId="8387" xr:uid="{00000000-0005-0000-0000-0000B73B0000}"/>
    <cellStyle name="Normal 3 3 4 2 2 2 2 2" xfId="16835" xr:uid="{00000000-0005-0000-0000-0000B83B0000}"/>
    <cellStyle name="Normal 3 3 4 2 2 2 2 2 2" xfId="33775" xr:uid="{00000000-0005-0000-0000-0000B93B0000}"/>
    <cellStyle name="Normal 3 3 4 2 2 2 2 3" xfId="25327" xr:uid="{00000000-0005-0000-0000-0000BA3B0000}"/>
    <cellStyle name="Normal 3 3 4 2 2 2 3" xfId="12611" xr:uid="{00000000-0005-0000-0000-0000BB3B0000}"/>
    <cellStyle name="Normal 3 3 4 2 2 2 3 2" xfId="29551" xr:uid="{00000000-0005-0000-0000-0000BC3B0000}"/>
    <cellStyle name="Normal 3 3 4 2 2 2 4" xfId="21103" xr:uid="{00000000-0005-0000-0000-0000BD3B0000}"/>
    <cellStyle name="Normal 3 3 4 2 2 3" xfId="6275" xr:uid="{00000000-0005-0000-0000-0000BE3B0000}"/>
    <cellStyle name="Normal 3 3 4 2 2 3 2" xfId="14723" xr:uid="{00000000-0005-0000-0000-0000BF3B0000}"/>
    <cellStyle name="Normal 3 3 4 2 2 3 2 2" xfId="31663" xr:uid="{00000000-0005-0000-0000-0000C03B0000}"/>
    <cellStyle name="Normal 3 3 4 2 2 3 3" xfId="23215" xr:uid="{00000000-0005-0000-0000-0000C13B0000}"/>
    <cellStyle name="Normal 3 3 4 2 2 4" xfId="10499" xr:uid="{00000000-0005-0000-0000-0000C23B0000}"/>
    <cellStyle name="Normal 3 3 4 2 2 4 2" xfId="27439" xr:uid="{00000000-0005-0000-0000-0000C33B0000}"/>
    <cellStyle name="Normal 3 3 4 2 2 5" xfId="18991" xr:uid="{00000000-0005-0000-0000-0000C43B0000}"/>
    <cellStyle name="Normal 3 3 4 2 3" xfId="3105" xr:uid="{00000000-0005-0000-0000-0000C53B0000}"/>
    <cellStyle name="Normal 3 3 4 2 3 2" xfId="7331" xr:uid="{00000000-0005-0000-0000-0000C63B0000}"/>
    <cellStyle name="Normal 3 3 4 2 3 2 2" xfId="15779" xr:uid="{00000000-0005-0000-0000-0000C73B0000}"/>
    <cellStyle name="Normal 3 3 4 2 3 2 2 2" xfId="32719" xr:uid="{00000000-0005-0000-0000-0000C83B0000}"/>
    <cellStyle name="Normal 3 3 4 2 3 2 3" xfId="24271" xr:uid="{00000000-0005-0000-0000-0000C93B0000}"/>
    <cellStyle name="Normal 3 3 4 2 3 3" xfId="11555" xr:uid="{00000000-0005-0000-0000-0000CA3B0000}"/>
    <cellStyle name="Normal 3 3 4 2 3 3 2" xfId="28495" xr:uid="{00000000-0005-0000-0000-0000CB3B0000}"/>
    <cellStyle name="Normal 3 3 4 2 3 4" xfId="20047" xr:uid="{00000000-0005-0000-0000-0000CC3B0000}"/>
    <cellStyle name="Normal 3 3 4 2 4" xfId="5219" xr:uid="{00000000-0005-0000-0000-0000CD3B0000}"/>
    <cellStyle name="Normal 3 3 4 2 4 2" xfId="13667" xr:uid="{00000000-0005-0000-0000-0000CE3B0000}"/>
    <cellStyle name="Normal 3 3 4 2 4 2 2" xfId="30607" xr:uid="{00000000-0005-0000-0000-0000CF3B0000}"/>
    <cellStyle name="Normal 3 3 4 2 4 3" xfId="22159" xr:uid="{00000000-0005-0000-0000-0000D03B0000}"/>
    <cellStyle name="Normal 3 3 4 2 5" xfId="9443" xr:uid="{00000000-0005-0000-0000-0000D13B0000}"/>
    <cellStyle name="Normal 3 3 4 2 5 2" xfId="26383" xr:uid="{00000000-0005-0000-0000-0000D23B0000}"/>
    <cellStyle name="Normal 3 3 4 2 6" xfId="17935" xr:uid="{00000000-0005-0000-0000-0000D33B0000}"/>
    <cellStyle name="Normal 3 3 4 3" xfId="1697" xr:uid="{00000000-0005-0000-0000-0000D43B0000}"/>
    <cellStyle name="Normal 3 3 4 3 2" xfId="3809" xr:uid="{00000000-0005-0000-0000-0000D53B0000}"/>
    <cellStyle name="Normal 3 3 4 3 2 2" xfId="8035" xr:uid="{00000000-0005-0000-0000-0000D63B0000}"/>
    <cellStyle name="Normal 3 3 4 3 2 2 2" xfId="16483" xr:uid="{00000000-0005-0000-0000-0000D73B0000}"/>
    <cellStyle name="Normal 3 3 4 3 2 2 2 2" xfId="33423" xr:uid="{00000000-0005-0000-0000-0000D83B0000}"/>
    <cellStyle name="Normal 3 3 4 3 2 2 3" xfId="24975" xr:uid="{00000000-0005-0000-0000-0000D93B0000}"/>
    <cellStyle name="Normal 3 3 4 3 2 3" xfId="12259" xr:uid="{00000000-0005-0000-0000-0000DA3B0000}"/>
    <cellStyle name="Normal 3 3 4 3 2 3 2" xfId="29199" xr:uid="{00000000-0005-0000-0000-0000DB3B0000}"/>
    <cellStyle name="Normal 3 3 4 3 2 4" xfId="20751" xr:uid="{00000000-0005-0000-0000-0000DC3B0000}"/>
    <cellStyle name="Normal 3 3 4 3 3" xfId="5923" xr:uid="{00000000-0005-0000-0000-0000DD3B0000}"/>
    <cellStyle name="Normal 3 3 4 3 3 2" xfId="14371" xr:uid="{00000000-0005-0000-0000-0000DE3B0000}"/>
    <cellStyle name="Normal 3 3 4 3 3 2 2" xfId="31311" xr:uid="{00000000-0005-0000-0000-0000DF3B0000}"/>
    <cellStyle name="Normal 3 3 4 3 3 3" xfId="22863" xr:uid="{00000000-0005-0000-0000-0000E03B0000}"/>
    <cellStyle name="Normal 3 3 4 3 4" xfId="10147" xr:uid="{00000000-0005-0000-0000-0000E13B0000}"/>
    <cellStyle name="Normal 3 3 4 3 4 2" xfId="27087" xr:uid="{00000000-0005-0000-0000-0000E23B0000}"/>
    <cellStyle name="Normal 3 3 4 3 5" xfId="18639" xr:uid="{00000000-0005-0000-0000-0000E33B0000}"/>
    <cellStyle name="Normal 3 3 4 4" xfId="2753" xr:uid="{00000000-0005-0000-0000-0000E43B0000}"/>
    <cellStyle name="Normal 3 3 4 4 2" xfId="6979" xr:uid="{00000000-0005-0000-0000-0000E53B0000}"/>
    <cellStyle name="Normal 3 3 4 4 2 2" xfId="15427" xr:uid="{00000000-0005-0000-0000-0000E63B0000}"/>
    <cellStyle name="Normal 3 3 4 4 2 2 2" xfId="32367" xr:uid="{00000000-0005-0000-0000-0000E73B0000}"/>
    <cellStyle name="Normal 3 3 4 4 2 3" xfId="23919" xr:uid="{00000000-0005-0000-0000-0000E83B0000}"/>
    <cellStyle name="Normal 3 3 4 4 3" xfId="11203" xr:uid="{00000000-0005-0000-0000-0000E93B0000}"/>
    <cellStyle name="Normal 3 3 4 4 3 2" xfId="28143" xr:uid="{00000000-0005-0000-0000-0000EA3B0000}"/>
    <cellStyle name="Normal 3 3 4 4 4" xfId="19695" xr:uid="{00000000-0005-0000-0000-0000EB3B0000}"/>
    <cellStyle name="Normal 3 3 4 5" xfId="4867" xr:uid="{00000000-0005-0000-0000-0000EC3B0000}"/>
    <cellStyle name="Normal 3 3 4 5 2" xfId="13315" xr:uid="{00000000-0005-0000-0000-0000ED3B0000}"/>
    <cellStyle name="Normal 3 3 4 5 2 2" xfId="30255" xr:uid="{00000000-0005-0000-0000-0000EE3B0000}"/>
    <cellStyle name="Normal 3 3 4 5 3" xfId="21807" xr:uid="{00000000-0005-0000-0000-0000EF3B0000}"/>
    <cellStyle name="Normal 3 3 4 6" xfId="9091" xr:uid="{00000000-0005-0000-0000-0000F03B0000}"/>
    <cellStyle name="Normal 3 3 4 6 2" xfId="26031" xr:uid="{00000000-0005-0000-0000-0000F13B0000}"/>
    <cellStyle name="Normal 3 3 4 7" xfId="17583" xr:uid="{00000000-0005-0000-0000-0000F23B0000}"/>
    <cellStyle name="Normal 3 3 5" xfId="811" xr:uid="{00000000-0005-0000-0000-0000F33B0000}"/>
    <cellStyle name="Normal 3 3 5 2" xfId="1873" xr:uid="{00000000-0005-0000-0000-0000F43B0000}"/>
    <cellStyle name="Normal 3 3 5 2 2" xfId="3985" xr:uid="{00000000-0005-0000-0000-0000F53B0000}"/>
    <cellStyle name="Normal 3 3 5 2 2 2" xfId="8211" xr:uid="{00000000-0005-0000-0000-0000F63B0000}"/>
    <cellStyle name="Normal 3 3 5 2 2 2 2" xfId="16659" xr:uid="{00000000-0005-0000-0000-0000F73B0000}"/>
    <cellStyle name="Normal 3 3 5 2 2 2 2 2" xfId="33599" xr:uid="{00000000-0005-0000-0000-0000F83B0000}"/>
    <cellStyle name="Normal 3 3 5 2 2 2 3" xfId="25151" xr:uid="{00000000-0005-0000-0000-0000F93B0000}"/>
    <cellStyle name="Normal 3 3 5 2 2 3" xfId="12435" xr:uid="{00000000-0005-0000-0000-0000FA3B0000}"/>
    <cellStyle name="Normal 3 3 5 2 2 3 2" xfId="29375" xr:uid="{00000000-0005-0000-0000-0000FB3B0000}"/>
    <cellStyle name="Normal 3 3 5 2 2 4" xfId="20927" xr:uid="{00000000-0005-0000-0000-0000FC3B0000}"/>
    <cellStyle name="Normal 3 3 5 2 3" xfId="6099" xr:uid="{00000000-0005-0000-0000-0000FD3B0000}"/>
    <cellStyle name="Normal 3 3 5 2 3 2" xfId="14547" xr:uid="{00000000-0005-0000-0000-0000FE3B0000}"/>
    <cellStyle name="Normal 3 3 5 2 3 2 2" xfId="31487" xr:uid="{00000000-0005-0000-0000-0000FF3B0000}"/>
    <cellStyle name="Normal 3 3 5 2 3 3" xfId="23039" xr:uid="{00000000-0005-0000-0000-0000003C0000}"/>
    <cellStyle name="Normal 3 3 5 2 4" xfId="10323" xr:uid="{00000000-0005-0000-0000-0000013C0000}"/>
    <cellStyle name="Normal 3 3 5 2 4 2" xfId="27263" xr:uid="{00000000-0005-0000-0000-0000023C0000}"/>
    <cellStyle name="Normal 3 3 5 2 5" xfId="18815" xr:uid="{00000000-0005-0000-0000-0000033C0000}"/>
    <cellStyle name="Normal 3 3 5 3" xfId="2929" xr:uid="{00000000-0005-0000-0000-0000043C0000}"/>
    <cellStyle name="Normal 3 3 5 3 2" xfId="7155" xr:uid="{00000000-0005-0000-0000-0000053C0000}"/>
    <cellStyle name="Normal 3 3 5 3 2 2" xfId="15603" xr:uid="{00000000-0005-0000-0000-0000063C0000}"/>
    <cellStyle name="Normal 3 3 5 3 2 2 2" xfId="32543" xr:uid="{00000000-0005-0000-0000-0000073C0000}"/>
    <cellStyle name="Normal 3 3 5 3 2 3" xfId="24095" xr:uid="{00000000-0005-0000-0000-0000083C0000}"/>
    <cellStyle name="Normal 3 3 5 3 3" xfId="11379" xr:uid="{00000000-0005-0000-0000-0000093C0000}"/>
    <cellStyle name="Normal 3 3 5 3 3 2" xfId="28319" xr:uid="{00000000-0005-0000-0000-00000A3C0000}"/>
    <cellStyle name="Normal 3 3 5 3 4" xfId="19871" xr:uid="{00000000-0005-0000-0000-00000B3C0000}"/>
    <cellStyle name="Normal 3 3 5 4" xfId="5043" xr:uid="{00000000-0005-0000-0000-00000C3C0000}"/>
    <cellStyle name="Normal 3 3 5 4 2" xfId="13491" xr:uid="{00000000-0005-0000-0000-00000D3C0000}"/>
    <cellStyle name="Normal 3 3 5 4 2 2" xfId="30431" xr:uid="{00000000-0005-0000-0000-00000E3C0000}"/>
    <cellStyle name="Normal 3 3 5 4 3" xfId="21983" xr:uid="{00000000-0005-0000-0000-00000F3C0000}"/>
    <cellStyle name="Normal 3 3 5 5" xfId="9267" xr:uid="{00000000-0005-0000-0000-0000103C0000}"/>
    <cellStyle name="Normal 3 3 5 5 2" xfId="26207" xr:uid="{00000000-0005-0000-0000-0000113C0000}"/>
    <cellStyle name="Normal 3 3 5 6" xfId="17759" xr:uid="{00000000-0005-0000-0000-0000123C0000}"/>
    <cellStyle name="Normal 3 3 6" xfId="1163" xr:uid="{00000000-0005-0000-0000-0000133C0000}"/>
    <cellStyle name="Normal 3 3 6 2" xfId="2225" xr:uid="{00000000-0005-0000-0000-0000143C0000}"/>
    <cellStyle name="Normal 3 3 6 2 2" xfId="4337" xr:uid="{00000000-0005-0000-0000-0000153C0000}"/>
    <cellStyle name="Normal 3 3 6 2 2 2" xfId="8563" xr:uid="{00000000-0005-0000-0000-0000163C0000}"/>
    <cellStyle name="Normal 3 3 6 2 2 2 2" xfId="17011" xr:uid="{00000000-0005-0000-0000-0000173C0000}"/>
    <cellStyle name="Normal 3 3 6 2 2 2 2 2" xfId="33951" xr:uid="{00000000-0005-0000-0000-0000183C0000}"/>
    <cellStyle name="Normal 3 3 6 2 2 2 3" xfId="25503" xr:uid="{00000000-0005-0000-0000-0000193C0000}"/>
    <cellStyle name="Normal 3 3 6 2 2 3" xfId="12787" xr:uid="{00000000-0005-0000-0000-00001A3C0000}"/>
    <cellStyle name="Normal 3 3 6 2 2 3 2" xfId="29727" xr:uid="{00000000-0005-0000-0000-00001B3C0000}"/>
    <cellStyle name="Normal 3 3 6 2 2 4" xfId="21279" xr:uid="{00000000-0005-0000-0000-00001C3C0000}"/>
    <cellStyle name="Normal 3 3 6 2 3" xfId="6451" xr:uid="{00000000-0005-0000-0000-00001D3C0000}"/>
    <cellStyle name="Normal 3 3 6 2 3 2" xfId="14899" xr:uid="{00000000-0005-0000-0000-00001E3C0000}"/>
    <cellStyle name="Normal 3 3 6 2 3 2 2" xfId="31839" xr:uid="{00000000-0005-0000-0000-00001F3C0000}"/>
    <cellStyle name="Normal 3 3 6 2 3 3" xfId="23391" xr:uid="{00000000-0005-0000-0000-0000203C0000}"/>
    <cellStyle name="Normal 3 3 6 2 4" xfId="10675" xr:uid="{00000000-0005-0000-0000-0000213C0000}"/>
    <cellStyle name="Normal 3 3 6 2 4 2" xfId="27615" xr:uid="{00000000-0005-0000-0000-0000223C0000}"/>
    <cellStyle name="Normal 3 3 6 2 5" xfId="19167" xr:uid="{00000000-0005-0000-0000-0000233C0000}"/>
    <cellStyle name="Normal 3 3 6 3" xfId="3281" xr:uid="{00000000-0005-0000-0000-0000243C0000}"/>
    <cellStyle name="Normal 3 3 6 3 2" xfId="7507" xr:uid="{00000000-0005-0000-0000-0000253C0000}"/>
    <cellStyle name="Normal 3 3 6 3 2 2" xfId="15955" xr:uid="{00000000-0005-0000-0000-0000263C0000}"/>
    <cellStyle name="Normal 3 3 6 3 2 2 2" xfId="32895" xr:uid="{00000000-0005-0000-0000-0000273C0000}"/>
    <cellStyle name="Normal 3 3 6 3 2 3" xfId="24447" xr:uid="{00000000-0005-0000-0000-0000283C0000}"/>
    <cellStyle name="Normal 3 3 6 3 3" xfId="11731" xr:uid="{00000000-0005-0000-0000-0000293C0000}"/>
    <cellStyle name="Normal 3 3 6 3 3 2" xfId="28671" xr:uid="{00000000-0005-0000-0000-00002A3C0000}"/>
    <cellStyle name="Normal 3 3 6 3 4" xfId="20223" xr:uid="{00000000-0005-0000-0000-00002B3C0000}"/>
    <cellStyle name="Normal 3 3 6 4" xfId="5395" xr:uid="{00000000-0005-0000-0000-00002C3C0000}"/>
    <cellStyle name="Normal 3 3 6 4 2" xfId="13843" xr:uid="{00000000-0005-0000-0000-00002D3C0000}"/>
    <cellStyle name="Normal 3 3 6 4 2 2" xfId="30783" xr:uid="{00000000-0005-0000-0000-00002E3C0000}"/>
    <cellStyle name="Normal 3 3 6 4 3" xfId="22335" xr:uid="{00000000-0005-0000-0000-00002F3C0000}"/>
    <cellStyle name="Normal 3 3 6 5" xfId="9619" xr:uid="{00000000-0005-0000-0000-0000303C0000}"/>
    <cellStyle name="Normal 3 3 6 5 2" xfId="26559" xr:uid="{00000000-0005-0000-0000-0000313C0000}"/>
    <cellStyle name="Normal 3 3 6 6" xfId="18111" xr:uid="{00000000-0005-0000-0000-0000323C0000}"/>
    <cellStyle name="Normal 3 3 7" xfId="1345" xr:uid="{00000000-0005-0000-0000-0000333C0000}"/>
    <cellStyle name="Normal 3 3 7 2" xfId="2401" xr:uid="{00000000-0005-0000-0000-0000343C0000}"/>
    <cellStyle name="Normal 3 3 7 2 2" xfId="4513" xr:uid="{00000000-0005-0000-0000-0000353C0000}"/>
    <cellStyle name="Normal 3 3 7 2 2 2" xfId="8739" xr:uid="{00000000-0005-0000-0000-0000363C0000}"/>
    <cellStyle name="Normal 3 3 7 2 2 2 2" xfId="17187" xr:uid="{00000000-0005-0000-0000-0000373C0000}"/>
    <cellStyle name="Normal 3 3 7 2 2 2 2 2" xfId="34127" xr:uid="{00000000-0005-0000-0000-0000383C0000}"/>
    <cellStyle name="Normal 3 3 7 2 2 2 3" xfId="25679" xr:uid="{00000000-0005-0000-0000-0000393C0000}"/>
    <cellStyle name="Normal 3 3 7 2 2 3" xfId="12963" xr:uid="{00000000-0005-0000-0000-00003A3C0000}"/>
    <cellStyle name="Normal 3 3 7 2 2 3 2" xfId="29903" xr:uid="{00000000-0005-0000-0000-00003B3C0000}"/>
    <cellStyle name="Normal 3 3 7 2 2 4" xfId="21455" xr:uid="{00000000-0005-0000-0000-00003C3C0000}"/>
    <cellStyle name="Normal 3 3 7 2 3" xfId="6627" xr:uid="{00000000-0005-0000-0000-00003D3C0000}"/>
    <cellStyle name="Normal 3 3 7 2 3 2" xfId="15075" xr:uid="{00000000-0005-0000-0000-00003E3C0000}"/>
    <cellStyle name="Normal 3 3 7 2 3 2 2" xfId="32015" xr:uid="{00000000-0005-0000-0000-00003F3C0000}"/>
    <cellStyle name="Normal 3 3 7 2 3 3" xfId="23567" xr:uid="{00000000-0005-0000-0000-0000403C0000}"/>
    <cellStyle name="Normal 3 3 7 2 4" xfId="10851" xr:uid="{00000000-0005-0000-0000-0000413C0000}"/>
    <cellStyle name="Normal 3 3 7 2 4 2" xfId="27791" xr:uid="{00000000-0005-0000-0000-0000423C0000}"/>
    <cellStyle name="Normal 3 3 7 2 5" xfId="19343" xr:uid="{00000000-0005-0000-0000-0000433C0000}"/>
    <cellStyle name="Normal 3 3 7 3" xfId="3457" xr:uid="{00000000-0005-0000-0000-0000443C0000}"/>
    <cellStyle name="Normal 3 3 7 3 2" xfId="7683" xr:uid="{00000000-0005-0000-0000-0000453C0000}"/>
    <cellStyle name="Normal 3 3 7 3 2 2" xfId="16131" xr:uid="{00000000-0005-0000-0000-0000463C0000}"/>
    <cellStyle name="Normal 3 3 7 3 2 2 2" xfId="33071" xr:uid="{00000000-0005-0000-0000-0000473C0000}"/>
    <cellStyle name="Normal 3 3 7 3 2 3" xfId="24623" xr:uid="{00000000-0005-0000-0000-0000483C0000}"/>
    <cellStyle name="Normal 3 3 7 3 3" xfId="11907" xr:uid="{00000000-0005-0000-0000-0000493C0000}"/>
    <cellStyle name="Normal 3 3 7 3 3 2" xfId="28847" xr:uid="{00000000-0005-0000-0000-00004A3C0000}"/>
    <cellStyle name="Normal 3 3 7 3 4" xfId="20399" xr:uid="{00000000-0005-0000-0000-00004B3C0000}"/>
    <cellStyle name="Normal 3 3 7 4" xfId="5571" xr:uid="{00000000-0005-0000-0000-00004C3C0000}"/>
    <cellStyle name="Normal 3 3 7 4 2" xfId="14019" xr:uid="{00000000-0005-0000-0000-00004D3C0000}"/>
    <cellStyle name="Normal 3 3 7 4 2 2" xfId="30959" xr:uid="{00000000-0005-0000-0000-00004E3C0000}"/>
    <cellStyle name="Normal 3 3 7 4 3" xfId="22511" xr:uid="{00000000-0005-0000-0000-00004F3C0000}"/>
    <cellStyle name="Normal 3 3 7 5" xfId="9795" xr:uid="{00000000-0005-0000-0000-0000503C0000}"/>
    <cellStyle name="Normal 3 3 7 5 2" xfId="26735" xr:uid="{00000000-0005-0000-0000-0000513C0000}"/>
    <cellStyle name="Normal 3 3 7 6" xfId="18287" xr:uid="{00000000-0005-0000-0000-0000523C0000}"/>
    <cellStyle name="Normal 3 3 8" xfId="1521" xr:uid="{00000000-0005-0000-0000-0000533C0000}"/>
    <cellStyle name="Normal 3 3 8 2" xfId="3633" xr:uid="{00000000-0005-0000-0000-0000543C0000}"/>
    <cellStyle name="Normal 3 3 8 2 2" xfId="7859" xr:uid="{00000000-0005-0000-0000-0000553C0000}"/>
    <cellStyle name="Normal 3 3 8 2 2 2" xfId="16307" xr:uid="{00000000-0005-0000-0000-0000563C0000}"/>
    <cellStyle name="Normal 3 3 8 2 2 2 2" xfId="33247" xr:uid="{00000000-0005-0000-0000-0000573C0000}"/>
    <cellStyle name="Normal 3 3 8 2 2 3" xfId="24799" xr:uid="{00000000-0005-0000-0000-0000583C0000}"/>
    <cellStyle name="Normal 3 3 8 2 3" xfId="12083" xr:uid="{00000000-0005-0000-0000-0000593C0000}"/>
    <cellStyle name="Normal 3 3 8 2 3 2" xfId="29023" xr:uid="{00000000-0005-0000-0000-00005A3C0000}"/>
    <cellStyle name="Normal 3 3 8 2 4" xfId="20575" xr:uid="{00000000-0005-0000-0000-00005B3C0000}"/>
    <cellStyle name="Normal 3 3 8 3" xfId="5747" xr:uid="{00000000-0005-0000-0000-00005C3C0000}"/>
    <cellStyle name="Normal 3 3 8 3 2" xfId="14195" xr:uid="{00000000-0005-0000-0000-00005D3C0000}"/>
    <cellStyle name="Normal 3 3 8 3 2 2" xfId="31135" xr:uid="{00000000-0005-0000-0000-00005E3C0000}"/>
    <cellStyle name="Normal 3 3 8 3 3" xfId="22687" xr:uid="{00000000-0005-0000-0000-00005F3C0000}"/>
    <cellStyle name="Normal 3 3 8 4" xfId="9971" xr:uid="{00000000-0005-0000-0000-0000603C0000}"/>
    <cellStyle name="Normal 3 3 8 4 2" xfId="26911" xr:uid="{00000000-0005-0000-0000-0000613C0000}"/>
    <cellStyle name="Normal 3 3 8 5" xfId="18463" xr:uid="{00000000-0005-0000-0000-0000623C0000}"/>
    <cellStyle name="Normal 3 3 9" xfId="2577" xr:uid="{00000000-0005-0000-0000-0000633C0000}"/>
    <cellStyle name="Normal 3 3 9 2" xfId="6803" xr:uid="{00000000-0005-0000-0000-0000643C0000}"/>
    <cellStyle name="Normal 3 3 9 2 2" xfId="15251" xr:uid="{00000000-0005-0000-0000-0000653C0000}"/>
    <cellStyle name="Normal 3 3 9 2 2 2" xfId="32191" xr:uid="{00000000-0005-0000-0000-0000663C0000}"/>
    <cellStyle name="Normal 3 3 9 2 3" xfId="23743" xr:uid="{00000000-0005-0000-0000-0000673C0000}"/>
    <cellStyle name="Normal 3 3 9 3" xfId="11027" xr:uid="{00000000-0005-0000-0000-0000683C0000}"/>
    <cellStyle name="Normal 3 3 9 3 2" xfId="27967" xr:uid="{00000000-0005-0000-0000-0000693C0000}"/>
    <cellStyle name="Normal 3 3 9 4" xfId="19519" xr:uid="{00000000-0005-0000-0000-00006A3C0000}"/>
    <cellStyle name="Normal 3 4" xfId="329" xr:uid="{00000000-0005-0000-0000-00006B3C0000}"/>
    <cellStyle name="Normal 30" xfId="330" xr:uid="{00000000-0005-0000-0000-00006C3C0000}"/>
    <cellStyle name="Normal 31" xfId="331" xr:uid="{00000000-0005-0000-0000-00006D3C0000}"/>
    <cellStyle name="Normal 31 10" xfId="4693" xr:uid="{00000000-0005-0000-0000-00006E3C0000}"/>
    <cellStyle name="Normal 31 10 2" xfId="13142" xr:uid="{00000000-0005-0000-0000-00006F3C0000}"/>
    <cellStyle name="Normal 31 10 2 2" xfId="30082" xr:uid="{00000000-0005-0000-0000-0000703C0000}"/>
    <cellStyle name="Normal 31 10 3" xfId="21634" xr:uid="{00000000-0005-0000-0000-0000713C0000}"/>
    <cellStyle name="Normal 31 11" xfId="8918" xr:uid="{00000000-0005-0000-0000-0000723C0000}"/>
    <cellStyle name="Normal 31 11 2" xfId="25858" xr:uid="{00000000-0005-0000-0000-0000733C0000}"/>
    <cellStyle name="Normal 31 12" xfId="17410" xr:uid="{00000000-0005-0000-0000-0000743C0000}"/>
    <cellStyle name="Normal 31 2" xfId="332" xr:uid="{00000000-0005-0000-0000-0000753C0000}"/>
    <cellStyle name="Normal 31 2 10" xfId="17411" xr:uid="{00000000-0005-0000-0000-0000763C0000}"/>
    <cellStyle name="Normal 31 2 2" xfId="639" xr:uid="{00000000-0005-0000-0000-0000773C0000}"/>
    <cellStyle name="Normal 31 2 2 2" xfId="991" xr:uid="{00000000-0005-0000-0000-0000783C0000}"/>
    <cellStyle name="Normal 31 2 2 2 2" xfId="2053" xr:uid="{00000000-0005-0000-0000-0000793C0000}"/>
    <cellStyle name="Normal 31 2 2 2 2 2" xfId="4165" xr:uid="{00000000-0005-0000-0000-00007A3C0000}"/>
    <cellStyle name="Normal 31 2 2 2 2 2 2" xfId="8391" xr:uid="{00000000-0005-0000-0000-00007B3C0000}"/>
    <cellStyle name="Normal 31 2 2 2 2 2 2 2" xfId="16839" xr:uid="{00000000-0005-0000-0000-00007C3C0000}"/>
    <cellStyle name="Normal 31 2 2 2 2 2 2 2 2" xfId="33779" xr:uid="{00000000-0005-0000-0000-00007D3C0000}"/>
    <cellStyle name="Normal 31 2 2 2 2 2 2 3" xfId="25331" xr:uid="{00000000-0005-0000-0000-00007E3C0000}"/>
    <cellStyle name="Normal 31 2 2 2 2 2 3" xfId="12615" xr:uid="{00000000-0005-0000-0000-00007F3C0000}"/>
    <cellStyle name="Normal 31 2 2 2 2 2 3 2" xfId="29555" xr:uid="{00000000-0005-0000-0000-0000803C0000}"/>
    <cellStyle name="Normal 31 2 2 2 2 2 4" xfId="21107" xr:uid="{00000000-0005-0000-0000-0000813C0000}"/>
    <cellStyle name="Normal 31 2 2 2 2 3" xfId="6279" xr:uid="{00000000-0005-0000-0000-0000823C0000}"/>
    <cellStyle name="Normal 31 2 2 2 2 3 2" xfId="14727" xr:uid="{00000000-0005-0000-0000-0000833C0000}"/>
    <cellStyle name="Normal 31 2 2 2 2 3 2 2" xfId="31667" xr:uid="{00000000-0005-0000-0000-0000843C0000}"/>
    <cellStyle name="Normal 31 2 2 2 2 3 3" xfId="23219" xr:uid="{00000000-0005-0000-0000-0000853C0000}"/>
    <cellStyle name="Normal 31 2 2 2 2 4" xfId="10503" xr:uid="{00000000-0005-0000-0000-0000863C0000}"/>
    <cellStyle name="Normal 31 2 2 2 2 4 2" xfId="27443" xr:uid="{00000000-0005-0000-0000-0000873C0000}"/>
    <cellStyle name="Normal 31 2 2 2 2 5" xfId="18995" xr:uid="{00000000-0005-0000-0000-0000883C0000}"/>
    <cellStyle name="Normal 31 2 2 2 3" xfId="3109" xr:uid="{00000000-0005-0000-0000-0000893C0000}"/>
    <cellStyle name="Normal 31 2 2 2 3 2" xfId="7335" xr:uid="{00000000-0005-0000-0000-00008A3C0000}"/>
    <cellStyle name="Normal 31 2 2 2 3 2 2" xfId="15783" xr:uid="{00000000-0005-0000-0000-00008B3C0000}"/>
    <cellStyle name="Normal 31 2 2 2 3 2 2 2" xfId="32723" xr:uid="{00000000-0005-0000-0000-00008C3C0000}"/>
    <cellStyle name="Normal 31 2 2 2 3 2 3" xfId="24275" xr:uid="{00000000-0005-0000-0000-00008D3C0000}"/>
    <cellStyle name="Normal 31 2 2 2 3 3" xfId="11559" xr:uid="{00000000-0005-0000-0000-00008E3C0000}"/>
    <cellStyle name="Normal 31 2 2 2 3 3 2" xfId="28499" xr:uid="{00000000-0005-0000-0000-00008F3C0000}"/>
    <cellStyle name="Normal 31 2 2 2 3 4" xfId="20051" xr:uid="{00000000-0005-0000-0000-0000903C0000}"/>
    <cellStyle name="Normal 31 2 2 2 4" xfId="5223" xr:uid="{00000000-0005-0000-0000-0000913C0000}"/>
    <cellStyle name="Normal 31 2 2 2 4 2" xfId="13671" xr:uid="{00000000-0005-0000-0000-0000923C0000}"/>
    <cellStyle name="Normal 31 2 2 2 4 2 2" xfId="30611" xr:uid="{00000000-0005-0000-0000-0000933C0000}"/>
    <cellStyle name="Normal 31 2 2 2 4 3" xfId="22163" xr:uid="{00000000-0005-0000-0000-0000943C0000}"/>
    <cellStyle name="Normal 31 2 2 2 5" xfId="9447" xr:uid="{00000000-0005-0000-0000-0000953C0000}"/>
    <cellStyle name="Normal 31 2 2 2 5 2" xfId="26387" xr:uid="{00000000-0005-0000-0000-0000963C0000}"/>
    <cellStyle name="Normal 31 2 2 2 6" xfId="17939" xr:uid="{00000000-0005-0000-0000-0000973C0000}"/>
    <cellStyle name="Normal 31 2 2 3" xfId="1701" xr:uid="{00000000-0005-0000-0000-0000983C0000}"/>
    <cellStyle name="Normal 31 2 2 3 2" xfId="3813" xr:uid="{00000000-0005-0000-0000-0000993C0000}"/>
    <cellStyle name="Normal 31 2 2 3 2 2" xfId="8039" xr:uid="{00000000-0005-0000-0000-00009A3C0000}"/>
    <cellStyle name="Normal 31 2 2 3 2 2 2" xfId="16487" xr:uid="{00000000-0005-0000-0000-00009B3C0000}"/>
    <cellStyle name="Normal 31 2 2 3 2 2 2 2" xfId="33427" xr:uid="{00000000-0005-0000-0000-00009C3C0000}"/>
    <cellStyle name="Normal 31 2 2 3 2 2 3" xfId="24979" xr:uid="{00000000-0005-0000-0000-00009D3C0000}"/>
    <cellStyle name="Normal 31 2 2 3 2 3" xfId="12263" xr:uid="{00000000-0005-0000-0000-00009E3C0000}"/>
    <cellStyle name="Normal 31 2 2 3 2 3 2" xfId="29203" xr:uid="{00000000-0005-0000-0000-00009F3C0000}"/>
    <cellStyle name="Normal 31 2 2 3 2 4" xfId="20755" xr:uid="{00000000-0005-0000-0000-0000A03C0000}"/>
    <cellStyle name="Normal 31 2 2 3 3" xfId="5927" xr:uid="{00000000-0005-0000-0000-0000A13C0000}"/>
    <cellStyle name="Normal 31 2 2 3 3 2" xfId="14375" xr:uid="{00000000-0005-0000-0000-0000A23C0000}"/>
    <cellStyle name="Normal 31 2 2 3 3 2 2" xfId="31315" xr:uid="{00000000-0005-0000-0000-0000A33C0000}"/>
    <cellStyle name="Normal 31 2 2 3 3 3" xfId="22867" xr:uid="{00000000-0005-0000-0000-0000A43C0000}"/>
    <cellStyle name="Normal 31 2 2 3 4" xfId="10151" xr:uid="{00000000-0005-0000-0000-0000A53C0000}"/>
    <cellStyle name="Normal 31 2 2 3 4 2" xfId="27091" xr:uid="{00000000-0005-0000-0000-0000A63C0000}"/>
    <cellStyle name="Normal 31 2 2 3 5" xfId="18643" xr:uid="{00000000-0005-0000-0000-0000A73C0000}"/>
    <cellStyle name="Normal 31 2 2 4" xfId="2757" xr:uid="{00000000-0005-0000-0000-0000A83C0000}"/>
    <cellStyle name="Normal 31 2 2 4 2" xfId="6983" xr:uid="{00000000-0005-0000-0000-0000A93C0000}"/>
    <cellStyle name="Normal 31 2 2 4 2 2" xfId="15431" xr:uid="{00000000-0005-0000-0000-0000AA3C0000}"/>
    <cellStyle name="Normal 31 2 2 4 2 2 2" xfId="32371" xr:uid="{00000000-0005-0000-0000-0000AB3C0000}"/>
    <cellStyle name="Normal 31 2 2 4 2 3" xfId="23923" xr:uid="{00000000-0005-0000-0000-0000AC3C0000}"/>
    <cellStyle name="Normal 31 2 2 4 3" xfId="11207" xr:uid="{00000000-0005-0000-0000-0000AD3C0000}"/>
    <cellStyle name="Normal 31 2 2 4 3 2" xfId="28147" xr:uid="{00000000-0005-0000-0000-0000AE3C0000}"/>
    <cellStyle name="Normal 31 2 2 4 4" xfId="19699" xr:uid="{00000000-0005-0000-0000-0000AF3C0000}"/>
    <cellStyle name="Normal 31 2 2 5" xfId="4871" xr:uid="{00000000-0005-0000-0000-0000B03C0000}"/>
    <cellStyle name="Normal 31 2 2 5 2" xfId="13319" xr:uid="{00000000-0005-0000-0000-0000B13C0000}"/>
    <cellStyle name="Normal 31 2 2 5 2 2" xfId="30259" xr:uid="{00000000-0005-0000-0000-0000B23C0000}"/>
    <cellStyle name="Normal 31 2 2 5 3" xfId="21811" xr:uid="{00000000-0005-0000-0000-0000B33C0000}"/>
    <cellStyle name="Normal 31 2 2 6" xfId="9095" xr:uid="{00000000-0005-0000-0000-0000B43C0000}"/>
    <cellStyle name="Normal 31 2 2 6 2" xfId="26035" xr:uid="{00000000-0005-0000-0000-0000B53C0000}"/>
    <cellStyle name="Normal 31 2 2 7" xfId="17587" xr:uid="{00000000-0005-0000-0000-0000B63C0000}"/>
    <cellStyle name="Normal 31 2 3" xfId="815" xr:uid="{00000000-0005-0000-0000-0000B73C0000}"/>
    <cellStyle name="Normal 31 2 3 2" xfId="1877" xr:uid="{00000000-0005-0000-0000-0000B83C0000}"/>
    <cellStyle name="Normal 31 2 3 2 2" xfId="3989" xr:uid="{00000000-0005-0000-0000-0000B93C0000}"/>
    <cellStyle name="Normal 31 2 3 2 2 2" xfId="8215" xr:uid="{00000000-0005-0000-0000-0000BA3C0000}"/>
    <cellStyle name="Normal 31 2 3 2 2 2 2" xfId="16663" xr:uid="{00000000-0005-0000-0000-0000BB3C0000}"/>
    <cellStyle name="Normal 31 2 3 2 2 2 2 2" xfId="33603" xr:uid="{00000000-0005-0000-0000-0000BC3C0000}"/>
    <cellStyle name="Normal 31 2 3 2 2 2 3" xfId="25155" xr:uid="{00000000-0005-0000-0000-0000BD3C0000}"/>
    <cellStyle name="Normal 31 2 3 2 2 3" xfId="12439" xr:uid="{00000000-0005-0000-0000-0000BE3C0000}"/>
    <cellStyle name="Normal 31 2 3 2 2 3 2" xfId="29379" xr:uid="{00000000-0005-0000-0000-0000BF3C0000}"/>
    <cellStyle name="Normal 31 2 3 2 2 4" xfId="20931" xr:uid="{00000000-0005-0000-0000-0000C03C0000}"/>
    <cellStyle name="Normal 31 2 3 2 3" xfId="6103" xr:uid="{00000000-0005-0000-0000-0000C13C0000}"/>
    <cellStyle name="Normal 31 2 3 2 3 2" xfId="14551" xr:uid="{00000000-0005-0000-0000-0000C23C0000}"/>
    <cellStyle name="Normal 31 2 3 2 3 2 2" xfId="31491" xr:uid="{00000000-0005-0000-0000-0000C33C0000}"/>
    <cellStyle name="Normal 31 2 3 2 3 3" xfId="23043" xr:uid="{00000000-0005-0000-0000-0000C43C0000}"/>
    <cellStyle name="Normal 31 2 3 2 4" xfId="10327" xr:uid="{00000000-0005-0000-0000-0000C53C0000}"/>
    <cellStyle name="Normal 31 2 3 2 4 2" xfId="27267" xr:uid="{00000000-0005-0000-0000-0000C63C0000}"/>
    <cellStyle name="Normal 31 2 3 2 5" xfId="18819" xr:uid="{00000000-0005-0000-0000-0000C73C0000}"/>
    <cellStyle name="Normal 31 2 3 3" xfId="2933" xr:uid="{00000000-0005-0000-0000-0000C83C0000}"/>
    <cellStyle name="Normal 31 2 3 3 2" xfId="7159" xr:uid="{00000000-0005-0000-0000-0000C93C0000}"/>
    <cellStyle name="Normal 31 2 3 3 2 2" xfId="15607" xr:uid="{00000000-0005-0000-0000-0000CA3C0000}"/>
    <cellStyle name="Normal 31 2 3 3 2 2 2" xfId="32547" xr:uid="{00000000-0005-0000-0000-0000CB3C0000}"/>
    <cellStyle name="Normal 31 2 3 3 2 3" xfId="24099" xr:uid="{00000000-0005-0000-0000-0000CC3C0000}"/>
    <cellStyle name="Normal 31 2 3 3 3" xfId="11383" xr:uid="{00000000-0005-0000-0000-0000CD3C0000}"/>
    <cellStyle name="Normal 31 2 3 3 3 2" xfId="28323" xr:uid="{00000000-0005-0000-0000-0000CE3C0000}"/>
    <cellStyle name="Normal 31 2 3 3 4" xfId="19875" xr:uid="{00000000-0005-0000-0000-0000CF3C0000}"/>
    <cellStyle name="Normal 31 2 3 4" xfId="5047" xr:uid="{00000000-0005-0000-0000-0000D03C0000}"/>
    <cellStyle name="Normal 31 2 3 4 2" xfId="13495" xr:uid="{00000000-0005-0000-0000-0000D13C0000}"/>
    <cellStyle name="Normal 31 2 3 4 2 2" xfId="30435" xr:uid="{00000000-0005-0000-0000-0000D23C0000}"/>
    <cellStyle name="Normal 31 2 3 4 3" xfId="21987" xr:uid="{00000000-0005-0000-0000-0000D33C0000}"/>
    <cellStyle name="Normal 31 2 3 5" xfId="9271" xr:uid="{00000000-0005-0000-0000-0000D43C0000}"/>
    <cellStyle name="Normal 31 2 3 5 2" xfId="26211" xr:uid="{00000000-0005-0000-0000-0000D53C0000}"/>
    <cellStyle name="Normal 31 2 3 6" xfId="17763" xr:uid="{00000000-0005-0000-0000-0000D63C0000}"/>
    <cellStyle name="Normal 31 2 4" xfId="1167" xr:uid="{00000000-0005-0000-0000-0000D73C0000}"/>
    <cellStyle name="Normal 31 2 4 2" xfId="2229" xr:uid="{00000000-0005-0000-0000-0000D83C0000}"/>
    <cellStyle name="Normal 31 2 4 2 2" xfId="4341" xr:uid="{00000000-0005-0000-0000-0000D93C0000}"/>
    <cellStyle name="Normal 31 2 4 2 2 2" xfId="8567" xr:uid="{00000000-0005-0000-0000-0000DA3C0000}"/>
    <cellStyle name="Normal 31 2 4 2 2 2 2" xfId="17015" xr:uid="{00000000-0005-0000-0000-0000DB3C0000}"/>
    <cellStyle name="Normal 31 2 4 2 2 2 2 2" xfId="33955" xr:uid="{00000000-0005-0000-0000-0000DC3C0000}"/>
    <cellStyle name="Normal 31 2 4 2 2 2 3" xfId="25507" xr:uid="{00000000-0005-0000-0000-0000DD3C0000}"/>
    <cellStyle name="Normal 31 2 4 2 2 3" xfId="12791" xr:uid="{00000000-0005-0000-0000-0000DE3C0000}"/>
    <cellStyle name="Normal 31 2 4 2 2 3 2" xfId="29731" xr:uid="{00000000-0005-0000-0000-0000DF3C0000}"/>
    <cellStyle name="Normal 31 2 4 2 2 4" xfId="21283" xr:uid="{00000000-0005-0000-0000-0000E03C0000}"/>
    <cellStyle name="Normal 31 2 4 2 3" xfId="6455" xr:uid="{00000000-0005-0000-0000-0000E13C0000}"/>
    <cellStyle name="Normal 31 2 4 2 3 2" xfId="14903" xr:uid="{00000000-0005-0000-0000-0000E23C0000}"/>
    <cellStyle name="Normal 31 2 4 2 3 2 2" xfId="31843" xr:uid="{00000000-0005-0000-0000-0000E33C0000}"/>
    <cellStyle name="Normal 31 2 4 2 3 3" xfId="23395" xr:uid="{00000000-0005-0000-0000-0000E43C0000}"/>
    <cellStyle name="Normal 31 2 4 2 4" xfId="10679" xr:uid="{00000000-0005-0000-0000-0000E53C0000}"/>
    <cellStyle name="Normal 31 2 4 2 4 2" xfId="27619" xr:uid="{00000000-0005-0000-0000-0000E63C0000}"/>
    <cellStyle name="Normal 31 2 4 2 5" xfId="19171" xr:uid="{00000000-0005-0000-0000-0000E73C0000}"/>
    <cellStyle name="Normal 31 2 4 3" xfId="3285" xr:uid="{00000000-0005-0000-0000-0000E83C0000}"/>
    <cellStyle name="Normal 31 2 4 3 2" xfId="7511" xr:uid="{00000000-0005-0000-0000-0000E93C0000}"/>
    <cellStyle name="Normal 31 2 4 3 2 2" xfId="15959" xr:uid="{00000000-0005-0000-0000-0000EA3C0000}"/>
    <cellStyle name="Normal 31 2 4 3 2 2 2" xfId="32899" xr:uid="{00000000-0005-0000-0000-0000EB3C0000}"/>
    <cellStyle name="Normal 31 2 4 3 2 3" xfId="24451" xr:uid="{00000000-0005-0000-0000-0000EC3C0000}"/>
    <cellStyle name="Normal 31 2 4 3 3" xfId="11735" xr:uid="{00000000-0005-0000-0000-0000ED3C0000}"/>
    <cellStyle name="Normal 31 2 4 3 3 2" xfId="28675" xr:uid="{00000000-0005-0000-0000-0000EE3C0000}"/>
    <cellStyle name="Normal 31 2 4 3 4" xfId="20227" xr:uid="{00000000-0005-0000-0000-0000EF3C0000}"/>
    <cellStyle name="Normal 31 2 4 4" xfId="5399" xr:uid="{00000000-0005-0000-0000-0000F03C0000}"/>
    <cellStyle name="Normal 31 2 4 4 2" xfId="13847" xr:uid="{00000000-0005-0000-0000-0000F13C0000}"/>
    <cellStyle name="Normal 31 2 4 4 2 2" xfId="30787" xr:uid="{00000000-0005-0000-0000-0000F23C0000}"/>
    <cellStyle name="Normal 31 2 4 4 3" xfId="22339" xr:uid="{00000000-0005-0000-0000-0000F33C0000}"/>
    <cellStyle name="Normal 31 2 4 5" xfId="9623" xr:uid="{00000000-0005-0000-0000-0000F43C0000}"/>
    <cellStyle name="Normal 31 2 4 5 2" xfId="26563" xr:uid="{00000000-0005-0000-0000-0000F53C0000}"/>
    <cellStyle name="Normal 31 2 4 6" xfId="18115" xr:uid="{00000000-0005-0000-0000-0000F63C0000}"/>
    <cellStyle name="Normal 31 2 5" xfId="1349" xr:uid="{00000000-0005-0000-0000-0000F73C0000}"/>
    <cellStyle name="Normal 31 2 5 2" xfId="2405" xr:uid="{00000000-0005-0000-0000-0000F83C0000}"/>
    <cellStyle name="Normal 31 2 5 2 2" xfId="4517" xr:uid="{00000000-0005-0000-0000-0000F93C0000}"/>
    <cellStyle name="Normal 31 2 5 2 2 2" xfId="8743" xr:uid="{00000000-0005-0000-0000-0000FA3C0000}"/>
    <cellStyle name="Normal 31 2 5 2 2 2 2" xfId="17191" xr:uid="{00000000-0005-0000-0000-0000FB3C0000}"/>
    <cellStyle name="Normal 31 2 5 2 2 2 2 2" xfId="34131" xr:uid="{00000000-0005-0000-0000-0000FC3C0000}"/>
    <cellStyle name="Normal 31 2 5 2 2 2 3" xfId="25683" xr:uid="{00000000-0005-0000-0000-0000FD3C0000}"/>
    <cellStyle name="Normal 31 2 5 2 2 3" xfId="12967" xr:uid="{00000000-0005-0000-0000-0000FE3C0000}"/>
    <cellStyle name="Normal 31 2 5 2 2 3 2" xfId="29907" xr:uid="{00000000-0005-0000-0000-0000FF3C0000}"/>
    <cellStyle name="Normal 31 2 5 2 2 4" xfId="21459" xr:uid="{00000000-0005-0000-0000-0000003D0000}"/>
    <cellStyle name="Normal 31 2 5 2 3" xfId="6631" xr:uid="{00000000-0005-0000-0000-0000013D0000}"/>
    <cellStyle name="Normal 31 2 5 2 3 2" xfId="15079" xr:uid="{00000000-0005-0000-0000-0000023D0000}"/>
    <cellStyle name="Normal 31 2 5 2 3 2 2" xfId="32019" xr:uid="{00000000-0005-0000-0000-0000033D0000}"/>
    <cellStyle name="Normal 31 2 5 2 3 3" xfId="23571" xr:uid="{00000000-0005-0000-0000-0000043D0000}"/>
    <cellStyle name="Normal 31 2 5 2 4" xfId="10855" xr:uid="{00000000-0005-0000-0000-0000053D0000}"/>
    <cellStyle name="Normal 31 2 5 2 4 2" xfId="27795" xr:uid="{00000000-0005-0000-0000-0000063D0000}"/>
    <cellStyle name="Normal 31 2 5 2 5" xfId="19347" xr:uid="{00000000-0005-0000-0000-0000073D0000}"/>
    <cellStyle name="Normal 31 2 5 3" xfId="3461" xr:uid="{00000000-0005-0000-0000-0000083D0000}"/>
    <cellStyle name="Normal 31 2 5 3 2" xfId="7687" xr:uid="{00000000-0005-0000-0000-0000093D0000}"/>
    <cellStyle name="Normal 31 2 5 3 2 2" xfId="16135" xr:uid="{00000000-0005-0000-0000-00000A3D0000}"/>
    <cellStyle name="Normal 31 2 5 3 2 2 2" xfId="33075" xr:uid="{00000000-0005-0000-0000-00000B3D0000}"/>
    <cellStyle name="Normal 31 2 5 3 2 3" xfId="24627" xr:uid="{00000000-0005-0000-0000-00000C3D0000}"/>
    <cellStyle name="Normal 31 2 5 3 3" xfId="11911" xr:uid="{00000000-0005-0000-0000-00000D3D0000}"/>
    <cellStyle name="Normal 31 2 5 3 3 2" xfId="28851" xr:uid="{00000000-0005-0000-0000-00000E3D0000}"/>
    <cellStyle name="Normal 31 2 5 3 4" xfId="20403" xr:uid="{00000000-0005-0000-0000-00000F3D0000}"/>
    <cellStyle name="Normal 31 2 5 4" xfId="5575" xr:uid="{00000000-0005-0000-0000-0000103D0000}"/>
    <cellStyle name="Normal 31 2 5 4 2" xfId="14023" xr:uid="{00000000-0005-0000-0000-0000113D0000}"/>
    <cellStyle name="Normal 31 2 5 4 2 2" xfId="30963" xr:uid="{00000000-0005-0000-0000-0000123D0000}"/>
    <cellStyle name="Normal 31 2 5 4 3" xfId="22515" xr:uid="{00000000-0005-0000-0000-0000133D0000}"/>
    <cellStyle name="Normal 31 2 5 5" xfId="9799" xr:uid="{00000000-0005-0000-0000-0000143D0000}"/>
    <cellStyle name="Normal 31 2 5 5 2" xfId="26739" xr:uid="{00000000-0005-0000-0000-0000153D0000}"/>
    <cellStyle name="Normal 31 2 5 6" xfId="18291" xr:uid="{00000000-0005-0000-0000-0000163D0000}"/>
    <cellStyle name="Normal 31 2 6" xfId="1525" xr:uid="{00000000-0005-0000-0000-0000173D0000}"/>
    <cellStyle name="Normal 31 2 6 2" xfId="3637" xr:uid="{00000000-0005-0000-0000-0000183D0000}"/>
    <cellStyle name="Normal 31 2 6 2 2" xfId="7863" xr:uid="{00000000-0005-0000-0000-0000193D0000}"/>
    <cellStyle name="Normal 31 2 6 2 2 2" xfId="16311" xr:uid="{00000000-0005-0000-0000-00001A3D0000}"/>
    <cellStyle name="Normal 31 2 6 2 2 2 2" xfId="33251" xr:uid="{00000000-0005-0000-0000-00001B3D0000}"/>
    <cellStyle name="Normal 31 2 6 2 2 3" xfId="24803" xr:uid="{00000000-0005-0000-0000-00001C3D0000}"/>
    <cellStyle name="Normal 31 2 6 2 3" xfId="12087" xr:uid="{00000000-0005-0000-0000-00001D3D0000}"/>
    <cellStyle name="Normal 31 2 6 2 3 2" xfId="29027" xr:uid="{00000000-0005-0000-0000-00001E3D0000}"/>
    <cellStyle name="Normal 31 2 6 2 4" xfId="20579" xr:uid="{00000000-0005-0000-0000-00001F3D0000}"/>
    <cellStyle name="Normal 31 2 6 3" xfId="5751" xr:uid="{00000000-0005-0000-0000-0000203D0000}"/>
    <cellStyle name="Normal 31 2 6 3 2" xfId="14199" xr:uid="{00000000-0005-0000-0000-0000213D0000}"/>
    <cellStyle name="Normal 31 2 6 3 2 2" xfId="31139" xr:uid="{00000000-0005-0000-0000-0000223D0000}"/>
    <cellStyle name="Normal 31 2 6 3 3" xfId="22691" xr:uid="{00000000-0005-0000-0000-0000233D0000}"/>
    <cellStyle name="Normal 31 2 6 4" xfId="9975" xr:uid="{00000000-0005-0000-0000-0000243D0000}"/>
    <cellStyle name="Normal 31 2 6 4 2" xfId="26915" xr:uid="{00000000-0005-0000-0000-0000253D0000}"/>
    <cellStyle name="Normal 31 2 6 5" xfId="18467" xr:uid="{00000000-0005-0000-0000-0000263D0000}"/>
    <cellStyle name="Normal 31 2 7" xfId="2581" xr:uid="{00000000-0005-0000-0000-0000273D0000}"/>
    <cellStyle name="Normal 31 2 7 2" xfId="6807" xr:uid="{00000000-0005-0000-0000-0000283D0000}"/>
    <cellStyle name="Normal 31 2 7 2 2" xfId="15255" xr:uid="{00000000-0005-0000-0000-0000293D0000}"/>
    <cellStyle name="Normal 31 2 7 2 2 2" xfId="32195" xr:uid="{00000000-0005-0000-0000-00002A3D0000}"/>
    <cellStyle name="Normal 31 2 7 2 3" xfId="23747" xr:uid="{00000000-0005-0000-0000-00002B3D0000}"/>
    <cellStyle name="Normal 31 2 7 3" xfId="11031" xr:uid="{00000000-0005-0000-0000-00002C3D0000}"/>
    <cellStyle name="Normal 31 2 7 3 2" xfId="27971" xr:uid="{00000000-0005-0000-0000-00002D3D0000}"/>
    <cellStyle name="Normal 31 2 7 4" xfId="19523" xr:uid="{00000000-0005-0000-0000-00002E3D0000}"/>
    <cellStyle name="Normal 31 2 8" xfId="4694" xr:uid="{00000000-0005-0000-0000-00002F3D0000}"/>
    <cellStyle name="Normal 31 2 8 2" xfId="13143" xr:uid="{00000000-0005-0000-0000-0000303D0000}"/>
    <cellStyle name="Normal 31 2 8 2 2" xfId="30083" xr:uid="{00000000-0005-0000-0000-0000313D0000}"/>
    <cellStyle name="Normal 31 2 8 3" xfId="21635" xr:uid="{00000000-0005-0000-0000-0000323D0000}"/>
    <cellStyle name="Normal 31 2 9" xfId="8919" xr:uid="{00000000-0005-0000-0000-0000333D0000}"/>
    <cellStyle name="Normal 31 2 9 2" xfId="25859" xr:uid="{00000000-0005-0000-0000-0000343D0000}"/>
    <cellStyle name="Normal 31 3" xfId="333" xr:uid="{00000000-0005-0000-0000-0000353D0000}"/>
    <cellStyle name="Normal 31 3 10" xfId="17412" xr:uid="{00000000-0005-0000-0000-0000363D0000}"/>
    <cellStyle name="Normal 31 3 2" xfId="640" xr:uid="{00000000-0005-0000-0000-0000373D0000}"/>
    <cellStyle name="Normal 31 3 2 2" xfId="992" xr:uid="{00000000-0005-0000-0000-0000383D0000}"/>
    <cellStyle name="Normal 31 3 2 2 2" xfId="2054" xr:uid="{00000000-0005-0000-0000-0000393D0000}"/>
    <cellStyle name="Normal 31 3 2 2 2 2" xfId="4166" xr:uid="{00000000-0005-0000-0000-00003A3D0000}"/>
    <cellStyle name="Normal 31 3 2 2 2 2 2" xfId="8392" xr:uid="{00000000-0005-0000-0000-00003B3D0000}"/>
    <cellStyle name="Normal 31 3 2 2 2 2 2 2" xfId="16840" xr:uid="{00000000-0005-0000-0000-00003C3D0000}"/>
    <cellStyle name="Normal 31 3 2 2 2 2 2 2 2" xfId="33780" xr:uid="{00000000-0005-0000-0000-00003D3D0000}"/>
    <cellStyle name="Normal 31 3 2 2 2 2 2 3" xfId="25332" xr:uid="{00000000-0005-0000-0000-00003E3D0000}"/>
    <cellStyle name="Normal 31 3 2 2 2 2 3" xfId="12616" xr:uid="{00000000-0005-0000-0000-00003F3D0000}"/>
    <cellStyle name="Normal 31 3 2 2 2 2 3 2" xfId="29556" xr:uid="{00000000-0005-0000-0000-0000403D0000}"/>
    <cellStyle name="Normal 31 3 2 2 2 2 4" xfId="21108" xr:uid="{00000000-0005-0000-0000-0000413D0000}"/>
    <cellStyle name="Normal 31 3 2 2 2 3" xfId="6280" xr:uid="{00000000-0005-0000-0000-0000423D0000}"/>
    <cellStyle name="Normal 31 3 2 2 2 3 2" xfId="14728" xr:uid="{00000000-0005-0000-0000-0000433D0000}"/>
    <cellStyle name="Normal 31 3 2 2 2 3 2 2" xfId="31668" xr:uid="{00000000-0005-0000-0000-0000443D0000}"/>
    <cellStyle name="Normal 31 3 2 2 2 3 3" xfId="23220" xr:uid="{00000000-0005-0000-0000-0000453D0000}"/>
    <cellStyle name="Normal 31 3 2 2 2 4" xfId="10504" xr:uid="{00000000-0005-0000-0000-0000463D0000}"/>
    <cellStyle name="Normal 31 3 2 2 2 4 2" xfId="27444" xr:uid="{00000000-0005-0000-0000-0000473D0000}"/>
    <cellStyle name="Normal 31 3 2 2 2 5" xfId="18996" xr:uid="{00000000-0005-0000-0000-0000483D0000}"/>
    <cellStyle name="Normal 31 3 2 2 3" xfId="3110" xr:uid="{00000000-0005-0000-0000-0000493D0000}"/>
    <cellStyle name="Normal 31 3 2 2 3 2" xfId="7336" xr:uid="{00000000-0005-0000-0000-00004A3D0000}"/>
    <cellStyle name="Normal 31 3 2 2 3 2 2" xfId="15784" xr:uid="{00000000-0005-0000-0000-00004B3D0000}"/>
    <cellStyle name="Normal 31 3 2 2 3 2 2 2" xfId="32724" xr:uid="{00000000-0005-0000-0000-00004C3D0000}"/>
    <cellStyle name="Normal 31 3 2 2 3 2 3" xfId="24276" xr:uid="{00000000-0005-0000-0000-00004D3D0000}"/>
    <cellStyle name="Normal 31 3 2 2 3 3" xfId="11560" xr:uid="{00000000-0005-0000-0000-00004E3D0000}"/>
    <cellStyle name="Normal 31 3 2 2 3 3 2" xfId="28500" xr:uid="{00000000-0005-0000-0000-00004F3D0000}"/>
    <cellStyle name="Normal 31 3 2 2 3 4" xfId="20052" xr:uid="{00000000-0005-0000-0000-0000503D0000}"/>
    <cellStyle name="Normal 31 3 2 2 4" xfId="5224" xr:uid="{00000000-0005-0000-0000-0000513D0000}"/>
    <cellStyle name="Normal 31 3 2 2 4 2" xfId="13672" xr:uid="{00000000-0005-0000-0000-0000523D0000}"/>
    <cellStyle name="Normal 31 3 2 2 4 2 2" xfId="30612" xr:uid="{00000000-0005-0000-0000-0000533D0000}"/>
    <cellStyle name="Normal 31 3 2 2 4 3" xfId="22164" xr:uid="{00000000-0005-0000-0000-0000543D0000}"/>
    <cellStyle name="Normal 31 3 2 2 5" xfId="9448" xr:uid="{00000000-0005-0000-0000-0000553D0000}"/>
    <cellStyle name="Normal 31 3 2 2 5 2" xfId="26388" xr:uid="{00000000-0005-0000-0000-0000563D0000}"/>
    <cellStyle name="Normal 31 3 2 2 6" xfId="17940" xr:uid="{00000000-0005-0000-0000-0000573D0000}"/>
    <cellStyle name="Normal 31 3 2 3" xfId="1702" xr:uid="{00000000-0005-0000-0000-0000583D0000}"/>
    <cellStyle name="Normal 31 3 2 3 2" xfId="3814" xr:uid="{00000000-0005-0000-0000-0000593D0000}"/>
    <cellStyle name="Normal 31 3 2 3 2 2" xfId="8040" xr:uid="{00000000-0005-0000-0000-00005A3D0000}"/>
    <cellStyle name="Normal 31 3 2 3 2 2 2" xfId="16488" xr:uid="{00000000-0005-0000-0000-00005B3D0000}"/>
    <cellStyle name="Normal 31 3 2 3 2 2 2 2" xfId="33428" xr:uid="{00000000-0005-0000-0000-00005C3D0000}"/>
    <cellStyle name="Normal 31 3 2 3 2 2 3" xfId="24980" xr:uid="{00000000-0005-0000-0000-00005D3D0000}"/>
    <cellStyle name="Normal 31 3 2 3 2 3" xfId="12264" xr:uid="{00000000-0005-0000-0000-00005E3D0000}"/>
    <cellStyle name="Normal 31 3 2 3 2 3 2" xfId="29204" xr:uid="{00000000-0005-0000-0000-00005F3D0000}"/>
    <cellStyle name="Normal 31 3 2 3 2 4" xfId="20756" xr:uid="{00000000-0005-0000-0000-0000603D0000}"/>
    <cellStyle name="Normal 31 3 2 3 3" xfId="5928" xr:uid="{00000000-0005-0000-0000-0000613D0000}"/>
    <cellStyle name="Normal 31 3 2 3 3 2" xfId="14376" xr:uid="{00000000-0005-0000-0000-0000623D0000}"/>
    <cellStyle name="Normal 31 3 2 3 3 2 2" xfId="31316" xr:uid="{00000000-0005-0000-0000-0000633D0000}"/>
    <cellStyle name="Normal 31 3 2 3 3 3" xfId="22868" xr:uid="{00000000-0005-0000-0000-0000643D0000}"/>
    <cellStyle name="Normal 31 3 2 3 4" xfId="10152" xr:uid="{00000000-0005-0000-0000-0000653D0000}"/>
    <cellStyle name="Normal 31 3 2 3 4 2" xfId="27092" xr:uid="{00000000-0005-0000-0000-0000663D0000}"/>
    <cellStyle name="Normal 31 3 2 3 5" xfId="18644" xr:uid="{00000000-0005-0000-0000-0000673D0000}"/>
    <cellStyle name="Normal 31 3 2 4" xfId="2758" xr:uid="{00000000-0005-0000-0000-0000683D0000}"/>
    <cellStyle name="Normal 31 3 2 4 2" xfId="6984" xr:uid="{00000000-0005-0000-0000-0000693D0000}"/>
    <cellStyle name="Normal 31 3 2 4 2 2" xfId="15432" xr:uid="{00000000-0005-0000-0000-00006A3D0000}"/>
    <cellStyle name="Normal 31 3 2 4 2 2 2" xfId="32372" xr:uid="{00000000-0005-0000-0000-00006B3D0000}"/>
    <cellStyle name="Normal 31 3 2 4 2 3" xfId="23924" xr:uid="{00000000-0005-0000-0000-00006C3D0000}"/>
    <cellStyle name="Normal 31 3 2 4 3" xfId="11208" xr:uid="{00000000-0005-0000-0000-00006D3D0000}"/>
    <cellStyle name="Normal 31 3 2 4 3 2" xfId="28148" xr:uid="{00000000-0005-0000-0000-00006E3D0000}"/>
    <cellStyle name="Normal 31 3 2 4 4" xfId="19700" xr:uid="{00000000-0005-0000-0000-00006F3D0000}"/>
    <cellStyle name="Normal 31 3 2 5" xfId="4872" xr:uid="{00000000-0005-0000-0000-0000703D0000}"/>
    <cellStyle name="Normal 31 3 2 5 2" xfId="13320" xr:uid="{00000000-0005-0000-0000-0000713D0000}"/>
    <cellStyle name="Normal 31 3 2 5 2 2" xfId="30260" xr:uid="{00000000-0005-0000-0000-0000723D0000}"/>
    <cellStyle name="Normal 31 3 2 5 3" xfId="21812" xr:uid="{00000000-0005-0000-0000-0000733D0000}"/>
    <cellStyle name="Normal 31 3 2 6" xfId="9096" xr:uid="{00000000-0005-0000-0000-0000743D0000}"/>
    <cellStyle name="Normal 31 3 2 6 2" xfId="26036" xr:uid="{00000000-0005-0000-0000-0000753D0000}"/>
    <cellStyle name="Normal 31 3 2 7" xfId="17588" xr:uid="{00000000-0005-0000-0000-0000763D0000}"/>
    <cellStyle name="Normal 31 3 3" xfId="816" xr:uid="{00000000-0005-0000-0000-0000773D0000}"/>
    <cellStyle name="Normal 31 3 3 2" xfId="1878" xr:uid="{00000000-0005-0000-0000-0000783D0000}"/>
    <cellStyle name="Normal 31 3 3 2 2" xfId="3990" xr:uid="{00000000-0005-0000-0000-0000793D0000}"/>
    <cellStyle name="Normal 31 3 3 2 2 2" xfId="8216" xr:uid="{00000000-0005-0000-0000-00007A3D0000}"/>
    <cellStyle name="Normal 31 3 3 2 2 2 2" xfId="16664" xr:uid="{00000000-0005-0000-0000-00007B3D0000}"/>
    <cellStyle name="Normal 31 3 3 2 2 2 2 2" xfId="33604" xr:uid="{00000000-0005-0000-0000-00007C3D0000}"/>
    <cellStyle name="Normal 31 3 3 2 2 2 3" xfId="25156" xr:uid="{00000000-0005-0000-0000-00007D3D0000}"/>
    <cellStyle name="Normal 31 3 3 2 2 3" xfId="12440" xr:uid="{00000000-0005-0000-0000-00007E3D0000}"/>
    <cellStyle name="Normal 31 3 3 2 2 3 2" xfId="29380" xr:uid="{00000000-0005-0000-0000-00007F3D0000}"/>
    <cellStyle name="Normal 31 3 3 2 2 4" xfId="20932" xr:uid="{00000000-0005-0000-0000-0000803D0000}"/>
    <cellStyle name="Normal 31 3 3 2 3" xfId="6104" xr:uid="{00000000-0005-0000-0000-0000813D0000}"/>
    <cellStyle name="Normal 31 3 3 2 3 2" xfId="14552" xr:uid="{00000000-0005-0000-0000-0000823D0000}"/>
    <cellStyle name="Normal 31 3 3 2 3 2 2" xfId="31492" xr:uid="{00000000-0005-0000-0000-0000833D0000}"/>
    <cellStyle name="Normal 31 3 3 2 3 3" xfId="23044" xr:uid="{00000000-0005-0000-0000-0000843D0000}"/>
    <cellStyle name="Normal 31 3 3 2 4" xfId="10328" xr:uid="{00000000-0005-0000-0000-0000853D0000}"/>
    <cellStyle name="Normal 31 3 3 2 4 2" xfId="27268" xr:uid="{00000000-0005-0000-0000-0000863D0000}"/>
    <cellStyle name="Normal 31 3 3 2 5" xfId="18820" xr:uid="{00000000-0005-0000-0000-0000873D0000}"/>
    <cellStyle name="Normal 31 3 3 3" xfId="2934" xr:uid="{00000000-0005-0000-0000-0000883D0000}"/>
    <cellStyle name="Normal 31 3 3 3 2" xfId="7160" xr:uid="{00000000-0005-0000-0000-0000893D0000}"/>
    <cellStyle name="Normal 31 3 3 3 2 2" xfId="15608" xr:uid="{00000000-0005-0000-0000-00008A3D0000}"/>
    <cellStyle name="Normal 31 3 3 3 2 2 2" xfId="32548" xr:uid="{00000000-0005-0000-0000-00008B3D0000}"/>
    <cellStyle name="Normal 31 3 3 3 2 3" xfId="24100" xr:uid="{00000000-0005-0000-0000-00008C3D0000}"/>
    <cellStyle name="Normal 31 3 3 3 3" xfId="11384" xr:uid="{00000000-0005-0000-0000-00008D3D0000}"/>
    <cellStyle name="Normal 31 3 3 3 3 2" xfId="28324" xr:uid="{00000000-0005-0000-0000-00008E3D0000}"/>
    <cellStyle name="Normal 31 3 3 3 4" xfId="19876" xr:uid="{00000000-0005-0000-0000-00008F3D0000}"/>
    <cellStyle name="Normal 31 3 3 4" xfId="5048" xr:uid="{00000000-0005-0000-0000-0000903D0000}"/>
    <cellStyle name="Normal 31 3 3 4 2" xfId="13496" xr:uid="{00000000-0005-0000-0000-0000913D0000}"/>
    <cellStyle name="Normal 31 3 3 4 2 2" xfId="30436" xr:uid="{00000000-0005-0000-0000-0000923D0000}"/>
    <cellStyle name="Normal 31 3 3 4 3" xfId="21988" xr:uid="{00000000-0005-0000-0000-0000933D0000}"/>
    <cellStyle name="Normal 31 3 3 5" xfId="9272" xr:uid="{00000000-0005-0000-0000-0000943D0000}"/>
    <cellStyle name="Normal 31 3 3 5 2" xfId="26212" xr:uid="{00000000-0005-0000-0000-0000953D0000}"/>
    <cellStyle name="Normal 31 3 3 6" xfId="17764" xr:uid="{00000000-0005-0000-0000-0000963D0000}"/>
    <cellStyle name="Normal 31 3 4" xfId="1168" xr:uid="{00000000-0005-0000-0000-0000973D0000}"/>
    <cellStyle name="Normal 31 3 4 2" xfId="2230" xr:uid="{00000000-0005-0000-0000-0000983D0000}"/>
    <cellStyle name="Normal 31 3 4 2 2" xfId="4342" xr:uid="{00000000-0005-0000-0000-0000993D0000}"/>
    <cellStyle name="Normal 31 3 4 2 2 2" xfId="8568" xr:uid="{00000000-0005-0000-0000-00009A3D0000}"/>
    <cellStyle name="Normal 31 3 4 2 2 2 2" xfId="17016" xr:uid="{00000000-0005-0000-0000-00009B3D0000}"/>
    <cellStyle name="Normal 31 3 4 2 2 2 2 2" xfId="33956" xr:uid="{00000000-0005-0000-0000-00009C3D0000}"/>
    <cellStyle name="Normal 31 3 4 2 2 2 3" xfId="25508" xr:uid="{00000000-0005-0000-0000-00009D3D0000}"/>
    <cellStyle name="Normal 31 3 4 2 2 3" xfId="12792" xr:uid="{00000000-0005-0000-0000-00009E3D0000}"/>
    <cellStyle name="Normal 31 3 4 2 2 3 2" xfId="29732" xr:uid="{00000000-0005-0000-0000-00009F3D0000}"/>
    <cellStyle name="Normal 31 3 4 2 2 4" xfId="21284" xr:uid="{00000000-0005-0000-0000-0000A03D0000}"/>
    <cellStyle name="Normal 31 3 4 2 3" xfId="6456" xr:uid="{00000000-0005-0000-0000-0000A13D0000}"/>
    <cellStyle name="Normal 31 3 4 2 3 2" xfId="14904" xr:uid="{00000000-0005-0000-0000-0000A23D0000}"/>
    <cellStyle name="Normal 31 3 4 2 3 2 2" xfId="31844" xr:uid="{00000000-0005-0000-0000-0000A33D0000}"/>
    <cellStyle name="Normal 31 3 4 2 3 3" xfId="23396" xr:uid="{00000000-0005-0000-0000-0000A43D0000}"/>
    <cellStyle name="Normal 31 3 4 2 4" xfId="10680" xr:uid="{00000000-0005-0000-0000-0000A53D0000}"/>
    <cellStyle name="Normal 31 3 4 2 4 2" xfId="27620" xr:uid="{00000000-0005-0000-0000-0000A63D0000}"/>
    <cellStyle name="Normal 31 3 4 2 5" xfId="19172" xr:uid="{00000000-0005-0000-0000-0000A73D0000}"/>
    <cellStyle name="Normal 31 3 4 3" xfId="3286" xr:uid="{00000000-0005-0000-0000-0000A83D0000}"/>
    <cellStyle name="Normal 31 3 4 3 2" xfId="7512" xr:uid="{00000000-0005-0000-0000-0000A93D0000}"/>
    <cellStyle name="Normal 31 3 4 3 2 2" xfId="15960" xr:uid="{00000000-0005-0000-0000-0000AA3D0000}"/>
    <cellStyle name="Normal 31 3 4 3 2 2 2" xfId="32900" xr:uid="{00000000-0005-0000-0000-0000AB3D0000}"/>
    <cellStyle name="Normal 31 3 4 3 2 3" xfId="24452" xr:uid="{00000000-0005-0000-0000-0000AC3D0000}"/>
    <cellStyle name="Normal 31 3 4 3 3" xfId="11736" xr:uid="{00000000-0005-0000-0000-0000AD3D0000}"/>
    <cellStyle name="Normal 31 3 4 3 3 2" xfId="28676" xr:uid="{00000000-0005-0000-0000-0000AE3D0000}"/>
    <cellStyle name="Normal 31 3 4 3 4" xfId="20228" xr:uid="{00000000-0005-0000-0000-0000AF3D0000}"/>
    <cellStyle name="Normal 31 3 4 4" xfId="5400" xr:uid="{00000000-0005-0000-0000-0000B03D0000}"/>
    <cellStyle name="Normal 31 3 4 4 2" xfId="13848" xr:uid="{00000000-0005-0000-0000-0000B13D0000}"/>
    <cellStyle name="Normal 31 3 4 4 2 2" xfId="30788" xr:uid="{00000000-0005-0000-0000-0000B23D0000}"/>
    <cellStyle name="Normal 31 3 4 4 3" xfId="22340" xr:uid="{00000000-0005-0000-0000-0000B33D0000}"/>
    <cellStyle name="Normal 31 3 4 5" xfId="9624" xr:uid="{00000000-0005-0000-0000-0000B43D0000}"/>
    <cellStyle name="Normal 31 3 4 5 2" xfId="26564" xr:uid="{00000000-0005-0000-0000-0000B53D0000}"/>
    <cellStyle name="Normal 31 3 4 6" xfId="18116" xr:uid="{00000000-0005-0000-0000-0000B63D0000}"/>
    <cellStyle name="Normal 31 3 5" xfId="1350" xr:uid="{00000000-0005-0000-0000-0000B73D0000}"/>
    <cellStyle name="Normal 31 3 5 2" xfId="2406" xr:uid="{00000000-0005-0000-0000-0000B83D0000}"/>
    <cellStyle name="Normal 31 3 5 2 2" xfId="4518" xr:uid="{00000000-0005-0000-0000-0000B93D0000}"/>
    <cellStyle name="Normal 31 3 5 2 2 2" xfId="8744" xr:uid="{00000000-0005-0000-0000-0000BA3D0000}"/>
    <cellStyle name="Normal 31 3 5 2 2 2 2" xfId="17192" xr:uid="{00000000-0005-0000-0000-0000BB3D0000}"/>
    <cellStyle name="Normal 31 3 5 2 2 2 2 2" xfId="34132" xr:uid="{00000000-0005-0000-0000-0000BC3D0000}"/>
    <cellStyle name="Normal 31 3 5 2 2 2 3" xfId="25684" xr:uid="{00000000-0005-0000-0000-0000BD3D0000}"/>
    <cellStyle name="Normal 31 3 5 2 2 3" xfId="12968" xr:uid="{00000000-0005-0000-0000-0000BE3D0000}"/>
    <cellStyle name="Normal 31 3 5 2 2 3 2" xfId="29908" xr:uid="{00000000-0005-0000-0000-0000BF3D0000}"/>
    <cellStyle name="Normal 31 3 5 2 2 4" xfId="21460" xr:uid="{00000000-0005-0000-0000-0000C03D0000}"/>
    <cellStyle name="Normal 31 3 5 2 3" xfId="6632" xr:uid="{00000000-0005-0000-0000-0000C13D0000}"/>
    <cellStyle name="Normal 31 3 5 2 3 2" xfId="15080" xr:uid="{00000000-0005-0000-0000-0000C23D0000}"/>
    <cellStyle name="Normal 31 3 5 2 3 2 2" xfId="32020" xr:uid="{00000000-0005-0000-0000-0000C33D0000}"/>
    <cellStyle name="Normal 31 3 5 2 3 3" xfId="23572" xr:uid="{00000000-0005-0000-0000-0000C43D0000}"/>
    <cellStyle name="Normal 31 3 5 2 4" xfId="10856" xr:uid="{00000000-0005-0000-0000-0000C53D0000}"/>
    <cellStyle name="Normal 31 3 5 2 4 2" xfId="27796" xr:uid="{00000000-0005-0000-0000-0000C63D0000}"/>
    <cellStyle name="Normal 31 3 5 2 5" xfId="19348" xr:uid="{00000000-0005-0000-0000-0000C73D0000}"/>
    <cellStyle name="Normal 31 3 5 3" xfId="3462" xr:uid="{00000000-0005-0000-0000-0000C83D0000}"/>
    <cellStyle name="Normal 31 3 5 3 2" xfId="7688" xr:uid="{00000000-0005-0000-0000-0000C93D0000}"/>
    <cellStyle name="Normal 31 3 5 3 2 2" xfId="16136" xr:uid="{00000000-0005-0000-0000-0000CA3D0000}"/>
    <cellStyle name="Normal 31 3 5 3 2 2 2" xfId="33076" xr:uid="{00000000-0005-0000-0000-0000CB3D0000}"/>
    <cellStyle name="Normal 31 3 5 3 2 3" xfId="24628" xr:uid="{00000000-0005-0000-0000-0000CC3D0000}"/>
    <cellStyle name="Normal 31 3 5 3 3" xfId="11912" xr:uid="{00000000-0005-0000-0000-0000CD3D0000}"/>
    <cellStyle name="Normal 31 3 5 3 3 2" xfId="28852" xr:uid="{00000000-0005-0000-0000-0000CE3D0000}"/>
    <cellStyle name="Normal 31 3 5 3 4" xfId="20404" xr:uid="{00000000-0005-0000-0000-0000CF3D0000}"/>
    <cellStyle name="Normal 31 3 5 4" xfId="5576" xr:uid="{00000000-0005-0000-0000-0000D03D0000}"/>
    <cellStyle name="Normal 31 3 5 4 2" xfId="14024" xr:uid="{00000000-0005-0000-0000-0000D13D0000}"/>
    <cellStyle name="Normal 31 3 5 4 2 2" xfId="30964" xr:uid="{00000000-0005-0000-0000-0000D23D0000}"/>
    <cellStyle name="Normal 31 3 5 4 3" xfId="22516" xr:uid="{00000000-0005-0000-0000-0000D33D0000}"/>
    <cellStyle name="Normal 31 3 5 5" xfId="9800" xr:uid="{00000000-0005-0000-0000-0000D43D0000}"/>
    <cellStyle name="Normal 31 3 5 5 2" xfId="26740" xr:uid="{00000000-0005-0000-0000-0000D53D0000}"/>
    <cellStyle name="Normal 31 3 5 6" xfId="18292" xr:uid="{00000000-0005-0000-0000-0000D63D0000}"/>
    <cellStyle name="Normal 31 3 6" xfId="1526" xr:uid="{00000000-0005-0000-0000-0000D73D0000}"/>
    <cellStyle name="Normal 31 3 6 2" xfId="3638" xr:uid="{00000000-0005-0000-0000-0000D83D0000}"/>
    <cellStyle name="Normal 31 3 6 2 2" xfId="7864" xr:uid="{00000000-0005-0000-0000-0000D93D0000}"/>
    <cellStyle name="Normal 31 3 6 2 2 2" xfId="16312" xr:uid="{00000000-0005-0000-0000-0000DA3D0000}"/>
    <cellStyle name="Normal 31 3 6 2 2 2 2" xfId="33252" xr:uid="{00000000-0005-0000-0000-0000DB3D0000}"/>
    <cellStyle name="Normal 31 3 6 2 2 3" xfId="24804" xr:uid="{00000000-0005-0000-0000-0000DC3D0000}"/>
    <cellStyle name="Normal 31 3 6 2 3" xfId="12088" xr:uid="{00000000-0005-0000-0000-0000DD3D0000}"/>
    <cellStyle name="Normal 31 3 6 2 3 2" xfId="29028" xr:uid="{00000000-0005-0000-0000-0000DE3D0000}"/>
    <cellStyle name="Normal 31 3 6 2 4" xfId="20580" xr:uid="{00000000-0005-0000-0000-0000DF3D0000}"/>
    <cellStyle name="Normal 31 3 6 3" xfId="5752" xr:uid="{00000000-0005-0000-0000-0000E03D0000}"/>
    <cellStyle name="Normal 31 3 6 3 2" xfId="14200" xr:uid="{00000000-0005-0000-0000-0000E13D0000}"/>
    <cellStyle name="Normal 31 3 6 3 2 2" xfId="31140" xr:uid="{00000000-0005-0000-0000-0000E23D0000}"/>
    <cellStyle name="Normal 31 3 6 3 3" xfId="22692" xr:uid="{00000000-0005-0000-0000-0000E33D0000}"/>
    <cellStyle name="Normal 31 3 6 4" xfId="9976" xr:uid="{00000000-0005-0000-0000-0000E43D0000}"/>
    <cellStyle name="Normal 31 3 6 4 2" xfId="26916" xr:uid="{00000000-0005-0000-0000-0000E53D0000}"/>
    <cellStyle name="Normal 31 3 6 5" xfId="18468" xr:uid="{00000000-0005-0000-0000-0000E63D0000}"/>
    <cellStyle name="Normal 31 3 7" xfId="2582" xr:uid="{00000000-0005-0000-0000-0000E73D0000}"/>
    <cellStyle name="Normal 31 3 7 2" xfId="6808" xr:uid="{00000000-0005-0000-0000-0000E83D0000}"/>
    <cellStyle name="Normal 31 3 7 2 2" xfId="15256" xr:uid="{00000000-0005-0000-0000-0000E93D0000}"/>
    <cellStyle name="Normal 31 3 7 2 2 2" xfId="32196" xr:uid="{00000000-0005-0000-0000-0000EA3D0000}"/>
    <cellStyle name="Normal 31 3 7 2 3" xfId="23748" xr:uid="{00000000-0005-0000-0000-0000EB3D0000}"/>
    <cellStyle name="Normal 31 3 7 3" xfId="11032" xr:uid="{00000000-0005-0000-0000-0000EC3D0000}"/>
    <cellStyle name="Normal 31 3 7 3 2" xfId="27972" xr:uid="{00000000-0005-0000-0000-0000ED3D0000}"/>
    <cellStyle name="Normal 31 3 7 4" xfId="19524" xr:uid="{00000000-0005-0000-0000-0000EE3D0000}"/>
    <cellStyle name="Normal 31 3 8" xfId="4695" xr:uid="{00000000-0005-0000-0000-0000EF3D0000}"/>
    <cellStyle name="Normal 31 3 8 2" xfId="13144" xr:uid="{00000000-0005-0000-0000-0000F03D0000}"/>
    <cellStyle name="Normal 31 3 8 2 2" xfId="30084" xr:uid="{00000000-0005-0000-0000-0000F13D0000}"/>
    <cellStyle name="Normal 31 3 8 3" xfId="21636" xr:uid="{00000000-0005-0000-0000-0000F23D0000}"/>
    <cellStyle name="Normal 31 3 9" xfId="8920" xr:uid="{00000000-0005-0000-0000-0000F33D0000}"/>
    <cellStyle name="Normal 31 3 9 2" xfId="25860" xr:uid="{00000000-0005-0000-0000-0000F43D0000}"/>
    <cellStyle name="Normal 31 4" xfId="638" xr:uid="{00000000-0005-0000-0000-0000F53D0000}"/>
    <cellStyle name="Normal 31 4 2" xfId="990" xr:uid="{00000000-0005-0000-0000-0000F63D0000}"/>
    <cellStyle name="Normal 31 4 2 2" xfId="2052" xr:uid="{00000000-0005-0000-0000-0000F73D0000}"/>
    <cellStyle name="Normal 31 4 2 2 2" xfId="4164" xr:uid="{00000000-0005-0000-0000-0000F83D0000}"/>
    <cellStyle name="Normal 31 4 2 2 2 2" xfId="8390" xr:uid="{00000000-0005-0000-0000-0000F93D0000}"/>
    <cellStyle name="Normal 31 4 2 2 2 2 2" xfId="16838" xr:uid="{00000000-0005-0000-0000-0000FA3D0000}"/>
    <cellStyle name="Normal 31 4 2 2 2 2 2 2" xfId="33778" xr:uid="{00000000-0005-0000-0000-0000FB3D0000}"/>
    <cellStyle name="Normal 31 4 2 2 2 2 3" xfId="25330" xr:uid="{00000000-0005-0000-0000-0000FC3D0000}"/>
    <cellStyle name="Normal 31 4 2 2 2 3" xfId="12614" xr:uid="{00000000-0005-0000-0000-0000FD3D0000}"/>
    <cellStyle name="Normal 31 4 2 2 2 3 2" xfId="29554" xr:uid="{00000000-0005-0000-0000-0000FE3D0000}"/>
    <cellStyle name="Normal 31 4 2 2 2 4" xfId="21106" xr:uid="{00000000-0005-0000-0000-0000FF3D0000}"/>
    <cellStyle name="Normal 31 4 2 2 3" xfId="6278" xr:uid="{00000000-0005-0000-0000-0000003E0000}"/>
    <cellStyle name="Normal 31 4 2 2 3 2" xfId="14726" xr:uid="{00000000-0005-0000-0000-0000013E0000}"/>
    <cellStyle name="Normal 31 4 2 2 3 2 2" xfId="31666" xr:uid="{00000000-0005-0000-0000-0000023E0000}"/>
    <cellStyle name="Normal 31 4 2 2 3 3" xfId="23218" xr:uid="{00000000-0005-0000-0000-0000033E0000}"/>
    <cellStyle name="Normal 31 4 2 2 4" xfId="10502" xr:uid="{00000000-0005-0000-0000-0000043E0000}"/>
    <cellStyle name="Normal 31 4 2 2 4 2" xfId="27442" xr:uid="{00000000-0005-0000-0000-0000053E0000}"/>
    <cellStyle name="Normal 31 4 2 2 5" xfId="18994" xr:uid="{00000000-0005-0000-0000-0000063E0000}"/>
    <cellStyle name="Normal 31 4 2 3" xfId="3108" xr:uid="{00000000-0005-0000-0000-0000073E0000}"/>
    <cellStyle name="Normal 31 4 2 3 2" xfId="7334" xr:uid="{00000000-0005-0000-0000-0000083E0000}"/>
    <cellStyle name="Normal 31 4 2 3 2 2" xfId="15782" xr:uid="{00000000-0005-0000-0000-0000093E0000}"/>
    <cellStyle name="Normal 31 4 2 3 2 2 2" xfId="32722" xr:uid="{00000000-0005-0000-0000-00000A3E0000}"/>
    <cellStyle name="Normal 31 4 2 3 2 3" xfId="24274" xr:uid="{00000000-0005-0000-0000-00000B3E0000}"/>
    <cellStyle name="Normal 31 4 2 3 3" xfId="11558" xr:uid="{00000000-0005-0000-0000-00000C3E0000}"/>
    <cellStyle name="Normal 31 4 2 3 3 2" xfId="28498" xr:uid="{00000000-0005-0000-0000-00000D3E0000}"/>
    <cellStyle name="Normal 31 4 2 3 4" xfId="20050" xr:uid="{00000000-0005-0000-0000-00000E3E0000}"/>
    <cellStyle name="Normal 31 4 2 4" xfId="5222" xr:uid="{00000000-0005-0000-0000-00000F3E0000}"/>
    <cellStyle name="Normal 31 4 2 4 2" xfId="13670" xr:uid="{00000000-0005-0000-0000-0000103E0000}"/>
    <cellStyle name="Normal 31 4 2 4 2 2" xfId="30610" xr:uid="{00000000-0005-0000-0000-0000113E0000}"/>
    <cellStyle name="Normal 31 4 2 4 3" xfId="22162" xr:uid="{00000000-0005-0000-0000-0000123E0000}"/>
    <cellStyle name="Normal 31 4 2 5" xfId="9446" xr:uid="{00000000-0005-0000-0000-0000133E0000}"/>
    <cellStyle name="Normal 31 4 2 5 2" xfId="26386" xr:uid="{00000000-0005-0000-0000-0000143E0000}"/>
    <cellStyle name="Normal 31 4 2 6" xfId="17938" xr:uid="{00000000-0005-0000-0000-0000153E0000}"/>
    <cellStyle name="Normal 31 4 3" xfId="1700" xr:uid="{00000000-0005-0000-0000-0000163E0000}"/>
    <cellStyle name="Normal 31 4 3 2" xfId="3812" xr:uid="{00000000-0005-0000-0000-0000173E0000}"/>
    <cellStyle name="Normal 31 4 3 2 2" xfId="8038" xr:uid="{00000000-0005-0000-0000-0000183E0000}"/>
    <cellStyle name="Normal 31 4 3 2 2 2" xfId="16486" xr:uid="{00000000-0005-0000-0000-0000193E0000}"/>
    <cellStyle name="Normal 31 4 3 2 2 2 2" xfId="33426" xr:uid="{00000000-0005-0000-0000-00001A3E0000}"/>
    <cellStyle name="Normal 31 4 3 2 2 3" xfId="24978" xr:uid="{00000000-0005-0000-0000-00001B3E0000}"/>
    <cellStyle name="Normal 31 4 3 2 3" xfId="12262" xr:uid="{00000000-0005-0000-0000-00001C3E0000}"/>
    <cellStyle name="Normal 31 4 3 2 3 2" xfId="29202" xr:uid="{00000000-0005-0000-0000-00001D3E0000}"/>
    <cellStyle name="Normal 31 4 3 2 4" xfId="20754" xr:uid="{00000000-0005-0000-0000-00001E3E0000}"/>
    <cellStyle name="Normal 31 4 3 3" xfId="5926" xr:uid="{00000000-0005-0000-0000-00001F3E0000}"/>
    <cellStyle name="Normal 31 4 3 3 2" xfId="14374" xr:uid="{00000000-0005-0000-0000-0000203E0000}"/>
    <cellStyle name="Normal 31 4 3 3 2 2" xfId="31314" xr:uid="{00000000-0005-0000-0000-0000213E0000}"/>
    <cellStyle name="Normal 31 4 3 3 3" xfId="22866" xr:uid="{00000000-0005-0000-0000-0000223E0000}"/>
    <cellStyle name="Normal 31 4 3 4" xfId="10150" xr:uid="{00000000-0005-0000-0000-0000233E0000}"/>
    <cellStyle name="Normal 31 4 3 4 2" xfId="27090" xr:uid="{00000000-0005-0000-0000-0000243E0000}"/>
    <cellStyle name="Normal 31 4 3 5" xfId="18642" xr:uid="{00000000-0005-0000-0000-0000253E0000}"/>
    <cellStyle name="Normal 31 4 4" xfId="2756" xr:uid="{00000000-0005-0000-0000-0000263E0000}"/>
    <cellStyle name="Normal 31 4 4 2" xfId="6982" xr:uid="{00000000-0005-0000-0000-0000273E0000}"/>
    <cellStyle name="Normal 31 4 4 2 2" xfId="15430" xr:uid="{00000000-0005-0000-0000-0000283E0000}"/>
    <cellStyle name="Normal 31 4 4 2 2 2" xfId="32370" xr:uid="{00000000-0005-0000-0000-0000293E0000}"/>
    <cellStyle name="Normal 31 4 4 2 3" xfId="23922" xr:uid="{00000000-0005-0000-0000-00002A3E0000}"/>
    <cellStyle name="Normal 31 4 4 3" xfId="11206" xr:uid="{00000000-0005-0000-0000-00002B3E0000}"/>
    <cellStyle name="Normal 31 4 4 3 2" xfId="28146" xr:uid="{00000000-0005-0000-0000-00002C3E0000}"/>
    <cellStyle name="Normal 31 4 4 4" xfId="19698" xr:uid="{00000000-0005-0000-0000-00002D3E0000}"/>
    <cellStyle name="Normal 31 4 5" xfId="4870" xr:uid="{00000000-0005-0000-0000-00002E3E0000}"/>
    <cellStyle name="Normal 31 4 5 2" xfId="13318" xr:uid="{00000000-0005-0000-0000-00002F3E0000}"/>
    <cellStyle name="Normal 31 4 5 2 2" xfId="30258" xr:uid="{00000000-0005-0000-0000-0000303E0000}"/>
    <cellStyle name="Normal 31 4 5 3" xfId="21810" xr:uid="{00000000-0005-0000-0000-0000313E0000}"/>
    <cellStyle name="Normal 31 4 6" xfId="9094" xr:uid="{00000000-0005-0000-0000-0000323E0000}"/>
    <cellStyle name="Normal 31 4 6 2" xfId="26034" xr:uid="{00000000-0005-0000-0000-0000333E0000}"/>
    <cellStyle name="Normal 31 4 7" xfId="17586" xr:uid="{00000000-0005-0000-0000-0000343E0000}"/>
    <cellStyle name="Normal 31 5" xfId="814" xr:uid="{00000000-0005-0000-0000-0000353E0000}"/>
    <cellStyle name="Normal 31 5 2" xfId="1876" xr:uid="{00000000-0005-0000-0000-0000363E0000}"/>
    <cellStyle name="Normal 31 5 2 2" xfId="3988" xr:uid="{00000000-0005-0000-0000-0000373E0000}"/>
    <cellStyle name="Normal 31 5 2 2 2" xfId="8214" xr:uid="{00000000-0005-0000-0000-0000383E0000}"/>
    <cellStyle name="Normal 31 5 2 2 2 2" xfId="16662" xr:uid="{00000000-0005-0000-0000-0000393E0000}"/>
    <cellStyle name="Normal 31 5 2 2 2 2 2" xfId="33602" xr:uid="{00000000-0005-0000-0000-00003A3E0000}"/>
    <cellStyle name="Normal 31 5 2 2 2 3" xfId="25154" xr:uid="{00000000-0005-0000-0000-00003B3E0000}"/>
    <cellStyle name="Normal 31 5 2 2 3" xfId="12438" xr:uid="{00000000-0005-0000-0000-00003C3E0000}"/>
    <cellStyle name="Normal 31 5 2 2 3 2" xfId="29378" xr:uid="{00000000-0005-0000-0000-00003D3E0000}"/>
    <cellStyle name="Normal 31 5 2 2 4" xfId="20930" xr:uid="{00000000-0005-0000-0000-00003E3E0000}"/>
    <cellStyle name="Normal 31 5 2 3" xfId="6102" xr:uid="{00000000-0005-0000-0000-00003F3E0000}"/>
    <cellStyle name="Normal 31 5 2 3 2" xfId="14550" xr:uid="{00000000-0005-0000-0000-0000403E0000}"/>
    <cellStyle name="Normal 31 5 2 3 2 2" xfId="31490" xr:uid="{00000000-0005-0000-0000-0000413E0000}"/>
    <cellStyle name="Normal 31 5 2 3 3" xfId="23042" xr:uid="{00000000-0005-0000-0000-0000423E0000}"/>
    <cellStyle name="Normal 31 5 2 4" xfId="10326" xr:uid="{00000000-0005-0000-0000-0000433E0000}"/>
    <cellStyle name="Normal 31 5 2 4 2" xfId="27266" xr:uid="{00000000-0005-0000-0000-0000443E0000}"/>
    <cellStyle name="Normal 31 5 2 5" xfId="18818" xr:uid="{00000000-0005-0000-0000-0000453E0000}"/>
    <cellStyle name="Normal 31 5 3" xfId="2932" xr:uid="{00000000-0005-0000-0000-0000463E0000}"/>
    <cellStyle name="Normal 31 5 3 2" xfId="7158" xr:uid="{00000000-0005-0000-0000-0000473E0000}"/>
    <cellStyle name="Normal 31 5 3 2 2" xfId="15606" xr:uid="{00000000-0005-0000-0000-0000483E0000}"/>
    <cellStyle name="Normal 31 5 3 2 2 2" xfId="32546" xr:uid="{00000000-0005-0000-0000-0000493E0000}"/>
    <cellStyle name="Normal 31 5 3 2 3" xfId="24098" xr:uid="{00000000-0005-0000-0000-00004A3E0000}"/>
    <cellStyle name="Normal 31 5 3 3" xfId="11382" xr:uid="{00000000-0005-0000-0000-00004B3E0000}"/>
    <cellStyle name="Normal 31 5 3 3 2" xfId="28322" xr:uid="{00000000-0005-0000-0000-00004C3E0000}"/>
    <cellStyle name="Normal 31 5 3 4" xfId="19874" xr:uid="{00000000-0005-0000-0000-00004D3E0000}"/>
    <cellStyle name="Normal 31 5 4" xfId="5046" xr:uid="{00000000-0005-0000-0000-00004E3E0000}"/>
    <cellStyle name="Normal 31 5 4 2" xfId="13494" xr:uid="{00000000-0005-0000-0000-00004F3E0000}"/>
    <cellStyle name="Normal 31 5 4 2 2" xfId="30434" xr:uid="{00000000-0005-0000-0000-0000503E0000}"/>
    <cellStyle name="Normal 31 5 4 3" xfId="21986" xr:uid="{00000000-0005-0000-0000-0000513E0000}"/>
    <cellStyle name="Normal 31 5 5" xfId="9270" xr:uid="{00000000-0005-0000-0000-0000523E0000}"/>
    <cellStyle name="Normal 31 5 5 2" xfId="26210" xr:uid="{00000000-0005-0000-0000-0000533E0000}"/>
    <cellStyle name="Normal 31 5 6" xfId="17762" xr:uid="{00000000-0005-0000-0000-0000543E0000}"/>
    <cellStyle name="Normal 31 6" xfId="1166" xr:uid="{00000000-0005-0000-0000-0000553E0000}"/>
    <cellStyle name="Normal 31 6 2" xfId="2228" xr:uid="{00000000-0005-0000-0000-0000563E0000}"/>
    <cellStyle name="Normal 31 6 2 2" xfId="4340" xr:uid="{00000000-0005-0000-0000-0000573E0000}"/>
    <cellStyle name="Normal 31 6 2 2 2" xfId="8566" xr:uid="{00000000-0005-0000-0000-0000583E0000}"/>
    <cellStyle name="Normal 31 6 2 2 2 2" xfId="17014" xr:uid="{00000000-0005-0000-0000-0000593E0000}"/>
    <cellStyle name="Normal 31 6 2 2 2 2 2" xfId="33954" xr:uid="{00000000-0005-0000-0000-00005A3E0000}"/>
    <cellStyle name="Normal 31 6 2 2 2 3" xfId="25506" xr:uid="{00000000-0005-0000-0000-00005B3E0000}"/>
    <cellStyle name="Normal 31 6 2 2 3" xfId="12790" xr:uid="{00000000-0005-0000-0000-00005C3E0000}"/>
    <cellStyle name="Normal 31 6 2 2 3 2" xfId="29730" xr:uid="{00000000-0005-0000-0000-00005D3E0000}"/>
    <cellStyle name="Normal 31 6 2 2 4" xfId="21282" xr:uid="{00000000-0005-0000-0000-00005E3E0000}"/>
    <cellStyle name="Normal 31 6 2 3" xfId="6454" xr:uid="{00000000-0005-0000-0000-00005F3E0000}"/>
    <cellStyle name="Normal 31 6 2 3 2" xfId="14902" xr:uid="{00000000-0005-0000-0000-0000603E0000}"/>
    <cellStyle name="Normal 31 6 2 3 2 2" xfId="31842" xr:uid="{00000000-0005-0000-0000-0000613E0000}"/>
    <cellStyle name="Normal 31 6 2 3 3" xfId="23394" xr:uid="{00000000-0005-0000-0000-0000623E0000}"/>
    <cellStyle name="Normal 31 6 2 4" xfId="10678" xr:uid="{00000000-0005-0000-0000-0000633E0000}"/>
    <cellStyle name="Normal 31 6 2 4 2" xfId="27618" xr:uid="{00000000-0005-0000-0000-0000643E0000}"/>
    <cellStyle name="Normal 31 6 2 5" xfId="19170" xr:uid="{00000000-0005-0000-0000-0000653E0000}"/>
    <cellStyle name="Normal 31 6 3" xfId="3284" xr:uid="{00000000-0005-0000-0000-0000663E0000}"/>
    <cellStyle name="Normal 31 6 3 2" xfId="7510" xr:uid="{00000000-0005-0000-0000-0000673E0000}"/>
    <cellStyle name="Normal 31 6 3 2 2" xfId="15958" xr:uid="{00000000-0005-0000-0000-0000683E0000}"/>
    <cellStyle name="Normal 31 6 3 2 2 2" xfId="32898" xr:uid="{00000000-0005-0000-0000-0000693E0000}"/>
    <cellStyle name="Normal 31 6 3 2 3" xfId="24450" xr:uid="{00000000-0005-0000-0000-00006A3E0000}"/>
    <cellStyle name="Normal 31 6 3 3" xfId="11734" xr:uid="{00000000-0005-0000-0000-00006B3E0000}"/>
    <cellStyle name="Normal 31 6 3 3 2" xfId="28674" xr:uid="{00000000-0005-0000-0000-00006C3E0000}"/>
    <cellStyle name="Normal 31 6 3 4" xfId="20226" xr:uid="{00000000-0005-0000-0000-00006D3E0000}"/>
    <cellStyle name="Normal 31 6 4" xfId="5398" xr:uid="{00000000-0005-0000-0000-00006E3E0000}"/>
    <cellStyle name="Normal 31 6 4 2" xfId="13846" xr:uid="{00000000-0005-0000-0000-00006F3E0000}"/>
    <cellStyle name="Normal 31 6 4 2 2" xfId="30786" xr:uid="{00000000-0005-0000-0000-0000703E0000}"/>
    <cellStyle name="Normal 31 6 4 3" xfId="22338" xr:uid="{00000000-0005-0000-0000-0000713E0000}"/>
    <cellStyle name="Normal 31 6 5" xfId="9622" xr:uid="{00000000-0005-0000-0000-0000723E0000}"/>
    <cellStyle name="Normal 31 6 5 2" xfId="26562" xr:uid="{00000000-0005-0000-0000-0000733E0000}"/>
    <cellStyle name="Normal 31 6 6" xfId="18114" xr:uid="{00000000-0005-0000-0000-0000743E0000}"/>
    <cellStyle name="Normal 31 7" xfId="1348" xr:uid="{00000000-0005-0000-0000-0000753E0000}"/>
    <cellStyle name="Normal 31 7 2" xfId="2404" xr:uid="{00000000-0005-0000-0000-0000763E0000}"/>
    <cellStyle name="Normal 31 7 2 2" xfId="4516" xr:uid="{00000000-0005-0000-0000-0000773E0000}"/>
    <cellStyle name="Normal 31 7 2 2 2" xfId="8742" xr:uid="{00000000-0005-0000-0000-0000783E0000}"/>
    <cellStyle name="Normal 31 7 2 2 2 2" xfId="17190" xr:uid="{00000000-0005-0000-0000-0000793E0000}"/>
    <cellStyle name="Normal 31 7 2 2 2 2 2" xfId="34130" xr:uid="{00000000-0005-0000-0000-00007A3E0000}"/>
    <cellStyle name="Normal 31 7 2 2 2 3" xfId="25682" xr:uid="{00000000-0005-0000-0000-00007B3E0000}"/>
    <cellStyle name="Normal 31 7 2 2 3" xfId="12966" xr:uid="{00000000-0005-0000-0000-00007C3E0000}"/>
    <cellStyle name="Normal 31 7 2 2 3 2" xfId="29906" xr:uid="{00000000-0005-0000-0000-00007D3E0000}"/>
    <cellStyle name="Normal 31 7 2 2 4" xfId="21458" xr:uid="{00000000-0005-0000-0000-00007E3E0000}"/>
    <cellStyle name="Normal 31 7 2 3" xfId="6630" xr:uid="{00000000-0005-0000-0000-00007F3E0000}"/>
    <cellStyle name="Normal 31 7 2 3 2" xfId="15078" xr:uid="{00000000-0005-0000-0000-0000803E0000}"/>
    <cellStyle name="Normal 31 7 2 3 2 2" xfId="32018" xr:uid="{00000000-0005-0000-0000-0000813E0000}"/>
    <cellStyle name="Normal 31 7 2 3 3" xfId="23570" xr:uid="{00000000-0005-0000-0000-0000823E0000}"/>
    <cellStyle name="Normal 31 7 2 4" xfId="10854" xr:uid="{00000000-0005-0000-0000-0000833E0000}"/>
    <cellStyle name="Normal 31 7 2 4 2" xfId="27794" xr:uid="{00000000-0005-0000-0000-0000843E0000}"/>
    <cellStyle name="Normal 31 7 2 5" xfId="19346" xr:uid="{00000000-0005-0000-0000-0000853E0000}"/>
    <cellStyle name="Normal 31 7 3" xfId="3460" xr:uid="{00000000-0005-0000-0000-0000863E0000}"/>
    <cellStyle name="Normal 31 7 3 2" xfId="7686" xr:uid="{00000000-0005-0000-0000-0000873E0000}"/>
    <cellStyle name="Normal 31 7 3 2 2" xfId="16134" xr:uid="{00000000-0005-0000-0000-0000883E0000}"/>
    <cellStyle name="Normal 31 7 3 2 2 2" xfId="33074" xr:uid="{00000000-0005-0000-0000-0000893E0000}"/>
    <cellStyle name="Normal 31 7 3 2 3" xfId="24626" xr:uid="{00000000-0005-0000-0000-00008A3E0000}"/>
    <cellStyle name="Normal 31 7 3 3" xfId="11910" xr:uid="{00000000-0005-0000-0000-00008B3E0000}"/>
    <cellStyle name="Normal 31 7 3 3 2" xfId="28850" xr:uid="{00000000-0005-0000-0000-00008C3E0000}"/>
    <cellStyle name="Normal 31 7 3 4" xfId="20402" xr:uid="{00000000-0005-0000-0000-00008D3E0000}"/>
    <cellStyle name="Normal 31 7 4" xfId="5574" xr:uid="{00000000-0005-0000-0000-00008E3E0000}"/>
    <cellStyle name="Normal 31 7 4 2" xfId="14022" xr:uid="{00000000-0005-0000-0000-00008F3E0000}"/>
    <cellStyle name="Normal 31 7 4 2 2" xfId="30962" xr:uid="{00000000-0005-0000-0000-0000903E0000}"/>
    <cellStyle name="Normal 31 7 4 3" xfId="22514" xr:uid="{00000000-0005-0000-0000-0000913E0000}"/>
    <cellStyle name="Normal 31 7 5" xfId="9798" xr:uid="{00000000-0005-0000-0000-0000923E0000}"/>
    <cellStyle name="Normal 31 7 5 2" xfId="26738" xr:uid="{00000000-0005-0000-0000-0000933E0000}"/>
    <cellStyle name="Normal 31 7 6" xfId="18290" xr:uid="{00000000-0005-0000-0000-0000943E0000}"/>
    <cellStyle name="Normal 31 8" xfId="1524" xr:uid="{00000000-0005-0000-0000-0000953E0000}"/>
    <cellStyle name="Normal 31 8 2" xfId="3636" xr:uid="{00000000-0005-0000-0000-0000963E0000}"/>
    <cellStyle name="Normal 31 8 2 2" xfId="7862" xr:uid="{00000000-0005-0000-0000-0000973E0000}"/>
    <cellStyle name="Normal 31 8 2 2 2" xfId="16310" xr:uid="{00000000-0005-0000-0000-0000983E0000}"/>
    <cellStyle name="Normal 31 8 2 2 2 2" xfId="33250" xr:uid="{00000000-0005-0000-0000-0000993E0000}"/>
    <cellStyle name="Normal 31 8 2 2 3" xfId="24802" xr:uid="{00000000-0005-0000-0000-00009A3E0000}"/>
    <cellStyle name="Normal 31 8 2 3" xfId="12086" xr:uid="{00000000-0005-0000-0000-00009B3E0000}"/>
    <cellStyle name="Normal 31 8 2 3 2" xfId="29026" xr:uid="{00000000-0005-0000-0000-00009C3E0000}"/>
    <cellStyle name="Normal 31 8 2 4" xfId="20578" xr:uid="{00000000-0005-0000-0000-00009D3E0000}"/>
    <cellStyle name="Normal 31 8 3" xfId="5750" xr:uid="{00000000-0005-0000-0000-00009E3E0000}"/>
    <cellStyle name="Normal 31 8 3 2" xfId="14198" xr:uid="{00000000-0005-0000-0000-00009F3E0000}"/>
    <cellStyle name="Normal 31 8 3 2 2" xfId="31138" xr:uid="{00000000-0005-0000-0000-0000A03E0000}"/>
    <cellStyle name="Normal 31 8 3 3" xfId="22690" xr:uid="{00000000-0005-0000-0000-0000A13E0000}"/>
    <cellStyle name="Normal 31 8 4" xfId="9974" xr:uid="{00000000-0005-0000-0000-0000A23E0000}"/>
    <cellStyle name="Normal 31 8 4 2" xfId="26914" xr:uid="{00000000-0005-0000-0000-0000A33E0000}"/>
    <cellStyle name="Normal 31 8 5" xfId="18466" xr:uid="{00000000-0005-0000-0000-0000A43E0000}"/>
    <cellStyle name="Normal 31 9" xfId="2580" xr:uid="{00000000-0005-0000-0000-0000A53E0000}"/>
    <cellStyle name="Normal 31 9 2" xfId="6806" xr:uid="{00000000-0005-0000-0000-0000A63E0000}"/>
    <cellStyle name="Normal 31 9 2 2" xfId="15254" xr:uid="{00000000-0005-0000-0000-0000A73E0000}"/>
    <cellStyle name="Normal 31 9 2 2 2" xfId="32194" xr:uid="{00000000-0005-0000-0000-0000A83E0000}"/>
    <cellStyle name="Normal 31 9 2 3" xfId="23746" xr:uid="{00000000-0005-0000-0000-0000A93E0000}"/>
    <cellStyle name="Normal 31 9 3" xfId="11030" xr:uid="{00000000-0005-0000-0000-0000AA3E0000}"/>
    <cellStyle name="Normal 31 9 3 2" xfId="27970" xr:uid="{00000000-0005-0000-0000-0000AB3E0000}"/>
    <cellStyle name="Normal 31 9 4" xfId="19522" xr:uid="{00000000-0005-0000-0000-0000AC3E0000}"/>
    <cellStyle name="Normal 32" xfId="334" xr:uid="{00000000-0005-0000-0000-0000AD3E0000}"/>
    <cellStyle name="Normal 32 10" xfId="4696" xr:uid="{00000000-0005-0000-0000-0000AE3E0000}"/>
    <cellStyle name="Normal 32 10 2" xfId="13145" xr:uid="{00000000-0005-0000-0000-0000AF3E0000}"/>
    <cellStyle name="Normal 32 10 2 2" xfId="30085" xr:uid="{00000000-0005-0000-0000-0000B03E0000}"/>
    <cellStyle name="Normal 32 10 3" xfId="21637" xr:uid="{00000000-0005-0000-0000-0000B13E0000}"/>
    <cellStyle name="Normal 32 11" xfId="8921" xr:uid="{00000000-0005-0000-0000-0000B23E0000}"/>
    <cellStyle name="Normal 32 11 2" xfId="25861" xr:uid="{00000000-0005-0000-0000-0000B33E0000}"/>
    <cellStyle name="Normal 32 12" xfId="17413" xr:uid="{00000000-0005-0000-0000-0000B43E0000}"/>
    <cellStyle name="Normal 32 2" xfId="335" xr:uid="{00000000-0005-0000-0000-0000B53E0000}"/>
    <cellStyle name="Normal 32 2 10" xfId="17414" xr:uid="{00000000-0005-0000-0000-0000B63E0000}"/>
    <cellStyle name="Normal 32 2 2" xfId="642" xr:uid="{00000000-0005-0000-0000-0000B73E0000}"/>
    <cellStyle name="Normal 32 2 2 2" xfId="994" xr:uid="{00000000-0005-0000-0000-0000B83E0000}"/>
    <cellStyle name="Normal 32 2 2 2 2" xfId="2056" xr:uid="{00000000-0005-0000-0000-0000B93E0000}"/>
    <cellStyle name="Normal 32 2 2 2 2 2" xfId="4168" xr:uid="{00000000-0005-0000-0000-0000BA3E0000}"/>
    <cellStyle name="Normal 32 2 2 2 2 2 2" xfId="8394" xr:uid="{00000000-0005-0000-0000-0000BB3E0000}"/>
    <cellStyle name="Normal 32 2 2 2 2 2 2 2" xfId="16842" xr:uid="{00000000-0005-0000-0000-0000BC3E0000}"/>
    <cellStyle name="Normal 32 2 2 2 2 2 2 2 2" xfId="33782" xr:uid="{00000000-0005-0000-0000-0000BD3E0000}"/>
    <cellStyle name="Normal 32 2 2 2 2 2 2 3" xfId="25334" xr:uid="{00000000-0005-0000-0000-0000BE3E0000}"/>
    <cellStyle name="Normal 32 2 2 2 2 2 3" xfId="12618" xr:uid="{00000000-0005-0000-0000-0000BF3E0000}"/>
    <cellStyle name="Normal 32 2 2 2 2 2 3 2" xfId="29558" xr:uid="{00000000-0005-0000-0000-0000C03E0000}"/>
    <cellStyle name="Normal 32 2 2 2 2 2 4" xfId="21110" xr:uid="{00000000-0005-0000-0000-0000C13E0000}"/>
    <cellStyle name="Normal 32 2 2 2 2 3" xfId="6282" xr:uid="{00000000-0005-0000-0000-0000C23E0000}"/>
    <cellStyle name="Normal 32 2 2 2 2 3 2" xfId="14730" xr:uid="{00000000-0005-0000-0000-0000C33E0000}"/>
    <cellStyle name="Normal 32 2 2 2 2 3 2 2" xfId="31670" xr:uid="{00000000-0005-0000-0000-0000C43E0000}"/>
    <cellStyle name="Normal 32 2 2 2 2 3 3" xfId="23222" xr:uid="{00000000-0005-0000-0000-0000C53E0000}"/>
    <cellStyle name="Normal 32 2 2 2 2 4" xfId="10506" xr:uid="{00000000-0005-0000-0000-0000C63E0000}"/>
    <cellStyle name="Normal 32 2 2 2 2 4 2" xfId="27446" xr:uid="{00000000-0005-0000-0000-0000C73E0000}"/>
    <cellStyle name="Normal 32 2 2 2 2 5" xfId="18998" xr:uid="{00000000-0005-0000-0000-0000C83E0000}"/>
    <cellStyle name="Normal 32 2 2 2 3" xfId="3112" xr:uid="{00000000-0005-0000-0000-0000C93E0000}"/>
    <cellStyle name="Normal 32 2 2 2 3 2" xfId="7338" xr:uid="{00000000-0005-0000-0000-0000CA3E0000}"/>
    <cellStyle name="Normal 32 2 2 2 3 2 2" xfId="15786" xr:uid="{00000000-0005-0000-0000-0000CB3E0000}"/>
    <cellStyle name="Normal 32 2 2 2 3 2 2 2" xfId="32726" xr:uid="{00000000-0005-0000-0000-0000CC3E0000}"/>
    <cellStyle name="Normal 32 2 2 2 3 2 3" xfId="24278" xr:uid="{00000000-0005-0000-0000-0000CD3E0000}"/>
    <cellStyle name="Normal 32 2 2 2 3 3" xfId="11562" xr:uid="{00000000-0005-0000-0000-0000CE3E0000}"/>
    <cellStyle name="Normal 32 2 2 2 3 3 2" xfId="28502" xr:uid="{00000000-0005-0000-0000-0000CF3E0000}"/>
    <cellStyle name="Normal 32 2 2 2 3 4" xfId="20054" xr:uid="{00000000-0005-0000-0000-0000D03E0000}"/>
    <cellStyle name="Normal 32 2 2 2 4" xfId="5226" xr:uid="{00000000-0005-0000-0000-0000D13E0000}"/>
    <cellStyle name="Normal 32 2 2 2 4 2" xfId="13674" xr:uid="{00000000-0005-0000-0000-0000D23E0000}"/>
    <cellStyle name="Normal 32 2 2 2 4 2 2" xfId="30614" xr:uid="{00000000-0005-0000-0000-0000D33E0000}"/>
    <cellStyle name="Normal 32 2 2 2 4 3" xfId="22166" xr:uid="{00000000-0005-0000-0000-0000D43E0000}"/>
    <cellStyle name="Normal 32 2 2 2 5" xfId="9450" xr:uid="{00000000-0005-0000-0000-0000D53E0000}"/>
    <cellStyle name="Normal 32 2 2 2 5 2" xfId="26390" xr:uid="{00000000-0005-0000-0000-0000D63E0000}"/>
    <cellStyle name="Normal 32 2 2 2 6" xfId="17942" xr:uid="{00000000-0005-0000-0000-0000D73E0000}"/>
    <cellStyle name="Normal 32 2 2 3" xfId="1704" xr:uid="{00000000-0005-0000-0000-0000D83E0000}"/>
    <cellStyle name="Normal 32 2 2 3 2" xfId="3816" xr:uid="{00000000-0005-0000-0000-0000D93E0000}"/>
    <cellStyle name="Normal 32 2 2 3 2 2" xfId="8042" xr:uid="{00000000-0005-0000-0000-0000DA3E0000}"/>
    <cellStyle name="Normal 32 2 2 3 2 2 2" xfId="16490" xr:uid="{00000000-0005-0000-0000-0000DB3E0000}"/>
    <cellStyle name="Normal 32 2 2 3 2 2 2 2" xfId="33430" xr:uid="{00000000-0005-0000-0000-0000DC3E0000}"/>
    <cellStyle name="Normal 32 2 2 3 2 2 3" xfId="24982" xr:uid="{00000000-0005-0000-0000-0000DD3E0000}"/>
    <cellStyle name="Normal 32 2 2 3 2 3" xfId="12266" xr:uid="{00000000-0005-0000-0000-0000DE3E0000}"/>
    <cellStyle name="Normal 32 2 2 3 2 3 2" xfId="29206" xr:uid="{00000000-0005-0000-0000-0000DF3E0000}"/>
    <cellStyle name="Normal 32 2 2 3 2 4" xfId="20758" xr:uid="{00000000-0005-0000-0000-0000E03E0000}"/>
    <cellStyle name="Normal 32 2 2 3 3" xfId="5930" xr:uid="{00000000-0005-0000-0000-0000E13E0000}"/>
    <cellStyle name="Normal 32 2 2 3 3 2" xfId="14378" xr:uid="{00000000-0005-0000-0000-0000E23E0000}"/>
    <cellStyle name="Normal 32 2 2 3 3 2 2" xfId="31318" xr:uid="{00000000-0005-0000-0000-0000E33E0000}"/>
    <cellStyle name="Normal 32 2 2 3 3 3" xfId="22870" xr:uid="{00000000-0005-0000-0000-0000E43E0000}"/>
    <cellStyle name="Normal 32 2 2 3 4" xfId="10154" xr:uid="{00000000-0005-0000-0000-0000E53E0000}"/>
    <cellStyle name="Normal 32 2 2 3 4 2" xfId="27094" xr:uid="{00000000-0005-0000-0000-0000E63E0000}"/>
    <cellStyle name="Normal 32 2 2 3 5" xfId="18646" xr:uid="{00000000-0005-0000-0000-0000E73E0000}"/>
    <cellStyle name="Normal 32 2 2 4" xfId="2760" xr:uid="{00000000-0005-0000-0000-0000E83E0000}"/>
    <cellStyle name="Normal 32 2 2 4 2" xfId="6986" xr:uid="{00000000-0005-0000-0000-0000E93E0000}"/>
    <cellStyle name="Normal 32 2 2 4 2 2" xfId="15434" xr:uid="{00000000-0005-0000-0000-0000EA3E0000}"/>
    <cellStyle name="Normal 32 2 2 4 2 2 2" xfId="32374" xr:uid="{00000000-0005-0000-0000-0000EB3E0000}"/>
    <cellStyle name="Normal 32 2 2 4 2 3" xfId="23926" xr:uid="{00000000-0005-0000-0000-0000EC3E0000}"/>
    <cellStyle name="Normal 32 2 2 4 3" xfId="11210" xr:uid="{00000000-0005-0000-0000-0000ED3E0000}"/>
    <cellStyle name="Normal 32 2 2 4 3 2" xfId="28150" xr:uid="{00000000-0005-0000-0000-0000EE3E0000}"/>
    <cellStyle name="Normal 32 2 2 4 4" xfId="19702" xr:uid="{00000000-0005-0000-0000-0000EF3E0000}"/>
    <cellStyle name="Normal 32 2 2 5" xfId="4874" xr:uid="{00000000-0005-0000-0000-0000F03E0000}"/>
    <cellStyle name="Normal 32 2 2 5 2" xfId="13322" xr:uid="{00000000-0005-0000-0000-0000F13E0000}"/>
    <cellStyle name="Normal 32 2 2 5 2 2" xfId="30262" xr:uid="{00000000-0005-0000-0000-0000F23E0000}"/>
    <cellStyle name="Normal 32 2 2 5 3" xfId="21814" xr:uid="{00000000-0005-0000-0000-0000F33E0000}"/>
    <cellStyle name="Normal 32 2 2 6" xfId="9098" xr:uid="{00000000-0005-0000-0000-0000F43E0000}"/>
    <cellStyle name="Normal 32 2 2 6 2" xfId="26038" xr:uid="{00000000-0005-0000-0000-0000F53E0000}"/>
    <cellStyle name="Normal 32 2 2 7" xfId="17590" xr:uid="{00000000-0005-0000-0000-0000F63E0000}"/>
    <cellStyle name="Normal 32 2 3" xfId="818" xr:uid="{00000000-0005-0000-0000-0000F73E0000}"/>
    <cellStyle name="Normal 32 2 3 2" xfId="1880" xr:uid="{00000000-0005-0000-0000-0000F83E0000}"/>
    <cellStyle name="Normal 32 2 3 2 2" xfId="3992" xr:uid="{00000000-0005-0000-0000-0000F93E0000}"/>
    <cellStyle name="Normal 32 2 3 2 2 2" xfId="8218" xr:uid="{00000000-0005-0000-0000-0000FA3E0000}"/>
    <cellStyle name="Normal 32 2 3 2 2 2 2" xfId="16666" xr:uid="{00000000-0005-0000-0000-0000FB3E0000}"/>
    <cellStyle name="Normal 32 2 3 2 2 2 2 2" xfId="33606" xr:uid="{00000000-0005-0000-0000-0000FC3E0000}"/>
    <cellStyle name="Normal 32 2 3 2 2 2 3" xfId="25158" xr:uid="{00000000-0005-0000-0000-0000FD3E0000}"/>
    <cellStyle name="Normal 32 2 3 2 2 3" xfId="12442" xr:uid="{00000000-0005-0000-0000-0000FE3E0000}"/>
    <cellStyle name="Normal 32 2 3 2 2 3 2" xfId="29382" xr:uid="{00000000-0005-0000-0000-0000FF3E0000}"/>
    <cellStyle name="Normal 32 2 3 2 2 4" xfId="20934" xr:uid="{00000000-0005-0000-0000-0000003F0000}"/>
    <cellStyle name="Normal 32 2 3 2 3" xfId="6106" xr:uid="{00000000-0005-0000-0000-0000013F0000}"/>
    <cellStyle name="Normal 32 2 3 2 3 2" xfId="14554" xr:uid="{00000000-0005-0000-0000-0000023F0000}"/>
    <cellStyle name="Normal 32 2 3 2 3 2 2" xfId="31494" xr:uid="{00000000-0005-0000-0000-0000033F0000}"/>
    <cellStyle name="Normal 32 2 3 2 3 3" xfId="23046" xr:uid="{00000000-0005-0000-0000-0000043F0000}"/>
    <cellStyle name="Normal 32 2 3 2 4" xfId="10330" xr:uid="{00000000-0005-0000-0000-0000053F0000}"/>
    <cellStyle name="Normal 32 2 3 2 4 2" xfId="27270" xr:uid="{00000000-0005-0000-0000-0000063F0000}"/>
    <cellStyle name="Normal 32 2 3 2 5" xfId="18822" xr:uid="{00000000-0005-0000-0000-0000073F0000}"/>
    <cellStyle name="Normal 32 2 3 3" xfId="2936" xr:uid="{00000000-0005-0000-0000-0000083F0000}"/>
    <cellStyle name="Normal 32 2 3 3 2" xfId="7162" xr:uid="{00000000-0005-0000-0000-0000093F0000}"/>
    <cellStyle name="Normal 32 2 3 3 2 2" xfId="15610" xr:uid="{00000000-0005-0000-0000-00000A3F0000}"/>
    <cellStyle name="Normal 32 2 3 3 2 2 2" xfId="32550" xr:uid="{00000000-0005-0000-0000-00000B3F0000}"/>
    <cellStyle name="Normal 32 2 3 3 2 3" xfId="24102" xr:uid="{00000000-0005-0000-0000-00000C3F0000}"/>
    <cellStyle name="Normal 32 2 3 3 3" xfId="11386" xr:uid="{00000000-0005-0000-0000-00000D3F0000}"/>
    <cellStyle name="Normal 32 2 3 3 3 2" xfId="28326" xr:uid="{00000000-0005-0000-0000-00000E3F0000}"/>
    <cellStyle name="Normal 32 2 3 3 4" xfId="19878" xr:uid="{00000000-0005-0000-0000-00000F3F0000}"/>
    <cellStyle name="Normal 32 2 3 4" xfId="5050" xr:uid="{00000000-0005-0000-0000-0000103F0000}"/>
    <cellStyle name="Normal 32 2 3 4 2" xfId="13498" xr:uid="{00000000-0005-0000-0000-0000113F0000}"/>
    <cellStyle name="Normal 32 2 3 4 2 2" xfId="30438" xr:uid="{00000000-0005-0000-0000-0000123F0000}"/>
    <cellStyle name="Normal 32 2 3 4 3" xfId="21990" xr:uid="{00000000-0005-0000-0000-0000133F0000}"/>
    <cellStyle name="Normal 32 2 3 5" xfId="9274" xr:uid="{00000000-0005-0000-0000-0000143F0000}"/>
    <cellStyle name="Normal 32 2 3 5 2" xfId="26214" xr:uid="{00000000-0005-0000-0000-0000153F0000}"/>
    <cellStyle name="Normal 32 2 3 6" xfId="17766" xr:uid="{00000000-0005-0000-0000-0000163F0000}"/>
    <cellStyle name="Normal 32 2 4" xfId="1170" xr:uid="{00000000-0005-0000-0000-0000173F0000}"/>
    <cellStyle name="Normal 32 2 4 2" xfId="2232" xr:uid="{00000000-0005-0000-0000-0000183F0000}"/>
    <cellStyle name="Normal 32 2 4 2 2" xfId="4344" xr:uid="{00000000-0005-0000-0000-0000193F0000}"/>
    <cellStyle name="Normal 32 2 4 2 2 2" xfId="8570" xr:uid="{00000000-0005-0000-0000-00001A3F0000}"/>
    <cellStyle name="Normal 32 2 4 2 2 2 2" xfId="17018" xr:uid="{00000000-0005-0000-0000-00001B3F0000}"/>
    <cellStyle name="Normal 32 2 4 2 2 2 2 2" xfId="33958" xr:uid="{00000000-0005-0000-0000-00001C3F0000}"/>
    <cellStyle name="Normal 32 2 4 2 2 2 3" xfId="25510" xr:uid="{00000000-0005-0000-0000-00001D3F0000}"/>
    <cellStyle name="Normal 32 2 4 2 2 3" xfId="12794" xr:uid="{00000000-0005-0000-0000-00001E3F0000}"/>
    <cellStyle name="Normal 32 2 4 2 2 3 2" xfId="29734" xr:uid="{00000000-0005-0000-0000-00001F3F0000}"/>
    <cellStyle name="Normal 32 2 4 2 2 4" xfId="21286" xr:uid="{00000000-0005-0000-0000-0000203F0000}"/>
    <cellStyle name="Normal 32 2 4 2 3" xfId="6458" xr:uid="{00000000-0005-0000-0000-0000213F0000}"/>
    <cellStyle name="Normal 32 2 4 2 3 2" xfId="14906" xr:uid="{00000000-0005-0000-0000-0000223F0000}"/>
    <cellStyle name="Normal 32 2 4 2 3 2 2" xfId="31846" xr:uid="{00000000-0005-0000-0000-0000233F0000}"/>
    <cellStyle name="Normal 32 2 4 2 3 3" xfId="23398" xr:uid="{00000000-0005-0000-0000-0000243F0000}"/>
    <cellStyle name="Normal 32 2 4 2 4" xfId="10682" xr:uid="{00000000-0005-0000-0000-0000253F0000}"/>
    <cellStyle name="Normal 32 2 4 2 4 2" xfId="27622" xr:uid="{00000000-0005-0000-0000-0000263F0000}"/>
    <cellStyle name="Normal 32 2 4 2 5" xfId="19174" xr:uid="{00000000-0005-0000-0000-0000273F0000}"/>
    <cellStyle name="Normal 32 2 4 3" xfId="3288" xr:uid="{00000000-0005-0000-0000-0000283F0000}"/>
    <cellStyle name="Normal 32 2 4 3 2" xfId="7514" xr:uid="{00000000-0005-0000-0000-0000293F0000}"/>
    <cellStyle name="Normal 32 2 4 3 2 2" xfId="15962" xr:uid="{00000000-0005-0000-0000-00002A3F0000}"/>
    <cellStyle name="Normal 32 2 4 3 2 2 2" xfId="32902" xr:uid="{00000000-0005-0000-0000-00002B3F0000}"/>
    <cellStyle name="Normal 32 2 4 3 2 3" xfId="24454" xr:uid="{00000000-0005-0000-0000-00002C3F0000}"/>
    <cellStyle name="Normal 32 2 4 3 3" xfId="11738" xr:uid="{00000000-0005-0000-0000-00002D3F0000}"/>
    <cellStyle name="Normal 32 2 4 3 3 2" xfId="28678" xr:uid="{00000000-0005-0000-0000-00002E3F0000}"/>
    <cellStyle name="Normal 32 2 4 3 4" xfId="20230" xr:uid="{00000000-0005-0000-0000-00002F3F0000}"/>
    <cellStyle name="Normal 32 2 4 4" xfId="5402" xr:uid="{00000000-0005-0000-0000-0000303F0000}"/>
    <cellStyle name="Normal 32 2 4 4 2" xfId="13850" xr:uid="{00000000-0005-0000-0000-0000313F0000}"/>
    <cellStyle name="Normal 32 2 4 4 2 2" xfId="30790" xr:uid="{00000000-0005-0000-0000-0000323F0000}"/>
    <cellStyle name="Normal 32 2 4 4 3" xfId="22342" xr:uid="{00000000-0005-0000-0000-0000333F0000}"/>
    <cellStyle name="Normal 32 2 4 5" xfId="9626" xr:uid="{00000000-0005-0000-0000-0000343F0000}"/>
    <cellStyle name="Normal 32 2 4 5 2" xfId="26566" xr:uid="{00000000-0005-0000-0000-0000353F0000}"/>
    <cellStyle name="Normal 32 2 4 6" xfId="18118" xr:uid="{00000000-0005-0000-0000-0000363F0000}"/>
    <cellStyle name="Normal 32 2 5" xfId="1352" xr:uid="{00000000-0005-0000-0000-0000373F0000}"/>
    <cellStyle name="Normal 32 2 5 2" xfId="2408" xr:uid="{00000000-0005-0000-0000-0000383F0000}"/>
    <cellStyle name="Normal 32 2 5 2 2" xfId="4520" xr:uid="{00000000-0005-0000-0000-0000393F0000}"/>
    <cellStyle name="Normal 32 2 5 2 2 2" xfId="8746" xr:uid="{00000000-0005-0000-0000-00003A3F0000}"/>
    <cellStyle name="Normal 32 2 5 2 2 2 2" xfId="17194" xr:uid="{00000000-0005-0000-0000-00003B3F0000}"/>
    <cellStyle name="Normal 32 2 5 2 2 2 2 2" xfId="34134" xr:uid="{00000000-0005-0000-0000-00003C3F0000}"/>
    <cellStyle name="Normal 32 2 5 2 2 2 3" xfId="25686" xr:uid="{00000000-0005-0000-0000-00003D3F0000}"/>
    <cellStyle name="Normal 32 2 5 2 2 3" xfId="12970" xr:uid="{00000000-0005-0000-0000-00003E3F0000}"/>
    <cellStyle name="Normal 32 2 5 2 2 3 2" xfId="29910" xr:uid="{00000000-0005-0000-0000-00003F3F0000}"/>
    <cellStyle name="Normal 32 2 5 2 2 4" xfId="21462" xr:uid="{00000000-0005-0000-0000-0000403F0000}"/>
    <cellStyle name="Normal 32 2 5 2 3" xfId="6634" xr:uid="{00000000-0005-0000-0000-0000413F0000}"/>
    <cellStyle name="Normal 32 2 5 2 3 2" xfId="15082" xr:uid="{00000000-0005-0000-0000-0000423F0000}"/>
    <cellStyle name="Normal 32 2 5 2 3 2 2" xfId="32022" xr:uid="{00000000-0005-0000-0000-0000433F0000}"/>
    <cellStyle name="Normal 32 2 5 2 3 3" xfId="23574" xr:uid="{00000000-0005-0000-0000-0000443F0000}"/>
    <cellStyle name="Normal 32 2 5 2 4" xfId="10858" xr:uid="{00000000-0005-0000-0000-0000453F0000}"/>
    <cellStyle name="Normal 32 2 5 2 4 2" xfId="27798" xr:uid="{00000000-0005-0000-0000-0000463F0000}"/>
    <cellStyle name="Normal 32 2 5 2 5" xfId="19350" xr:uid="{00000000-0005-0000-0000-0000473F0000}"/>
    <cellStyle name="Normal 32 2 5 3" xfId="3464" xr:uid="{00000000-0005-0000-0000-0000483F0000}"/>
    <cellStyle name="Normal 32 2 5 3 2" xfId="7690" xr:uid="{00000000-0005-0000-0000-0000493F0000}"/>
    <cellStyle name="Normal 32 2 5 3 2 2" xfId="16138" xr:uid="{00000000-0005-0000-0000-00004A3F0000}"/>
    <cellStyle name="Normal 32 2 5 3 2 2 2" xfId="33078" xr:uid="{00000000-0005-0000-0000-00004B3F0000}"/>
    <cellStyle name="Normal 32 2 5 3 2 3" xfId="24630" xr:uid="{00000000-0005-0000-0000-00004C3F0000}"/>
    <cellStyle name="Normal 32 2 5 3 3" xfId="11914" xr:uid="{00000000-0005-0000-0000-00004D3F0000}"/>
    <cellStyle name="Normal 32 2 5 3 3 2" xfId="28854" xr:uid="{00000000-0005-0000-0000-00004E3F0000}"/>
    <cellStyle name="Normal 32 2 5 3 4" xfId="20406" xr:uid="{00000000-0005-0000-0000-00004F3F0000}"/>
    <cellStyle name="Normal 32 2 5 4" xfId="5578" xr:uid="{00000000-0005-0000-0000-0000503F0000}"/>
    <cellStyle name="Normal 32 2 5 4 2" xfId="14026" xr:uid="{00000000-0005-0000-0000-0000513F0000}"/>
    <cellStyle name="Normal 32 2 5 4 2 2" xfId="30966" xr:uid="{00000000-0005-0000-0000-0000523F0000}"/>
    <cellStyle name="Normal 32 2 5 4 3" xfId="22518" xr:uid="{00000000-0005-0000-0000-0000533F0000}"/>
    <cellStyle name="Normal 32 2 5 5" xfId="9802" xr:uid="{00000000-0005-0000-0000-0000543F0000}"/>
    <cellStyle name="Normal 32 2 5 5 2" xfId="26742" xr:uid="{00000000-0005-0000-0000-0000553F0000}"/>
    <cellStyle name="Normal 32 2 5 6" xfId="18294" xr:uid="{00000000-0005-0000-0000-0000563F0000}"/>
    <cellStyle name="Normal 32 2 6" xfId="1528" xr:uid="{00000000-0005-0000-0000-0000573F0000}"/>
    <cellStyle name="Normal 32 2 6 2" xfId="3640" xr:uid="{00000000-0005-0000-0000-0000583F0000}"/>
    <cellStyle name="Normal 32 2 6 2 2" xfId="7866" xr:uid="{00000000-0005-0000-0000-0000593F0000}"/>
    <cellStyle name="Normal 32 2 6 2 2 2" xfId="16314" xr:uid="{00000000-0005-0000-0000-00005A3F0000}"/>
    <cellStyle name="Normal 32 2 6 2 2 2 2" xfId="33254" xr:uid="{00000000-0005-0000-0000-00005B3F0000}"/>
    <cellStyle name="Normal 32 2 6 2 2 3" xfId="24806" xr:uid="{00000000-0005-0000-0000-00005C3F0000}"/>
    <cellStyle name="Normal 32 2 6 2 3" xfId="12090" xr:uid="{00000000-0005-0000-0000-00005D3F0000}"/>
    <cellStyle name="Normal 32 2 6 2 3 2" xfId="29030" xr:uid="{00000000-0005-0000-0000-00005E3F0000}"/>
    <cellStyle name="Normal 32 2 6 2 4" xfId="20582" xr:uid="{00000000-0005-0000-0000-00005F3F0000}"/>
    <cellStyle name="Normal 32 2 6 3" xfId="5754" xr:uid="{00000000-0005-0000-0000-0000603F0000}"/>
    <cellStyle name="Normal 32 2 6 3 2" xfId="14202" xr:uid="{00000000-0005-0000-0000-0000613F0000}"/>
    <cellStyle name="Normal 32 2 6 3 2 2" xfId="31142" xr:uid="{00000000-0005-0000-0000-0000623F0000}"/>
    <cellStyle name="Normal 32 2 6 3 3" xfId="22694" xr:uid="{00000000-0005-0000-0000-0000633F0000}"/>
    <cellStyle name="Normal 32 2 6 4" xfId="9978" xr:uid="{00000000-0005-0000-0000-0000643F0000}"/>
    <cellStyle name="Normal 32 2 6 4 2" xfId="26918" xr:uid="{00000000-0005-0000-0000-0000653F0000}"/>
    <cellStyle name="Normal 32 2 6 5" xfId="18470" xr:uid="{00000000-0005-0000-0000-0000663F0000}"/>
    <cellStyle name="Normal 32 2 7" xfId="2584" xr:uid="{00000000-0005-0000-0000-0000673F0000}"/>
    <cellStyle name="Normal 32 2 7 2" xfId="6810" xr:uid="{00000000-0005-0000-0000-0000683F0000}"/>
    <cellStyle name="Normal 32 2 7 2 2" xfId="15258" xr:uid="{00000000-0005-0000-0000-0000693F0000}"/>
    <cellStyle name="Normal 32 2 7 2 2 2" xfId="32198" xr:uid="{00000000-0005-0000-0000-00006A3F0000}"/>
    <cellStyle name="Normal 32 2 7 2 3" xfId="23750" xr:uid="{00000000-0005-0000-0000-00006B3F0000}"/>
    <cellStyle name="Normal 32 2 7 3" xfId="11034" xr:uid="{00000000-0005-0000-0000-00006C3F0000}"/>
    <cellStyle name="Normal 32 2 7 3 2" xfId="27974" xr:uid="{00000000-0005-0000-0000-00006D3F0000}"/>
    <cellStyle name="Normal 32 2 7 4" xfId="19526" xr:uid="{00000000-0005-0000-0000-00006E3F0000}"/>
    <cellStyle name="Normal 32 2 8" xfId="4697" xr:uid="{00000000-0005-0000-0000-00006F3F0000}"/>
    <cellStyle name="Normal 32 2 8 2" xfId="13146" xr:uid="{00000000-0005-0000-0000-0000703F0000}"/>
    <cellStyle name="Normal 32 2 8 2 2" xfId="30086" xr:uid="{00000000-0005-0000-0000-0000713F0000}"/>
    <cellStyle name="Normal 32 2 8 3" xfId="21638" xr:uid="{00000000-0005-0000-0000-0000723F0000}"/>
    <cellStyle name="Normal 32 2 9" xfId="8922" xr:uid="{00000000-0005-0000-0000-0000733F0000}"/>
    <cellStyle name="Normal 32 2 9 2" xfId="25862" xr:uid="{00000000-0005-0000-0000-0000743F0000}"/>
    <cellStyle name="Normal 32 3" xfId="336" xr:uid="{00000000-0005-0000-0000-0000753F0000}"/>
    <cellStyle name="Normal 32 3 10" xfId="17415" xr:uid="{00000000-0005-0000-0000-0000763F0000}"/>
    <cellStyle name="Normal 32 3 2" xfId="643" xr:uid="{00000000-0005-0000-0000-0000773F0000}"/>
    <cellStyle name="Normal 32 3 2 2" xfId="995" xr:uid="{00000000-0005-0000-0000-0000783F0000}"/>
    <cellStyle name="Normal 32 3 2 2 2" xfId="2057" xr:uid="{00000000-0005-0000-0000-0000793F0000}"/>
    <cellStyle name="Normal 32 3 2 2 2 2" xfId="4169" xr:uid="{00000000-0005-0000-0000-00007A3F0000}"/>
    <cellStyle name="Normal 32 3 2 2 2 2 2" xfId="8395" xr:uid="{00000000-0005-0000-0000-00007B3F0000}"/>
    <cellStyle name="Normal 32 3 2 2 2 2 2 2" xfId="16843" xr:uid="{00000000-0005-0000-0000-00007C3F0000}"/>
    <cellStyle name="Normal 32 3 2 2 2 2 2 2 2" xfId="33783" xr:uid="{00000000-0005-0000-0000-00007D3F0000}"/>
    <cellStyle name="Normal 32 3 2 2 2 2 2 3" xfId="25335" xr:uid="{00000000-0005-0000-0000-00007E3F0000}"/>
    <cellStyle name="Normal 32 3 2 2 2 2 3" xfId="12619" xr:uid="{00000000-0005-0000-0000-00007F3F0000}"/>
    <cellStyle name="Normal 32 3 2 2 2 2 3 2" xfId="29559" xr:uid="{00000000-0005-0000-0000-0000803F0000}"/>
    <cellStyle name="Normal 32 3 2 2 2 2 4" xfId="21111" xr:uid="{00000000-0005-0000-0000-0000813F0000}"/>
    <cellStyle name="Normal 32 3 2 2 2 3" xfId="6283" xr:uid="{00000000-0005-0000-0000-0000823F0000}"/>
    <cellStyle name="Normal 32 3 2 2 2 3 2" xfId="14731" xr:uid="{00000000-0005-0000-0000-0000833F0000}"/>
    <cellStyle name="Normal 32 3 2 2 2 3 2 2" xfId="31671" xr:uid="{00000000-0005-0000-0000-0000843F0000}"/>
    <cellStyle name="Normal 32 3 2 2 2 3 3" xfId="23223" xr:uid="{00000000-0005-0000-0000-0000853F0000}"/>
    <cellStyle name="Normal 32 3 2 2 2 4" xfId="10507" xr:uid="{00000000-0005-0000-0000-0000863F0000}"/>
    <cellStyle name="Normal 32 3 2 2 2 4 2" xfId="27447" xr:uid="{00000000-0005-0000-0000-0000873F0000}"/>
    <cellStyle name="Normal 32 3 2 2 2 5" xfId="18999" xr:uid="{00000000-0005-0000-0000-0000883F0000}"/>
    <cellStyle name="Normal 32 3 2 2 3" xfId="3113" xr:uid="{00000000-0005-0000-0000-0000893F0000}"/>
    <cellStyle name="Normal 32 3 2 2 3 2" xfId="7339" xr:uid="{00000000-0005-0000-0000-00008A3F0000}"/>
    <cellStyle name="Normal 32 3 2 2 3 2 2" xfId="15787" xr:uid="{00000000-0005-0000-0000-00008B3F0000}"/>
    <cellStyle name="Normal 32 3 2 2 3 2 2 2" xfId="32727" xr:uid="{00000000-0005-0000-0000-00008C3F0000}"/>
    <cellStyle name="Normal 32 3 2 2 3 2 3" xfId="24279" xr:uid="{00000000-0005-0000-0000-00008D3F0000}"/>
    <cellStyle name="Normal 32 3 2 2 3 3" xfId="11563" xr:uid="{00000000-0005-0000-0000-00008E3F0000}"/>
    <cellStyle name="Normal 32 3 2 2 3 3 2" xfId="28503" xr:uid="{00000000-0005-0000-0000-00008F3F0000}"/>
    <cellStyle name="Normal 32 3 2 2 3 4" xfId="20055" xr:uid="{00000000-0005-0000-0000-0000903F0000}"/>
    <cellStyle name="Normal 32 3 2 2 4" xfId="5227" xr:uid="{00000000-0005-0000-0000-0000913F0000}"/>
    <cellStyle name="Normal 32 3 2 2 4 2" xfId="13675" xr:uid="{00000000-0005-0000-0000-0000923F0000}"/>
    <cellStyle name="Normal 32 3 2 2 4 2 2" xfId="30615" xr:uid="{00000000-0005-0000-0000-0000933F0000}"/>
    <cellStyle name="Normal 32 3 2 2 4 3" xfId="22167" xr:uid="{00000000-0005-0000-0000-0000943F0000}"/>
    <cellStyle name="Normal 32 3 2 2 5" xfId="9451" xr:uid="{00000000-0005-0000-0000-0000953F0000}"/>
    <cellStyle name="Normal 32 3 2 2 5 2" xfId="26391" xr:uid="{00000000-0005-0000-0000-0000963F0000}"/>
    <cellStyle name="Normal 32 3 2 2 6" xfId="17943" xr:uid="{00000000-0005-0000-0000-0000973F0000}"/>
    <cellStyle name="Normal 32 3 2 3" xfId="1705" xr:uid="{00000000-0005-0000-0000-0000983F0000}"/>
    <cellStyle name="Normal 32 3 2 3 2" xfId="3817" xr:uid="{00000000-0005-0000-0000-0000993F0000}"/>
    <cellStyle name="Normal 32 3 2 3 2 2" xfId="8043" xr:uid="{00000000-0005-0000-0000-00009A3F0000}"/>
    <cellStyle name="Normal 32 3 2 3 2 2 2" xfId="16491" xr:uid="{00000000-0005-0000-0000-00009B3F0000}"/>
    <cellStyle name="Normal 32 3 2 3 2 2 2 2" xfId="33431" xr:uid="{00000000-0005-0000-0000-00009C3F0000}"/>
    <cellStyle name="Normal 32 3 2 3 2 2 3" xfId="24983" xr:uid="{00000000-0005-0000-0000-00009D3F0000}"/>
    <cellStyle name="Normal 32 3 2 3 2 3" xfId="12267" xr:uid="{00000000-0005-0000-0000-00009E3F0000}"/>
    <cellStyle name="Normal 32 3 2 3 2 3 2" xfId="29207" xr:uid="{00000000-0005-0000-0000-00009F3F0000}"/>
    <cellStyle name="Normal 32 3 2 3 2 4" xfId="20759" xr:uid="{00000000-0005-0000-0000-0000A03F0000}"/>
    <cellStyle name="Normal 32 3 2 3 3" xfId="5931" xr:uid="{00000000-0005-0000-0000-0000A13F0000}"/>
    <cellStyle name="Normal 32 3 2 3 3 2" xfId="14379" xr:uid="{00000000-0005-0000-0000-0000A23F0000}"/>
    <cellStyle name="Normal 32 3 2 3 3 2 2" xfId="31319" xr:uid="{00000000-0005-0000-0000-0000A33F0000}"/>
    <cellStyle name="Normal 32 3 2 3 3 3" xfId="22871" xr:uid="{00000000-0005-0000-0000-0000A43F0000}"/>
    <cellStyle name="Normal 32 3 2 3 4" xfId="10155" xr:uid="{00000000-0005-0000-0000-0000A53F0000}"/>
    <cellStyle name="Normal 32 3 2 3 4 2" xfId="27095" xr:uid="{00000000-0005-0000-0000-0000A63F0000}"/>
    <cellStyle name="Normal 32 3 2 3 5" xfId="18647" xr:uid="{00000000-0005-0000-0000-0000A73F0000}"/>
    <cellStyle name="Normal 32 3 2 4" xfId="2761" xr:uid="{00000000-0005-0000-0000-0000A83F0000}"/>
    <cellStyle name="Normal 32 3 2 4 2" xfId="6987" xr:uid="{00000000-0005-0000-0000-0000A93F0000}"/>
    <cellStyle name="Normal 32 3 2 4 2 2" xfId="15435" xr:uid="{00000000-0005-0000-0000-0000AA3F0000}"/>
    <cellStyle name="Normal 32 3 2 4 2 2 2" xfId="32375" xr:uid="{00000000-0005-0000-0000-0000AB3F0000}"/>
    <cellStyle name="Normal 32 3 2 4 2 3" xfId="23927" xr:uid="{00000000-0005-0000-0000-0000AC3F0000}"/>
    <cellStyle name="Normal 32 3 2 4 3" xfId="11211" xr:uid="{00000000-0005-0000-0000-0000AD3F0000}"/>
    <cellStyle name="Normal 32 3 2 4 3 2" xfId="28151" xr:uid="{00000000-0005-0000-0000-0000AE3F0000}"/>
    <cellStyle name="Normal 32 3 2 4 4" xfId="19703" xr:uid="{00000000-0005-0000-0000-0000AF3F0000}"/>
    <cellStyle name="Normal 32 3 2 5" xfId="4875" xr:uid="{00000000-0005-0000-0000-0000B03F0000}"/>
    <cellStyle name="Normal 32 3 2 5 2" xfId="13323" xr:uid="{00000000-0005-0000-0000-0000B13F0000}"/>
    <cellStyle name="Normal 32 3 2 5 2 2" xfId="30263" xr:uid="{00000000-0005-0000-0000-0000B23F0000}"/>
    <cellStyle name="Normal 32 3 2 5 3" xfId="21815" xr:uid="{00000000-0005-0000-0000-0000B33F0000}"/>
    <cellStyle name="Normal 32 3 2 6" xfId="9099" xr:uid="{00000000-0005-0000-0000-0000B43F0000}"/>
    <cellStyle name="Normal 32 3 2 6 2" xfId="26039" xr:uid="{00000000-0005-0000-0000-0000B53F0000}"/>
    <cellStyle name="Normal 32 3 2 7" xfId="17591" xr:uid="{00000000-0005-0000-0000-0000B63F0000}"/>
    <cellStyle name="Normal 32 3 3" xfId="819" xr:uid="{00000000-0005-0000-0000-0000B73F0000}"/>
    <cellStyle name="Normal 32 3 3 2" xfId="1881" xr:uid="{00000000-0005-0000-0000-0000B83F0000}"/>
    <cellStyle name="Normal 32 3 3 2 2" xfId="3993" xr:uid="{00000000-0005-0000-0000-0000B93F0000}"/>
    <cellStyle name="Normal 32 3 3 2 2 2" xfId="8219" xr:uid="{00000000-0005-0000-0000-0000BA3F0000}"/>
    <cellStyle name="Normal 32 3 3 2 2 2 2" xfId="16667" xr:uid="{00000000-0005-0000-0000-0000BB3F0000}"/>
    <cellStyle name="Normal 32 3 3 2 2 2 2 2" xfId="33607" xr:uid="{00000000-0005-0000-0000-0000BC3F0000}"/>
    <cellStyle name="Normal 32 3 3 2 2 2 3" xfId="25159" xr:uid="{00000000-0005-0000-0000-0000BD3F0000}"/>
    <cellStyle name="Normal 32 3 3 2 2 3" xfId="12443" xr:uid="{00000000-0005-0000-0000-0000BE3F0000}"/>
    <cellStyle name="Normal 32 3 3 2 2 3 2" xfId="29383" xr:uid="{00000000-0005-0000-0000-0000BF3F0000}"/>
    <cellStyle name="Normal 32 3 3 2 2 4" xfId="20935" xr:uid="{00000000-0005-0000-0000-0000C03F0000}"/>
    <cellStyle name="Normal 32 3 3 2 3" xfId="6107" xr:uid="{00000000-0005-0000-0000-0000C13F0000}"/>
    <cellStyle name="Normal 32 3 3 2 3 2" xfId="14555" xr:uid="{00000000-0005-0000-0000-0000C23F0000}"/>
    <cellStyle name="Normal 32 3 3 2 3 2 2" xfId="31495" xr:uid="{00000000-0005-0000-0000-0000C33F0000}"/>
    <cellStyle name="Normal 32 3 3 2 3 3" xfId="23047" xr:uid="{00000000-0005-0000-0000-0000C43F0000}"/>
    <cellStyle name="Normal 32 3 3 2 4" xfId="10331" xr:uid="{00000000-0005-0000-0000-0000C53F0000}"/>
    <cellStyle name="Normal 32 3 3 2 4 2" xfId="27271" xr:uid="{00000000-0005-0000-0000-0000C63F0000}"/>
    <cellStyle name="Normal 32 3 3 2 5" xfId="18823" xr:uid="{00000000-0005-0000-0000-0000C73F0000}"/>
    <cellStyle name="Normal 32 3 3 3" xfId="2937" xr:uid="{00000000-0005-0000-0000-0000C83F0000}"/>
    <cellStyle name="Normal 32 3 3 3 2" xfId="7163" xr:uid="{00000000-0005-0000-0000-0000C93F0000}"/>
    <cellStyle name="Normal 32 3 3 3 2 2" xfId="15611" xr:uid="{00000000-0005-0000-0000-0000CA3F0000}"/>
    <cellStyle name="Normal 32 3 3 3 2 2 2" xfId="32551" xr:uid="{00000000-0005-0000-0000-0000CB3F0000}"/>
    <cellStyle name="Normal 32 3 3 3 2 3" xfId="24103" xr:uid="{00000000-0005-0000-0000-0000CC3F0000}"/>
    <cellStyle name="Normal 32 3 3 3 3" xfId="11387" xr:uid="{00000000-0005-0000-0000-0000CD3F0000}"/>
    <cellStyle name="Normal 32 3 3 3 3 2" xfId="28327" xr:uid="{00000000-0005-0000-0000-0000CE3F0000}"/>
    <cellStyle name="Normal 32 3 3 3 4" xfId="19879" xr:uid="{00000000-0005-0000-0000-0000CF3F0000}"/>
    <cellStyle name="Normal 32 3 3 4" xfId="5051" xr:uid="{00000000-0005-0000-0000-0000D03F0000}"/>
    <cellStyle name="Normal 32 3 3 4 2" xfId="13499" xr:uid="{00000000-0005-0000-0000-0000D13F0000}"/>
    <cellStyle name="Normal 32 3 3 4 2 2" xfId="30439" xr:uid="{00000000-0005-0000-0000-0000D23F0000}"/>
    <cellStyle name="Normal 32 3 3 4 3" xfId="21991" xr:uid="{00000000-0005-0000-0000-0000D33F0000}"/>
    <cellStyle name="Normal 32 3 3 5" xfId="9275" xr:uid="{00000000-0005-0000-0000-0000D43F0000}"/>
    <cellStyle name="Normal 32 3 3 5 2" xfId="26215" xr:uid="{00000000-0005-0000-0000-0000D53F0000}"/>
    <cellStyle name="Normal 32 3 3 6" xfId="17767" xr:uid="{00000000-0005-0000-0000-0000D63F0000}"/>
    <cellStyle name="Normal 32 3 4" xfId="1171" xr:uid="{00000000-0005-0000-0000-0000D73F0000}"/>
    <cellStyle name="Normal 32 3 4 2" xfId="2233" xr:uid="{00000000-0005-0000-0000-0000D83F0000}"/>
    <cellStyle name="Normal 32 3 4 2 2" xfId="4345" xr:uid="{00000000-0005-0000-0000-0000D93F0000}"/>
    <cellStyle name="Normal 32 3 4 2 2 2" xfId="8571" xr:uid="{00000000-0005-0000-0000-0000DA3F0000}"/>
    <cellStyle name="Normal 32 3 4 2 2 2 2" xfId="17019" xr:uid="{00000000-0005-0000-0000-0000DB3F0000}"/>
    <cellStyle name="Normal 32 3 4 2 2 2 2 2" xfId="33959" xr:uid="{00000000-0005-0000-0000-0000DC3F0000}"/>
    <cellStyle name="Normal 32 3 4 2 2 2 3" xfId="25511" xr:uid="{00000000-0005-0000-0000-0000DD3F0000}"/>
    <cellStyle name="Normal 32 3 4 2 2 3" xfId="12795" xr:uid="{00000000-0005-0000-0000-0000DE3F0000}"/>
    <cellStyle name="Normal 32 3 4 2 2 3 2" xfId="29735" xr:uid="{00000000-0005-0000-0000-0000DF3F0000}"/>
    <cellStyle name="Normal 32 3 4 2 2 4" xfId="21287" xr:uid="{00000000-0005-0000-0000-0000E03F0000}"/>
    <cellStyle name="Normal 32 3 4 2 3" xfId="6459" xr:uid="{00000000-0005-0000-0000-0000E13F0000}"/>
    <cellStyle name="Normal 32 3 4 2 3 2" xfId="14907" xr:uid="{00000000-0005-0000-0000-0000E23F0000}"/>
    <cellStyle name="Normal 32 3 4 2 3 2 2" xfId="31847" xr:uid="{00000000-0005-0000-0000-0000E33F0000}"/>
    <cellStyle name="Normal 32 3 4 2 3 3" xfId="23399" xr:uid="{00000000-0005-0000-0000-0000E43F0000}"/>
    <cellStyle name="Normal 32 3 4 2 4" xfId="10683" xr:uid="{00000000-0005-0000-0000-0000E53F0000}"/>
    <cellStyle name="Normal 32 3 4 2 4 2" xfId="27623" xr:uid="{00000000-0005-0000-0000-0000E63F0000}"/>
    <cellStyle name="Normal 32 3 4 2 5" xfId="19175" xr:uid="{00000000-0005-0000-0000-0000E73F0000}"/>
    <cellStyle name="Normal 32 3 4 3" xfId="3289" xr:uid="{00000000-0005-0000-0000-0000E83F0000}"/>
    <cellStyle name="Normal 32 3 4 3 2" xfId="7515" xr:uid="{00000000-0005-0000-0000-0000E93F0000}"/>
    <cellStyle name="Normal 32 3 4 3 2 2" xfId="15963" xr:uid="{00000000-0005-0000-0000-0000EA3F0000}"/>
    <cellStyle name="Normal 32 3 4 3 2 2 2" xfId="32903" xr:uid="{00000000-0005-0000-0000-0000EB3F0000}"/>
    <cellStyle name="Normal 32 3 4 3 2 3" xfId="24455" xr:uid="{00000000-0005-0000-0000-0000EC3F0000}"/>
    <cellStyle name="Normal 32 3 4 3 3" xfId="11739" xr:uid="{00000000-0005-0000-0000-0000ED3F0000}"/>
    <cellStyle name="Normal 32 3 4 3 3 2" xfId="28679" xr:uid="{00000000-0005-0000-0000-0000EE3F0000}"/>
    <cellStyle name="Normal 32 3 4 3 4" xfId="20231" xr:uid="{00000000-0005-0000-0000-0000EF3F0000}"/>
    <cellStyle name="Normal 32 3 4 4" xfId="5403" xr:uid="{00000000-0005-0000-0000-0000F03F0000}"/>
    <cellStyle name="Normal 32 3 4 4 2" xfId="13851" xr:uid="{00000000-0005-0000-0000-0000F13F0000}"/>
    <cellStyle name="Normal 32 3 4 4 2 2" xfId="30791" xr:uid="{00000000-0005-0000-0000-0000F23F0000}"/>
    <cellStyle name="Normal 32 3 4 4 3" xfId="22343" xr:uid="{00000000-0005-0000-0000-0000F33F0000}"/>
    <cellStyle name="Normal 32 3 4 5" xfId="9627" xr:uid="{00000000-0005-0000-0000-0000F43F0000}"/>
    <cellStyle name="Normal 32 3 4 5 2" xfId="26567" xr:uid="{00000000-0005-0000-0000-0000F53F0000}"/>
    <cellStyle name="Normal 32 3 4 6" xfId="18119" xr:uid="{00000000-0005-0000-0000-0000F63F0000}"/>
    <cellStyle name="Normal 32 3 5" xfId="1353" xr:uid="{00000000-0005-0000-0000-0000F73F0000}"/>
    <cellStyle name="Normal 32 3 5 2" xfId="2409" xr:uid="{00000000-0005-0000-0000-0000F83F0000}"/>
    <cellStyle name="Normal 32 3 5 2 2" xfId="4521" xr:uid="{00000000-0005-0000-0000-0000F93F0000}"/>
    <cellStyle name="Normal 32 3 5 2 2 2" xfId="8747" xr:uid="{00000000-0005-0000-0000-0000FA3F0000}"/>
    <cellStyle name="Normal 32 3 5 2 2 2 2" xfId="17195" xr:uid="{00000000-0005-0000-0000-0000FB3F0000}"/>
    <cellStyle name="Normal 32 3 5 2 2 2 2 2" xfId="34135" xr:uid="{00000000-0005-0000-0000-0000FC3F0000}"/>
    <cellStyle name="Normal 32 3 5 2 2 2 3" xfId="25687" xr:uid="{00000000-0005-0000-0000-0000FD3F0000}"/>
    <cellStyle name="Normal 32 3 5 2 2 3" xfId="12971" xr:uid="{00000000-0005-0000-0000-0000FE3F0000}"/>
    <cellStyle name="Normal 32 3 5 2 2 3 2" xfId="29911" xr:uid="{00000000-0005-0000-0000-0000FF3F0000}"/>
    <cellStyle name="Normal 32 3 5 2 2 4" xfId="21463" xr:uid="{00000000-0005-0000-0000-000000400000}"/>
    <cellStyle name="Normal 32 3 5 2 3" xfId="6635" xr:uid="{00000000-0005-0000-0000-000001400000}"/>
    <cellStyle name="Normal 32 3 5 2 3 2" xfId="15083" xr:uid="{00000000-0005-0000-0000-000002400000}"/>
    <cellStyle name="Normal 32 3 5 2 3 2 2" xfId="32023" xr:uid="{00000000-0005-0000-0000-000003400000}"/>
    <cellStyle name="Normal 32 3 5 2 3 3" xfId="23575" xr:uid="{00000000-0005-0000-0000-000004400000}"/>
    <cellStyle name="Normal 32 3 5 2 4" xfId="10859" xr:uid="{00000000-0005-0000-0000-000005400000}"/>
    <cellStyle name="Normal 32 3 5 2 4 2" xfId="27799" xr:uid="{00000000-0005-0000-0000-000006400000}"/>
    <cellStyle name="Normal 32 3 5 2 5" xfId="19351" xr:uid="{00000000-0005-0000-0000-000007400000}"/>
    <cellStyle name="Normal 32 3 5 3" xfId="3465" xr:uid="{00000000-0005-0000-0000-000008400000}"/>
    <cellStyle name="Normal 32 3 5 3 2" xfId="7691" xr:uid="{00000000-0005-0000-0000-000009400000}"/>
    <cellStyle name="Normal 32 3 5 3 2 2" xfId="16139" xr:uid="{00000000-0005-0000-0000-00000A400000}"/>
    <cellStyle name="Normal 32 3 5 3 2 2 2" xfId="33079" xr:uid="{00000000-0005-0000-0000-00000B400000}"/>
    <cellStyle name="Normal 32 3 5 3 2 3" xfId="24631" xr:uid="{00000000-0005-0000-0000-00000C400000}"/>
    <cellStyle name="Normal 32 3 5 3 3" xfId="11915" xr:uid="{00000000-0005-0000-0000-00000D400000}"/>
    <cellStyle name="Normal 32 3 5 3 3 2" xfId="28855" xr:uid="{00000000-0005-0000-0000-00000E400000}"/>
    <cellStyle name="Normal 32 3 5 3 4" xfId="20407" xr:uid="{00000000-0005-0000-0000-00000F400000}"/>
    <cellStyle name="Normal 32 3 5 4" xfId="5579" xr:uid="{00000000-0005-0000-0000-000010400000}"/>
    <cellStyle name="Normal 32 3 5 4 2" xfId="14027" xr:uid="{00000000-0005-0000-0000-000011400000}"/>
    <cellStyle name="Normal 32 3 5 4 2 2" xfId="30967" xr:uid="{00000000-0005-0000-0000-000012400000}"/>
    <cellStyle name="Normal 32 3 5 4 3" xfId="22519" xr:uid="{00000000-0005-0000-0000-000013400000}"/>
    <cellStyle name="Normal 32 3 5 5" xfId="9803" xr:uid="{00000000-0005-0000-0000-000014400000}"/>
    <cellStyle name="Normal 32 3 5 5 2" xfId="26743" xr:uid="{00000000-0005-0000-0000-000015400000}"/>
    <cellStyle name="Normal 32 3 5 6" xfId="18295" xr:uid="{00000000-0005-0000-0000-000016400000}"/>
    <cellStyle name="Normal 32 3 6" xfId="1529" xr:uid="{00000000-0005-0000-0000-000017400000}"/>
    <cellStyle name="Normal 32 3 6 2" xfId="3641" xr:uid="{00000000-0005-0000-0000-000018400000}"/>
    <cellStyle name="Normal 32 3 6 2 2" xfId="7867" xr:uid="{00000000-0005-0000-0000-000019400000}"/>
    <cellStyle name="Normal 32 3 6 2 2 2" xfId="16315" xr:uid="{00000000-0005-0000-0000-00001A400000}"/>
    <cellStyle name="Normal 32 3 6 2 2 2 2" xfId="33255" xr:uid="{00000000-0005-0000-0000-00001B400000}"/>
    <cellStyle name="Normal 32 3 6 2 2 3" xfId="24807" xr:uid="{00000000-0005-0000-0000-00001C400000}"/>
    <cellStyle name="Normal 32 3 6 2 3" xfId="12091" xr:uid="{00000000-0005-0000-0000-00001D400000}"/>
    <cellStyle name="Normal 32 3 6 2 3 2" xfId="29031" xr:uid="{00000000-0005-0000-0000-00001E400000}"/>
    <cellStyle name="Normal 32 3 6 2 4" xfId="20583" xr:uid="{00000000-0005-0000-0000-00001F400000}"/>
    <cellStyle name="Normal 32 3 6 3" xfId="5755" xr:uid="{00000000-0005-0000-0000-000020400000}"/>
    <cellStyle name="Normal 32 3 6 3 2" xfId="14203" xr:uid="{00000000-0005-0000-0000-000021400000}"/>
    <cellStyle name="Normal 32 3 6 3 2 2" xfId="31143" xr:uid="{00000000-0005-0000-0000-000022400000}"/>
    <cellStyle name="Normal 32 3 6 3 3" xfId="22695" xr:uid="{00000000-0005-0000-0000-000023400000}"/>
    <cellStyle name="Normal 32 3 6 4" xfId="9979" xr:uid="{00000000-0005-0000-0000-000024400000}"/>
    <cellStyle name="Normal 32 3 6 4 2" xfId="26919" xr:uid="{00000000-0005-0000-0000-000025400000}"/>
    <cellStyle name="Normal 32 3 6 5" xfId="18471" xr:uid="{00000000-0005-0000-0000-000026400000}"/>
    <cellStyle name="Normal 32 3 7" xfId="2585" xr:uid="{00000000-0005-0000-0000-000027400000}"/>
    <cellStyle name="Normal 32 3 7 2" xfId="6811" xr:uid="{00000000-0005-0000-0000-000028400000}"/>
    <cellStyle name="Normal 32 3 7 2 2" xfId="15259" xr:uid="{00000000-0005-0000-0000-000029400000}"/>
    <cellStyle name="Normal 32 3 7 2 2 2" xfId="32199" xr:uid="{00000000-0005-0000-0000-00002A400000}"/>
    <cellStyle name="Normal 32 3 7 2 3" xfId="23751" xr:uid="{00000000-0005-0000-0000-00002B400000}"/>
    <cellStyle name="Normal 32 3 7 3" xfId="11035" xr:uid="{00000000-0005-0000-0000-00002C400000}"/>
    <cellStyle name="Normal 32 3 7 3 2" xfId="27975" xr:uid="{00000000-0005-0000-0000-00002D400000}"/>
    <cellStyle name="Normal 32 3 7 4" xfId="19527" xr:uid="{00000000-0005-0000-0000-00002E400000}"/>
    <cellStyle name="Normal 32 3 8" xfId="4698" xr:uid="{00000000-0005-0000-0000-00002F400000}"/>
    <cellStyle name="Normal 32 3 8 2" xfId="13147" xr:uid="{00000000-0005-0000-0000-000030400000}"/>
    <cellStyle name="Normal 32 3 8 2 2" xfId="30087" xr:uid="{00000000-0005-0000-0000-000031400000}"/>
    <cellStyle name="Normal 32 3 8 3" xfId="21639" xr:uid="{00000000-0005-0000-0000-000032400000}"/>
    <cellStyle name="Normal 32 3 9" xfId="8923" xr:uid="{00000000-0005-0000-0000-000033400000}"/>
    <cellStyle name="Normal 32 3 9 2" xfId="25863" xr:uid="{00000000-0005-0000-0000-000034400000}"/>
    <cellStyle name="Normal 32 4" xfId="641" xr:uid="{00000000-0005-0000-0000-000035400000}"/>
    <cellStyle name="Normal 32 4 2" xfId="993" xr:uid="{00000000-0005-0000-0000-000036400000}"/>
    <cellStyle name="Normal 32 4 2 2" xfId="2055" xr:uid="{00000000-0005-0000-0000-000037400000}"/>
    <cellStyle name="Normal 32 4 2 2 2" xfId="4167" xr:uid="{00000000-0005-0000-0000-000038400000}"/>
    <cellStyle name="Normal 32 4 2 2 2 2" xfId="8393" xr:uid="{00000000-0005-0000-0000-000039400000}"/>
    <cellStyle name="Normal 32 4 2 2 2 2 2" xfId="16841" xr:uid="{00000000-0005-0000-0000-00003A400000}"/>
    <cellStyle name="Normal 32 4 2 2 2 2 2 2" xfId="33781" xr:uid="{00000000-0005-0000-0000-00003B400000}"/>
    <cellStyle name="Normal 32 4 2 2 2 2 3" xfId="25333" xr:uid="{00000000-0005-0000-0000-00003C400000}"/>
    <cellStyle name="Normal 32 4 2 2 2 3" xfId="12617" xr:uid="{00000000-0005-0000-0000-00003D400000}"/>
    <cellStyle name="Normal 32 4 2 2 2 3 2" xfId="29557" xr:uid="{00000000-0005-0000-0000-00003E400000}"/>
    <cellStyle name="Normal 32 4 2 2 2 4" xfId="21109" xr:uid="{00000000-0005-0000-0000-00003F400000}"/>
    <cellStyle name="Normal 32 4 2 2 3" xfId="6281" xr:uid="{00000000-0005-0000-0000-000040400000}"/>
    <cellStyle name="Normal 32 4 2 2 3 2" xfId="14729" xr:uid="{00000000-0005-0000-0000-000041400000}"/>
    <cellStyle name="Normal 32 4 2 2 3 2 2" xfId="31669" xr:uid="{00000000-0005-0000-0000-000042400000}"/>
    <cellStyle name="Normal 32 4 2 2 3 3" xfId="23221" xr:uid="{00000000-0005-0000-0000-000043400000}"/>
    <cellStyle name="Normal 32 4 2 2 4" xfId="10505" xr:uid="{00000000-0005-0000-0000-000044400000}"/>
    <cellStyle name="Normal 32 4 2 2 4 2" xfId="27445" xr:uid="{00000000-0005-0000-0000-000045400000}"/>
    <cellStyle name="Normal 32 4 2 2 5" xfId="18997" xr:uid="{00000000-0005-0000-0000-000046400000}"/>
    <cellStyle name="Normal 32 4 2 3" xfId="3111" xr:uid="{00000000-0005-0000-0000-000047400000}"/>
    <cellStyle name="Normal 32 4 2 3 2" xfId="7337" xr:uid="{00000000-0005-0000-0000-000048400000}"/>
    <cellStyle name="Normal 32 4 2 3 2 2" xfId="15785" xr:uid="{00000000-0005-0000-0000-000049400000}"/>
    <cellStyle name="Normal 32 4 2 3 2 2 2" xfId="32725" xr:uid="{00000000-0005-0000-0000-00004A400000}"/>
    <cellStyle name="Normal 32 4 2 3 2 3" xfId="24277" xr:uid="{00000000-0005-0000-0000-00004B400000}"/>
    <cellStyle name="Normal 32 4 2 3 3" xfId="11561" xr:uid="{00000000-0005-0000-0000-00004C400000}"/>
    <cellStyle name="Normal 32 4 2 3 3 2" xfId="28501" xr:uid="{00000000-0005-0000-0000-00004D400000}"/>
    <cellStyle name="Normal 32 4 2 3 4" xfId="20053" xr:uid="{00000000-0005-0000-0000-00004E400000}"/>
    <cellStyle name="Normal 32 4 2 4" xfId="5225" xr:uid="{00000000-0005-0000-0000-00004F400000}"/>
    <cellStyle name="Normal 32 4 2 4 2" xfId="13673" xr:uid="{00000000-0005-0000-0000-000050400000}"/>
    <cellStyle name="Normal 32 4 2 4 2 2" xfId="30613" xr:uid="{00000000-0005-0000-0000-000051400000}"/>
    <cellStyle name="Normal 32 4 2 4 3" xfId="22165" xr:uid="{00000000-0005-0000-0000-000052400000}"/>
    <cellStyle name="Normal 32 4 2 5" xfId="9449" xr:uid="{00000000-0005-0000-0000-000053400000}"/>
    <cellStyle name="Normal 32 4 2 5 2" xfId="26389" xr:uid="{00000000-0005-0000-0000-000054400000}"/>
    <cellStyle name="Normal 32 4 2 6" xfId="17941" xr:uid="{00000000-0005-0000-0000-000055400000}"/>
    <cellStyle name="Normal 32 4 3" xfId="1703" xr:uid="{00000000-0005-0000-0000-000056400000}"/>
    <cellStyle name="Normal 32 4 3 2" xfId="3815" xr:uid="{00000000-0005-0000-0000-000057400000}"/>
    <cellStyle name="Normal 32 4 3 2 2" xfId="8041" xr:uid="{00000000-0005-0000-0000-000058400000}"/>
    <cellStyle name="Normal 32 4 3 2 2 2" xfId="16489" xr:uid="{00000000-0005-0000-0000-000059400000}"/>
    <cellStyle name="Normal 32 4 3 2 2 2 2" xfId="33429" xr:uid="{00000000-0005-0000-0000-00005A400000}"/>
    <cellStyle name="Normal 32 4 3 2 2 3" xfId="24981" xr:uid="{00000000-0005-0000-0000-00005B400000}"/>
    <cellStyle name="Normal 32 4 3 2 3" xfId="12265" xr:uid="{00000000-0005-0000-0000-00005C400000}"/>
    <cellStyle name="Normal 32 4 3 2 3 2" xfId="29205" xr:uid="{00000000-0005-0000-0000-00005D400000}"/>
    <cellStyle name="Normal 32 4 3 2 4" xfId="20757" xr:uid="{00000000-0005-0000-0000-00005E400000}"/>
    <cellStyle name="Normal 32 4 3 3" xfId="5929" xr:uid="{00000000-0005-0000-0000-00005F400000}"/>
    <cellStyle name="Normal 32 4 3 3 2" xfId="14377" xr:uid="{00000000-0005-0000-0000-000060400000}"/>
    <cellStyle name="Normal 32 4 3 3 2 2" xfId="31317" xr:uid="{00000000-0005-0000-0000-000061400000}"/>
    <cellStyle name="Normal 32 4 3 3 3" xfId="22869" xr:uid="{00000000-0005-0000-0000-000062400000}"/>
    <cellStyle name="Normal 32 4 3 4" xfId="10153" xr:uid="{00000000-0005-0000-0000-000063400000}"/>
    <cellStyle name="Normal 32 4 3 4 2" xfId="27093" xr:uid="{00000000-0005-0000-0000-000064400000}"/>
    <cellStyle name="Normal 32 4 3 5" xfId="18645" xr:uid="{00000000-0005-0000-0000-000065400000}"/>
    <cellStyle name="Normal 32 4 4" xfId="2759" xr:uid="{00000000-0005-0000-0000-000066400000}"/>
    <cellStyle name="Normal 32 4 4 2" xfId="6985" xr:uid="{00000000-0005-0000-0000-000067400000}"/>
    <cellStyle name="Normal 32 4 4 2 2" xfId="15433" xr:uid="{00000000-0005-0000-0000-000068400000}"/>
    <cellStyle name="Normal 32 4 4 2 2 2" xfId="32373" xr:uid="{00000000-0005-0000-0000-000069400000}"/>
    <cellStyle name="Normal 32 4 4 2 3" xfId="23925" xr:uid="{00000000-0005-0000-0000-00006A400000}"/>
    <cellStyle name="Normal 32 4 4 3" xfId="11209" xr:uid="{00000000-0005-0000-0000-00006B400000}"/>
    <cellStyle name="Normal 32 4 4 3 2" xfId="28149" xr:uid="{00000000-0005-0000-0000-00006C400000}"/>
    <cellStyle name="Normal 32 4 4 4" xfId="19701" xr:uid="{00000000-0005-0000-0000-00006D400000}"/>
    <cellStyle name="Normal 32 4 5" xfId="4873" xr:uid="{00000000-0005-0000-0000-00006E400000}"/>
    <cellStyle name="Normal 32 4 5 2" xfId="13321" xr:uid="{00000000-0005-0000-0000-00006F400000}"/>
    <cellStyle name="Normal 32 4 5 2 2" xfId="30261" xr:uid="{00000000-0005-0000-0000-000070400000}"/>
    <cellStyle name="Normal 32 4 5 3" xfId="21813" xr:uid="{00000000-0005-0000-0000-000071400000}"/>
    <cellStyle name="Normal 32 4 6" xfId="9097" xr:uid="{00000000-0005-0000-0000-000072400000}"/>
    <cellStyle name="Normal 32 4 6 2" xfId="26037" xr:uid="{00000000-0005-0000-0000-000073400000}"/>
    <cellStyle name="Normal 32 4 7" xfId="17589" xr:uid="{00000000-0005-0000-0000-000074400000}"/>
    <cellStyle name="Normal 32 5" xfId="817" xr:uid="{00000000-0005-0000-0000-000075400000}"/>
    <cellStyle name="Normal 32 5 2" xfId="1879" xr:uid="{00000000-0005-0000-0000-000076400000}"/>
    <cellStyle name="Normal 32 5 2 2" xfId="3991" xr:uid="{00000000-0005-0000-0000-000077400000}"/>
    <cellStyle name="Normal 32 5 2 2 2" xfId="8217" xr:uid="{00000000-0005-0000-0000-000078400000}"/>
    <cellStyle name="Normal 32 5 2 2 2 2" xfId="16665" xr:uid="{00000000-0005-0000-0000-000079400000}"/>
    <cellStyle name="Normal 32 5 2 2 2 2 2" xfId="33605" xr:uid="{00000000-0005-0000-0000-00007A400000}"/>
    <cellStyle name="Normal 32 5 2 2 2 3" xfId="25157" xr:uid="{00000000-0005-0000-0000-00007B400000}"/>
    <cellStyle name="Normal 32 5 2 2 3" xfId="12441" xr:uid="{00000000-0005-0000-0000-00007C400000}"/>
    <cellStyle name="Normal 32 5 2 2 3 2" xfId="29381" xr:uid="{00000000-0005-0000-0000-00007D400000}"/>
    <cellStyle name="Normal 32 5 2 2 4" xfId="20933" xr:uid="{00000000-0005-0000-0000-00007E400000}"/>
    <cellStyle name="Normal 32 5 2 3" xfId="6105" xr:uid="{00000000-0005-0000-0000-00007F400000}"/>
    <cellStyle name="Normal 32 5 2 3 2" xfId="14553" xr:uid="{00000000-0005-0000-0000-000080400000}"/>
    <cellStyle name="Normal 32 5 2 3 2 2" xfId="31493" xr:uid="{00000000-0005-0000-0000-000081400000}"/>
    <cellStyle name="Normal 32 5 2 3 3" xfId="23045" xr:uid="{00000000-0005-0000-0000-000082400000}"/>
    <cellStyle name="Normal 32 5 2 4" xfId="10329" xr:uid="{00000000-0005-0000-0000-000083400000}"/>
    <cellStyle name="Normal 32 5 2 4 2" xfId="27269" xr:uid="{00000000-0005-0000-0000-000084400000}"/>
    <cellStyle name="Normal 32 5 2 5" xfId="18821" xr:uid="{00000000-0005-0000-0000-000085400000}"/>
    <cellStyle name="Normal 32 5 3" xfId="2935" xr:uid="{00000000-0005-0000-0000-000086400000}"/>
    <cellStyle name="Normal 32 5 3 2" xfId="7161" xr:uid="{00000000-0005-0000-0000-000087400000}"/>
    <cellStyle name="Normal 32 5 3 2 2" xfId="15609" xr:uid="{00000000-0005-0000-0000-000088400000}"/>
    <cellStyle name="Normal 32 5 3 2 2 2" xfId="32549" xr:uid="{00000000-0005-0000-0000-000089400000}"/>
    <cellStyle name="Normal 32 5 3 2 3" xfId="24101" xr:uid="{00000000-0005-0000-0000-00008A400000}"/>
    <cellStyle name="Normal 32 5 3 3" xfId="11385" xr:uid="{00000000-0005-0000-0000-00008B400000}"/>
    <cellStyle name="Normal 32 5 3 3 2" xfId="28325" xr:uid="{00000000-0005-0000-0000-00008C400000}"/>
    <cellStyle name="Normal 32 5 3 4" xfId="19877" xr:uid="{00000000-0005-0000-0000-00008D400000}"/>
    <cellStyle name="Normal 32 5 4" xfId="5049" xr:uid="{00000000-0005-0000-0000-00008E400000}"/>
    <cellStyle name="Normal 32 5 4 2" xfId="13497" xr:uid="{00000000-0005-0000-0000-00008F400000}"/>
    <cellStyle name="Normal 32 5 4 2 2" xfId="30437" xr:uid="{00000000-0005-0000-0000-000090400000}"/>
    <cellStyle name="Normal 32 5 4 3" xfId="21989" xr:uid="{00000000-0005-0000-0000-000091400000}"/>
    <cellStyle name="Normal 32 5 5" xfId="9273" xr:uid="{00000000-0005-0000-0000-000092400000}"/>
    <cellStyle name="Normal 32 5 5 2" xfId="26213" xr:uid="{00000000-0005-0000-0000-000093400000}"/>
    <cellStyle name="Normal 32 5 6" xfId="17765" xr:uid="{00000000-0005-0000-0000-000094400000}"/>
    <cellStyle name="Normal 32 6" xfId="1169" xr:uid="{00000000-0005-0000-0000-000095400000}"/>
    <cellStyle name="Normal 32 6 2" xfId="2231" xr:uid="{00000000-0005-0000-0000-000096400000}"/>
    <cellStyle name="Normal 32 6 2 2" xfId="4343" xr:uid="{00000000-0005-0000-0000-000097400000}"/>
    <cellStyle name="Normal 32 6 2 2 2" xfId="8569" xr:uid="{00000000-0005-0000-0000-000098400000}"/>
    <cellStyle name="Normal 32 6 2 2 2 2" xfId="17017" xr:uid="{00000000-0005-0000-0000-000099400000}"/>
    <cellStyle name="Normal 32 6 2 2 2 2 2" xfId="33957" xr:uid="{00000000-0005-0000-0000-00009A400000}"/>
    <cellStyle name="Normal 32 6 2 2 2 3" xfId="25509" xr:uid="{00000000-0005-0000-0000-00009B400000}"/>
    <cellStyle name="Normal 32 6 2 2 3" xfId="12793" xr:uid="{00000000-0005-0000-0000-00009C400000}"/>
    <cellStyle name="Normal 32 6 2 2 3 2" xfId="29733" xr:uid="{00000000-0005-0000-0000-00009D400000}"/>
    <cellStyle name="Normal 32 6 2 2 4" xfId="21285" xr:uid="{00000000-0005-0000-0000-00009E400000}"/>
    <cellStyle name="Normal 32 6 2 3" xfId="6457" xr:uid="{00000000-0005-0000-0000-00009F400000}"/>
    <cellStyle name="Normal 32 6 2 3 2" xfId="14905" xr:uid="{00000000-0005-0000-0000-0000A0400000}"/>
    <cellStyle name="Normal 32 6 2 3 2 2" xfId="31845" xr:uid="{00000000-0005-0000-0000-0000A1400000}"/>
    <cellStyle name="Normal 32 6 2 3 3" xfId="23397" xr:uid="{00000000-0005-0000-0000-0000A2400000}"/>
    <cellStyle name="Normal 32 6 2 4" xfId="10681" xr:uid="{00000000-0005-0000-0000-0000A3400000}"/>
    <cellStyle name="Normal 32 6 2 4 2" xfId="27621" xr:uid="{00000000-0005-0000-0000-0000A4400000}"/>
    <cellStyle name="Normal 32 6 2 5" xfId="19173" xr:uid="{00000000-0005-0000-0000-0000A5400000}"/>
    <cellStyle name="Normal 32 6 3" xfId="3287" xr:uid="{00000000-0005-0000-0000-0000A6400000}"/>
    <cellStyle name="Normal 32 6 3 2" xfId="7513" xr:uid="{00000000-0005-0000-0000-0000A7400000}"/>
    <cellStyle name="Normal 32 6 3 2 2" xfId="15961" xr:uid="{00000000-0005-0000-0000-0000A8400000}"/>
    <cellStyle name="Normal 32 6 3 2 2 2" xfId="32901" xr:uid="{00000000-0005-0000-0000-0000A9400000}"/>
    <cellStyle name="Normal 32 6 3 2 3" xfId="24453" xr:uid="{00000000-0005-0000-0000-0000AA400000}"/>
    <cellStyle name="Normal 32 6 3 3" xfId="11737" xr:uid="{00000000-0005-0000-0000-0000AB400000}"/>
    <cellStyle name="Normal 32 6 3 3 2" xfId="28677" xr:uid="{00000000-0005-0000-0000-0000AC400000}"/>
    <cellStyle name="Normal 32 6 3 4" xfId="20229" xr:uid="{00000000-0005-0000-0000-0000AD400000}"/>
    <cellStyle name="Normal 32 6 4" xfId="5401" xr:uid="{00000000-0005-0000-0000-0000AE400000}"/>
    <cellStyle name="Normal 32 6 4 2" xfId="13849" xr:uid="{00000000-0005-0000-0000-0000AF400000}"/>
    <cellStyle name="Normal 32 6 4 2 2" xfId="30789" xr:uid="{00000000-0005-0000-0000-0000B0400000}"/>
    <cellStyle name="Normal 32 6 4 3" xfId="22341" xr:uid="{00000000-0005-0000-0000-0000B1400000}"/>
    <cellStyle name="Normal 32 6 5" xfId="9625" xr:uid="{00000000-0005-0000-0000-0000B2400000}"/>
    <cellStyle name="Normal 32 6 5 2" xfId="26565" xr:uid="{00000000-0005-0000-0000-0000B3400000}"/>
    <cellStyle name="Normal 32 6 6" xfId="18117" xr:uid="{00000000-0005-0000-0000-0000B4400000}"/>
    <cellStyle name="Normal 32 7" xfId="1351" xr:uid="{00000000-0005-0000-0000-0000B5400000}"/>
    <cellStyle name="Normal 32 7 2" xfId="2407" xr:uid="{00000000-0005-0000-0000-0000B6400000}"/>
    <cellStyle name="Normal 32 7 2 2" xfId="4519" xr:uid="{00000000-0005-0000-0000-0000B7400000}"/>
    <cellStyle name="Normal 32 7 2 2 2" xfId="8745" xr:uid="{00000000-0005-0000-0000-0000B8400000}"/>
    <cellStyle name="Normal 32 7 2 2 2 2" xfId="17193" xr:uid="{00000000-0005-0000-0000-0000B9400000}"/>
    <cellStyle name="Normal 32 7 2 2 2 2 2" xfId="34133" xr:uid="{00000000-0005-0000-0000-0000BA400000}"/>
    <cellStyle name="Normal 32 7 2 2 2 3" xfId="25685" xr:uid="{00000000-0005-0000-0000-0000BB400000}"/>
    <cellStyle name="Normal 32 7 2 2 3" xfId="12969" xr:uid="{00000000-0005-0000-0000-0000BC400000}"/>
    <cellStyle name="Normal 32 7 2 2 3 2" xfId="29909" xr:uid="{00000000-0005-0000-0000-0000BD400000}"/>
    <cellStyle name="Normal 32 7 2 2 4" xfId="21461" xr:uid="{00000000-0005-0000-0000-0000BE400000}"/>
    <cellStyle name="Normal 32 7 2 3" xfId="6633" xr:uid="{00000000-0005-0000-0000-0000BF400000}"/>
    <cellStyle name="Normal 32 7 2 3 2" xfId="15081" xr:uid="{00000000-0005-0000-0000-0000C0400000}"/>
    <cellStyle name="Normal 32 7 2 3 2 2" xfId="32021" xr:uid="{00000000-0005-0000-0000-0000C1400000}"/>
    <cellStyle name="Normal 32 7 2 3 3" xfId="23573" xr:uid="{00000000-0005-0000-0000-0000C2400000}"/>
    <cellStyle name="Normal 32 7 2 4" xfId="10857" xr:uid="{00000000-0005-0000-0000-0000C3400000}"/>
    <cellStyle name="Normal 32 7 2 4 2" xfId="27797" xr:uid="{00000000-0005-0000-0000-0000C4400000}"/>
    <cellStyle name="Normal 32 7 2 5" xfId="19349" xr:uid="{00000000-0005-0000-0000-0000C5400000}"/>
    <cellStyle name="Normal 32 7 3" xfId="3463" xr:uid="{00000000-0005-0000-0000-0000C6400000}"/>
    <cellStyle name="Normal 32 7 3 2" xfId="7689" xr:uid="{00000000-0005-0000-0000-0000C7400000}"/>
    <cellStyle name="Normal 32 7 3 2 2" xfId="16137" xr:uid="{00000000-0005-0000-0000-0000C8400000}"/>
    <cellStyle name="Normal 32 7 3 2 2 2" xfId="33077" xr:uid="{00000000-0005-0000-0000-0000C9400000}"/>
    <cellStyle name="Normal 32 7 3 2 3" xfId="24629" xr:uid="{00000000-0005-0000-0000-0000CA400000}"/>
    <cellStyle name="Normal 32 7 3 3" xfId="11913" xr:uid="{00000000-0005-0000-0000-0000CB400000}"/>
    <cellStyle name="Normal 32 7 3 3 2" xfId="28853" xr:uid="{00000000-0005-0000-0000-0000CC400000}"/>
    <cellStyle name="Normal 32 7 3 4" xfId="20405" xr:uid="{00000000-0005-0000-0000-0000CD400000}"/>
    <cellStyle name="Normal 32 7 4" xfId="5577" xr:uid="{00000000-0005-0000-0000-0000CE400000}"/>
    <cellStyle name="Normal 32 7 4 2" xfId="14025" xr:uid="{00000000-0005-0000-0000-0000CF400000}"/>
    <cellStyle name="Normal 32 7 4 2 2" xfId="30965" xr:uid="{00000000-0005-0000-0000-0000D0400000}"/>
    <cellStyle name="Normal 32 7 4 3" xfId="22517" xr:uid="{00000000-0005-0000-0000-0000D1400000}"/>
    <cellStyle name="Normal 32 7 5" xfId="9801" xr:uid="{00000000-0005-0000-0000-0000D2400000}"/>
    <cellStyle name="Normal 32 7 5 2" xfId="26741" xr:uid="{00000000-0005-0000-0000-0000D3400000}"/>
    <cellStyle name="Normal 32 7 6" xfId="18293" xr:uid="{00000000-0005-0000-0000-0000D4400000}"/>
    <cellStyle name="Normal 32 8" xfId="1527" xr:uid="{00000000-0005-0000-0000-0000D5400000}"/>
    <cellStyle name="Normal 32 8 2" xfId="3639" xr:uid="{00000000-0005-0000-0000-0000D6400000}"/>
    <cellStyle name="Normal 32 8 2 2" xfId="7865" xr:uid="{00000000-0005-0000-0000-0000D7400000}"/>
    <cellStyle name="Normal 32 8 2 2 2" xfId="16313" xr:uid="{00000000-0005-0000-0000-0000D8400000}"/>
    <cellStyle name="Normal 32 8 2 2 2 2" xfId="33253" xr:uid="{00000000-0005-0000-0000-0000D9400000}"/>
    <cellStyle name="Normal 32 8 2 2 3" xfId="24805" xr:uid="{00000000-0005-0000-0000-0000DA400000}"/>
    <cellStyle name="Normal 32 8 2 3" xfId="12089" xr:uid="{00000000-0005-0000-0000-0000DB400000}"/>
    <cellStyle name="Normal 32 8 2 3 2" xfId="29029" xr:uid="{00000000-0005-0000-0000-0000DC400000}"/>
    <cellStyle name="Normal 32 8 2 4" xfId="20581" xr:uid="{00000000-0005-0000-0000-0000DD400000}"/>
    <cellStyle name="Normal 32 8 3" xfId="5753" xr:uid="{00000000-0005-0000-0000-0000DE400000}"/>
    <cellStyle name="Normal 32 8 3 2" xfId="14201" xr:uid="{00000000-0005-0000-0000-0000DF400000}"/>
    <cellStyle name="Normal 32 8 3 2 2" xfId="31141" xr:uid="{00000000-0005-0000-0000-0000E0400000}"/>
    <cellStyle name="Normal 32 8 3 3" xfId="22693" xr:uid="{00000000-0005-0000-0000-0000E1400000}"/>
    <cellStyle name="Normal 32 8 4" xfId="9977" xr:uid="{00000000-0005-0000-0000-0000E2400000}"/>
    <cellStyle name="Normal 32 8 4 2" xfId="26917" xr:uid="{00000000-0005-0000-0000-0000E3400000}"/>
    <cellStyle name="Normal 32 8 5" xfId="18469" xr:uid="{00000000-0005-0000-0000-0000E4400000}"/>
    <cellStyle name="Normal 32 9" xfId="2583" xr:uid="{00000000-0005-0000-0000-0000E5400000}"/>
    <cellStyle name="Normal 32 9 2" xfId="6809" xr:uid="{00000000-0005-0000-0000-0000E6400000}"/>
    <cellStyle name="Normal 32 9 2 2" xfId="15257" xr:uid="{00000000-0005-0000-0000-0000E7400000}"/>
    <cellStyle name="Normal 32 9 2 2 2" xfId="32197" xr:uid="{00000000-0005-0000-0000-0000E8400000}"/>
    <cellStyle name="Normal 32 9 2 3" xfId="23749" xr:uid="{00000000-0005-0000-0000-0000E9400000}"/>
    <cellStyle name="Normal 32 9 3" xfId="11033" xr:uid="{00000000-0005-0000-0000-0000EA400000}"/>
    <cellStyle name="Normal 32 9 3 2" xfId="27973" xr:uid="{00000000-0005-0000-0000-0000EB400000}"/>
    <cellStyle name="Normal 32 9 4" xfId="19525" xr:uid="{00000000-0005-0000-0000-0000EC400000}"/>
    <cellStyle name="Normal 33" xfId="337" xr:uid="{00000000-0005-0000-0000-0000ED400000}"/>
    <cellStyle name="Normal 34" xfId="338" xr:uid="{00000000-0005-0000-0000-0000EE400000}"/>
    <cellStyle name="Normal 34 10" xfId="4699" xr:uid="{00000000-0005-0000-0000-0000EF400000}"/>
    <cellStyle name="Normal 34 10 2" xfId="13148" xr:uid="{00000000-0005-0000-0000-0000F0400000}"/>
    <cellStyle name="Normal 34 10 2 2" xfId="30088" xr:uid="{00000000-0005-0000-0000-0000F1400000}"/>
    <cellStyle name="Normal 34 10 3" xfId="21640" xr:uid="{00000000-0005-0000-0000-0000F2400000}"/>
    <cellStyle name="Normal 34 11" xfId="8924" xr:uid="{00000000-0005-0000-0000-0000F3400000}"/>
    <cellStyle name="Normal 34 11 2" xfId="25864" xr:uid="{00000000-0005-0000-0000-0000F4400000}"/>
    <cellStyle name="Normal 34 12" xfId="17416" xr:uid="{00000000-0005-0000-0000-0000F5400000}"/>
    <cellStyle name="Normal 34 2" xfId="339" xr:uid="{00000000-0005-0000-0000-0000F6400000}"/>
    <cellStyle name="Normal 34 2 10" xfId="17417" xr:uid="{00000000-0005-0000-0000-0000F7400000}"/>
    <cellStyle name="Normal 34 2 2" xfId="645" xr:uid="{00000000-0005-0000-0000-0000F8400000}"/>
    <cellStyle name="Normal 34 2 2 2" xfId="997" xr:uid="{00000000-0005-0000-0000-0000F9400000}"/>
    <cellStyle name="Normal 34 2 2 2 2" xfId="2059" xr:uid="{00000000-0005-0000-0000-0000FA400000}"/>
    <cellStyle name="Normal 34 2 2 2 2 2" xfId="4171" xr:uid="{00000000-0005-0000-0000-0000FB400000}"/>
    <cellStyle name="Normal 34 2 2 2 2 2 2" xfId="8397" xr:uid="{00000000-0005-0000-0000-0000FC400000}"/>
    <cellStyle name="Normal 34 2 2 2 2 2 2 2" xfId="16845" xr:uid="{00000000-0005-0000-0000-0000FD400000}"/>
    <cellStyle name="Normal 34 2 2 2 2 2 2 2 2" xfId="33785" xr:uid="{00000000-0005-0000-0000-0000FE400000}"/>
    <cellStyle name="Normal 34 2 2 2 2 2 2 3" xfId="25337" xr:uid="{00000000-0005-0000-0000-0000FF400000}"/>
    <cellStyle name="Normal 34 2 2 2 2 2 3" xfId="12621" xr:uid="{00000000-0005-0000-0000-000000410000}"/>
    <cellStyle name="Normal 34 2 2 2 2 2 3 2" xfId="29561" xr:uid="{00000000-0005-0000-0000-000001410000}"/>
    <cellStyle name="Normal 34 2 2 2 2 2 4" xfId="21113" xr:uid="{00000000-0005-0000-0000-000002410000}"/>
    <cellStyle name="Normal 34 2 2 2 2 3" xfId="6285" xr:uid="{00000000-0005-0000-0000-000003410000}"/>
    <cellStyle name="Normal 34 2 2 2 2 3 2" xfId="14733" xr:uid="{00000000-0005-0000-0000-000004410000}"/>
    <cellStyle name="Normal 34 2 2 2 2 3 2 2" xfId="31673" xr:uid="{00000000-0005-0000-0000-000005410000}"/>
    <cellStyle name="Normal 34 2 2 2 2 3 3" xfId="23225" xr:uid="{00000000-0005-0000-0000-000006410000}"/>
    <cellStyle name="Normal 34 2 2 2 2 4" xfId="10509" xr:uid="{00000000-0005-0000-0000-000007410000}"/>
    <cellStyle name="Normal 34 2 2 2 2 4 2" xfId="27449" xr:uid="{00000000-0005-0000-0000-000008410000}"/>
    <cellStyle name="Normal 34 2 2 2 2 5" xfId="19001" xr:uid="{00000000-0005-0000-0000-000009410000}"/>
    <cellStyle name="Normal 34 2 2 2 3" xfId="3115" xr:uid="{00000000-0005-0000-0000-00000A410000}"/>
    <cellStyle name="Normal 34 2 2 2 3 2" xfId="7341" xr:uid="{00000000-0005-0000-0000-00000B410000}"/>
    <cellStyle name="Normal 34 2 2 2 3 2 2" xfId="15789" xr:uid="{00000000-0005-0000-0000-00000C410000}"/>
    <cellStyle name="Normal 34 2 2 2 3 2 2 2" xfId="32729" xr:uid="{00000000-0005-0000-0000-00000D410000}"/>
    <cellStyle name="Normal 34 2 2 2 3 2 3" xfId="24281" xr:uid="{00000000-0005-0000-0000-00000E410000}"/>
    <cellStyle name="Normal 34 2 2 2 3 3" xfId="11565" xr:uid="{00000000-0005-0000-0000-00000F410000}"/>
    <cellStyle name="Normal 34 2 2 2 3 3 2" xfId="28505" xr:uid="{00000000-0005-0000-0000-000010410000}"/>
    <cellStyle name="Normal 34 2 2 2 3 4" xfId="20057" xr:uid="{00000000-0005-0000-0000-000011410000}"/>
    <cellStyle name="Normal 34 2 2 2 4" xfId="5229" xr:uid="{00000000-0005-0000-0000-000012410000}"/>
    <cellStyle name="Normal 34 2 2 2 4 2" xfId="13677" xr:uid="{00000000-0005-0000-0000-000013410000}"/>
    <cellStyle name="Normal 34 2 2 2 4 2 2" xfId="30617" xr:uid="{00000000-0005-0000-0000-000014410000}"/>
    <cellStyle name="Normal 34 2 2 2 4 3" xfId="22169" xr:uid="{00000000-0005-0000-0000-000015410000}"/>
    <cellStyle name="Normal 34 2 2 2 5" xfId="9453" xr:uid="{00000000-0005-0000-0000-000016410000}"/>
    <cellStyle name="Normal 34 2 2 2 5 2" xfId="26393" xr:uid="{00000000-0005-0000-0000-000017410000}"/>
    <cellStyle name="Normal 34 2 2 2 6" xfId="17945" xr:uid="{00000000-0005-0000-0000-000018410000}"/>
    <cellStyle name="Normal 34 2 2 3" xfId="1707" xr:uid="{00000000-0005-0000-0000-000019410000}"/>
    <cellStyle name="Normal 34 2 2 3 2" xfId="3819" xr:uid="{00000000-0005-0000-0000-00001A410000}"/>
    <cellStyle name="Normal 34 2 2 3 2 2" xfId="8045" xr:uid="{00000000-0005-0000-0000-00001B410000}"/>
    <cellStyle name="Normal 34 2 2 3 2 2 2" xfId="16493" xr:uid="{00000000-0005-0000-0000-00001C410000}"/>
    <cellStyle name="Normal 34 2 2 3 2 2 2 2" xfId="33433" xr:uid="{00000000-0005-0000-0000-00001D410000}"/>
    <cellStyle name="Normal 34 2 2 3 2 2 3" xfId="24985" xr:uid="{00000000-0005-0000-0000-00001E410000}"/>
    <cellStyle name="Normal 34 2 2 3 2 3" xfId="12269" xr:uid="{00000000-0005-0000-0000-00001F410000}"/>
    <cellStyle name="Normal 34 2 2 3 2 3 2" xfId="29209" xr:uid="{00000000-0005-0000-0000-000020410000}"/>
    <cellStyle name="Normal 34 2 2 3 2 4" xfId="20761" xr:uid="{00000000-0005-0000-0000-000021410000}"/>
    <cellStyle name="Normal 34 2 2 3 3" xfId="5933" xr:uid="{00000000-0005-0000-0000-000022410000}"/>
    <cellStyle name="Normal 34 2 2 3 3 2" xfId="14381" xr:uid="{00000000-0005-0000-0000-000023410000}"/>
    <cellStyle name="Normal 34 2 2 3 3 2 2" xfId="31321" xr:uid="{00000000-0005-0000-0000-000024410000}"/>
    <cellStyle name="Normal 34 2 2 3 3 3" xfId="22873" xr:uid="{00000000-0005-0000-0000-000025410000}"/>
    <cellStyle name="Normal 34 2 2 3 4" xfId="10157" xr:uid="{00000000-0005-0000-0000-000026410000}"/>
    <cellStyle name="Normal 34 2 2 3 4 2" xfId="27097" xr:uid="{00000000-0005-0000-0000-000027410000}"/>
    <cellStyle name="Normal 34 2 2 3 5" xfId="18649" xr:uid="{00000000-0005-0000-0000-000028410000}"/>
    <cellStyle name="Normal 34 2 2 4" xfId="2763" xr:uid="{00000000-0005-0000-0000-000029410000}"/>
    <cellStyle name="Normal 34 2 2 4 2" xfId="6989" xr:uid="{00000000-0005-0000-0000-00002A410000}"/>
    <cellStyle name="Normal 34 2 2 4 2 2" xfId="15437" xr:uid="{00000000-0005-0000-0000-00002B410000}"/>
    <cellStyle name="Normal 34 2 2 4 2 2 2" xfId="32377" xr:uid="{00000000-0005-0000-0000-00002C410000}"/>
    <cellStyle name="Normal 34 2 2 4 2 3" xfId="23929" xr:uid="{00000000-0005-0000-0000-00002D410000}"/>
    <cellStyle name="Normal 34 2 2 4 3" xfId="11213" xr:uid="{00000000-0005-0000-0000-00002E410000}"/>
    <cellStyle name="Normal 34 2 2 4 3 2" xfId="28153" xr:uid="{00000000-0005-0000-0000-00002F410000}"/>
    <cellStyle name="Normal 34 2 2 4 4" xfId="19705" xr:uid="{00000000-0005-0000-0000-000030410000}"/>
    <cellStyle name="Normal 34 2 2 5" xfId="4877" xr:uid="{00000000-0005-0000-0000-000031410000}"/>
    <cellStyle name="Normal 34 2 2 5 2" xfId="13325" xr:uid="{00000000-0005-0000-0000-000032410000}"/>
    <cellStyle name="Normal 34 2 2 5 2 2" xfId="30265" xr:uid="{00000000-0005-0000-0000-000033410000}"/>
    <cellStyle name="Normal 34 2 2 5 3" xfId="21817" xr:uid="{00000000-0005-0000-0000-000034410000}"/>
    <cellStyle name="Normal 34 2 2 6" xfId="9101" xr:uid="{00000000-0005-0000-0000-000035410000}"/>
    <cellStyle name="Normal 34 2 2 6 2" xfId="26041" xr:uid="{00000000-0005-0000-0000-000036410000}"/>
    <cellStyle name="Normal 34 2 2 7" xfId="17593" xr:uid="{00000000-0005-0000-0000-000037410000}"/>
    <cellStyle name="Normal 34 2 3" xfId="821" xr:uid="{00000000-0005-0000-0000-000038410000}"/>
    <cellStyle name="Normal 34 2 3 2" xfId="1883" xr:uid="{00000000-0005-0000-0000-000039410000}"/>
    <cellStyle name="Normal 34 2 3 2 2" xfId="3995" xr:uid="{00000000-0005-0000-0000-00003A410000}"/>
    <cellStyle name="Normal 34 2 3 2 2 2" xfId="8221" xr:uid="{00000000-0005-0000-0000-00003B410000}"/>
    <cellStyle name="Normal 34 2 3 2 2 2 2" xfId="16669" xr:uid="{00000000-0005-0000-0000-00003C410000}"/>
    <cellStyle name="Normal 34 2 3 2 2 2 2 2" xfId="33609" xr:uid="{00000000-0005-0000-0000-00003D410000}"/>
    <cellStyle name="Normal 34 2 3 2 2 2 3" xfId="25161" xr:uid="{00000000-0005-0000-0000-00003E410000}"/>
    <cellStyle name="Normal 34 2 3 2 2 3" xfId="12445" xr:uid="{00000000-0005-0000-0000-00003F410000}"/>
    <cellStyle name="Normal 34 2 3 2 2 3 2" xfId="29385" xr:uid="{00000000-0005-0000-0000-000040410000}"/>
    <cellStyle name="Normal 34 2 3 2 2 4" xfId="20937" xr:uid="{00000000-0005-0000-0000-000041410000}"/>
    <cellStyle name="Normal 34 2 3 2 3" xfId="6109" xr:uid="{00000000-0005-0000-0000-000042410000}"/>
    <cellStyle name="Normal 34 2 3 2 3 2" xfId="14557" xr:uid="{00000000-0005-0000-0000-000043410000}"/>
    <cellStyle name="Normal 34 2 3 2 3 2 2" xfId="31497" xr:uid="{00000000-0005-0000-0000-000044410000}"/>
    <cellStyle name="Normal 34 2 3 2 3 3" xfId="23049" xr:uid="{00000000-0005-0000-0000-000045410000}"/>
    <cellStyle name="Normal 34 2 3 2 4" xfId="10333" xr:uid="{00000000-0005-0000-0000-000046410000}"/>
    <cellStyle name="Normal 34 2 3 2 4 2" xfId="27273" xr:uid="{00000000-0005-0000-0000-000047410000}"/>
    <cellStyle name="Normal 34 2 3 2 5" xfId="18825" xr:uid="{00000000-0005-0000-0000-000048410000}"/>
    <cellStyle name="Normal 34 2 3 3" xfId="2939" xr:uid="{00000000-0005-0000-0000-000049410000}"/>
    <cellStyle name="Normal 34 2 3 3 2" xfId="7165" xr:uid="{00000000-0005-0000-0000-00004A410000}"/>
    <cellStyle name="Normal 34 2 3 3 2 2" xfId="15613" xr:uid="{00000000-0005-0000-0000-00004B410000}"/>
    <cellStyle name="Normal 34 2 3 3 2 2 2" xfId="32553" xr:uid="{00000000-0005-0000-0000-00004C410000}"/>
    <cellStyle name="Normal 34 2 3 3 2 3" xfId="24105" xr:uid="{00000000-0005-0000-0000-00004D410000}"/>
    <cellStyle name="Normal 34 2 3 3 3" xfId="11389" xr:uid="{00000000-0005-0000-0000-00004E410000}"/>
    <cellStyle name="Normal 34 2 3 3 3 2" xfId="28329" xr:uid="{00000000-0005-0000-0000-00004F410000}"/>
    <cellStyle name="Normal 34 2 3 3 4" xfId="19881" xr:uid="{00000000-0005-0000-0000-000050410000}"/>
    <cellStyle name="Normal 34 2 3 4" xfId="5053" xr:uid="{00000000-0005-0000-0000-000051410000}"/>
    <cellStyle name="Normal 34 2 3 4 2" xfId="13501" xr:uid="{00000000-0005-0000-0000-000052410000}"/>
    <cellStyle name="Normal 34 2 3 4 2 2" xfId="30441" xr:uid="{00000000-0005-0000-0000-000053410000}"/>
    <cellStyle name="Normal 34 2 3 4 3" xfId="21993" xr:uid="{00000000-0005-0000-0000-000054410000}"/>
    <cellStyle name="Normal 34 2 3 5" xfId="9277" xr:uid="{00000000-0005-0000-0000-000055410000}"/>
    <cellStyle name="Normal 34 2 3 5 2" xfId="26217" xr:uid="{00000000-0005-0000-0000-000056410000}"/>
    <cellStyle name="Normal 34 2 3 6" xfId="17769" xr:uid="{00000000-0005-0000-0000-000057410000}"/>
    <cellStyle name="Normal 34 2 4" xfId="1173" xr:uid="{00000000-0005-0000-0000-000058410000}"/>
    <cellStyle name="Normal 34 2 4 2" xfId="2235" xr:uid="{00000000-0005-0000-0000-000059410000}"/>
    <cellStyle name="Normal 34 2 4 2 2" xfId="4347" xr:uid="{00000000-0005-0000-0000-00005A410000}"/>
    <cellStyle name="Normal 34 2 4 2 2 2" xfId="8573" xr:uid="{00000000-0005-0000-0000-00005B410000}"/>
    <cellStyle name="Normal 34 2 4 2 2 2 2" xfId="17021" xr:uid="{00000000-0005-0000-0000-00005C410000}"/>
    <cellStyle name="Normal 34 2 4 2 2 2 2 2" xfId="33961" xr:uid="{00000000-0005-0000-0000-00005D410000}"/>
    <cellStyle name="Normal 34 2 4 2 2 2 3" xfId="25513" xr:uid="{00000000-0005-0000-0000-00005E410000}"/>
    <cellStyle name="Normal 34 2 4 2 2 3" xfId="12797" xr:uid="{00000000-0005-0000-0000-00005F410000}"/>
    <cellStyle name="Normal 34 2 4 2 2 3 2" xfId="29737" xr:uid="{00000000-0005-0000-0000-000060410000}"/>
    <cellStyle name="Normal 34 2 4 2 2 4" xfId="21289" xr:uid="{00000000-0005-0000-0000-000061410000}"/>
    <cellStyle name="Normal 34 2 4 2 3" xfId="6461" xr:uid="{00000000-0005-0000-0000-000062410000}"/>
    <cellStyle name="Normal 34 2 4 2 3 2" xfId="14909" xr:uid="{00000000-0005-0000-0000-000063410000}"/>
    <cellStyle name="Normal 34 2 4 2 3 2 2" xfId="31849" xr:uid="{00000000-0005-0000-0000-000064410000}"/>
    <cellStyle name="Normal 34 2 4 2 3 3" xfId="23401" xr:uid="{00000000-0005-0000-0000-000065410000}"/>
    <cellStyle name="Normal 34 2 4 2 4" xfId="10685" xr:uid="{00000000-0005-0000-0000-000066410000}"/>
    <cellStyle name="Normal 34 2 4 2 4 2" xfId="27625" xr:uid="{00000000-0005-0000-0000-000067410000}"/>
    <cellStyle name="Normal 34 2 4 2 5" xfId="19177" xr:uid="{00000000-0005-0000-0000-000068410000}"/>
    <cellStyle name="Normal 34 2 4 3" xfId="3291" xr:uid="{00000000-0005-0000-0000-000069410000}"/>
    <cellStyle name="Normal 34 2 4 3 2" xfId="7517" xr:uid="{00000000-0005-0000-0000-00006A410000}"/>
    <cellStyle name="Normal 34 2 4 3 2 2" xfId="15965" xr:uid="{00000000-0005-0000-0000-00006B410000}"/>
    <cellStyle name="Normal 34 2 4 3 2 2 2" xfId="32905" xr:uid="{00000000-0005-0000-0000-00006C410000}"/>
    <cellStyle name="Normal 34 2 4 3 2 3" xfId="24457" xr:uid="{00000000-0005-0000-0000-00006D410000}"/>
    <cellStyle name="Normal 34 2 4 3 3" xfId="11741" xr:uid="{00000000-0005-0000-0000-00006E410000}"/>
    <cellStyle name="Normal 34 2 4 3 3 2" xfId="28681" xr:uid="{00000000-0005-0000-0000-00006F410000}"/>
    <cellStyle name="Normal 34 2 4 3 4" xfId="20233" xr:uid="{00000000-0005-0000-0000-000070410000}"/>
    <cellStyle name="Normal 34 2 4 4" xfId="5405" xr:uid="{00000000-0005-0000-0000-000071410000}"/>
    <cellStyle name="Normal 34 2 4 4 2" xfId="13853" xr:uid="{00000000-0005-0000-0000-000072410000}"/>
    <cellStyle name="Normal 34 2 4 4 2 2" xfId="30793" xr:uid="{00000000-0005-0000-0000-000073410000}"/>
    <cellStyle name="Normal 34 2 4 4 3" xfId="22345" xr:uid="{00000000-0005-0000-0000-000074410000}"/>
    <cellStyle name="Normal 34 2 4 5" xfId="9629" xr:uid="{00000000-0005-0000-0000-000075410000}"/>
    <cellStyle name="Normal 34 2 4 5 2" xfId="26569" xr:uid="{00000000-0005-0000-0000-000076410000}"/>
    <cellStyle name="Normal 34 2 4 6" xfId="18121" xr:uid="{00000000-0005-0000-0000-000077410000}"/>
    <cellStyle name="Normal 34 2 5" xfId="1355" xr:uid="{00000000-0005-0000-0000-000078410000}"/>
    <cellStyle name="Normal 34 2 5 2" xfId="2411" xr:uid="{00000000-0005-0000-0000-000079410000}"/>
    <cellStyle name="Normal 34 2 5 2 2" xfId="4523" xr:uid="{00000000-0005-0000-0000-00007A410000}"/>
    <cellStyle name="Normal 34 2 5 2 2 2" xfId="8749" xr:uid="{00000000-0005-0000-0000-00007B410000}"/>
    <cellStyle name="Normal 34 2 5 2 2 2 2" xfId="17197" xr:uid="{00000000-0005-0000-0000-00007C410000}"/>
    <cellStyle name="Normal 34 2 5 2 2 2 2 2" xfId="34137" xr:uid="{00000000-0005-0000-0000-00007D410000}"/>
    <cellStyle name="Normal 34 2 5 2 2 2 3" xfId="25689" xr:uid="{00000000-0005-0000-0000-00007E410000}"/>
    <cellStyle name="Normal 34 2 5 2 2 3" xfId="12973" xr:uid="{00000000-0005-0000-0000-00007F410000}"/>
    <cellStyle name="Normal 34 2 5 2 2 3 2" xfId="29913" xr:uid="{00000000-0005-0000-0000-000080410000}"/>
    <cellStyle name="Normal 34 2 5 2 2 4" xfId="21465" xr:uid="{00000000-0005-0000-0000-000081410000}"/>
    <cellStyle name="Normal 34 2 5 2 3" xfId="6637" xr:uid="{00000000-0005-0000-0000-000082410000}"/>
    <cellStyle name="Normal 34 2 5 2 3 2" xfId="15085" xr:uid="{00000000-0005-0000-0000-000083410000}"/>
    <cellStyle name="Normal 34 2 5 2 3 2 2" xfId="32025" xr:uid="{00000000-0005-0000-0000-000084410000}"/>
    <cellStyle name="Normal 34 2 5 2 3 3" xfId="23577" xr:uid="{00000000-0005-0000-0000-000085410000}"/>
    <cellStyle name="Normal 34 2 5 2 4" xfId="10861" xr:uid="{00000000-0005-0000-0000-000086410000}"/>
    <cellStyle name="Normal 34 2 5 2 4 2" xfId="27801" xr:uid="{00000000-0005-0000-0000-000087410000}"/>
    <cellStyle name="Normal 34 2 5 2 5" xfId="19353" xr:uid="{00000000-0005-0000-0000-000088410000}"/>
    <cellStyle name="Normal 34 2 5 3" xfId="3467" xr:uid="{00000000-0005-0000-0000-000089410000}"/>
    <cellStyle name="Normal 34 2 5 3 2" xfId="7693" xr:uid="{00000000-0005-0000-0000-00008A410000}"/>
    <cellStyle name="Normal 34 2 5 3 2 2" xfId="16141" xr:uid="{00000000-0005-0000-0000-00008B410000}"/>
    <cellStyle name="Normal 34 2 5 3 2 2 2" xfId="33081" xr:uid="{00000000-0005-0000-0000-00008C410000}"/>
    <cellStyle name="Normal 34 2 5 3 2 3" xfId="24633" xr:uid="{00000000-0005-0000-0000-00008D410000}"/>
    <cellStyle name="Normal 34 2 5 3 3" xfId="11917" xr:uid="{00000000-0005-0000-0000-00008E410000}"/>
    <cellStyle name="Normal 34 2 5 3 3 2" xfId="28857" xr:uid="{00000000-0005-0000-0000-00008F410000}"/>
    <cellStyle name="Normal 34 2 5 3 4" xfId="20409" xr:uid="{00000000-0005-0000-0000-000090410000}"/>
    <cellStyle name="Normal 34 2 5 4" xfId="5581" xr:uid="{00000000-0005-0000-0000-000091410000}"/>
    <cellStyle name="Normal 34 2 5 4 2" xfId="14029" xr:uid="{00000000-0005-0000-0000-000092410000}"/>
    <cellStyle name="Normal 34 2 5 4 2 2" xfId="30969" xr:uid="{00000000-0005-0000-0000-000093410000}"/>
    <cellStyle name="Normal 34 2 5 4 3" xfId="22521" xr:uid="{00000000-0005-0000-0000-000094410000}"/>
    <cellStyle name="Normal 34 2 5 5" xfId="9805" xr:uid="{00000000-0005-0000-0000-000095410000}"/>
    <cellStyle name="Normal 34 2 5 5 2" xfId="26745" xr:uid="{00000000-0005-0000-0000-000096410000}"/>
    <cellStyle name="Normal 34 2 5 6" xfId="18297" xr:uid="{00000000-0005-0000-0000-000097410000}"/>
    <cellStyle name="Normal 34 2 6" xfId="1531" xr:uid="{00000000-0005-0000-0000-000098410000}"/>
    <cellStyle name="Normal 34 2 6 2" xfId="3643" xr:uid="{00000000-0005-0000-0000-000099410000}"/>
    <cellStyle name="Normal 34 2 6 2 2" xfId="7869" xr:uid="{00000000-0005-0000-0000-00009A410000}"/>
    <cellStyle name="Normal 34 2 6 2 2 2" xfId="16317" xr:uid="{00000000-0005-0000-0000-00009B410000}"/>
    <cellStyle name="Normal 34 2 6 2 2 2 2" xfId="33257" xr:uid="{00000000-0005-0000-0000-00009C410000}"/>
    <cellStyle name="Normal 34 2 6 2 2 3" xfId="24809" xr:uid="{00000000-0005-0000-0000-00009D410000}"/>
    <cellStyle name="Normal 34 2 6 2 3" xfId="12093" xr:uid="{00000000-0005-0000-0000-00009E410000}"/>
    <cellStyle name="Normal 34 2 6 2 3 2" xfId="29033" xr:uid="{00000000-0005-0000-0000-00009F410000}"/>
    <cellStyle name="Normal 34 2 6 2 4" xfId="20585" xr:uid="{00000000-0005-0000-0000-0000A0410000}"/>
    <cellStyle name="Normal 34 2 6 3" xfId="5757" xr:uid="{00000000-0005-0000-0000-0000A1410000}"/>
    <cellStyle name="Normal 34 2 6 3 2" xfId="14205" xr:uid="{00000000-0005-0000-0000-0000A2410000}"/>
    <cellStyle name="Normal 34 2 6 3 2 2" xfId="31145" xr:uid="{00000000-0005-0000-0000-0000A3410000}"/>
    <cellStyle name="Normal 34 2 6 3 3" xfId="22697" xr:uid="{00000000-0005-0000-0000-0000A4410000}"/>
    <cellStyle name="Normal 34 2 6 4" xfId="9981" xr:uid="{00000000-0005-0000-0000-0000A5410000}"/>
    <cellStyle name="Normal 34 2 6 4 2" xfId="26921" xr:uid="{00000000-0005-0000-0000-0000A6410000}"/>
    <cellStyle name="Normal 34 2 6 5" xfId="18473" xr:uid="{00000000-0005-0000-0000-0000A7410000}"/>
    <cellStyle name="Normal 34 2 7" xfId="2587" xr:uid="{00000000-0005-0000-0000-0000A8410000}"/>
    <cellStyle name="Normal 34 2 7 2" xfId="6813" xr:uid="{00000000-0005-0000-0000-0000A9410000}"/>
    <cellStyle name="Normal 34 2 7 2 2" xfId="15261" xr:uid="{00000000-0005-0000-0000-0000AA410000}"/>
    <cellStyle name="Normal 34 2 7 2 2 2" xfId="32201" xr:uid="{00000000-0005-0000-0000-0000AB410000}"/>
    <cellStyle name="Normal 34 2 7 2 3" xfId="23753" xr:uid="{00000000-0005-0000-0000-0000AC410000}"/>
    <cellStyle name="Normal 34 2 7 3" xfId="11037" xr:uid="{00000000-0005-0000-0000-0000AD410000}"/>
    <cellStyle name="Normal 34 2 7 3 2" xfId="27977" xr:uid="{00000000-0005-0000-0000-0000AE410000}"/>
    <cellStyle name="Normal 34 2 7 4" xfId="19529" xr:uid="{00000000-0005-0000-0000-0000AF410000}"/>
    <cellStyle name="Normal 34 2 8" xfId="4700" xr:uid="{00000000-0005-0000-0000-0000B0410000}"/>
    <cellStyle name="Normal 34 2 8 2" xfId="13149" xr:uid="{00000000-0005-0000-0000-0000B1410000}"/>
    <cellStyle name="Normal 34 2 8 2 2" xfId="30089" xr:uid="{00000000-0005-0000-0000-0000B2410000}"/>
    <cellStyle name="Normal 34 2 8 3" xfId="21641" xr:uid="{00000000-0005-0000-0000-0000B3410000}"/>
    <cellStyle name="Normal 34 2 9" xfId="8925" xr:uid="{00000000-0005-0000-0000-0000B4410000}"/>
    <cellStyle name="Normal 34 2 9 2" xfId="25865" xr:uid="{00000000-0005-0000-0000-0000B5410000}"/>
    <cellStyle name="Normal 34 3" xfId="340" xr:uid="{00000000-0005-0000-0000-0000B6410000}"/>
    <cellStyle name="Normal 34 3 10" xfId="17418" xr:uid="{00000000-0005-0000-0000-0000B7410000}"/>
    <cellStyle name="Normal 34 3 2" xfId="646" xr:uid="{00000000-0005-0000-0000-0000B8410000}"/>
    <cellStyle name="Normal 34 3 2 2" xfId="998" xr:uid="{00000000-0005-0000-0000-0000B9410000}"/>
    <cellStyle name="Normal 34 3 2 2 2" xfId="2060" xr:uid="{00000000-0005-0000-0000-0000BA410000}"/>
    <cellStyle name="Normal 34 3 2 2 2 2" xfId="4172" xr:uid="{00000000-0005-0000-0000-0000BB410000}"/>
    <cellStyle name="Normal 34 3 2 2 2 2 2" xfId="8398" xr:uid="{00000000-0005-0000-0000-0000BC410000}"/>
    <cellStyle name="Normal 34 3 2 2 2 2 2 2" xfId="16846" xr:uid="{00000000-0005-0000-0000-0000BD410000}"/>
    <cellStyle name="Normal 34 3 2 2 2 2 2 2 2" xfId="33786" xr:uid="{00000000-0005-0000-0000-0000BE410000}"/>
    <cellStyle name="Normal 34 3 2 2 2 2 2 3" xfId="25338" xr:uid="{00000000-0005-0000-0000-0000BF410000}"/>
    <cellStyle name="Normal 34 3 2 2 2 2 3" xfId="12622" xr:uid="{00000000-0005-0000-0000-0000C0410000}"/>
    <cellStyle name="Normal 34 3 2 2 2 2 3 2" xfId="29562" xr:uid="{00000000-0005-0000-0000-0000C1410000}"/>
    <cellStyle name="Normal 34 3 2 2 2 2 4" xfId="21114" xr:uid="{00000000-0005-0000-0000-0000C2410000}"/>
    <cellStyle name="Normal 34 3 2 2 2 3" xfId="6286" xr:uid="{00000000-0005-0000-0000-0000C3410000}"/>
    <cellStyle name="Normal 34 3 2 2 2 3 2" xfId="14734" xr:uid="{00000000-0005-0000-0000-0000C4410000}"/>
    <cellStyle name="Normal 34 3 2 2 2 3 2 2" xfId="31674" xr:uid="{00000000-0005-0000-0000-0000C5410000}"/>
    <cellStyle name="Normal 34 3 2 2 2 3 3" xfId="23226" xr:uid="{00000000-0005-0000-0000-0000C6410000}"/>
    <cellStyle name="Normal 34 3 2 2 2 4" xfId="10510" xr:uid="{00000000-0005-0000-0000-0000C7410000}"/>
    <cellStyle name="Normal 34 3 2 2 2 4 2" xfId="27450" xr:uid="{00000000-0005-0000-0000-0000C8410000}"/>
    <cellStyle name="Normal 34 3 2 2 2 5" xfId="19002" xr:uid="{00000000-0005-0000-0000-0000C9410000}"/>
    <cellStyle name="Normal 34 3 2 2 3" xfId="3116" xr:uid="{00000000-0005-0000-0000-0000CA410000}"/>
    <cellStyle name="Normal 34 3 2 2 3 2" xfId="7342" xr:uid="{00000000-0005-0000-0000-0000CB410000}"/>
    <cellStyle name="Normal 34 3 2 2 3 2 2" xfId="15790" xr:uid="{00000000-0005-0000-0000-0000CC410000}"/>
    <cellStyle name="Normal 34 3 2 2 3 2 2 2" xfId="32730" xr:uid="{00000000-0005-0000-0000-0000CD410000}"/>
    <cellStyle name="Normal 34 3 2 2 3 2 3" xfId="24282" xr:uid="{00000000-0005-0000-0000-0000CE410000}"/>
    <cellStyle name="Normal 34 3 2 2 3 3" xfId="11566" xr:uid="{00000000-0005-0000-0000-0000CF410000}"/>
    <cellStyle name="Normal 34 3 2 2 3 3 2" xfId="28506" xr:uid="{00000000-0005-0000-0000-0000D0410000}"/>
    <cellStyle name="Normal 34 3 2 2 3 4" xfId="20058" xr:uid="{00000000-0005-0000-0000-0000D1410000}"/>
    <cellStyle name="Normal 34 3 2 2 4" xfId="5230" xr:uid="{00000000-0005-0000-0000-0000D2410000}"/>
    <cellStyle name="Normal 34 3 2 2 4 2" xfId="13678" xr:uid="{00000000-0005-0000-0000-0000D3410000}"/>
    <cellStyle name="Normal 34 3 2 2 4 2 2" xfId="30618" xr:uid="{00000000-0005-0000-0000-0000D4410000}"/>
    <cellStyle name="Normal 34 3 2 2 4 3" xfId="22170" xr:uid="{00000000-0005-0000-0000-0000D5410000}"/>
    <cellStyle name="Normal 34 3 2 2 5" xfId="9454" xr:uid="{00000000-0005-0000-0000-0000D6410000}"/>
    <cellStyle name="Normal 34 3 2 2 5 2" xfId="26394" xr:uid="{00000000-0005-0000-0000-0000D7410000}"/>
    <cellStyle name="Normal 34 3 2 2 6" xfId="17946" xr:uid="{00000000-0005-0000-0000-0000D8410000}"/>
    <cellStyle name="Normal 34 3 2 3" xfId="1708" xr:uid="{00000000-0005-0000-0000-0000D9410000}"/>
    <cellStyle name="Normal 34 3 2 3 2" xfId="3820" xr:uid="{00000000-0005-0000-0000-0000DA410000}"/>
    <cellStyle name="Normal 34 3 2 3 2 2" xfId="8046" xr:uid="{00000000-0005-0000-0000-0000DB410000}"/>
    <cellStyle name="Normal 34 3 2 3 2 2 2" xfId="16494" xr:uid="{00000000-0005-0000-0000-0000DC410000}"/>
    <cellStyle name="Normal 34 3 2 3 2 2 2 2" xfId="33434" xr:uid="{00000000-0005-0000-0000-0000DD410000}"/>
    <cellStyle name="Normal 34 3 2 3 2 2 3" xfId="24986" xr:uid="{00000000-0005-0000-0000-0000DE410000}"/>
    <cellStyle name="Normal 34 3 2 3 2 3" xfId="12270" xr:uid="{00000000-0005-0000-0000-0000DF410000}"/>
    <cellStyle name="Normal 34 3 2 3 2 3 2" xfId="29210" xr:uid="{00000000-0005-0000-0000-0000E0410000}"/>
    <cellStyle name="Normal 34 3 2 3 2 4" xfId="20762" xr:uid="{00000000-0005-0000-0000-0000E1410000}"/>
    <cellStyle name="Normal 34 3 2 3 3" xfId="5934" xr:uid="{00000000-0005-0000-0000-0000E2410000}"/>
    <cellStyle name="Normal 34 3 2 3 3 2" xfId="14382" xr:uid="{00000000-0005-0000-0000-0000E3410000}"/>
    <cellStyle name="Normal 34 3 2 3 3 2 2" xfId="31322" xr:uid="{00000000-0005-0000-0000-0000E4410000}"/>
    <cellStyle name="Normal 34 3 2 3 3 3" xfId="22874" xr:uid="{00000000-0005-0000-0000-0000E5410000}"/>
    <cellStyle name="Normal 34 3 2 3 4" xfId="10158" xr:uid="{00000000-0005-0000-0000-0000E6410000}"/>
    <cellStyle name="Normal 34 3 2 3 4 2" xfId="27098" xr:uid="{00000000-0005-0000-0000-0000E7410000}"/>
    <cellStyle name="Normal 34 3 2 3 5" xfId="18650" xr:uid="{00000000-0005-0000-0000-0000E8410000}"/>
    <cellStyle name="Normal 34 3 2 4" xfId="2764" xr:uid="{00000000-0005-0000-0000-0000E9410000}"/>
    <cellStyle name="Normal 34 3 2 4 2" xfId="6990" xr:uid="{00000000-0005-0000-0000-0000EA410000}"/>
    <cellStyle name="Normal 34 3 2 4 2 2" xfId="15438" xr:uid="{00000000-0005-0000-0000-0000EB410000}"/>
    <cellStyle name="Normal 34 3 2 4 2 2 2" xfId="32378" xr:uid="{00000000-0005-0000-0000-0000EC410000}"/>
    <cellStyle name="Normal 34 3 2 4 2 3" xfId="23930" xr:uid="{00000000-0005-0000-0000-0000ED410000}"/>
    <cellStyle name="Normal 34 3 2 4 3" xfId="11214" xr:uid="{00000000-0005-0000-0000-0000EE410000}"/>
    <cellStyle name="Normal 34 3 2 4 3 2" xfId="28154" xr:uid="{00000000-0005-0000-0000-0000EF410000}"/>
    <cellStyle name="Normal 34 3 2 4 4" xfId="19706" xr:uid="{00000000-0005-0000-0000-0000F0410000}"/>
    <cellStyle name="Normal 34 3 2 5" xfId="4878" xr:uid="{00000000-0005-0000-0000-0000F1410000}"/>
    <cellStyle name="Normal 34 3 2 5 2" xfId="13326" xr:uid="{00000000-0005-0000-0000-0000F2410000}"/>
    <cellStyle name="Normal 34 3 2 5 2 2" xfId="30266" xr:uid="{00000000-0005-0000-0000-0000F3410000}"/>
    <cellStyle name="Normal 34 3 2 5 3" xfId="21818" xr:uid="{00000000-0005-0000-0000-0000F4410000}"/>
    <cellStyle name="Normal 34 3 2 6" xfId="9102" xr:uid="{00000000-0005-0000-0000-0000F5410000}"/>
    <cellStyle name="Normal 34 3 2 6 2" xfId="26042" xr:uid="{00000000-0005-0000-0000-0000F6410000}"/>
    <cellStyle name="Normal 34 3 2 7" xfId="17594" xr:uid="{00000000-0005-0000-0000-0000F7410000}"/>
    <cellStyle name="Normal 34 3 3" xfId="822" xr:uid="{00000000-0005-0000-0000-0000F8410000}"/>
    <cellStyle name="Normal 34 3 3 2" xfId="1884" xr:uid="{00000000-0005-0000-0000-0000F9410000}"/>
    <cellStyle name="Normal 34 3 3 2 2" xfId="3996" xr:uid="{00000000-0005-0000-0000-0000FA410000}"/>
    <cellStyle name="Normal 34 3 3 2 2 2" xfId="8222" xr:uid="{00000000-0005-0000-0000-0000FB410000}"/>
    <cellStyle name="Normal 34 3 3 2 2 2 2" xfId="16670" xr:uid="{00000000-0005-0000-0000-0000FC410000}"/>
    <cellStyle name="Normal 34 3 3 2 2 2 2 2" xfId="33610" xr:uid="{00000000-0005-0000-0000-0000FD410000}"/>
    <cellStyle name="Normal 34 3 3 2 2 2 3" xfId="25162" xr:uid="{00000000-0005-0000-0000-0000FE410000}"/>
    <cellStyle name="Normal 34 3 3 2 2 3" xfId="12446" xr:uid="{00000000-0005-0000-0000-0000FF410000}"/>
    <cellStyle name="Normal 34 3 3 2 2 3 2" xfId="29386" xr:uid="{00000000-0005-0000-0000-000000420000}"/>
    <cellStyle name="Normal 34 3 3 2 2 4" xfId="20938" xr:uid="{00000000-0005-0000-0000-000001420000}"/>
    <cellStyle name="Normal 34 3 3 2 3" xfId="6110" xr:uid="{00000000-0005-0000-0000-000002420000}"/>
    <cellStyle name="Normal 34 3 3 2 3 2" xfId="14558" xr:uid="{00000000-0005-0000-0000-000003420000}"/>
    <cellStyle name="Normal 34 3 3 2 3 2 2" xfId="31498" xr:uid="{00000000-0005-0000-0000-000004420000}"/>
    <cellStyle name="Normal 34 3 3 2 3 3" xfId="23050" xr:uid="{00000000-0005-0000-0000-000005420000}"/>
    <cellStyle name="Normal 34 3 3 2 4" xfId="10334" xr:uid="{00000000-0005-0000-0000-000006420000}"/>
    <cellStyle name="Normal 34 3 3 2 4 2" xfId="27274" xr:uid="{00000000-0005-0000-0000-000007420000}"/>
    <cellStyle name="Normal 34 3 3 2 5" xfId="18826" xr:uid="{00000000-0005-0000-0000-000008420000}"/>
    <cellStyle name="Normal 34 3 3 3" xfId="2940" xr:uid="{00000000-0005-0000-0000-000009420000}"/>
    <cellStyle name="Normal 34 3 3 3 2" xfId="7166" xr:uid="{00000000-0005-0000-0000-00000A420000}"/>
    <cellStyle name="Normal 34 3 3 3 2 2" xfId="15614" xr:uid="{00000000-0005-0000-0000-00000B420000}"/>
    <cellStyle name="Normal 34 3 3 3 2 2 2" xfId="32554" xr:uid="{00000000-0005-0000-0000-00000C420000}"/>
    <cellStyle name="Normal 34 3 3 3 2 3" xfId="24106" xr:uid="{00000000-0005-0000-0000-00000D420000}"/>
    <cellStyle name="Normal 34 3 3 3 3" xfId="11390" xr:uid="{00000000-0005-0000-0000-00000E420000}"/>
    <cellStyle name="Normal 34 3 3 3 3 2" xfId="28330" xr:uid="{00000000-0005-0000-0000-00000F420000}"/>
    <cellStyle name="Normal 34 3 3 3 4" xfId="19882" xr:uid="{00000000-0005-0000-0000-000010420000}"/>
    <cellStyle name="Normal 34 3 3 4" xfId="5054" xr:uid="{00000000-0005-0000-0000-000011420000}"/>
    <cellStyle name="Normal 34 3 3 4 2" xfId="13502" xr:uid="{00000000-0005-0000-0000-000012420000}"/>
    <cellStyle name="Normal 34 3 3 4 2 2" xfId="30442" xr:uid="{00000000-0005-0000-0000-000013420000}"/>
    <cellStyle name="Normal 34 3 3 4 3" xfId="21994" xr:uid="{00000000-0005-0000-0000-000014420000}"/>
    <cellStyle name="Normal 34 3 3 5" xfId="9278" xr:uid="{00000000-0005-0000-0000-000015420000}"/>
    <cellStyle name="Normal 34 3 3 5 2" xfId="26218" xr:uid="{00000000-0005-0000-0000-000016420000}"/>
    <cellStyle name="Normal 34 3 3 6" xfId="17770" xr:uid="{00000000-0005-0000-0000-000017420000}"/>
    <cellStyle name="Normal 34 3 4" xfId="1174" xr:uid="{00000000-0005-0000-0000-000018420000}"/>
    <cellStyle name="Normal 34 3 4 2" xfId="2236" xr:uid="{00000000-0005-0000-0000-000019420000}"/>
    <cellStyle name="Normal 34 3 4 2 2" xfId="4348" xr:uid="{00000000-0005-0000-0000-00001A420000}"/>
    <cellStyle name="Normal 34 3 4 2 2 2" xfId="8574" xr:uid="{00000000-0005-0000-0000-00001B420000}"/>
    <cellStyle name="Normal 34 3 4 2 2 2 2" xfId="17022" xr:uid="{00000000-0005-0000-0000-00001C420000}"/>
    <cellStyle name="Normal 34 3 4 2 2 2 2 2" xfId="33962" xr:uid="{00000000-0005-0000-0000-00001D420000}"/>
    <cellStyle name="Normal 34 3 4 2 2 2 3" xfId="25514" xr:uid="{00000000-0005-0000-0000-00001E420000}"/>
    <cellStyle name="Normal 34 3 4 2 2 3" xfId="12798" xr:uid="{00000000-0005-0000-0000-00001F420000}"/>
    <cellStyle name="Normal 34 3 4 2 2 3 2" xfId="29738" xr:uid="{00000000-0005-0000-0000-000020420000}"/>
    <cellStyle name="Normal 34 3 4 2 2 4" xfId="21290" xr:uid="{00000000-0005-0000-0000-000021420000}"/>
    <cellStyle name="Normal 34 3 4 2 3" xfId="6462" xr:uid="{00000000-0005-0000-0000-000022420000}"/>
    <cellStyle name="Normal 34 3 4 2 3 2" xfId="14910" xr:uid="{00000000-0005-0000-0000-000023420000}"/>
    <cellStyle name="Normal 34 3 4 2 3 2 2" xfId="31850" xr:uid="{00000000-0005-0000-0000-000024420000}"/>
    <cellStyle name="Normal 34 3 4 2 3 3" xfId="23402" xr:uid="{00000000-0005-0000-0000-000025420000}"/>
    <cellStyle name="Normal 34 3 4 2 4" xfId="10686" xr:uid="{00000000-0005-0000-0000-000026420000}"/>
    <cellStyle name="Normal 34 3 4 2 4 2" xfId="27626" xr:uid="{00000000-0005-0000-0000-000027420000}"/>
    <cellStyle name="Normal 34 3 4 2 5" xfId="19178" xr:uid="{00000000-0005-0000-0000-000028420000}"/>
    <cellStyle name="Normal 34 3 4 3" xfId="3292" xr:uid="{00000000-0005-0000-0000-000029420000}"/>
    <cellStyle name="Normal 34 3 4 3 2" xfId="7518" xr:uid="{00000000-0005-0000-0000-00002A420000}"/>
    <cellStyle name="Normal 34 3 4 3 2 2" xfId="15966" xr:uid="{00000000-0005-0000-0000-00002B420000}"/>
    <cellStyle name="Normal 34 3 4 3 2 2 2" xfId="32906" xr:uid="{00000000-0005-0000-0000-00002C420000}"/>
    <cellStyle name="Normal 34 3 4 3 2 3" xfId="24458" xr:uid="{00000000-0005-0000-0000-00002D420000}"/>
    <cellStyle name="Normal 34 3 4 3 3" xfId="11742" xr:uid="{00000000-0005-0000-0000-00002E420000}"/>
    <cellStyle name="Normal 34 3 4 3 3 2" xfId="28682" xr:uid="{00000000-0005-0000-0000-00002F420000}"/>
    <cellStyle name="Normal 34 3 4 3 4" xfId="20234" xr:uid="{00000000-0005-0000-0000-000030420000}"/>
    <cellStyle name="Normal 34 3 4 4" xfId="5406" xr:uid="{00000000-0005-0000-0000-000031420000}"/>
    <cellStyle name="Normal 34 3 4 4 2" xfId="13854" xr:uid="{00000000-0005-0000-0000-000032420000}"/>
    <cellStyle name="Normal 34 3 4 4 2 2" xfId="30794" xr:uid="{00000000-0005-0000-0000-000033420000}"/>
    <cellStyle name="Normal 34 3 4 4 3" xfId="22346" xr:uid="{00000000-0005-0000-0000-000034420000}"/>
    <cellStyle name="Normal 34 3 4 5" xfId="9630" xr:uid="{00000000-0005-0000-0000-000035420000}"/>
    <cellStyle name="Normal 34 3 4 5 2" xfId="26570" xr:uid="{00000000-0005-0000-0000-000036420000}"/>
    <cellStyle name="Normal 34 3 4 6" xfId="18122" xr:uid="{00000000-0005-0000-0000-000037420000}"/>
    <cellStyle name="Normal 34 3 5" xfId="1356" xr:uid="{00000000-0005-0000-0000-000038420000}"/>
    <cellStyle name="Normal 34 3 5 2" xfId="2412" xr:uid="{00000000-0005-0000-0000-000039420000}"/>
    <cellStyle name="Normal 34 3 5 2 2" xfId="4524" xr:uid="{00000000-0005-0000-0000-00003A420000}"/>
    <cellStyle name="Normal 34 3 5 2 2 2" xfId="8750" xr:uid="{00000000-0005-0000-0000-00003B420000}"/>
    <cellStyle name="Normal 34 3 5 2 2 2 2" xfId="17198" xr:uid="{00000000-0005-0000-0000-00003C420000}"/>
    <cellStyle name="Normal 34 3 5 2 2 2 2 2" xfId="34138" xr:uid="{00000000-0005-0000-0000-00003D420000}"/>
    <cellStyle name="Normal 34 3 5 2 2 2 3" xfId="25690" xr:uid="{00000000-0005-0000-0000-00003E420000}"/>
    <cellStyle name="Normal 34 3 5 2 2 3" xfId="12974" xr:uid="{00000000-0005-0000-0000-00003F420000}"/>
    <cellStyle name="Normal 34 3 5 2 2 3 2" xfId="29914" xr:uid="{00000000-0005-0000-0000-000040420000}"/>
    <cellStyle name="Normal 34 3 5 2 2 4" xfId="21466" xr:uid="{00000000-0005-0000-0000-000041420000}"/>
    <cellStyle name="Normal 34 3 5 2 3" xfId="6638" xr:uid="{00000000-0005-0000-0000-000042420000}"/>
    <cellStyle name="Normal 34 3 5 2 3 2" xfId="15086" xr:uid="{00000000-0005-0000-0000-000043420000}"/>
    <cellStyle name="Normal 34 3 5 2 3 2 2" xfId="32026" xr:uid="{00000000-0005-0000-0000-000044420000}"/>
    <cellStyle name="Normal 34 3 5 2 3 3" xfId="23578" xr:uid="{00000000-0005-0000-0000-000045420000}"/>
    <cellStyle name="Normal 34 3 5 2 4" xfId="10862" xr:uid="{00000000-0005-0000-0000-000046420000}"/>
    <cellStyle name="Normal 34 3 5 2 4 2" xfId="27802" xr:uid="{00000000-0005-0000-0000-000047420000}"/>
    <cellStyle name="Normal 34 3 5 2 5" xfId="19354" xr:uid="{00000000-0005-0000-0000-000048420000}"/>
    <cellStyle name="Normal 34 3 5 3" xfId="3468" xr:uid="{00000000-0005-0000-0000-000049420000}"/>
    <cellStyle name="Normal 34 3 5 3 2" xfId="7694" xr:uid="{00000000-0005-0000-0000-00004A420000}"/>
    <cellStyle name="Normal 34 3 5 3 2 2" xfId="16142" xr:uid="{00000000-0005-0000-0000-00004B420000}"/>
    <cellStyle name="Normal 34 3 5 3 2 2 2" xfId="33082" xr:uid="{00000000-0005-0000-0000-00004C420000}"/>
    <cellStyle name="Normal 34 3 5 3 2 3" xfId="24634" xr:uid="{00000000-0005-0000-0000-00004D420000}"/>
    <cellStyle name="Normal 34 3 5 3 3" xfId="11918" xr:uid="{00000000-0005-0000-0000-00004E420000}"/>
    <cellStyle name="Normal 34 3 5 3 3 2" xfId="28858" xr:uid="{00000000-0005-0000-0000-00004F420000}"/>
    <cellStyle name="Normal 34 3 5 3 4" xfId="20410" xr:uid="{00000000-0005-0000-0000-000050420000}"/>
    <cellStyle name="Normal 34 3 5 4" xfId="5582" xr:uid="{00000000-0005-0000-0000-000051420000}"/>
    <cellStyle name="Normal 34 3 5 4 2" xfId="14030" xr:uid="{00000000-0005-0000-0000-000052420000}"/>
    <cellStyle name="Normal 34 3 5 4 2 2" xfId="30970" xr:uid="{00000000-0005-0000-0000-000053420000}"/>
    <cellStyle name="Normal 34 3 5 4 3" xfId="22522" xr:uid="{00000000-0005-0000-0000-000054420000}"/>
    <cellStyle name="Normal 34 3 5 5" xfId="9806" xr:uid="{00000000-0005-0000-0000-000055420000}"/>
    <cellStyle name="Normal 34 3 5 5 2" xfId="26746" xr:uid="{00000000-0005-0000-0000-000056420000}"/>
    <cellStyle name="Normal 34 3 5 6" xfId="18298" xr:uid="{00000000-0005-0000-0000-000057420000}"/>
    <cellStyle name="Normal 34 3 6" xfId="1532" xr:uid="{00000000-0005-0000-0000-000058420000}"/>
    <cellStyle name="Normal 34 3 6 2" xfId="3644" xr:uid="{00000000-0005-0000-0000-000059420000}"/>
    <cellStyle name="Normal 34 3 6 2 2" xfId="7870" xr:uid="{00000000-0005-0000-0000-00005A420000}"/>
    <cellStyle name="Normal 34 3 6 2 2 2" xfId="16318" xr:uid="{00000000-0005-0000-0000-00005B420000}"/>
    <cellStyle name="Normal 34 3 6 2 2 2 2" xfId="33258" xr:uid="{00000000-0005-0000-0000-00005C420000}"/>
    <cellStyle name="Normal 34 3 6 2 2 3" xfId="24810" xr:uid="{00000000-0005-0000-0000-00005D420000}"/>
    <cellStyle name="Normal 34 3 6 2 3" xfId="12094" xr:uid="{00000000-0005-0000-0000-00005E420000}"/>
    <cellStyle name="Normal 34 3 6 2 3 2" xfId="29034" xr:uid="{00000000-0005-0000-0000-00005F420000}"/>
    <cellStyle name="Normal 34 3 6 2 4" xfId="20586" xr:uid="{00000000-0005-0000-0000-000060420000}"/>
    <cellStyle name="Normal 34 3 6 3" xfId="5758" xr:uid="{00000000-0005-0000-0000-000061420000}"/>
    <cellStyle name="Normal 34 3 6 3 2" xfId="14206" xr:uid="{00000000-0005-0000-0000-000062420000}"/>
    <cellStyle name="Normal 34 3 6 3 2 2" xfId="31146" xr:uid="{00000000-0005-0000-0000-000063420000}"/>
    <cellStyle name="Normal 34 3 6 3 3" xfId="22698" xr:uid="{00000000-0005-0000-0000-000064420000}"/>
    <cellStyle name="Normal 34 3 6 4" xfId="9982" xr:uid="{00000000-0005-0000-0000-000065420000}"/>
    <cellStyle name="Normal 34 3 6 4 2" xfId="26922" xr:uid="{00000000-0005-0000-0000-000066420000}"/>
    <cellStyle name="Normal 34 3 6 5" xfId="18474" xr:uid="{00000000-0005-0000-0000-000067420000}"/>
    <cellStyle name="Normal 34 3 7" xfId="2588" xr:uid="{00000000-0005-0000-0000-000068420000}"/>
    <cellStyle name="Normal 34 3 7 2" xfId="6814" xr:uid="{00000000-0005-0000-0000-000069420000}"/>
    <cellStyle name="Normal 34 3 7 2 2" xfId="15262" xr:uid="{00000000-0005-0000-0000-00006A420000}"/>
    <cellStyle name="Normal 34 3 7 2 2 2" xfId="32202" xr:uid="{00000000-0005-0000-0000-00006B420000}"/>
    <cellStyle name="Normal 34 3 7 2 3" xfId="23754" xr:uid="{00000000-0005-0000-0000-00006C420000}"/>
    <cellStyle name="Normal 34 3 7 3" xfId="11038" xr:uid="{00000000-0005-0000-0000-00006D420000}"/>
    <cellStyle name="Normal 34 3 7 3 2" xfId="27978" xr:uid="{00000000-0005-0000-0000-00006E420000}"/>
    <cellStyle name="Normal 34 3 7 4" xfId="19530" xr:uid="{00000000-0005-0000-0000-00006F420000}"/>
    <cellStyle name="Normal 34 3 8" xfId="4701" xr:uid="{00000000-0005-0000-0000-000070420000}"/>
    <cellStyle name="Normal 34 3 8 2" xfId="13150" xr:uid="{00000000-0005-0000-0000-000071420000}"/>
    <cellStyle name="Normal 34 3 8 2 2" xfId="30090" xr:uid="{00000000-0005-0000-0000-000072420000}"/>
    <cellStyle name="Normal 34 3 8 3" xfId="21642" xr:uid="{00000000-0005-0000-0000-000073420000}"/>
    <cellStyle name="Normal 34 3 9" xfId="8926" xr:uid="{00000000-0005-0000-0000-000074420000}"/>
    <cellStyle name="Normal 34 3 9 2" xfId="25866" xr:uid="{00000000-0005-0000-0000-000075420000}"/>
    <cellStyle name="Normal 34 4" xfId="644" xr:uid="{00000000-0005-0000-0000-000076420000}"/>
    <cellStyle name="Normal 34 4 2" xfId="996" xr:uid="{00000000-0005-0000-0000-000077420000}"/>
    <cellStyle name="Normal 34 4 2 2" xfId="2058" xr:uid="{00000000-0005-0000-0000-000078420000}"/>
    <cellStyle name="Normal 34 4 2 2 2" xfId="4170" xr:uid="{00000000-0005-0000-0000-000079420000}"/>
    <cellStyle name="Normal 34 4 2 2 2 2" xfId="8396" xr:uid="{00000000-0005-0000-0000-00007A420000}"/>
    <cellStyle name="Normal 34 4 2 2 2 2 2" xfId="16844" xr:uid="{00000000-0005-0000-0000-00007B420000}"/>
    <cellStyle name="Normal 34 4 2 2 2 2 2 2" xfId="33784" xr:uid="{00000000-0005-0000-0000-00007C420000}"/>
    <cellStyle name="Normal 34 4 2 2 2 2 3" xfId="25336" xr:uid="{00000000-0005-0000-0000-00007D420000}"/>
    <cellStyle name="Normal 34 4 2 2 2 3" xfId="12620" xr:uid="{00000000-0005-0000-0000-00007E420000}"/>
    <cellStyle name="Normal 34 4 2 2 2 3 2" xfId="29560" xr:uid="{00000000-0005-0000-0000-00007F420000}"/>
    <cellStyle name="Normal 34 4 2 2 2 4" xfId="21112" xr:uid="{00000000-0005-0000-0000-000080420000}"/>
    <cellStyle name="Normal 34 4 2 2 3" xfId="6284" xr:uid="{00000000-0005-0000-0000-000081420000}"/>
    <cellStyle name="Normal 34 4 2 2 3 2" xfId="14732" xr:uid="{00000000-0005-0000-0000-000082420000}"/>
    <cellStyle name="Normal 34 4 2 2 3 2 2" xfId="31672" xr:uid="{00000000-0005-0000-0000-000083420000}"/>
    <cellStyle name="Normal 34 4 2 2 3 3" xfId="23224" xr:uid="{00000000-0005-0000-0000-000084420000}"/>
    <cellStyle name="Normal 34 4 2 2 4" xfId="10508" xr:uid="{00000000-0005-0000-0000-000085420000}"/>
    <cellStyle name="Normal 34 4 2 2 4 2" xfId="27448" xr:uid="{00000000-0005-0000-0000-000086420000}"/>
    <cellStyle name="Normal 34 4 2 2 5" xfId="19000" xr:uid="{00000000-0005-0000-0000-000087420000}"/>
    <cellStyle name="Normal 34 4 2 3" xfId="3114" xr:uid="{00000000-0005-0000-0000-000088420000}"/>
    <cellStyle name="Normal 34 4 2 3 2" xfId="7340" xr:uid="{00000000-0005-0000-0000-000089420000}"/>
    <cellStyle name="Normal 34 4 2 3 2 2" xfId="15788" xr:uid="{00000000-0005-0000-0000-00008A420000}"/>
    <cellStyle name="Normal 34 4 2 3 2 2 2" xfId="32728" xr:uid="{00000000-0005-0000-0000-00008B420000}"/>
    <cellStyle name="Normal 34 4 2 3 2 3" xfId="24280" xr:uid="{00000000-0005-0000-0000-00008C420000}"/>
    <cellStyle name="Normal 34 4 2 3 3" xfId="11564" xr:uid="{00000000-0005-0000-0000-00008D420000}"/>
    <cellStyle name="Normal 34 4 2 3 3 2" xfId="28504" xr:uid="{00000000-0005-0000-0000-00008E420000}"/>
    <cellStyle name="Normal 34 4 2 3 4" xfId="20056" xr:uid="{00000000-0005-0000-0000-00008F420000}"/>
    <cellStyle name="Normal 34 4 2 4" xfId="5228" xr:uid="{00000000-0005-0000-0000-000090420000}"/>
    <cellStyle name="Normal 34 4 2 4 2" xfId="13676" xr:uid="{00000000-0005-0000-0000-000091420000}"/>
    <cellStyle name="Normal 34 4 2 4 2 2" xfId="30616" xr:uid="{00000000-0005-0000-0000-000092420000}"/>
    <cellStyle name="Normal 34 4 2 4 3" xfId="22168" xr:uid="{00000000-0005-0000-0000-000093420000}"/>
    <cellStyle name="Normal 34 4 2 5" xfId="9452" xr:uid="{00000000-0005-0000-0000-000094420000}"/>
    <cellStyle name="Normal 34 4 2 5 2" xfId="26392" xr:uid="{00000000-0005-0000-0000-000095420000}"/>
    <cellStyle name="Normal 34 4 2 6" xfId="17944" xr:uid="{00000000-0005-0000-0000-000096420000}"/>
    <cellStyle name="Normal 34 4 3" xfId="1706" xr:uid="{00000000-0005-0000-0000-000097420000}"/>
    <cellStyle name="Normal 34 4 3 2" xfId="3818" xr:uid="{00000000-0005-0000-0000-000098420000}"/>
    <cellStyle name="Normal 34 4 3 2 2" xfId="8044" xr:uid="{00000000-0005-0000-0000-000099420000}"/>
    <cellStyle name="Normal 34 4 3 2 2 2" xfId="16492" xr:uid="{00000000-0005-0000-0000-00009A420000}"/>
    <cellStyle name="Normal 34 4 3 2 2 2 2" xfId="33432" xr:uid="{00000000-0005-0000-0000-00009B420000}"/>
    <cellStyle name="Normal 34 4 3 2 2 3" xfId="24984" xr:uid="{00000000-0005-0000-0000-00009C420000}"/>
    <cellStyle name="Normal 34 4 3 2 3" xfId="12268" xr:uid="{00000000-0005-0000-0000-00009D420000}"/>
    <cellStyle name="Normal 34 4 3 2 3 2" xfId="29208" xr:uid="{00000000-0005-0000-0000-00009E420000}"/>
    <cellStyle name="Normal 34 4 3 2 4" xfId="20760" xr:uid="{00000000-0005-0000-0000-00009F420000}"/>
    <cellStyle name="Normal 34 4 3 3" xfId="5932" xr:uid="{00000000-0005-0000-0000-0000A0420000}"/>
    <cellStyle name="Normal 34 4 3 3 2" xfId="14380" xr:uid="{00000000-0005-0000-0000-0000A1420000}"/>
    <cellStyle name="Normal 34 4 3 3 2 2" xfId="31320" xr:uid="{00000000-0005-0000-0000-0000A2420000}"/>
    <cellStyle name="Normal 34 4 3 3 3" xfId="22872" xr:uid="{00000000-0005-0000-0000-0000A3420000}"/>
    <cellStyle name="Normal 34 4 3 4" xfId="10156" xr:uid="{00000000-0005-0000-0000-0000A4420000}"/>
    <cellStyle name="Normal 34 4 3 4 2" xfId="27096" xr:uid="{00000000-0005-0000-0000-0000A5420000}"/>
    <cellStyle name="Normal 34 4 3 5" xfId="18648" xr:uid="{00000000-0005-0000-0000-0000A6420000}"/>
    <cellStyle name="Normal 34 4 4" xfId="2762" xr:uid="{00000000-0005-0000-0000-0000A7420000}"/>
    <cellStyle name="Normal 34 4 4 2" xfId="6988" xr:uid="{00000000-0005-0000-0000-0000A8420000}"/>
    <cellStyle name="Normal 34 4 4 2 2" xfId="15436" xr:uid="{00000000-0005-0000-0000-0000A9420000}"/>
    <cellStyle name="Normal 34 4 4 2 2 2" xfId="32376" xr:uid="{00000000-0005-0000-0000-0000AA420000}"/>
    <cellStyle name="Normal 34 4 4 2 3" xfId="23928" xr:uid="{00000000-0005-0000-0000-0000AB420000}"/>
    <cellStyle name="Normal 34 4 4 3" xfId="11212" xr:uid="{00000000-0005-0000-0000-0000AC420000}"/>
    <cellStyle name="Normal 34 4 4 3 2" xfId="28152" xr:uid="{00000000-0005-0000-0000-0000AD420000}"/>
    <cellStyle name="Normal 34 4 4 4" xfId="19704" xr:uid="{00000000-0005-0000-0000-0000AE420000}"/>
    <cellStyle name="Normal 34 4 5" xfId="4876" xr:uid="{00000000-0005-0000-0000-0000AF420000}"/>
    <cellStyle name="Normal 34 4 5 2" xfId="13324" xr:uid="{00000000-0005-0000-0000-0000B0420000}"/>
    <cellStyle name="Normal 34 4 5 2 2" xfId="30264" xr:uid="{00000000-0005-0000-0000-0000B1420000}"/>
    <cellStyle name="Normal 34 4 5 3" xfId="21816" xr:uid="{00000000-0005-0000-0000-0000B2420000}"/>
    <cellStyle name="Normal 34 4 6" xfId="9100" xr:uid="{00000000-0005-0000-0000-0000B3420000}"/>
    <cellStyle name="Normal 34 4 6 2" xfId="26040" xr:uid="{00000000-0005-0000-0000-0000B4420000}"/>
    <cellStyle name="Normal 34 4 7" xfId="17592" xr:uid="{00000000-0005-0000-0000-0000B5420000}"/>
    <cellStyle name="Normal 34 5" xfId="820" xr:uid="{00000000-0005-0000-0000-0000B6420000}"/>
    <cellStyle name="Normal 34 5 2" xfId="1882" xr:uid="{00000000-0005-0000-0000-0000B7420000}"/>
    <cellStyle name="Normal 34 5 2 2" xfId="3994" xr:uid="{00000000-0005-0000-0000-0000B8420000}"/>
    <cellStyle name="Normal 34 5 2 2 2" xfId="8220" xr:uid="{00000000-0005-0000-0000-0000B9420000}"/>
    <cellStyle name="Normal 34 5 2 2 2 2" xfId="16668" xr:uid="{00000000-0005-0000-0000-0000BA420000}"/>
    <cellStyle name="Normal 34 5 2 2 2 2 2" xfId="33608" xr:uid="{00000000-0005-0000-0000-0000BB420000}"/>
    <cellStyle name="Normal 34 5 2 2 2 3" xfId="25160" xr:uid="{00000000-0005-0000-0000-0000BC420000}"/>
    <cellStyle name="Normal 34 5 2 2 3" xfId="12444" xr:uid="{00000000-0005-0000-0000-0000BD420000}"/>
    <cellStyle name="Normal 34 5 2 2 3 2" xfId="29384" xr:uid="{00000000-0005-0000-0000-0000BE420000}"/>
    <cellStyle name="Normal 34 5 2 2 4" xfId="20936" xr:uid="{00000000-0005-0000-0000-0000BF420000}"/>
    <cellStyle name="Normal 34 5 2 3" xfId="6108" xr:uid="{00000000-0005-0000-0000-0000C0420000}"/>
    <cellStyle name="Normal 34 5 2 3 2" xfId="14556" xr:uid="{00000000-0005-0000-0000-0000C1420000}"/>
    <cellStyle name="Normal 34 5 2 3 2 2" xfId="31496" xr:uid="{00000000-0005-0000-0000-0000C2420000}"/>
    <cellStyle name="Normal 34 5 2 3 3" xfId="23048" xr:uid="{00000000-0005-0000-0000-0000C3420000}"/>
    <cellStyle name="Normal 34 5 2 4" xfId="10332" xr:uid="{00000000-0005-0000-0000-0000C4420000}"/>
    <cellStyle name="Normal 34 5 2 4 2" xfId="27272" xr:uid="{00000000-0005-0000-0000-0000C5420000}"/>
    <cellStyle name="Normal 34 5 2 5" xfId="18824" xr:uid="{00000000-0005-0000-0000-0000C6420000}"/>
    <cellStyle name="Normal 34 5 3" xfId="2938" xr:uid="{00000000-0005-0000-0000-0000C7420000}"/>
    <cellStyle name="Normal 34 5 3 2" xfId="7164" xr:uid="{00000000-0005-0000-0000-0000C8420000}"/>
    <cellStyle name="Normal 34 5 3 2 2" xfId="15612" xr:uid="{00000000-0005-0000-0000-0000C9420000}"/>
    <cellStyle name="Normal 34 5 3 2 2 2" xfId="32552" xr:uid="{00000000-0005-0000-0000-0000CA420000}"/>
    <cellStyle name="Normal 34 5 3 2 3" xfId="24104" xr:uid="{00000000-0005-0000-0000-0000CB420000}"/>
    <cellStyle name="Normal 34 5 3 3" xfId="11388" xr:uid="{00000000-0005-0000-0000-0000CC420000}"/>
    <cellStyle name="Normal 34 5 3 3 2" xfId="28328" xr:uid="{00000000-0005-0000-0000-0000CD420000}"/>
    <cellStyle name="Normal 34 5 3 4" xfId="19880" xr:uid="{00000000-0005-0000-0000-0000CE420000}"/>
    <cellStyle name="Normal 34 5 4" xfId="5052" xr:uid="{00000000-0005-0000-0000-0000CF420000}"/>
    <cellStyle name="Normal 34 5 4 2" xfId="13500" xr:uid="{00000000-0005-0000-0000-0000D0420000}"/>
    <cellStyle name="Normal 34 5 4 2 2" xfId="30440" xr:uid="{00000000-0005-0000-0000-0000D1420000}"/>
    <cellStyle name="Normal 34 5 4 3" xfId="21992" xr:uid="{00000000-0005-0000-0000-0000D2420000}"/>
    <cellStyle name="Normal 34 5 5" xfId="9276" xr:uid="{00000000-0005-0000-0000-0000D3420000}"/>
    <cellStyle name="Normal 34 5 5 2" xfId="26216" xr:uid="{00000000-0005-0000-0000-0000D4420000}"/>
    <cellStyle name="Normal 34 5 6" xfId="17768" xr:uid="{00000000-0005-0000-0000-0000D5420000}"/>
    <cellStyle name="Normal 34 6" xfId="1172" xr:uid="{00000000-0005-0000-0000-0000D6420000}"/>
    <cellStyle name="Normal 34 6 2" xfId="2234" xr:uid="{00000000-0005-0000-0000-0000D7420000}"/>
    <cellStyle name="Normal 34 6 2 2" xfId="4346" xr:uid="{00000000-0005-0000-0000-0000D8420000}"/>
    <cellStyle name="Normal 34 6 2 2 2" xfId="8572" xr:uid="{00000000-0005-0000-0000-0000D9420000}"/>
    <cellStyle name="Normal 34 6 2 2 2 2" xfId="17020" xr:uid="{00000000-0005-0000-0000-0000DA420000}"/>
    <cellStyle name="Normal 34 6 2 2 2 2 2" xfId="33960" xr:uid="{00000000-0005-0000-0000-0000DB420000}"/>
    <cellStyle name="Normal 34 6 2 2 2 3" xfId="25512" xr:uid="{00000000-0005-0000-0000-0000DC420000}"/>
    <cellStyle name="Normal 34 6 2 2 3" xfId="12796" xr:uid="{00000000-0005-0000-0000-0000DD420000}"/>
    <cellStyle name="Normal 34 6 2 2 3 2" xfId="29736" xr:uid="{00000000-0005-0000-0000-0000DE420000}"/>
    <cellStyle name="Normal 34 6 2 2 4" xfId="21288" xr:uid="{00000000-0005-0000-0000-0000DF420000}"/>
    <cellStyle name="Normal 34 6 2 3" xfId="6460" xr:uid="{00000000-0005-0000-0000-0000E0420000}"/>
    <cellStyle name="Normal 34 6 2 3 2" xfId="14908" xr:uid="{00000000-0005-0000-0000-0000E1420000}"/>
    <cellStyle name="Normal 34 6 2 3 2 2" xfId="31848" xr:uid="{00000000-0005-0000-0000-0000E2420000}"/>
    <cellStyle name="Normal 34 6 2 3 3" xfId="23400" xr:uid="{00000000-0005-0000-0000-0000E3420000}"/>
    <cellStyle name="Normal 34 6 2 4" xfId="10684" xr:uid="{00000000-0005-0000-0000-0000E4420000}"/>
    <cellStyle name="Normal 34 6 2 4 2" xfId="27624" xr:uid="{00000000-0005-0000-0000-0000E5420000}"/>
    <cellStyle name="Normal 34 6 2 5" xfId="19176" xr:uid="{00000000-0005-0000-0000-0000E6420000}"/>
    <cellStyle name="Normal 34 6 3" xfId="3290" xr:uid="{00000000-0005-0000-0000-0000E7420000}"/>
    <cellStyle name="Normal 34 6 3 2" xfId="7516" xr:uid="{00000000-0005-0000-0000-0000E8420000}"/>
    <cellStyle name="Normal 34 6 3 2 2" xfId="15964" xr:uid="{00000000-0005-0000-0000-0000E9420000}"/>
    <cellStyle name="Normal 34 6 3 2 2 2" xfId="32904" xr:uid="{00000000-0005-0000-0000-0000EA420000}"/>
    <cellStyle name="Normal 34 6 3 2 3" xfId="24456" xr:uid="{00000000-0005-0000-0000-0000EB420000}"/>
    <cellStyle name="Normal 34 6 3 3" xfId="11740" xr:uid="{00000000-0005-0000-0000-0000EC420000}"/>
    <cellStyle name="Normal 34 6 3 3 2" xfId="28680" xr:uid="{00000000-0005-0000-0000-0000ED420000}"/>
    <cellStyle name="Normal 34 6 3 4" xfId="20232" xr:uid="{00000000-0005-0000-0000-0000EE420000}"/>
    <cellStyle name="Normal 34 6 4" xfId="5404" xr:uid="{00000000-0005-0000-0000-0000EF420000}"/>
    <cellStyle name="Normal 34 6 4 2" xfId="13852" xr:uid="{00000000-0005-0000-0000-0000F0420000}"/>
    <cellStyle name="Normal 34 6 4 2 2" xfId="30792" xr:uid="{00000000-0005-0000-0000-0000F1420000}"/>
    <cellStyle name="Normal 34 6 4 3" xfId="22344" xr:uid="{00000000-0005-0000-0000-0000F2420000}"/>
    <cellStyle name="Normal 34 6 5" xfId="9628" xr:uid="{00000000-0005-0000-0000-0000F3420000}"/>
    <cellStyle name="Normal 34 6 5 2" xfId="26568" xr:uid="{00000000-0005-0000-0000-0000F4420000}"/>
    <cellStyle name="Normal 34 6 6" xfId="18120" xr:uid="{00000000-0005-0000-0000-0000F5420000}"/>
    <cellStyle name="Normal 34 7" xfId="1354" xr:uid="{00000000-0005-0000-0000-0000F6420000}"/>
    <cellStyle name="Normal 34 7 2" xfId="2410" xr:uid="{00000000-0005-0000-0000-0000F7420000}"/>
    <cellStyle name="Normal 34 7 2 2" xfId="4522" xr:uid="{00000000-0005-0000-0000-0000F8420000}"/>
    <cellStyle name="Normal 34 7 2 2 2" xfId="8748" xr:uid="{00000000-0005-0000-0000-0000F9420000}"/>
    <cellStyle name="Normal 34 7 2 2 2 2" xfId="17196" xr:uid="{00000000-0005-0000-0000-0000FA420000}"/>
    <cellStyle name="Normal 34 7 2 2 2 2 2" xfId="34136" xr:uid="{00000000-0005-0000-0000-0000FB420000}"/>
    <cellStyle name="Normal 34 7 2 2 2 3" xfId="25688" xr:uid="{00000000-0005-0000-0000-0000FC420000}"/>
    <cellStyle name="Normal 34 7 2 2 3" xfId="12972" xr:uid="{00000000-0005-0000-0000-0000FD420000}"/>
    <cellStyle name="Normal 34 7 2 2 3 2" xfId="29912" xr:uid="{00000000-0005-0000-0000-0000FE420000}"/>
    <cellStyle name="Normal 34 7 2 2 4" xfId="21464" xr:uid="{00000000-0005-0000-0000-0000FF420000}"/>
    <cellStyle name="Normal 34 7 2 3" xfId="6636" xr:uid="{00000000-0005-0000-0000-000000430000}"/>
    <cellStyle name="Normal 34 7 2 3 2" xfId="15084" xr:uid="{00000000-0005-0000-0000-000001430000}"/>
    <cellStyle name="Normal 34 7 2 3 2 2" xfId="32024" xr:uid="{00000000-0005-0000-0000-000002430000}"/>
    <cellStyle name="Normal 34 7 2 3 3" xfId="23576" xr:uid="{00000000-0005-0000-0000-000003430000}"/>
    <cellStyle name="Normal 34 7 2 4" xfId="10860" xr:uid="{00000000-0005-0000-0000-000004430000}"/>
    <cellStyle name="Normal 34 7 2 4 2" xfId="27800" xr:uid="{00000000-0005-0000-0000-000005430000}"/>
    <cellStyle name="Normal 34 7 2 5" xfId="19352" xr:uid="{00000000-0005-0000-0000-000006430000}"/>
    <cellStyle name="Normal 34 7 3" xfId="3466" xr:uid="{00000000-0005-0000-0000-000007430000}"/>
    <cellStyle name="Normal 34 7 3 2" xfId="7692" xr:uid="{00000000-0005-0000-0000-000008430000}"/>
    <cellStyle name="Normal 34 7 3 2 2" xfId="16140" xr:uid="{00000000-0005-0000-0000-000009430000}"/>
    <cellStyle name="Normal 34 7 3 2 2 2" xfId="33080" xr:uid="{00000000-0005-0000-0000-00000A430000}"/>
    <cellStyle name="Normal 34 7 3 2 3" xfId="24632" xr:uid="{00000000-0005-0000-0000-00000B430000}"/>
    <cellStyle name="Normal 34 7 3 3" xfId="11916" xr:uid="{00000000-0005-0000-0000-00000C430000}"/>
    <cellStyle name="Normal 34 7 3 3 2" xfId="28856" xr:uid="{00000000-0005-0000-0000-00000D430000}"/>
    <cellStyle name="Normal 34 7 3 4" xfId="20408" xr:uid="{00000000-0005-0000-0000-00000E430000}"/>
    <cellStyle name="Normal 34 7 4" xfId="5580" xr:uid="{00000000-0005-0000-0000-00000F430000}"/>
    <cellStyle name="Normal 34 7 4 2" xfId="14028" xr:uid="{00000000-0005-0000-0000-000010430000}"/>
    <cellStyle name="Normal 34 7 4 2 2" xfId="30968" xr:uid="{00000000-0005-0000-0000-000011430000}"/>
    <cellStyle name="Normal 34 7 4 3" xfId="22520" xr:uid="{00000000-0005-0000-0000-000012430000}"/>
    <cellStyle name="Normal 34 7 5" xfId="9804" xr:uid="{00000000-0005-0000-0000-000013430000}"/>
    <cellStyle name="Normal 34 7 5 2" xfId="26744" xr:uid="{00000000-0005-0000-0000-000014430000}"/>
    <cellStyle name="Normal 34 7 6" xfId="18296" xr:uid="{00000000-0005-0000-0000-000015430000}"/>
    <cellStyle name="Normal 34 8" xfId="1530" xr:uid="{00000000-0005-0000-0000-000016430000}"/>
    <cellStyle name="Normal 34 8 2" xfId="3642" xr:uid="{00000000-0005-0000-0000-000017430000}"/>
    <cellStyle name="Normal 34 8 2 2" xfId="7868" xr:uid="{00000000-0005-0000-0000-000018430000}"/>
    <cellStyle name="Normal 34 8 2 2 2" xfId="16316" xr:uid="{00000000-0005-0000-0000-000019430000}"/>
    <cellStyle name="Normal 34 8 2 2 2 2" xfId="33256" xr:uid="{00000000-0005-0000-0000-00001A430000}"/>
    <cellStyle name="Normal 34 8 2 2 3" xfId="24808" xr:uid="{00000000-0005-0000-0000-00001B430000}"/>
    <cellStyle name="Normal 34 8 2 3" xfId="12092" xr:uid="{00000000-0005-0000-0000-00001C430000}"/>
    <cellStyle name="Normal 34 8 2 3 2" xfId="29032" xr:uid="{00000000-0005-0000-0000-00001D430000}"/>
    <cellStyle name="Normal 34 8 2 4" xfId="20584" xr:uid="{00000000-0005-0000-0000-00001E430000}"/>
    <cellStyle name="Normal 34 8 3" xfId="5756" xr:uid="{00000000-0005-0000-0000-00001F430000}"/>
    <cellStyle name="Normal 34 8 3 2" xfId="14204" xr:uid="{00000000-0005-0000-0000-000020430000}"/>
    <cellStyle name="Normal 34 8 3 2 2" xfId="31144" xr:uid="{00000000-0005-0000-0000-000021430000}"/>
    <cellStyle name="Normal 34 8 3 3" xfId="22696" xr:uid="{00000000-0005-0000-0000-000022430000}"/>
    <cellStyle name="Normal 34 8 4" xfId="9980" xr:uid="{00000000-0005-0000-0000-000023430000}"/>
    <cellStyle name="Normal 34 8 4 2" xfId="26920" xr:uid="{00000000-0005-0000-0000-000024430000}"/>
    <cellStyle name="Normal 34 8 5" xfId="18472" xr:uid="{00000000-0005-0000-0000-000025430000}"/>
    <cellStyle name="Normal 34 9" xfId="2586" xr:uid="{00000000-0005-0000-0000-000026430000}"/>
    <cellStyle name="Normal 34 9 2" xfId="6812" xr:uid="{00000000-0005-0000-0000-000027430000}"/>
    <cellStyle name="Normal 34 9 2 2" xfId="15260" xr:uid="{00000000-0005-0000-0000-000028430000}"/>
    <cellStyle name="Normal 34 9 2 2 2" xfId="32200" xr:uid="{00000000-0005-0000-0000-000029430000}"/>
    <cellStyle name="Normal 34 9 2 3" xfId="23752" xr:uid="{00000000-0005-0000-0000-00002A430000}"/>
    <cellStyle name="Normal 34 9 3" xfId="11036" xr:uid="{00000000-0005-0000-0000-00002B430000}"/>
    <cellStyle name="Normal 34 9 3 2" xfId="27976" xr:uid="{00000000-0005-0000-0000-00002C430000}"/>
    <cellStyle name="Normal 34 9 4" xfId="19528" xr:uid="{00000000-0005-0000-0000-00002D430000}"/>
    <cellStyle name="Normal 35" xfId="341" xr:uid="{00000000-0005-0000-0000-00002E430000}"/>
    <cellStyle name="Normal 35 10" xfId="4702" xr:uid="{00000000-0005-0000-0000-00002F430000}"/>
    <cellStyle name="Normal 35 10 2" xfId="13151" xr:uid="{00000000-0005-0000-0000-000030430000}"/>
    <cellStyle name="Normal 35 10 2 2" xfId="30091" xr:uid="{00000000-0005-0000-0000-000031430000}"/>
    <cellStyle name="Normal 35 10 3" xfId="21643" xr:uid="{00000000-0005-0000-0000-000032430000}"/>
    <cellStyle name="Normal 35 11" xfId="8927" xr:uid="{00000000-0005-0000-0000-000033430000}"/>
    <cellStyle name="Normal 35 11 2" xfId="25867" xr:uid="{00000000-0005-0000-0000-000034430000}"/>
    <cellStyle name="Normal 35 12" xfId="17419" xr:uid="{00000000-0005-0000-0000-000035430000}"/>
    <cellStyle name="Normal 35 2" xfId="342" xr:uid="{00000000-0005-0000-0000-000036430000}"/>
    <cellStyle name="Normal 35 2 10" xfId="17420" xr:uid="{00000000-0005-0000-0000-000037430000}"/>
    <cellStyle name="Normal 35 2 2" xfId="648" xr:uid="{00000000-0005-0000-0000-000038430000}"/>
    <cellStyle name="Normal 35 2 2 2" xfId="1000" xr:uid="{00000000-0005-0000-0000-000039430000}"/>
    <cellStyle name="Normal 35 2 2 2 2" xfId="2062" xr:uid="{00000000-0005-0000-0000-00003A430000}"/>
    <cellStyle name="Normal 35 2 2 2 2 2" xfId="4174" xr:uid="{00000000-0005-0000-0000-00003B430000}"/>
    <cellStyle name="Normal 35 2 2 2 2 2 2" xfId="8400" xr:uid="{00000000-0005-0000-0000-00003C430000}"/>
    <cellStyle name="Normal 35 2 2 2 2 2 2 2" xfId="16848" xr:uid="{00000000-0005-0000-0000-00003D430000}"/>
    <cellStyle name="Normal 35 2 2 2 2 2 2 2 2" xfId="33788" xr:uid="{00000000-0005-0000-0000-00003E430000}"/>
    <cellStyle name="Normal 35 2 2 2 2 2 2 3" xfId="25340" xr:uid="{00000000-0005-0000-0000-00003F430000}"/>
    <cellStyle name="Normal 35 2 2 2 2 2 3" xfId="12624" xr:uid="{00000000-0005-0000-0000-000040430000}"/>
    <cellStyle name="Normal 35 2 2 2 2 2 3 2" xfId="29564" xr:uid="{00000000-0005-0000-0000-000041430000}"/>
    <cellStyle name="Normal 35 2 2 2 2 2 4" xfId="21116" xr:uid="{00000000-0005-0000-0000-000042430000}"/>
    <cellStyle name="Normal 35 2 2 2 2 3" xfId="6288" xr:uid="{00000000-0005-0000-0000-000043430000}"/>
    <cellStyle name="Normal 35 2 2 2 2 3 2" xfId="14736" xr:uid="{00000000-0005-0000-0000-000044430000}"/>
    <cellStyle name="Normal 35 2 2 2 2 3 2 2" xfId="31676" xr:uid="{00000000-0005-0000-0000-000045430000}"/>
    <cellStyle name="Normal 35 2 2 2 2 3 3" xfId="23228" xr:uid="{00000000-0005-0000-0000-000046430000}"/>
    <cellStyle name="Normal 35 2 2 2 2 4" xfId="10512" xr:uid="{00000000-0005-0000-0000-000047430000}"/>
    <cellStyle name="Normal 35 2 2 2 2 4 2" xfId="27452" xr:uid="{00000000-0005-0000-0000-000048430000}"/>
    <cellStyle name="Normal 35 2 2 2 2 5" xfId="19004" xr:uid="{00000000-0005-0000-0000-000049430000}"/>
    <cellStyle name="Normal 35 2 2 2 3" xfId="3118" xr:uid="{00000000-0005-0000-0000-00004A430000}"/>
    <cellStyle name="Normal 35 2 2 2 3 2" xfId="7344" xr:uid="{00000000-0005-0000-0000-00004B430000}"/>
    <cellStyle name="Normal 35 2 2 2 3 2 2" xfId="15792" xr:uid="{00000000-0005-0000-0000-00004C430000}"/>
    <cellStyle name="Normal 35 2 2 2 3 2 2 2" xfId="32732" xr:uid="{00000000-0005-0000-0000-00004D430000}"/>
    <cellStyle name="Normal 35 2 2 2 3 2 3" xfId="24284" xr:uid="{00000000-0005-0000-0000-00004E430000}"/>
    <cellStyle name="Normal 35 2 2 2 3 3" xfId="11568" xr:uid="{00000000-0005-0000-0000-00004F430000}"/>
    <cellStyle name="Normal 35 2 2 2 3 3 2" xfId="28508" xr:uid="{00000000-0005-0000-0000-000050430000}"/>
    <cellStyle name="Normal 35 2 2 2 3 4" xfId="20060" xr:uid="{00000000-0005-0000-0000-000051430000}"/>
    <cellStyle name="Normal 35 2 2 2 4" xfId="5232" xr:uid="{00000000-0005-0000-0000-000052430000}"/>
    <cellStyle name="Normal 35 2 2 2 4 2" xfId="13680" xr:uid="{00000000-0005-0000-0000-000053430000}"/>
    <cellStyle name="Normal 35 2 2 2 4 2 2" xfId="30620" xr:uid="{00000000-0005-0000-0000-000054430000}"/>
    <cellStyle name="Normal 35 2 2 2 4 3" xfId="22172" xr:uid="{00000000-0005-0000-0000-000055430000}"/>
    <cellStyle name="Normal 35 2 2 2 5" xfId="9456" xr:uid="{00000000-0005-0000-0000-000056430000}"/>
    <cellStyle name="Normal 35 2 2 2 5 2" xfId="26396" xr:uid="{00000000-0005-0000-0000-000057430000}"/>
    <cellStyle name="Normal 35 2 2 2 6" xfId="17948" xr:uid="{00000000-0005-0000-0000-000058430000}"/>
    <cellStyle name="Normal 35 2 2 3" xfId="1710" xr:uid="{00000000-0005-0000-0000-000059430000}"/>
    <cellStyle name="Normal 35 2 2 3 2" xfId="3822" xr:uid="{00000000-0005-0000-0000-00005A430000}"/>
    <cellStyle name="Normal 35 2 2 3 2 2" xfId="8048" xr:uid="{00000000-0005-0000-0000-00005B430000}"/>
    <cellStyle name="Normal 35 2 2 3 2 2 2" xfId="16496" xr:uid="{00000000-0005-0000-0000-00005C430000}"/>
    <cellStyle name="Normal 35 2 2 3 2 2 2 2" xfId="33436" xr:uid="{00000000-0005-0000-0000-00005D430000}"/>
    <cellStyle name="Normal 35 2 2 3 2 2 3" xfId="24988" xr:uid="{00000000-0005-0000-0000-00005E430000}"/>
    <cellStyle name="Normal 35 2 2 3 2 3" xfId="12272" xr:uid="{00000000-0005-0000-0000-00005F430000}"/>
    <cellStyle name="Normal 35 2 2 3 2 3 2" xfId="29212" xr:uid="{00000000-0005-0000-0000-000060430000}"/>
    <cellStyle name="Normal 35 2 2 3 2 4" xfId="20764" xr:uid="{00000000-0005-0000-0000-000061430000}"/>
    <cellStyle name="Normal 35 2 2 3 3" xfId="5936" xr:uid="{00000000-0005-0000-0000-000062430000}"/>
    <cellStyle name="Normal 35 2 2 3 3 2" xfId="14384" xr:uid="{00000000-0005-0000-0000-000063430000}"/>
    <cellStyle name="Normal 35 2 2 3 3 2 2" xfId="31324" xr:uid="{00000000-0005-0000-0000-000064430000}"/>
    <cellStyle name="Normal 35 2 2 3 3 3" xfId="22876" xr:uid="{00000000-0005-0000-0000-000065430000}"/>
    <cellStyle name="Normal 35 2 2 3 4" xfId="10160" xr:uid="{00000000-0005-0000-0000-000066430000}"/>
    <cellStyle name="Normal 35 2 2 3 4 2" xfId="27100" xr:uid="{00000000-0005-0000-0000-000067430000}"/>
    <cellStyle name="Normal 35 2 2 3 5" xfId="18652" xr:uid="{00000000-0005-0000-0000-000068430000}"/>
    <cellStyle name="Normal 35 2 2 4" xfId="2766" xr:uid="{00000000-0005-0000-0000-000069430000}"/>
    <cellStyle name="Normal 35 2 2 4 2" xfId="6992" xr:uid="{00000000-0005-0000-0000-00006A430000}"/>
    <cellStyle name="Normal 35 2 2 4 2 2" xfId="15440" xr:uid="{00000000-0005-0000-0000-00006B430000}"/>
    <cellStyle name="Normal 35 2 2 4 2 2 2" xfId="32380" xr:uid="{00000000-0005-0000-0000-00006C430000}"/>
    <cellStyle name="Normal 35 2 2 4 2 3" xfId="23932" xr:uid="{00000000-0005-0000-0000-00006D430000}"/>
    <cellStyle name="Normal 35 2 2 4 3" xfId="11216" xr:uid="{00000000-0005-0000-0000-00006E430000}"/>
    <cellStyle name="Normal 35 2 2 4 3 2" xfId="28156" xr:uid="{00000000-0005-0000-0000-00006F430000}"/>
    <cellStyle name="Normal 35 2 2 4 4" xfId="19708" xr:uid="{00000000-0005-0000-0000-000070430000}"/>
    <cellStyle name="Normal 35 2 2 5" xfId="4880" xr:uid="{00000000-0005-0000-0000-000071430000}"/>
    <cellStyle name="Normal 35 2 2 5 2" xfId="13328" xr:uid="{00000000-0005-0000-0000-000072430000}"/>
    <cellStyle name="Normal 35 2 2 5 2 2" xfId="30268" xr:uid="{00000000-0005-0000-0000-000073430000}"/>
    <cellStyle name="Normal 35 2 2 5 3" xfId="21820" xr:uid="{00000000-0005-0000-0000-000074430000}"/>
    <cellStyle name="Normal 35 2 2 6" xfId="9104" xr:uid="{00000000-0005-0000-0000-000075430000}"/>
    <cellStyle name="Normal 35 2 2 6 2" xfId="26044" xr:uid="{00000000-0005-0000-0000-000076430000}"/>
    <cellStyle name="Normal 35 2 2 7" xfId="17596" xr:uid="{00000000-0005-0000-0000-000077430000}"/>
    <cellStyle name="Normal 35 2 3" xfId="824" xr:uid="{00000000-0005-0000-0000-000078430000}"/>
    <cellStyle name="Normal 35 2 3 2" xfId="1886" xr:uid="{00000000-0005-0000-0000-000079430000}"/>
    <cellStyle name="Normal 35 2 3 2 2" xfId="3998" xr:uid="{00000000-0005-0000-0000-00007A430000}"/>
    <cellStyle name="Normal 35 2 3 2 2 2" xfId="8224" xr:uid="{00000000-0005-0000-0000-00007B430000}"/>
    <cellStyle name="Normal 35 2 3 2 2 2 2" xfId="16672" xr:uid="{00000000-0005-0000-0000-00007C430000}"/>
    <cellStyle name="Normal 35 2 3 2 2 2 2 2" xfId="33612" xr:uid="{00000000-0005-0000-0000-00007D430000}"/>
    <cellStyle name="Normal 35 2 3 2 2 2 3" xfId="25164" xr:uid="{00000000-0005-0000-0000-00007E430000}"/>
    <cellStyle name="Normal 35 2 3 2 2 3" xfId="12448" xr:uid="{00000000-0005-0000-0000-00007F430000}"/>
    <cellStyle name="Normal 35 2 3 2 2 3 2" xfId="29388" xr:uid="{00000000-0005-0000-0000-000080430000}"/>
    <cellStyle name="Normal 35 2 3 2 2 4" xfId="20940" xr:uid="{00000000-0005-0000-0000-000081430000}"/>
    <cellStyle name="Normal 35 2 3 2 3" xfId="6112" xr:uid="{00000000-0005-0000-0000-000082430000}"/>
    <cellStyle name="Normal 35 2 3 2 3 2" xfId="14560" xr:uid="{00000000-0005-0000-0000-000083430000}"/>
    <cellStyle name="Normal 35 2 3 2 3 2 2" xfId="31500" xr:uid="{00000000-0005-0000-0000-000084430000}"/>
    <cellStyle name="Normal 35 2 3 2 3 3" xfId="23052" xr:uid="{00000000-0005-0000-0000-000085430000}"/>
    <cellStyle name="Normal 35 2 3 2 4" xfId="10336" xr:uid="{00000000-0005-0000-0000-000086430000}"/>
    <cellStyle name="Normal 35 2 3 2 4 2" xfId="27276" xr:uid="{00000000-0005-0000-0000-000087430000}"/>
    <cellStyle name="Normal 35 2 3 2 5" xfId="18828" xr:uid="{00000000-0005-0000-0000-000088430000}"/>
    <cellStyle name="Normal 35 2 3 3" xfId="2942" xr:uid="{00000000-0005-0000-0000-000089430000}"/>
    <cellStyle name="Normal 35 2 3 3 2" xfId="7168" xr:uid="{00000000-0005-0000-0000-00008A430000}"/>
    <cellStyle name="Normal 35 2 3 3 2 2" xfId="15616" xr:uid="{00000000-0005-0000-0000-00008B430000}"/>
    <cellStyle name="Normal 35 2 3 3 2 2 2" xfId="32556" xr:uid="{00000000-0005-0000-0000-00008C430000}"/>
    <cellStyle name="Normal 35 2 3 3 2 3" xfId="24108" xr:uid="{00000000-0005-0000-0000-00008D430000}"/>
    <cellStyle name="Normal 35 2 3 3 3" xfId="11392" xr:uid="{00000000-0005-0000-0000-00008E430000}"/>
    <cellStyle name="Normal 35 2 3 3 3 2" xfId="28332" xr:uid="{00000000-0005-0000-0000-00008F430000}"/>
    <cellStyle name="Normal 35 2 3 3 4" xfId="19884" xr:uid="{00000000-0005-0000-0000-000090430000}"/>
    <cellStyle name="Normal 35 2 3 4" xfId="5056" xr:uid="{00000000-0005-0000-0000-000091430000}"/>
    <cellStyle name="Normal 35 2 3 4 2" xfId="13504" xr:uid="{00000000-0005-0000-0000-000092430000}"/>
    <cellStyle name="Normal 35 2 3 4 2 2" xfId="30444" xr:uid="{00000000-0005-0000-0000-000093430000}"/>
    <cellStyle name="Normal 35 2 3 4 3" xfId="21996" xr:uid="{00000000-0005-0000-0000-000094430000}"/>
    <cellStyle name="Normal 35 2 3 5" xfId="9280" xr:uid="{00000000-0005-0000-0000-000095430000}"/>
    <cellStyle name="Normal 35 2 3 5 2" xfId="26220" xr:uid="{00000000-0005-0000-0000-000096430000}"/>
    <cellStyle name="Normal 35 2 3 6" xfId="17772" xr:uid="{00000000-0005-0000-0000-000097430000}"/>
    <cellStyle name="Normal 35 2 4" xfId="1176" xr:uid="{00000000-0005-0000-0000-000098430000}"/>
    <cellStyle name="Normal 35 2 4 2" xfId="2238" xr:uid="{00000000-0005-0000-0000-000099430000}"/>
    <cellStyle name="Normal 35 2 4 2 2" xfId="4350" xr:uid="{00000000-0005-0000-0000-00009A430000}"/>
    <cellStyle name="Normal 35 2 4 2 2 2" xfId="8576" xr:uid="{00000000-0005-0000-0000-00009B430000}"/>
    <cellStyle name="Normal 35 2 4 2 2 2 2" xfId="17024" xr:uid="{00000000-0005-0000-0000-00009C430000}"/>
    <cellStyle name="Normal 35 2 4 2 2 2 2 2" xfId="33964" xr:uid="{00000000-0005-0000-0000-00009D430000}"/>
    <cellStyle name="Normal 35 2 4 2 2 2 3" xfId="25516" xr:uid="{00000000-0005-0000-0000-00009E430000}"/>
    <cellStyle name="Normal 35 2 4 2 2 3" xfId="12800" xr:uid="{00000000-0005-0000-0000-00009F430000}"/>
    <cellStyle name="Normal 35 2 4 2 2 3 2" xfId="29740" xr:uid="{00000000-0005-0000-0000-0000A0430000}"/>
    <cellStyle name="Normal 35 2 4 2 2 4" xfId="21292" xr:uid="{00000000-0005-0000-0000-0000A1430000}"/>
    <cellStyle name="Normal 35 2 4 2 3" xfId="6464" xr:uid="{00000000-0005-0000-0000-0000A2430000}"/>
    <cellStyle name="Normal 35 2 4 2 3 2" xfId="14912" xr:uid="{00000000-0005-0000-0000-0000A3430000}"/>
    <cellStyle name="Normal 35 2 4 2 3 2 2" xfId="31852" xr:uid="{00000000-0005-0000-0000-0000A4430000}"/>
    <cellStyle name="Normal 35 2 4 2 3 3" xfId="23404" xr:uid="{00000000-0005-0000-0000-0000A5430000}"/>
    <cellStyle name="Normal 35 2 4 2 4" xfId="10688" xr:uid="{00000000-0005-0000-0000-0000A6430000}"/>
    <cellStyle name="Normal 35 2 4 2 4 2" xfId="27628" xr:uid="{00000000-0005-0000-0000-0000A7430000}"/>
    <cellStyle name="Normal 35 2 4 2 5" xfId="19180" xr:uid="{00000000-0005-0000-0000-0000A8430000}"/>
    <cellStyle name="Normal 35 2 4 3" xfId="3294" xr:uid="{00000000-0005-0000-0000-0000A9430000}"/>
    <cellStyle name="Normal 35 2 4 3 2" xfId="7520" xr:uid="{00000000-0005-0000-0000-0000AA430000}"/>
    <cellStyle name="Normal 35 2 4 3 2 2" xfId="15968" xr:uid="{00000000-0005-0000-0000-0000AB430000}"/>
    <cellStyle name="Normal 35 2 4 3 2 2 2" xfId="32908" xr:uid="{00000000-0005-0000-0000-0000AC430000}"/>
    <cellStyle name="Normal 35 2 4 3 2 3" xfId="24460" xr:uid="{00000000-0005-0000-0000-0000AD430000}"/>
    <cellStyle name="Normal 35 2 4 3 3" xfId="11744" xr:uid="{00000000-0005-0000-0000-0000AE430000}"/>
    <cellStyle name="Normal 35 2 4 3 3 2" xfId="28684" xr:uid="{00000000-0005-0000-0000-0000AF430000}"/>
    <cellStyle name="Normal 35 2 4 3 4" xfId="20236" xr:uid="{00000000-0005-0000-0000-0000B0430000}"/>
    <cellStyle name="Normal 35 2 4 4" xfId="5408" xr:uid="{00000000-0005-0000-0000-0000B1430000}"/>
    <cellStyle name="Normal 35 2 4 4 2" xfId="13856" xr:uid="{00000000-0005-0000-0000-0000B2430000}"/>
    <cellStyle name="Normal 35 2 4 4 2 2" xfId="30796" xr:uid="{00000000-0005-0000-0000-0000B3430000}"/>
    <cellStyle name="Normal 35 2 4 4 3" xfId="22348" xr:uid="{00000000-0005-0000-0000-0000B4430000}"/>
    <cellStyle name="Normal 35 2 4 5" xfId="9632" xr:uid="{00000000-0005-0000-0000-0000B5430000}"/>
    <cellStyle name="Normal 35 2 4 5 2" xfId="26572" xr:uid="{00000000-0005-0000-0000-0000B6430000}"/>
    <cellStyle name="Normal 35 2 4 6" xfId="18124" xr:uid="{00000000-0005-0000-0000-0000B7430000}"/>
    <cellStyle name="Normal 35 2 5" xfId="1358" xr:uid="{00000000-0005-0000-0000-0000B8430000}"/>
    <cellStyle name="Normal 35 2 5 2" xfId="2414" xr:uid="{00000000-0005-0000-0000-0000B9430000}"/>
    <cellStyle name="Normal 35 2 5 2 2" xfId="4526" xr:uid="{00000000-0005-0000-0000-0000BA430000}"/>
    <cellStyle name="Normal 35 2 5 2 2 2" xfId="8752" xr:uid="{00000000-0005-0000-0000-0000BB430000}"/>
    <cellStyle name="Normal 35 2 5 2 2 2 2" xfId="17200" xr:uid="{00000000-0005-0000-0000-0000BC430000}"/>
    <cellStyle name="Normal 35 2 5 2 2 2 2 2" xfId="34140" xr:uid="{00000000-0005-0000-0000-0000BD430000}"/>
    <cellStyle name="Normal 35 2 5 2 2 2 3" xfId="25692" xr:uid="{00000000-0005-0000-0000-0000BE430000}"/>
    <cellStyle name="Normal 35 2 5 2 2 3" xfId="12976" xr:uid="{00000000-0005-0000-0000-0000BF430000}"/>
    <cellStyle name="Normal 35 2 5 2 2 3 2" xfId="29916" xr:uid="{00000000-0005-0000-0000-0000C0430000}"/>
    <cellStyle name="Normal 35 2 5 2 2 4" xfId="21468" xr:uid="{00000000-0005-0000-0000-0000C1430000}"/>
    <cellStyle name="Normal 35 2 5 2 3" xfId="6640" xr:uid="{00000000-0005-0000-0000-0000C2430000}"/>
    <cellStyle name="Normal 35 2 5 2 3 2" xfId="15088" xr:uid="{00000000-0005-0000-0000-0000C3430000}"/>
    <cellStyle name="Normal 35 2 5 2 3 2 2" xfId="32028" xr:uid="{00000000-0005-0000-0000-0000C4430000}"/>
    <cellStyle name="Normal 35 2 5 2 3 3" xfId="23580" xr:uid="{00000000-0005-0000-0000-0000C5430000}"/>
    <cellStyle name="Normal 35 2 5 2 4" xfId="10864" xr:uid="{00000000-0005-0000-0000-0000C6430000}"/>
    <cellStyle name="Normal 35 2 5 2 4 2" xfId="27804" xr:uid="{00000000-0005-0000-0000-0000C7430000}"/>
    <cellStyle name="Normal 35 2 5 2 5" xfId="19356" xr:uid="{00000000-0005-0000-0000-0000C8430000}"/>
    <cellStyle name="Normal 35 2 5 3" xfId="3470" xr:uid="{00000000-0005-0000-0000-0000C9430000}"/>
    <cellStyle name="Normal 35 2 5 3 2" xfId="7696" xr:uid="{00000000-0005-0000-0000-0000CA430000}"/>
    <cellStyle name="Normal 35 2 5 3 2 2" xfId="16144" xr:uid="{00000000-0005-0000-0000-0000CB430000}"/>
    <cellStyle name="Normal 35 2 5 3 2 2 2" xfId="33084" xr:uid="{00000000-0005-0000-0000-0000CC430000}"/>
    <cellStyle name="Normal 35 2 5 3 2 3" xfId="24636" xr:uid="{00000000-0005-0000-0000-0000CD430000}"/>
    <cellStyle name="Normal 35 2 5 3 3" xfId="11920" xr:uid="{00000000-0005-0000-0000-0000CE430000}"/>
    <cellStyle name="Normal 35 2 5 3 3 2" xfId="28860" xr:uid="{00000000-0005-0000-0000-0000CF430000}"/>
    <cellStyle name="Normal 35 2 5 3 4" xfId="20412" xr:uid="{00000000-0005-0000-0000-0000D0430000}"/>
    <cellStyle name="Normal 35 2 5 4" xfId="5584" xr:uid="{00000000-0005-0000-0000-0000D1430000}"/>
    <cellStyle name="Normal 35 2 5 4 2" xfId="14032" xr:uid="{00000000-0005-0000-0000-0000D2430000}"/>
    <cellStyle name="Normal 35 2 5 4 2 2" xfId="30972" xr:uid="{00000000-0005-0000-0000-0000D3430000}"/>
    <cellStyle name="Normal 35 2 5 4 3" xfId="22524" xr:uid="{00000000-0005-0000-0000-0000D4430000}"/>
    <cellStyle name="Normal 35 2 5 5" xfId="9808" xr:uid="{00000000-0005-0000-0000-0000D5430000}"/>
    <cellStyle name="Normal 35 2 5 5 2" xfId="26748" xr:uid="{00000000-0005-0000-0000-0000D6430000}"/>
    <cellStyle name="Normal 35 2 5 6" xfId="18300" xr:uid="{00000000-0005-0000-0000-0000D7430000}"/>
    <cellStyle name="Normal 35 2 6" xfId="1534" xr:uid="{00000000-0005-0000-0000-0000D8430000}"/>
    <cellStyle name="Normal 35 2 6 2" xfId="3646" xr:uid="{00000000-0005-0000-0000-0000D9430000}"/>
    <cellStyle name="Normal 35 2 6 2 2" xfId="7872" xr:uid="{00000000-0005-0000-0000-0000DA430000}"/>
    <cellStyle name="Normal 35 2 6 2 2 2" xfId="16320" xr:uid="{00000000-0005-0000-0000-0000DB430000}"/>
    <cellStyle name="Normal 35 2 6 2 2 2 2" xfId="33260" xr:uid="{00000000-0005-0000-0000-0000DC430000}"/>
    <cellStyle name="Normal 35 2 6 2 2 3" xfId="24812" xr:uid="{00000000-0005-0000-0000-0000DD430000}"/>
    <cellStyle name="Normal 35 2 6 2 3" xfId="12096" xr:uid="{00000000-0005-0000-0000-0000DE430000}"/>
    <cellStyle name="Normal 35 2 6 2 3 2" xfId="29036" xr:uid="{00000000-0005-0000-0000-0000DF430000}"/>
    <cellStyle name="Normal 35 2 6 2 4" xfId="20588" xr:uid="{00000000-0005-0000-0000-0000E0430000}"/>
    <cellStyle name="Normal 35 2 6 3" xfId="5760" xr:uid="{00000000-0005-0000-0000-0000E1430000}"/>
    <cellStyle name="Normal 35 2 6 3 2" xfId="14208" xr:uid="{00000000-0005-0000-0000-0000E2430000}"/>
    <cellStyle name="Normal 35 2 6 3 2 2" xfId="31148" xr:uid="{00000000-0005-0000-0000-0000E3430000}"/>
    <cellStyle name="Normal 35 2 6 3 3" xfId="22700" xr:uid="{00000000-0005-0000-0000-0000E4430000}"/>
    <cellStyle name="Normal 35 2 6 4" xfId="9984" xr:uid="{00000000-0005-0000-0000-0000E5430000}"/>
    <cellStyle name="Normal 35 2 6 4 2" xfId="26924" xr:uid="{00000000-0005-0000-0000-0000E6430000}"/>
    <cellStyle name="Normal 35 2 6 5" xfId="18476" xr:uid="{00000000-0005-0000-0000-0000E7430000}"/>
    <cellStyle name="Normal 35 2 7" xfId="2590" xr:uid="{00000000-0005-0000-0000-0000E8430000}"/>
    <cellStyle name="Normal 35 2 7 2" xfId="6816" xr:uid="{00000000-0005-0000-0000-0000E9430000}"/>
    <cellStyle name="Normal 35 2 7 2 2" xfId="15264" xr:uid="{00000000-0005-0000-0000-0000EA430000}"/>
    <cellStyle name="Normal 35 2 7 2 2 2" xfId="32204" xr:uid="{00000000-0005-0000-0000-0000EB430000}"/>
    <cellStyle name="Normal 35 2 7 2 3" xfId="23756" xr:uid="{00000000-0005-0000-0000-0000EC430000}"/>
    <cellStyle name="Normal 35 2 7 3" xfId="11040" xr:uid="{00000000-0005-0000-0000-0000ED430000}"/>
    <cellStyle name="Normal 35 2 7 3 2" xfId="27980" xr:uid="{00000000-0005-0000-0000-0000EE430000}"/>
    <cellStyle name="Normal 35 2 7 4" xfId="19532" xr:uid="{00000000-0005-0000-0000-0000EF430000}"/>
    <cellStyle name="Normal 35 2 8" xfId="4703" xr:uid="{00000000-0005-0000-0000-0000F0430000}"/>
    <cellStyle name="Normal 35 2 8 2" xfId="13152" xr:uid="{00000000-0005-0000-0000-0000F1430000}"/>
    <cellStyle name="Normal 35 2 8 2 2" xfId="30092" xr:uid="{00000000-0005-0000-0000-0000F2430000}"/>
    <cellStyle name="Normal 35 2 8 3" xfId="21644" xr:uid="{00000000-0005-0000-0000-0000F3430000}"/>
    <cellStyle name="Normal 35 2 9" xfId="8928" xr:uid="{00000000-0005-0000-0000-0000F4430000}"/>
    <cellStyle name="Normal 35 2 9 2" xfId="25868" xr:uid="{00000000-0005-0000-0000-0000F5430000}"/>
    <cellStyle name="Normal 35 3" xfId="343" xr:uid="{00000000-0005-0000-0000-0000F6430000}"/>
    <cellStyle name="Normal 35 3 10" xfId="17421" xr:uid="{00000000-0005-0000-0000-0000F7430000}"/>
    <cellStyle name="Normal 35 3 2" xfId="649" xr:uid="{00000000-0005-0000-0000-0000F8430000}"/>
    <cellStyle name="Normal 35 3 2 2" xfId="1001" xr:uid="{00000000-0005-0000-0000-0000F9430000}"/>
    <cellStyle name="Normal 35 3 2 2 2" xfId="2063" xr:uid="{00000000-0005-0000-0000-0000FA430000}"/>
    <cellStyle name="Normal 35 3 2 2 2 2" xfId="4175" xr:uid="{00000000-0005-0000-0000-0000FB430000}"/>
    <cellStyle name="Normal 35 3 2 2 2 2 2" xfId="8401" xr:uid="{00000000-0005-0000-0000-0000FC430000}"/>
    <cellStyle name="Normal 35 3 2 2 2 2 2 2" xfId="16849" xr:uid="{00000000-0005-0000-0000-0000FD430000}"/>
    <cellStyle name="Normal 35 3 2 2 2 2 2 2 2" xfId="33789" xr:uid="{00000000-0005-0000-0000-0000FE430000}"/>
    <cellStyle name="Normal 35 3 2 2 2 2 2 3" xfId="25341" xr:uid="{00000000-0005-0000-0000-0000FF430000}"/>
    <cellStyle name="Normal 35 3 2 2 2 2 3" xfId="12625" xr:uid="{00000000-0005-0000-0000-000000440000}"/>
    <cellStyle name="Normal 35 3 2 2 2 2 3 2" xfId="29565" xr:uid="{00000000-0005-0000-0000-000001440000}"/>
    <cellStyle name="Normal 35 3 2 2 2 2 4" xfId="21117" xr:uid="{00000000-0005-0000-0000-000002440000}"/>
    <cellStyle name="Normal 35 3 2 2 2 3" xfId="6289" xr:uid="{00000000-0005-0000-0000-000003440000}"/>
    <cellStyle name="Normal 35 3 2 2 2 3 2" xfId="14737" xr:uid="{00000000-0005-0000-0000-000004440000}"/>
    <cellStyle name="Normal 35 3 2 2 2 3 2 2" xfId="31677" xr:uid="{00000000-0005-0000-0000-000005440000}"/>
    <cellStyle name="Normal 35 3 2 2 2 3 3" xfId="23229" xr:uid="{00000000-0005-0000-0000-000006440000}"/>
    <cellStyle name="Normal 35 3 2 2 2 4" xfId="10513" xr:uid="{00000000-0005-0000-0000-000007440000}"/>
    <cellStyle name="Normal 35 3 2 2 2 4 2" xfId="27453" xr:uid="{00000000-0005-0000-0000-000008440000}"/>
    <cellStyle name="Normal 35 3 2 2 2 5" xfId="19005" xr:uid="{00000000-0005-0000-0000-000009440000}"/>
    <cellStyle name="Normal 35 3 2 2 3" xfId="3119" xr:uid="{00000000-0005-0000-0000-00000A440000}"/>
    <cellStyle name="Normal 35 3 2 2 3 2" xfId="7345" xr:uid="{00000000-0005-0000-0000-00000B440000}"/>
    <cellStyle name="Normal 35 3 2 2 3 2 2" xfId="15793" xr:uid="{00000000-0005-0000-0000-00000C440000}"/>
    <cellStyle name="Normal 35 3 2 2 3 2 2 2" xfId="32733" xr:uid="{00000000-0005-0000-0000-00000D440000}"/>
    <cellStyle name="Normal 35 3 2 2 3 2 3" xfId="24285" xr:uid="{00000000-0005-0000-0000-00000E440000}"/>
    <cellStyle name="Normal 35 3 2 2 3 3" xfId="11569" xr:uid="{00000000-0005-0000-0000-00000F440000}"/>
    <cellStyle name="Normal 35 3 2 2 3 3 2" xfId="28509" xr:uid="{00000000-0005-0000-0000-000010440000}"/>
    <cellStyle name="Normal 35 3 2 2 3 4" xfId="20061" xr:uid="{00000000-0005-0000-0000-000011440000}"/>
    <cellStyle name="Normal 35 3 2 2 4" xfId="5233" xr:uid="{00000000-0005-0000-0000-000012440000}"/>
    <cellStyle name="Normal 35 3 2 2 4 2" xfId="13681" xr:uid="{00000000-0005-0000-0000-000013440000}"/>
    <cellStyle name="Normal 35 3 2 2 4 2 2" xfId="30621" xr:uid="{00000000-0005-0000-0000-000014440000}"/>
    <cellStyle name="Normal 35 3 2 2 4 3" xfId="22173" xr:uid="{00000000-0005-0000-0000-000015440000}"/>
    <cellStyle name="Normal 35 3 2 2 5" xfId="9457" xr:uid="{00000000-0005-0000-0000-000016440000}"/>
    <cellStyle name="Normal 35 3 2 2 5 2" xfId="26397" xr:uid="{00000000-0005-0000-0000-000017440000}"/>
    <cellStyle name="Normal 35 3 2 2 6" xfId="17949" xr:uid="{00000000-0005-0000-0000-000018440000}"/>
    <cellStyle name="Normal 35 3 2 3" xfId="1711" xr:uid="{00000000-0005-0000-0000-000019440000}"/>
    <cellStyle name="Normal 35 3 2 3 2" xfId="3823" xr:uid="{00000000-0005-0000-0000-00001A440000}"/>
    <cellStyle name="Normal 35 3 2 3 2 2" xfId="8049" xr:uid="{00000000-0005-0000-0000-00001B440000}"/>
    <cellStyle name="Normal 35 3 2 3 2 2 2" xfId="16497" xr:uid="{00000000-0005-0000-0000-00001C440000}"/>
    <cellStyle name="Normal 35 3 2 3 2 2 2 2" xfId="33437" xr:uid="{00000000-0005-0000-0000-00001D440000}"/>
    <cellStyle name="Normal 35 3 2 3 2 2 3" xfId="24989" xr:uid="{00000000-0005-0000-0000-00001E440000}"/>
    <cellStyle name="Normal 35 3 2 3 2 3" xfId="12273" xr:uid="{00000000-0005-0000-0000-00001F440000}"/>
    <cellStyle name="Normal 35 3 2 3 2 3 2" xfId="29213" xr:uid="{00000000-0005-0000-0000-000020440000}"/>
    <cellStyle name="Normal 35 3 2 3 2 4" xfId="20765" xr:uid="{00000000-0005-0000-0000-000021440000}"/>
    <cellStyle name="Normal 35 3 2 3 3" xfId="5937" xr:uid="{00000000-0005-0000-0000-000022440000}"/>
    <cellStyle name="Normal 35 3 2 3 3 2" xfId="14385" xr:uid="{00000000-0005-0000-0000-000023440000}"/>
    <cellStyle name="Normal 35 3 2 3 3 2 2" xfId="31325" xr:uid="{00000000-0005-0000-0000-000024440000}"/>
    <cellStyle name="Normal 35 3 2 3 3 3" xfId="22877" xr:uid="{00000000-0005-0000-0000-000025440000}"/>
    <cellStyle name="Normal 35 3 2 3 4" xfId="10161" xr:uid="{00000000-0005-0000-0000-000026440000}"/>
    <cellStyle name="Normal 35 3 2 3 4 2" xfId="27101" xr:uid="{00000000-0005-0000-0000-000027440000}"/>
    <cellStyle name="Normal 35 3 2 3 5" xfId="18653" xr:uid="{00000000-0005-0000-0000-000028440000}"/>
    <cellStyle name="Normal 35 3 2 4" xfId="2767" xr:uid="{00000000-0005-0000-0000-000029440000}"/>
    <cellStyle name="Normal 35 3 2 4 2" xfId="6993" xr:uid="{00000000-0005-0000-0000-00002A440000}"/>
    <cellStyle name="Normal 35 3 2 4 2 2" xfId="15441" xr:uid="{00000000-0005-0000-0000-00002B440000}"/>
    <cellStyle name="Normal 35 3 2 4 2 2 2" xfId="32381" xr:uid="{00000000-0005-0000-0000-00002C440000}"/>
    <cellStyle name="Normal 35 3 2 4 2 3" xfId="23933" xr:uid="{00000000-0005-0000-0000-00002D440000}"/>
    <cellStyle name="Normal 35 3 2 4 3" xfId="11217" xr:uid="{00000000-0005-0000-0000-00002E440000}"/>
    <cellStyle name="Normal 35 3 2 4 3 2" xfId="28157" xr:uid="{00000000-0005-0000-0000-00002F440000}"/>
    <cellStyle name="Normal 35 3 2 4 4" xfId="19709" xr:uid="{00000000-0005-0000-0000-000030440000}"/>
    <cellStyle name="Normal 35 3 2 5" xfId="4881" xr:uid="{00000000-0005-0000-0000-000031440000}"/>
    <cellStyle name="Normal 35 3 2 5 2" xfId="13329" xr:uid="{00000000-0005-0000-0000-000032440000}"/>
    <cellStyle name="Normal 35 3 2 5 2 2" xfId="30269" xr:uid="{00000000-0005-0000-0000-000033440000}"/>
    <cellStyle name="Normal 35 3 2 5 3" xfId="21821" xr:uid="{00000000-0005-0000-0000-000034440000}"/>
    <cellStyle name="Normal 35 3 2 6" xfId="9105" xr:uid="{00000000-0005-0000-0000-000035440000}"/>
    <cellStyle name="Normal 35 3 2 6 2" xfId="26045" xr:uid="{00000000-0005-0000-0000-000036440000}"/>
    <cellStyle name="Normal 35 3 2 7" xfId="17597" xr:uid="{00000000-0005-0000-0000-000037440000}"/>
    <cellStyle name="Normal 35 3 3" xfId="825" xr:uid="{00000000-0005-0000-0000-000038440000}"/>
    <cellStyle name="Normal 35 3 3 2" xfId="1887" xr:uid="{00000000-0005-0000-0000-000039440000}"/>
    <cellStyle name="Normal 35 3 3 2 2" xfId="3999" xr:uid="{00000000-0005-0000-0000-00003A440000}"/>
    <cellStyle name="Normal 35 3 3 2 2 2" xfId="8225" xr:uid="{00000000-0005-0000-0000-00003B440000}"/>
    <cellStyle name="Normal 35 3 3 2 2 2 2" xfId="16673" xr:uid="{00000000-0005-0000-0000-00003C440000}"/>
    <cellStyle name="Normal 35 3 3 2 2 2 2 2" xfId="33613" xr:uid="{00000000-0005-0000-0000-00003D440000}"/>
    <cellStyle name="Normal 35 3 3 2 2 2 3" xfId="25165" xr:uid="{00000000-0005-0000-0000-00003E440000}"/>
    <cellStyle name="Normal 35 3 3 2 2 3" xfId="12449" xr:uid="{00000000-0005-0000-0000-00003F440000}"/>
    <cellStyle name="Normal 35 3 3 2 2 3 2" xfId="29389" xr:uid="{00000000-0005-0000-0000-000040440000}"/>
    <cellStyle name="Normal 35 3 3 2 2 4" xfId="20941" xr:uid="{00000000-0005-0000-0000-000041440000}"/>
    <cellStyle name="Normal 35 3 3 2 3" xfId="6113" xr:uid="{00000000-0005-0000-0000-000042440000}"/>
    <cellStyle name="Normal 35 3 3 2 3 2" xfId="14561" xr:uid="{00000000-0005-0000-0000-000043440000}"/>
    <cellStyle name="Normal 35 3 3 2 3 2 2" xfId="31501" xr:uid="{00000000-0005-0000-0000-000044440000}"/>
    <cellStyle name="Normal 35 3 3 2 3 3" xfId="23053" xr:uid="{00000000-0005-0000-0000-000045440000}"/>
    <cellStyle name="Normal 35 3 3 2 4" xfId="10337" xr:uid="{00000000-0005-0000-0000-000046440000}"/>
    <cellStyle name="Normal 35 3 3 2 4 2" xfId="27277" xr:uid="{00000000-0005-0000-0000-000047440000}"/>
    <cellStyle name="Normal 35 3 3 2 5" xfId="18829" xr:uid="{00000000-0005-0000-0000-000048440000}"/>
    <cellStyle name="Normal 35 3 3 3" xfId="2943" xr:uid="{00000000-0005-0000-0000-000049440000}"/>
    <cellStyle name="Normal 35 3 3 3 2" xfId="7169" xr:uid="{00000000-0005-0000-0000-00004A440000}"/>
    <cellStyle name="Normal 35 3 3 3 2 2" xfId="15617" xr:uid="{00000000-0005-0000-0000-00004B440000}"/>
    <cellStyle name="Normal 35 3 3 3 2 2 2" xfId="32557" xr:uid="{00000000-0005-0000-0000-00004C440000}"/>
    <cellStyle name="Normal 35 3 3 3 2 3" xfId="24109" xr:uid="{00000000-0005-0000-0000-00004D440000}"/>
    <cellStyle name="Normal 35 3 3 3 3" xfId="11393" xr:uid="{00000000-0005-0000-0000-00004E440000}"/>
    <cellStyle name="Normal 35 3 3 3 3 2" xfId="28333" xr:uid="{00000000-0005-0000-0000-00004F440000}"/>
    <cellStyle name="Normal 35 3 3 3 4" xfId="19885" xr:uid="{00000000-0005-0000-0000-000050440000}"/>
    <cellStyle name="Normal 35 3 3 4" xfId="5057" xr:uid="{00000000-0005-0000-0000-000051440000}"/>
    <cellStyle name="Normal 35 3 3 4 2" xfId="13505" xr:uid="{00000000-0005-0000-0000-000052440000}"/>
    <cellStyle name="Normal 35 3 3 4 2 2" xfId="30445" xr:uid="{00000000-0005-0000-0000-000053440000}"/>
    <cellStyle name="Normal 35 3 3 4 3" xfId="21997" xr:uid="{00000000-0005-0000-0000-000054440000}"/>
    <cellStyle name="Normal 35 3 3 5" xfId="9281" xr:uid="{00000000-0005-0000-0000-000055440000}"/>
    <cellStyle name="Normal 35 3 3 5 2" xfId="26221" xr:uid="{00000000-0005-0000-0000-000056440000}"/>
    <cellStyle name="Normal 35 3 3 6" xfId="17773" xr:uid="{00000000-0005-0000-0000-000057440000}"/>
    <cellStyle name="Normal 35 3 4" xfId="1177" xr:uid="{00000000-0005-0000-0000-000058440000}"/>
    <cellStyle name="Normal 35 3 4 2" xfId="2239" xr:uid="{00000000-0005-0000-0000-000059440000}"/>
    <cellStyle name="Normal 35 3 4 2 2" xfId="4351" xr:uid="{00000000-0005-0000-0000-00005A440000}"/>
    <cellStyle name="Normal 35 3 4 2 2 2" xfId="8577" xr:uid="{00000000-0005-0000-0000-00005B440000}"/>
    <cellStyle name="Normal 35 3 4 2 2 2 2" xfId="17025" xr:uid="{00000000-0005-0000-0000-00005C440000}"/>
    <cellStyle name="Normal 35 3 4 2 2 2 2 2" xfId="33965" xr:uid="{00000000-0005-0000-0000-00005D440000}"/>
    <cellStyle name="Normal 35 3 4 2 2 2 3" xfId="25517" xr:uid="{00000000-0005-0000-0000-00005E440000}"/>
    <cellStyle name="Normal 35 3 4 2 2 3" xfId="12801" xr:uid="{00000000-0005-0000-0000-00005F440000}"/>
    <cellStyle name="Normal 35 3 4 2 2 3 2" xfId="29741" xr:uid="{00000000-0005-0000-0000-000060440000}"/>
    <cellStyle name="Normal 35 3 4 2 2 4" xfId="21293" xr:uid="{00000000-0005-0000-0000-000061440000}"/>
    <cellStyle name="Normal 35 3 4 2 3" xfId="6465" xr:uid="{00000000-0005-0000-0000-000062440000}"/>
    <cellStyle name="Normal 35 3 4 2 3 2" xfId="14913" xr:uid="{00000000-0005-0000-0000-000063440000}"/>
    <cellStyle name="Normal 35 3 4 2 3 2 2" xfId="31853" xr:uid="{00000000-0005-0000-0000-000064440000}"/>
    <cellStyle name="Normal 35 3 4 2 3 3" xfId="23405" xr:uid="{00000000-0005-0000-0000-000065440000}"/>
    <cellStyle name="Normal 35 3 4 2 4" xfId="10689" xr:uid="{00000000-0005-0000-0000-000066440000}"/>
    <cellStyle name="Normal 35 3 4 2 4 2" xfId="27629" xr:uid="{00000000-0005-0000-0000-000067440000}"/>
    <cellStyle name="Normal 35 3 4 2 5" xfId="19181" xr:uid="{00000000-0005-0000-0000-000068440000}"/>
    <cellStyle name="Normal 35 3 4 3" xfId="3295" xr:uid="{00000000-0005-0000-0000-000069440000}"/>
    <cellStyle name="Normal 35 3 4 3 2" xfId="7521" xr:uid="{00000000-0005-0000-0000-00006A440000}"/>
    <cellStyle name="Normal 35 3 4 3 2 2" xfId="15969" xr:uid="{00000000-0005-0000-0000-00006B440000}"/>
    <cellStyle name="Normal 35 3 4 3 2 2 2" xfId="32909" xr:uid="{00000000-0005-0000-0000-00006C440000}"/>
    <cellStyle name="Normal 35 3 4 3 2 3" xfId="24461" xr:uid="{00000000-0005-0000-0000-00006D440000}"/>
    <cellStyle name="Normal 35 3 4 3 3" xfId="11745" xr:uid="{00000000-0005-0000-0000-00006E440000}"/>
    <cellStyle name="Normal 35 3 4 3 3 2" xfId="28685" xr:uid="{00000000-0005-0000-0000-00006F440000}"/>
    <cellStyle name="Normal 35 3 4 3 4" xfId="20237" xr:uid="{00000000-0005-0000-0000-000070440000}"/>
    <cellStyle name="Normal 35 3 4 4" xfId="5409" xr:uid="{00000000-0005-0000-0000-000071440000}"/>
    <cellStyle name="Normal 35 3 4 4 2" xfId="13857" xr:uid="{00000000-0005-0000-0000-000072440000}"/>
    <cellStyle name="Normal 35 3 4 4 2 2" xfId="30797" xr:uid="{00000000-0005-0000-0000-000073440000}"/>
    <cellStyle name="Normal 35 3 4 4 3" xfId="22349" xr:uid="{00000000-0005-0000-0000-000074440000}"/>
    <cellStyle name="Normal 35 3 4 5" xfId="9633" xr:uid="{00000000-0005-0000-0000-000075440000}"/>
    <cellStyle name="Normal 35 3 4 5 2" xfId="26573" xr:uid="{00000000-0005-0000-0000-000076440000}"/>
    <cellStyle name="Normal 35 3 4 6" xfId="18125" xr:uid="{00000000-0005-0000-0000-000077440000}"/>
    <cellStyle name="Normal 35 3 5" xfId="1359" xr:uid="{00000000-0005-0000-0000-000078440000}"/>
    <cellStyle name="Normal 35 3 5 2" xfId="2415" xr:uid="{00000000-0005-0000-0000-000079440000}"/>
    <cellStyle name="Normal 35 3 5 2 2" xfId="4527" xr:uid="{00000000-0005-0000-0000-00007A440000}"/>
    <cellStyle name="Normal 35 3 5 2 2 2" xfId="8753" xr:uid="{00000000-0005-0000-0000-00007B440000}"/>
    <cellStyle name="Normal 35 3 5 2 2 2 2" xfId="17201" xr:uid="{00000000-0005-0000-0000-00007C440000}"/>
    <cellStyle name="Normal 35 3 5 2 2 2 2 2" xfId="34141" xr:uid="{00000000-0005-0000-0000-00007D440000}"/>
    <cellStyle name="Normal 35 3 5 2 2 2 3" xfId="25693" xr:uid="{00000000-0005-0000-0000-00007E440000}"/>
    <cellStyle name="Normal 35 3 5 2 2 3" xfId="12977" xr:uid="{00000000-0005-0000-0000-00007F440000}"/>
    <cellStyle name="Normal 35 3 5 2 2 3 2" xfId="29917" xr:uid="{00000000-0005-0000-0000-000080440000}"/>
    <cellStyle name="Normal 35 3 5 2 2 4" xfId="21469" xr:uid="{00000000-0005-0000-0000-000081440000}"/>
    <cellStyle name="Normal 35 3 5 2 3" xfId="6641" xr:uid="{00000000-0005-0000-0000-000082440000}"/>
    <cellStyle name="Normal 35 3 5 2 3 2" xfId="15089" xr:uid="{00000000-0005-0000-0000-000083440000}"/>
    <cellStyle name="Normal 35 3 5 2 3 2 2" xfId="32029" xr:uid="{00000000-0005-0000-0000-000084440000}"/>
    <cellStyle name="Normal 35 3 5 2 3 3" xfId="23581" xr:uid="{00000000-0005-0000-0000-000085440000}"/>
    <cellStyle name="Normal 35 3 5 2 4" xfId="10865" xr:uid="{00000000-0005-0000-0000-000086440000}"/>
    <cellStyle name="Normal 35 3 5 2 4 2" xfId="27805" xr:uid="{00000000-0005-0000-0000-000087440000}"/>
    <cellStyle name="Normal 35 3 5 2 5" xfId="19357" xr:uid="{00000000-0005-0000-0000-000088440000}"/>
    <cellStyle name="Normal 35 3 5 3" xfId="3471" xr:uid="{00000000-0005-0000-0000-000089440000}"/>
    <cellStyle name="Normal 35 3 5 3 2" xfId="7697" xr:uid="{00000000-0005-0000-0000-00008A440000}"/>
    <cellStyle name="Normal 35 3 5 3 2 2" xfId="16145" xr:uid="{00000000-0005-0000-0000-00008B440000}"/>
    <cellStyle name="Normal 35 3 5 3 2 2 2" xfId="33085" xr:uid="{00000000-0005-0000-0000-00008C440000}"/>
    <cellStyle name="Normal 35 3 5 3 2 3" xfId="24637" xr:uid="{00000000-0005-0000-0000-00008D440000}"/>
    <cellStyle name="Normal 35 3 5 3 3" xfId="11921" xr:uid="{00000000-0005-0000-0000-00008E440000}"/>
    <cellStyle name="Normal 35 3 5 3 3 2" xfId="28861" xr:uid="{00000000-0005-0000-0000-00008F440000}"/>
    <cellStyle name="Normal 35 3 5 3 4" xfId="20413" xr:uid="{00000000-0005-0000-0000-000090440000}"/>
    <cellStyle name="Normal 35 3 5 4" xfId="5585" xr:uid="{00000000-0005-0000-0000-000091440000}"/>
    <cellStyle name="Normal 35 3 5 4 2" xfId="14033" xr:uid="{00000000-0005-0000-0000-000092440000}"/>
    <cellStyle name="Normal 35 3 5 4 2 2" xfId="30973" xr:uid="{00000000-0005-0000-0000-000093440000}"/>
    <cellStyle name="Normal 35 3 5 4 3" xfId="22525" xr:uid="{00000000-0005-0000-0000-000094440000}"/>
    <cellStyle name="Normal 35 3 5 5" xfId="9809" xr:uid="{00000000-0005-0000-0000-000095440000}"/>
    <cellStyle name="Normal 35 3 5 5 2" xfId="26749" xr:uid="{00000000-0005-0000-0000-000096440000}"/>
    <cellStyle name="Normal 35 3 5 6" xfId="18301" xr:uid="{00000000-0005-0000-0000-000097440000}"/>
    <cellStyle name="Normal 35 3 6" xfId="1535" xr:uid="{00000000-0005-0000-0000-000098440000}"/>
    <cellStyle name="Normal 35 3 6 2" xfId="3647" xr:uid="{00000000-0005-0000-0000-000099440000}"/>
    <cellStyle name="Normal 35 3 6 2 2" xfId="7873" xr:uid="{00000000-0005-0000-0000-00009A440000}"/>
    <cellStyle name="Normal 35 3 6 2 2 2" xfId="16321" xr:uid="{00000000-0005-0000-0000-00009B440000}"/>
    <cellStyle name="Normal 35 3 6 2 2 2 2" xfId="33261" xr:uid="{00000000-0005-0000-0000-00009C440000}"/>
    <cellStyle name="Normal 35 3 6 2 2 3" xfId="24813" xr:uid="{00000000-0005-0000-0000-00009D440000}"/>
    <cellStyle name="Normal 35 3 6 2 3" xfId="12097" xr:uid="{00000000-0005-0000-0000-00009E440000}"/>
    <cellStyle name="Normal 35 3 6 2 3 2" xfId="29037" xr:uid="{00000000-0005-0000-0000-00009F440000}"/>
    <cellStyle name="Normal 35 3 6 2 4" xfId="20589" xr:uid="{00000000-0005-0000-0000-0000A0440000}"/>
    <cellStyle name="Normal 35 3 6 3" xfId="5761" xr:uid="{00000000-0005-0000-0000-0000A1440000}"/>
    <cellStyle name="Normal 35 3 6 3 2" xfId="14209" xr:uid="{00000000-0005-0000-0000-0000A2440000}"/>
    <cellStyle name="Normal 35 3 6 3 2 2" xfId="31149" xr:uid="{00000000-0005-0000-0000-0000A3440000}"/>
    <cellStyle name="Normal 35 3 6 3 3" xfId="22701" xr:uid="{00000000-0005-0000-0000-0000A4440000}"/>
    <cellStyle name="Normal 35 3 6 4" xfId="9985" xr:uid="{00000000-0005-0000-0000-0000A5440000}"/>
    <cellStyle name="Normal 35 3 6 4 2" xfId="26925" xr:uid="{00000000-0005-0000-0000-0000A6440000}"/>
    <cellStyle name="Normal 35 3 6 5" xfId="18477" xr:uid="{00000000-0005-0000-0000-0000A7440000}"/>
    <cellStyle name="Normal 35 3 7" xfId="2591" xr:uid="{00000000-0005-0000-0000-0000A8440000}"/>
    <cellStyle name="Normal 35 3 7 2" xfId="6817" xr:uid="{00000000-0005-0000-0000-0000A9440000}"/>
    <cellStyle name="Normal 35 3 7 2 2" xfId="15265" xr:uid="{00000000-0005-0000-0000-0000AA440000}"/>
    <cellStyle name="Normal 35 3 7 2 2 2" xfId="32205" xr:uid="{00000000-0005-0000-0000-0000AB440000}"/>
    <cellStyle name="Normal 35 3 7 2 3" xfId="23757" xr:uid="{00000000-0005-0000-0000-0000AC440000}"/>
    <cellStyle name="Normal 35 3 7 3" xfId="11041" xr:uid="{00000000-0005-0000-0000-0000AD440000}"/>
    <cellStyle name="Normal 35 3 7 3 2" xfId="27981" xr:uid="{00000000-0005-0000-0000-0000AE440000}"/>
    <cellStyle name="Normal 35 3 7 4" xfId="19533" xr:uid="{00000000-0005-0000-0000-0000AF440000}"/>
    <cellStyle name="Normal 35 3 8" xfId="4704" xr:uid="{00000000-0005-0000-0000-0000B0440000}"/>
    <cellStyle name="Normal 35 3 8 2" xfId="13153" xr:uid="{00000000-0005-0000-0000-0000B1440000}"/>
    <cellStyle name="Normal 35 3 8 2 2" xfId="30093" xr:uid="{00000000-0005-0000-0000-0000B2440000}"/>
    <cellStyle name="Normal 35 3 8 3" xfId="21645" xr:uid="{00000000-0005-0000-0000-0000B3440000}"/>
    <cellStyle name="Normal 35 3 9" xfId="8929" xr:uid="{00000000-0005-0000-0000-0000B4440000}"/>
    <cellStyle name="Normal 35 3 9 2" xfId="25869" xr:uid="{00000000-0005-0000-0000-0000B5440000}"/>
    <cellStyle name="Normal 35 4" xfId="647" xr:uid="{00000000-0005-0000-0000-0000B6440000}"/>
    <cellStyle name="Normal 35 4 2" xfId="999" xr:uid="{00000000-0005-0000-0000-0000B7440000}"/>
    <cellStyle name="Normal 35 4 2 2" xfId="2061" xr:uid="{00000000-0005-0000-0000-0000B8440000}"/>
    <cellStyle name="Normal 35 4 2 2 2" xfId="4173" xr:uid="{00000000-0005-0000-0000-0000B9440000}"/>
    <cellStyle name="Normal 35 4 2 2 2 2" xfId="8399" xr:uid="{00000000-0005-0000-0000-0000BA440000}"/>
    <cellStyle name="Normal 35 4 2 2 2 2 2" xfId="16847" xr:uid="{00000000-0005-0000-0000-0000BB440000}"/>
    <cellStyle name="Normal 35 4 2 2 2 2 2 2" xfId="33787" xr:uid="{00000000-0005-0000-0000-0000BC440000}"/>
    <cellStyle name="Normal 35 4 2 2 2 2 3" xfId="25339" xr:uid="{00000000-0005-0000-0000-0000BD440000}"/>
    <cellStyle name="Normal 35 4 2 2 2 3" xfId="12623" xr:uid="{00000000-0005-0000-0000-0000BE440000}"/>
    <cellStyle name="Normal 35 4 2 2 2 3 2" xfId="29563" xr:uid="{00000000-0005-0000-0000-0000BF440000}"/>
    <cellStyle name="Normal 35 4 2 2 2 4" xfId="21115" xr:uid="{00000000-0005-0000-0000-0000C0440000}"/>
    <cellStyle name="Normal 35 4 2 2 3" xfId="6287" xr:uid="{00000000-0005-0000-0000-0000C1440000}"/>
    <cellStyle name="Normal 35 4 2 2 3 2" xfId="14735" xr:uid="{00000000-0005-0000-0000-0000C2440000}"/>
    <cellStyle name="Normal 35 4 2 2 3 2 2" xfId="31675" xr:uid="{00000000-0005-0000-0000-0000C3440000}"/>
    <cellStyle name="Normal 35 4 2 2 3 3" xfId="23227" xr:uid="{00000000-0005-0000-0000-0000C4440000}"/>
    <cellStyle name="Normal 35 4 2 2 4" xfId="10511" xr:uid="{00000000-0005-0000-0000-0000C5440000}"/>
    <cellStyle name="Normal 35 4 2 2 4 2" xfId="27451" xr:uid="{00000000-0005-0000-0000-0000C6440000}"/>
    <cellStyle name="Normal 35 4 2 2 5" xfId="19003" xr:uid="{00000000-0005-0000-0000-0000C7440000}"/>
    <cellStyle name="Normal 35 4 2 3" xfId="3117" xr:uid="{00000000-0005-0000-0000-0000C8440000}"/>
    <cellStyle name="Normal 35 4 2 3 2" xfId="7343" xr:uid="{00000000-0005-0000-0000-0000C9440000}"/>
    <cellStyle name="Normal 35 4 2 3 2 2" xfId="15791" xr:uid="{00000000-0005-0000-0000-0000CA440000}"/>
    <cellStyle name="Normal 35 4 2 3 2 2 2" xfId="32731" xr:uid="{00000000-0005-0000-0000-0000CB440000}"/>
    <cellStyle name="Normal 35 4 2 3 2 3" xfId="24283" xr:uid="{00000000-0005-0000-0000-0000CC440000}"/>
    <cellStyle name="Normal 35 4 2 3 3" xfId="11567" xr:uid="{00000000-0005-0000-0000-0000CD440000}"/>
    <cellStyle name="Normal 35 4 2 3 3 2" xfId="28507" xr:uid="{00000000-0005-0000-0000-0000CE440000}"/>
    <cellStyle name="Normal 35 4 2 3 4" xfId="20059" xr:uid="{00000000-0005-0000-0000-0000CF440000}"/>
    <cellStyle name="Normal 35 4 2 4" xfId="5231" xr:uid="{00000000-0005-0000-0000-0000D0440000}"/>
    <cellStyle name="Normal 35 4 2 4 2" xfId="13679" xr:uid="{00000000-0005-0000-0000-0000D1440000}"/>
    <cellStyle name="Normal 35 4 2 4 2 2" xfId="30619" xr:uid="{00000000-0005-0000-0000-0000D2440000}"/>
    <cellStyle name="Normal 35 4 2 4 3" xfId="22171" xr:uid="{00000000-0005-0000-0000-0000D3440000}"/>
    <cellStyle name="Normal 35 4 2 5" xfId="9455" xr:uid="{00000000-0005-0000-0000-0000D4440000}"/>
    <cellStyle name="Normal 35 4 2 5 2" xfId="26395" xr:uid="{00000000-0005-0000-0000-0000D5440000}"/>
    <cellStyle name="Normal 35 4 2 6" xfId="17947" xr:uid="{00000000-0005-0000-0000-0000D6440000}"/>
    <cellStyle name="Normal 35 4 3" xfId="1709" xr:uid="{00000000-0005-0000-0000-0000D7440000}"/>
    <cellStyle name="Normal 35 4 3 2" xfId="3821" xr:uid="{00000000-0005-0000-0000-0000D8440000}"/>
    <cellStyle name="Normal 35 4 3 2 2" xfId="8047" xr:uid="{00000000-0005-0000-0000-0000D9440000}"/>
    <cellStyle name="Normal 35 4 3 2 2 2" xfId="16495" xr:uid="{00000000-0005-0000-0000-0000DA440000}"/>
    <cellStyle name="Normal 35 4 3 2 2 2 2" xfId="33435" xr:uid="{00000000-0005-0000-0000-0000DB440000}"/>
    <cellStyle name="Normal 35 4 3 2 2 3" xfId="24987" xr:uid="{00000000-0005-0000-0000-0000DC440000}"/>
    <cellStyle name="Normal 35 4 3 2 3" xfId="12271" xr:uid="{00000000-0005-0000-0000-0000DD440000}"/>
    <cellStyle name="Normal 35 4 3 2 3 2" xfId="29211" xr:uid="{00000000-0005-0000-0000-0000DE440000}"/>
    <cellStyle name="Normal 35 4 3 2 4" xfId="20763" xr:uid="{00000000-0005-0000-0000-0000DF440000}"/>
    <cellStyle name="Normal 35 4 3 3" xfId="5935" xr:uid="{00000000-0005-0000-0000-0000E0440000}"/>
    <cellStyle name="Normal 35 4 3 3 2" xfId="14383" xr:uid="{00000000-0005-0000-0000-0000E1440000}"/>
    <cellStyle name="Normal 35 4 3 3 2 2" xfId="31323" xr:uid="{00000000-0005-0000-0000-0000E2440000}"/>
    <cellStyle name="Normal 35 4 3 3 3" xfId="22875" xr:uid="{00000000-0005-0000-0000-0000E3440000}"/>
    <cellStyle name="Normal 35 4 3 4" xfId="10159" xr:uid="{00000000-0005-0000-0000-0000E4440000}"/>
    <cellStyle name="Normal 35 4 3 4 2" xfId="27099" xr:uid="{00000000-0005-0000-0000-0000E5440000}"/>
    <cellStyle name="Normal 35 4 3 5" xfId="18651" xr:uid="{00000000-0005-0000-0000-0000E6440000}"/>
    <cellStyle name="Normal 35 4 4" xfId="2765" xr:uid="{00000000-0005-0000-0000-0000E7440000}"/>
    <cellStyle name="Normal 35 4 4 2" xfId="6991" xr:uid="{00000000-0005-0000-0000-0000E8440000}"/>
    <cellStyle name="Normal 35 4 4 2 2" xfId="15439" xr:uid="{00000000-0005-0000-0000-0000E9440000}"/>
    <cellStyle name="Normal 35 4 4 2 2 2" xfId="32379" xr:uid="{00000000-0005-0000-0000-0000EA440000}"/>
    <cellStyle name="Normal 35 4 4 2 3" xfId="23931" xr:uid="{00000000-0005-0000-0000-0000EB440000}"/>
    <cellStyle name="Normal 35 4 4 3" xfId="11215" xr:uid="{00000000-0005-0000-0000-0000EC440000}"/>
    <cellStyle name="Normal 35 4 4 3 2" xfId="28155" xr:uid="{00000000-0005-0000-0000-0000ED440000}"/>
    <cellStyle name="Normal 35 4 4 4" xfId="19707" xr:uid="{00000000-0005-0000-0000-0000EE440000}"/>
    <cellStyle name="Normal 35 4 5" xfId="4879" xr:uid="{00000000-0005-0000-0000-0000EF440000}"/>
    <cellStyle name="Normal 35 4 5 2" xfId="13327" xr:uid="{00000000-0005-0000-0000-0000F0440000}"/>
    <cellStyle name="Normal 35 4 5 2 2" xfId="30267" xr:uid="{00000000-0005-0000-0000-0000F1440000}"/>
    <cellStyle name="Normal 35 4 5 3" xfId="21819" xr:uid="{00000000-0005-0000-0000-0000F2440000}"/>
    <cellStyle name="Normal 35 4 6" xfId="9103" xr:uid="{00000000-0005-0000-0000-0000F3440000}"/>
    <cellStyle name="Normal 35 4 6 2" xfId="26043" xr:uid="{00000000-0005-0000-0000-0000F4440000}"/>
    <cellStyle name="Normal 35 4 7" xfId="17595" xr:uid="{00000000-0005-0000-0000-0000F5440000}"/>
    <cellStyle name="Normal 35 5" xfId="823" xr:uid="{00000000-0005-0000-0000-0000F6440000}"/>
    <cellStyle name="Normal 35 5 2" xfId="1885" xr:uid="{00000000-0005-0000-0000-0000F7440000}"/>
    <cellStyle name="Normal 35 5 2 2" xfId="3997" xr:uid="{00000000-0005-0000-0000-0000F8440000}"/>
    <cellStyle name="Normal 35 5 2 2 2" xfId="8223" xr:uid="{00000000-0005-0000-0000-0000F9440000}"/>
    <cellStyle name="Normal 35 5 2 2 2 2" xfId="16671" xr:uid="{00000000-0005-0000-0000-0000FA440000}"/>
    <cellStyle name="Normal 35 5 2 2 2 2 2" xfId="33611" xr:uid="{00000000-0005-0000-0000-0000FB440000}"/>
    <cellStyle name="Normal 35 5 2 2 2 3" xfId="25163" xr:uid="{00000000-0005-0000-0000-0000FC440000}"/>
    <cellStyle name="Normal 35 5 2 2 3" xfId="12447" xr:uid="{00000000-0005-0000-0000-0000FD440000}"/>
    <cellStyle name="Normal 35 5 2 2 3 2" xfId="29387" xr:uid="{00000000-0005-0000-0000-0000FE440000}"/>
    <cellStyle name="Normal 35 5 2 2 4" xfId="20939" xr:uid="{00000000-0005-0000-0000-0000FF440000}"/>
    <cellStyle name="Normal 35 5 2 3" xfId="6111" xr:uid="{00000000-0005-0000-0000-000000450000}"/>
    <cellStyle name="Normal 35 5 2 3 2" xfId="14559" xr:uid="{00000000-0005-0000-0000-000001450000}"/>
    <cellStyle name="Normal 35 5 2 3 2 2" xfId="31499" xr:uid="{00000000-0005-0000-0000-000002450000}"/>
    <cellStyle name="Normal 35 5 2 3 3" xfId="23051" xr:uid="{00000000-0005-0000-0000-000003450000}"/>
    <cellStyle name="Normal 35 5 2 4" xfId="10335" xr:uid="{00000000-0005-0000-0000-000004450000}"/>
    <cellStyle name="Normal 35 5 2 4 2" xfId="27275" xr:uid="{00000000-0005-0000-0000-000005450000}"/>
    <cellStyle name="Normal 35 5 2 5" xfId="18827" xr:uid="{00000000-0005-0000-0000-000006450000}"/>
    <cellStyle name="Normal 35 5 3" xfId="2941" xr:uid="{00000000-0005-0000-0000-000007450000}"/>
    <cellStyle name="Normal 35 5 3 2" xfId="7167" xr:uid="{00000000-0005-0000-0000-000008450000}"/>
    <cellStyle name="Normal 35 5 3 2 2" xfId="15615" xr:uid="{00000000-0005-0000-0000-000009450000}"/>
    <cellStyle name="Normal 35 5 3 2 2 2" xfId="32555" xr:uid="{00000000-0005-0000-0000-00000A450000}"/>
    <cellStyle name="Normal 35 5 3 2 3" xfId="24107" xr:uid="{00000000-0005-0000-0000-00000B450000}"/>
    <cellStyle name="Normal 35 5 3 3" xfId="11391" xr:uid="{00000000-0005-0000-0000-00000C450000}"/>
    <cellStyle name="Normal 35 5 3 3 2" xfId="28331" xr:uid="{00000000-0005-0000-0000-00000D450000}"/>
    <cellStyle name="Normal 35 5 3 4" xfId="19883" xr:uid="{00000000-0005-0000-0000-00000E450000}"/>
    <cellStyle name="Normal 35 5 4" xfId="5055" xr:uid="{00000000-0005-0000-0000-00000F450000}"/>
    <cellStyle name="Normal 35 5 4 2" xfId="13503" xr:uid="{00000000-0005-0000-0000-000010450000}"/>
    <cellStyle name="Normal 35 5 4 2 2" xfId="30443" xr:uid="{00000000-0005-0000-0000-000011450000}"/>
    <cellStyle name="Normal 35 5 4 3" xfId="21995" xr:uid="{00000000-0005-0000-0000-000012450000}"/>
    <cellStyle name="Normal 35 5 5" xfId="9279" xr:uid="{00000000-0005-0000-0000-000013450000}"/>
    <cellStyle name="Normal 35 5 5 2" xfId="26219" xr:uid="{00000000-0005-0000-0000-000014450000}"/>
    <cellStyle name="Normal 35 5 6" xfId="17771" xr:uid="{00000000-0005-0000-0000-000015450000}"/>
    <cellStyle name="Normal 35 6" xfId="1175" xr:uid="{00000000-0005-0000-0000-000016450000}"/>
    <cellStyle name="Normal 35 6 2" xfId="2237" xr:uid="{00000000-0005-0000-0000-000017450000}"/>
    <cellStyle name="Normal 35 6 2 2" xfId="4349" xr:uid="{00000000-0005-0000-0000-000018450000}"/>
    <cellStyle name="Normal 35 6 2 2 2" xfId="8575" xr:uid="{00000000-0005-0000-0000-000019450000}"/>
    <cellStyle name="Normal 35 6 2 2 2 2" xfId="17023" xr:uid="{00000000-0005-0000-0000-00001A450000}"/>
    <cellStyle name="Normal 35 6 2 2 2 2 2" xfId="33963" xr:uid="{00000000-0005-0000-0000-00001B450000}"/>
    <cellStyle name="Normal 35 6 2 2 2 3" xfId="25515" xr:uid="{00000000-0005-0000-0000-00001C450000}"/>
    <cellStyle name="Normal 35 6 2 2 3" xfId="12799" xr:uid="{00000000-0005-0000-0000-00001D450000}"/>
    <cellStyle name="Normal 35 6 2 2 3 2" xfId="29739" xr:uid="{00000000-0005-0000-0000-00001E450000}"/>
    <cellStyle name="Normal 35 6 2 2 4" xfId="21291" xr:uid="{00000000-0005-0000-0000-00001F450000}"/>
    <cellStyle name="Normal 35 6 2 3" xfId="6463" xr:uid="{00000000-0005-0000-0000-000020450000}"/>
    <cellStyle name="Normal 35 6 2 3 2" xfId="14911" xr:uid="{00000000-0005-0000-0000-000021450000}"/>
    <cellStyle name="Normal 35 6 2 3 2 2" xfId="31851" xr:uid="{00000000-0005-0000-0000-000022450000}"/>
    <cellStyle name="Normal 35 6 2 3 3" xfId="23403" xr:uid="{00000000-0005-0000-0000-000023450000}"/>
    <cellStyle name="Normal 35 6 2 4" xfId="10687" xr:uid="{00000000-0005-0000-0000-000024450000}"/>
    <cellStyle name="Normal 35 6 2 4 2" xfId="27627" xr:uid="{00000000-0005-0000-0000-000025450000}"/>
    <cellStyle name="Normal 35 6 2 5" xfId="19179" xr:uid="{00000000-0005-0000-0000-000026450000}"/>
    <cellStyle name="Normal 35 6 3" xfId="3293" xr:uid="{00000000-0005-0000-0000-000027450000}"/>
    <cellStyle name="Normal 35 6 3 2" xfId="7519" xr:uid="{00000000-0005-0000-0000-000028450000}"/>
    <cellStyle name="Normal 35 6 3 2 2" xfId="15967" xr:uid="{00000000-0005-0000-0000-000029450000}"/>
    <cellStyle name="Normal 35 6 3 2 2 2" xfId="32907" xr:uid="{00000000-0005-0000-0000-00002A450000}"/>
    <cellStyle name="Normal 35 6 3 2 3" xfId="24459" xr:uid="{00000000-0005-0000-0000-00002B450000}"/>
    <cellStyle name="Normal 35 6 3 3" xfId="11743" xr:uid="{00000000-0005-0000-0000-00002C450000}"/>
    <cellStyle name="Normal 35 6 3 3 2" xfId="28683" xr:uid="{00000000-0005-0000-0000-00002D450000}"/>
    <cellStyle name="Normal 35 6 3 4" xfId="20235" xr:uid="{00000000-0005-0000-0000-00002E450000}"/>
    <cellStyle name="Normal 35 6 4" xfId="5407" xr:uid="{00000000-0005-0000-0000-00002F450000}"/>
    <cellStyle name="Normal 35 6 4 2" xfId="13855" xr:uid="{00000000-0005-0000-0000-000030450000}"/>
    <cellStyle name="Normal 35 6 4 2 2" xfId="30795" xr:uid="{00000000-0005-0000-0000-000031450000}"/>
    <cellStyle name="Normal 35 6 4 3" xfId="22347" xr:uid="{00000000-0005-0000-0000-000032450000}"/>
    <cellStyle name="Normal 35 6 5" xfId="9631" xr:uid="{00000000-0005-0000-0000-000033450000}"/>
    <cellStyle name="Normal 35 6 5 2" xfId="26571" xr:uid="{00000000-0005-0000-0000-000034450000}"/>
    <cellStyle name="Normal 35 6 6" xfId="18123" xr:uid="{00000000-0005-0000-0000-000035450000}"/>
    <cellStyle name="Normal 35 7" xfId="1357" xr:uid="{00000000-0005-0000-0000-000036450000}"/>
    <cellStyle name="Normal 35 7 2" xfId="2413" xr:uid="{00000000-0005-0000-0000-000037450000}"/>
    <cellStyle name="Normal 35 7 2 2" xfId="4525" xr:uid="{00000000-0005-0000-0000-000038450000}"/>
    <cellStyle name="Normal 35 7 2 2 2" xfId="8751" xr:uid="{00000000-0005-0000-0000-000039450000}"/>
    <cellStyle name="Normal 35 7 2 2 2 2" xfId="17199" xr:uid="{00000000-0005-0000-0000-00003A450000}"/>
    <cellStyle name="Normal 35 7 2 2 2 2 2" xfId="34139" xr:uid="{00000000-0005-0000-0000-00003B450000}"/>
    <cellStyle name="Normal 35 7 2 2 2 3" xfId="25691" xr:uid="{00000000-0005-0000-0000-00003C450000}"/>
    <cellStyle name="Normal 35 7 2 2 3" xfId="12975" xr:uid="{00000000-0005-0000-0000-00003D450000}"/>
    <cellStyle name="Normal 35 7 2 2 3 2" xfId="29915" xr:uid="{00000000-0005-0000-0000-00003E450000}"/>
    <cellStyle name="Normal 35 7 2 2 4" xfId="21467" xr:uid="{00000000-0005-0000-0000-00003F450000}"/>
    <cellStyle name="Normal 35 7 2 3" xfId="6639" xr:uid="{00000000-0005-0000-0000-000040450000}"/>
    <cellStyle name="Normal 35 7 2 3 2" xfId="15087" xr:uid="{00000000-0005-0000-0000-000041450000}"/>
    <cellStyle name="Normal 35 7 2 3 2 2" xfId="32027" xr:uid="{00000000-0005-0000-0000-000042450000}"/>
    <cellStyle name="Normal 35 7 2 3 3" xfId="23579" xr:uid="{00000000-0005-0000-0000-000043450000}"/>
    <cellStyle name="Normal 35 7 2 4" xfId="10863" xr:uid="{00000000-0005-0000-0000-000044450000}"/>
    <cellStyle name="Normal 35 7 2 4 2" xfId="27803" xr:uid="{00000000-0005-0000-0000-000045450000}"/>
    <cellStyle name="Normal 35 7 2 5" xfId="19355" xr:uid="{00000000-0005-0000-0000-000046450000}"/>
    <cellStyle name="Normal 35 7 3" xfId="3469" xr:uid="{00000000-0005-0000-0000-000047450000}"/>
    <cellStyle name="Normal 35 7 3 2" xfId="7695" xr:uid="{00000000-0005-0000-0000-000048450000}"/>
    <cellStyle name="Normal 35 7 3 2 2" xfId="16143" xr:uid="{00000000-0005-0000-0000-000049450000}"/>
    <cellStyle name="Normal 35 7 3 2 2 2" xfId="33083" xr:uid="{00000000-0005-0000-0000-00004A450000}"/>
    <cellStyle name="Normal 35 7 3 2 3" xfId="24635" xr:uid="{00000000-0005-0000-0000-00004B450000}"/>
    <cellStyle name="Normal 35 7 3 3" xfId="11919" xr:uid="{00000000-0005-0000-0000-00004C450000}"/>
    <cellStyle name="Normal 35 7 3 3 2" xfId="28859" xr:uid="{00000000-0005-0000-0000-00004D450000}"/>
    <cellStyle name="Normal 35 7 3 4" xfId="20411" xr:uid="{00000000-0005-0000-0000-00004E450000}"/>
    <cellStyle name="Normal 35 7 4" xfId="5583" xr:uid="{00000000-0005-0000-0000-00004F450000}"/>
    <cellStyle name="Normal 35 7 4 2" xfId="14031" xr:uid="{00000000-0005-0000-0000-000050450000}"/>
    <cellStyle name="Normal 35 7 4 2 2" xfId="30971" xr:uid="{00000000-0005-0000-0000-000051450000}"/>
    <cellStyle name="Normal 35 7 4 3" xfId="22523" xr:uid="{00000000-0005-0000-0000-000052450000}"/>
    <cellStyle name="Normal 35 7 5" xfId="9807" xr:uid="{00000000-0005-0000-0000-000053450000}"/>
    <cellStyle name="Normal 35 7 5 2" xfId="26747" xr:uid="{00000000-0005-0000-0000-000054450000}"/>
    <cellStyle name="Normal 35 7 6" xfId="18299" xr:uid="{00000000-0005-0000-0000-000055450000}"/>
    <cellStyle name="Normal 35 8" xfId="1533" xr:uid="{00000000-0005-0000-0000-000056450000}"/>
    <cellStyle name="Normal 35 8 2" xfId="3645" xr:uid="{00000000-0005-0000-0000-000057450000}"/>
    <cellStyle name="Normal 35 8 2 2" xfId="7871" xr:uid="{00000000-0005-0000-0000-000058450000}"/>
    <cellStyle name="Normal 35 8 2 2 2" xfId="16319" xr:uid="{00000000-0005-0000-0000-000059450000}"/>
    <cellStyle name="Normal 35 8 2 2 2 2" xfId="33259" xr:uid="{00000000-0005-0000-0000-00005A450000}"/>
    <cellStyle name="Normal 35 8 2 2 3" xfId="24811" xr:uid="{00000000-0005-0000-0000-00005B450000}"/>
    <cellStyle name="Normal 35 8 2 3" xfId="12095" xr:uid="{00000000-0005-0000-0000-00005C450000}"/>
    <cellStyle name="Normal 35 8 2 3 2" xfId="29035" xr:uid="{00000000-0005-0000-0000-00005D450000}"/>
    <cellStyle name="Normal 35 8 2 4" xfId="20587" xr:uid="{00000000-0005-0000-0000-00005E450000}"/>
    <cellStyle name="Normal 35 8 3" xfId="5759" xr:uid="{00000000-0005-0000-0000-00005F450000}"/>
    <cellStyle name="Normal 35 8 3 2" xfId="14207" xr:uid="{00000000-0005-0000-0000-000060450000}"/>
    <cellStyle name="Normal 35 8 3 2 2" xfId="31147" xr:uid="{00000000-0005-0000-0000-000061450000}"/>
    <cellStyle name="Normal 35 8 3 3" xfId="22699" xr:uid="{00000000-0005-0000-0000-000062450000}"/>
    <cellStyle name="Normal 35 8 4" xfId="9983" xr:uid="{00000000-0005-0000-0000-000063450000}"/>
    <cellStyle name="Normal 35 8 4 2" xfId="26923" xr:uid="{00000000-0005-0000-0000-000064450000}"/>
    <cellStyle name="Normal 35 8 5" xfId="18475" xr:uid="{00000000-0005-0000-0000-000065450000}"/>
    <cellStyle name="Normal 35 9" xfId="2589" xr:uid="{00000000-0005-0000-0000-000066450000}"/>
    <cellStyle name="Normal 35 9 2" xfId="6815" xr:uid="{00000000-0005-0000-0000-000067450000}"/>
    <cellStyle name="Normal 35 9 2 2" xfId="15263" xr:uid="{00000000-0005-0000-0000-000068450000}"/>
    <cellStyle name="Normal 35 9 2 2 2" xfId="32203" xr:uid="{00000000-0005-0000-0000-000069450000}"/>
    <cellStyle name="Normal 35 9 2 3" xfId="23755" xr:uid="{00000000-0005-0000-0000-00006A450000}"/>
    <cellStyle name="Normal 35 9 3" xfId="11039" xr:uid="{00000000-0005-0000-0000-00006B450000}"/>
    <cellStyle name="Normal 35 9 3 2" xfId="27979" xr:uid="{00000000-0005-0000-0000-00006C450000}"/>
    <cellStyle name="Normal 35 9 4" xfId="19531" xr:uid="{00000000-0005-0000-0000-00006D450000}"/>
    <cellStyle name="Normal 36" xfId="344" xr:uid="{00000000-0005-0000-0000-00006E450000}"/>
    <cellStyle name="Normal 37" xfId="345" xr:uid="{00000000-0005-0000-0000-00006F450000}"/>
    <cellStyle name="Normal 38" xfId="346" xr:uid="{00000000-0005-0000-0000-000070450000}"/>
    <cellStyle name="Normal 39" xfId="347" xr:uid="{00000000-0005-0000-0000-000071450000}"/>
    <cellStyle name="Normal 4" xfId="348" xr:uid="{00000000-0005-0000-0000-000072450000}"/>
    <cellStyle name="Normal 4 10" xfId="1178" xr:uid="{00000000-0005-0000-0000-000073450000}"/>
    <cellStyle name="Normal 4 10 2" xfId="2240" xr:uid="{00000000-0005-0000-0000-000074450000}"/>
    <cellStyle name="Normal 4 10 2 2" xfId="4352" xr:uid="{00000000-0005-0000-0000-000075450000}"/>
    <cellStyle name="Normal 4 10 2 2 2" xfId="8578" xr:uid="{00000000-0005-0000-0000-000076450000}"/>
    <cellStyle name="Normal 4 10 2 2 2 2" xfId="17026" xr:uid="{00000000-0005-0000-0000-000077450000}"/>
    <cellStyle name="Normal 4 10 2 2 2 2 2" xfId="33966" xr:uid="{00000000-0005-0000-0000-000078450000}"/>
    <cellStyle name="Normal 4 10 2 2 2 3" xfId="25518" xr:uid="{00000000-0005-0000-0000-000079450000}"/>
    <cellStyle name="Normal 4 10 2 2 3" xfId="12802" xr:uid="{00000000-0005-0000-0000-00007A450000}"/>
    <cellStyle name="Normal 4 10 2 2 3 2" xfId="29742" xr:uid="{00000000-0005-0000-0000-00007B450000}"/>
    <cellStyle name="Normal 4 10 2 2 4" xfId="21294" xr:uid="{00000000-0005-0000-0000-00007C450000}"/>
    <cellStyle name="Normal 4 10 2 3" xfId="6466" xr:uid="{00000000-0005-0000-0000-00007D450000}"/>
    <cellStyle name="Normal 4 10 2 3 2" xfId="14914" xr:uid="{00000000-0005-0000-0000-00007E450000}"/>
    <cellStyle name="Normal 4 10 2 3 2 2" xfId="31854" xr:uid="{00000000-0005-0000-0000-00007F450000}"/>
    <cellStyle name="Normal 4 10 2 3 3" xfId="23406" xr:uid="{00000000-0005-0000-0000-000080450000}"/>
    <cellStyle name="Normal 4 10 2 4" xfId="10690" xr:uid="{00000000-0005-0000-0000-000081450000}"/>
    <cellStyle name="Normal 4 10 2 4 2" xfId="27630" xr:uid="{00000000-0005-0000-0000-000082450000}"/>
    <cellStyle name="Normal 4 10 2 5" xfId="19182" xr:uid="{00000000-0005-0000-0000-000083450000}"/>
    <cellStyle name="Normal 4 10 3" xfId="3296" xr:uid="{00000000-0005-0000-0000-000084450000}"/>
    <cellStyle name="Normal 4 10 3 2" xfId="7522" xr:uid="{00000000-0005-0000-0000-000085450000}"/>
    <cellStyle name="Normal 4 10 3 2 2" xfId="15970" xr:uid="{00000000-0005-0000-0000-000086450000}"/>
    <cellStyle name="Normal 4 10 3 2 2 2" xfId="32910" xr:uid="{00000000-0005-0000-0000-000087450000}"/>
    <cellStyle name="Normal 4 10 3 2 3" xfId="24462" xr:uid="{00000000-0005-0000-0000-000088450000}"/>
    <cellStyle name="Normal 4 10 3 3" xfId="11746" xr:uid="{00000000-0005-0000-0000-000089450000}"/>
    <cellStyle name="Normal 4 10 3 3 2" xfId="28686" xr:uid="{00000000-0005-0000-0000-00008A450000}"/>
    <cellStyle name="Normal 4 10 3 4" xfId="20238" xr:uid="{00000000-0005-0000-0000-00008B450000}"/>
    <cellStyle name="Normal 4 10 4" xfId="5410" xr:uid="{00000000-0005-0000-0000-00008C450000}"/>
    <cellStyle name="Normal 4 10 4 2" xfId="13858" xr:uid="{00000000-0005-0000-0000-00008D450000}"/>
    <cellStyle name="Normal 4 10 4 2 2" xfId="30798" xr:uid="{00000000-0005-0000-0000-00008E450000}"/>
    <cellStyle name="Normal 4 10 4 3" xfId="22350" xr:uid="{00000000-0005-0000-0000-00008F450000}"/>
    <cellStyle name="Normal 4 10 5" xfId="9634" xr:uid="{00000000-0005-0000-0000-000090450000}"/>
    <cellStyle name="Normal 4 10 5 2" xfId="26574" xr:uid="{00000000-0005-0000-0000-000091450000}"/>
    <cellStyle name="Normal 4 10 6" xfId="18126" xr:uid="{00000000-0005-0000-0000-000092450000}"/>
    <cellStyle name="Normal 4 11" xfId="1360" xr:uid="{00000000-0005-0000-0000-000093450000}"/>
    <cellStyle name="Normal 4 11 2" xfId="2416" xr:uid="{00000000-0005-0000-0000-000094450000}"/>
    <cellStyle name="Normal 4 11 2 2" xfId="4528" xr:uid="{00000000-0005-0000-0000-000095450000}"/>
    <cellStyle name="Normal 4 11 2 2 2" xfId="8754" xr:uid="{00000000-0005-0000-0000-000096450000}"/>
    <cellStyle name="Normal 4 11 2 2 2 2" xfId="17202" xr:uid="{00000000-0005-0000-0000-000097450000}"/>
    <cellStyle name="Normal 4 11 2 2 2 2 2" xfId="34142" xr:uid="{00000000-0005-0000-0000-000098450000}"/>
    <cellStyle name="Normal 4 11 2 2 2 3" xfId="25694" xr:uid="{00000000-0005-0000-0000-000099450000}"/>
    <cellStyle name="Normal 4 11 2 2 3" xfId="12978" xr:uid="{00000000-0005-0000-0000-00009A450000}"/>
    <cellStyle name="Normal 4 11 2 2 3 2" xfId="29918" xr:uid="{00000000-0005-0000-0000-00009B450000}"/>
    <cellStyle name="Normal 4 11 2 2 4" xfId="21470" xr:uid="{00000000-0005-0000-0000-00009C450000}"/>
    <cellStyle name="Normal 4 11 2 3" xfId="6642" xr:uid="{00000000-0005-0000-0000-00009D450000}"/>
    <cellStyle name="Normal 4 11 2 3 2" xfId="15090" xr:uid="{00000000-0005-0000-0000-00009E450000}"/>
    <cellStyle name="Normal 4 11 2 3 2 2" xfId="32030" xr:uid="{00000000-0005-0000-0000-00009F450000}"/>
    <cellStyle name="Normal 4 11 2 3 3" xfId="23582" xr:uid="{00000000-0005-0000-0000-0000A0450000}"/>
    <cellStyle name="Normal 4 11 2 4" xfId="10866" xr:uid="{00000000-0005-0000-0000-0000A1450000}"/>
    <cellStyle name="Normal 4 11 2 4 2" xfId="27806" xr:uid="{00000000-0005-0000-0000-0000A2450000}"/>
    <cellStyle name="Normal 4 11 2 5" xfId="19358" xr:uid="{00000000-0005-0000-0000-0000A3450000}"/>
    <cellStyle name="Normal 4 11 3" xfId="3472" xr:uid="{00000000-0005-0000-0000-0000A4450000}"/>
    <cellStyle name="Normal 4 11 3 2" xfId="7698" xr:uid="{00000000-0005-0000-0000-0000A5450000}"/>
    <cellStyle name="Normal 4 11 3 2 2" xfId="16146" xr:uid="{00000000-0005-0000-0000-0000A6450000}"/>
    <cellStyle name="Normal 4 11 3 2 2 2" xfId="33086" xr:uid="{00000000-0005-0000-0000-0000A7450000}"/>
    <cellStyle name="Normal 4 11 3 2 3" xfId="24638" xr:uid="{00000000-0005-0000-0000-0000A8450000}"/>
    <cellStyle name="Normal 4 11 3 3" xfId="11922" xr:uid="{00000000-0005-0000-0000-0000A9450000}"/>
    <cellStyle name="Normal 4 11 3 3 2" xfId="28862" xr:uid="{00000000-0005-0000-0000-0000AA450000}"/>
    <cellStyle name="Normal 4 11 3 4" xfId="20414" xr:uid="{00000000-0005-0000-0000-0000AB450000}"/>
    <cellStyle name="Normal 4 11 4" xfId="5586" xr:uid="{00000000-0005-0000-0000-0000AC450000}"/>
    <cellStyle name="Normal 4 11 4 2" xfId="14034" xr:uid="{00000000-0005-0000-0000-0000AD450000}"/>
    <cellStyle name="Normal 4 11 4 2 2" xfId="30974" xr:uid="{00000000-0005-0000-0000-0000AE450000}"/>
    <cellStyle name="Normal 4 11 4 3" xfId="22526" xr:uid="{00000000-0005-0000-0000-0000AF450000}"/>
    <cellStyle name="Normal 4 11 5" xfId="9810" xr:uid="{00000000-0005-0000-0000-0000B0450000}"/>
    <cellStyle name="Normal 4 11 5 2" xfId="26750" xr:uid="{00000000-0005-0000-0000-0000B1450000}"/>
    <cellStyle name="Normal 4 11 6" xfId="18302" xr:uid="{00000000-0005-0000-0000-0000B2450000}"/>
    <cellStyle name="Normal 4 12" xfId="1536" xr:uid="{00000000-0005-0000-0000-0000B3450000}"/>
    <cellStyle name="Normal 4 12 2" xfId="3648" xr:uid="{00000000-0005-0000-0000-0000B4450000}"/>
    <cellStyle name="Normal 4 12 2 2" xfId="7874" xr:uid="{00000000-0005-0000-0000-0000B5450000}"/>
    <cellStyle name="Normal 4 12 2 2 2" xfId="16322" xr:uid="{00000000-0005-0000-0000-0000B6450000}"/>
    <cellStyle name="Normal 4 12 2 2 2 2" xfId="33262" xr:uid="{00000000-0005-0000-0000-0000B7450000}"/>
    <cellStyle name="Normal 4 12 2 2 3" xfId="24814" xr:uid="{00000000-0005-0000-0000-0000B8450000}"/>
    <cellStyle name="Normal 4 12 2 3" xfId="12098" xr:uid="{00000000-0005-0000-0000-0000B9450000}"/>
    <cellStyle name="Normal 4 12 2 3 2" xfId="29038" xr:uid="{00000000-0005-0000-0000-0000BA450000}"/>
    <cellStyle name="Normal 4 12 2 4" xfId="20590" xr:uid="{00000000-0005-0000-0000-0000BB450000}"/>
    <cellStyle name="Normal 4 12 3" xfId="5762" xr:uid="{00000000-0005-0000-0000-0000BC450000}"/>
    <cellStyle name="Normal 4 12 3 2" xfId="14210" xr:uid="{00000000-0005-0000-0000-0000BD450000}"/>
    <cellStyle name="Normal 4 12 3 2 2" xfId="31150" xr:uid="{00000000-0005-0000-0000-0000BE450000}"/>
    <cellStyle name="Normal 4 12 3 3" xfId="22702" xr:uid="{00000000-0005-0000-0000-0000BF450000}"/>
    <cellStyle name="Normal 4 12 4" xfId="9986" xr:uid="{00000000-0005-0000-0000-0000C0450000}"/>
    <cellStyle name="Normal 4 12 4 2" xfId="26926" xr:uid="{00000000-0005-0000-0000-0000C1450000}"/>
    <cellStyle name="Normal 4 12 5" xfId="18478" xr:uid="{00000000-0005-0000-0000-0000C2450000}"/>
    <cellStyle name="Normal 4 13" xfId="2592" xr:uid="{00000000-0005-0000-0000-0000C3450000}"/>
    <cellStyle name="Normal 4 13 2" xfId="6818" xr:uid="{00000000-0005-0000-0000-0000C4450000}"/>
    <cellStyle name="Normal 4 13 2 2" xfId="15266" xr:uid="{00000000-0005-0000-0000-0000C5450000}"/>
    <cellStyle name="Normal 4 13 2 2 2" xfId="32206" xr:uid="{00000000-0005-0000-0000-0000C6450000}"/>
    <cellStyle name="Normal 4 13 2 3" xfId="23758" xr:uid="{00000000-0005-0000-0000-0000C7450000}"/>
    <cellStyle name="Normal 4 13 3" xfId="11042" xr:uid="{00000000-0005-0000-0000-0000C8450000}"/>
    <cellStyle name="Normal 4 13 3 2" xfId="27982" xr:uid="{00000000-0005-0000-0000-0000C9450000}"/>
    <cellStyle name="Normal 4 13 4" xfId="19534" xr:uid="{00000000-0005-0000-0000-0000CA450000}"/>
    <cellStyle name="Normal 4 14" xfId="4705" xr:uid="{00000000-0005-0000-0000-0000CB450000}"/>
    <cellStyle name="Normal 4 14 2" xfId="13154" xr:uid="{00000000-0005-0000-0000-0000CC450000}"/>
    <cellStyle name="Normal 4 14 2 2" xfId="30094" xr:uid="{00000000-0005-0000-0000-0000CD450000}"/>
    <cellStyle name="Normal 4 14 3" xfId="21646" xr:uid="{00000000-0005-0000-0000-0000CE450000}"/>
    <cellStyle name="Normal 4 15" xfId="8930" xr:uid="{00000000-0005-0000-0000-0000CF450000}"/>
    <cellStyle name="Normal 4 15 2" xfId="25870" xr:uid="{00000000-0005-0000-0000-0000D0450000}"/>
    <cellStyle name="Normal 4 16" xfId="17422" xr:uid="{00000000-0005-0000-0000-0000D1450000}"/>
    <cellStyle name="Normal 4 17" xfId="34231" xr:uid="{00000000-0005-0000-0000-0000D2450000}"/>
    <cellStyle name="Normal 4 2" xfId="349" xr:uid="{00000000-0005-0000-0000-0000D3450000}"/>
    <cellStyle name="Normal 4 3" xfId="350" xr:uid="{00000000-0005-0000-0000-0000D4450000}"/>
    <cellStyle name="Normal 4 3 10" xfId="4706" xr:uid="{00000000-0005-0000-0000-0000D5450000}"/>
    <cellStyle name="Normal 4 3 10 2" xfId="13155" xr:uid="{00000000-0005-0000-0000-0000D6450000}"/>
    <cellStyle name="Normal 4 3 10 2 2" xfId="30095" xr:uid="{00000000-0005-0000-0000-0000D7450000}"/>
    <cellStyle name="Normal 4 3 10 3" xfId="21647" xr:uid="{00000000-0005-0000-0000-0000D8450000}"/>
    <cellStyle name="Normal 4 3 11" xfId="8931" xr:uid="{00000000-0005-0000-0000-0000D9450000}"/>
    <cellStyle name="Normal 4 3 11 2" xfId="25871" xr:uid="{00000000-0005-0000-0000-0000DA450000}"/>
    <cellStyle name="Normal 4 3 12" xfId="17423" xr:uid="{00000000-0005-0000-0000-0000DB450000}"/>
    <cellStyle name="Normal 4 3 2" xfId="351" xr:uid="{00000000-0005-0000-0000-0000DC450000}"/>
    <cellStyle name="Normal 4 3 2 10" xfId="17424" xr:uid="{00000000-0005-0000-0000-0000DD450000}"/>
    <cellStyle name="Normal 4 3 2 2" xfId="652" xr:uid="{00000000-0005-0000-0000-0000DE450000}"/>
    <cellStyle name="Normal 4 3 2 2 2" xfId="1004" xr:uid="{00000000-0005-0000-0000-0000DF450000}"/>
    <cellStyle name="Normal 4 3 2 2 2 2" xfId="2066" xr:uid="{00000000-0005-0000-0000-0000E0450000}"/>
    <cellStyle name="Normal 4 3 2 2 2 2 2" xfId="4178" xr:uid="{00000000-0005-0000-0000-0000E1450000}"/>
    <cellStyle name="Normal 4 3 2 2 2 2 2 2" xfId="8404" xr:uid="{00000000-0005-0000-0000-0000E2450000}"/>
    <cellStyle name="Normal 4 3 2 2 2 2 2 2 2" xfId="16852" xr:uid="{00000000-0005-0000-0000-0000E3450000}"/>
    <cellStyle name="Normal 4 3 2 2 2 2 2 2 2 2" xfId="33792" xr:uid="{00000000-0005-0000-0000-0000E4450000}"/>
    <cellStyle name="Normal 4 3 2 2 2 2 2 2 3" xfId="25344" xr:uid="{00000000-0005-0000-0000-0000E5450000}"/>
    <cellStyle name="Normal 4 3 2 2 2 2 2 3" xfId="12628" xr:uid="{00000000-0005-0000-0000-0000E6450000}"/>
    <cellStyle name="Normal 4 3 2 2 2 2 2 3 2" xfId="29568" xr:uid="{00000000-0005-0000-0000-0000E7450000}"/>
    <cellStyle name="Normal 4 3 2 2 2 2 2 4" xfId="21120" xr:uid="{00000000-0005-0000-0000-0000E8450000}"/>
    <cellStyle name="Normal 4 3 2 2 2 2 3" xfId="6292" xr:uid="{00000000-0005-0000-0000-0000E9450000}"/>
    <cellStyle name="Normal 4 3 2 2 2 2 3 2" xfId="14740" xr:uid="{00000000-0005-0000-0000-0000EA450000}"/>
    <cellStyle name="Normal 4 3 2 2 2 2 3 2 2" xfId="31680" xr:uid="{00000000-0005-0000-0000-0000EB450000}"/>
    <cellStyle name="Normal 4 3 2 2 2 2 3 3" xfId="23232" xr:uid="{00000000-0005-0000-0000-0000EC450000}"/>
    <cellStyle name="Normal 4 3 2 2 2 2 4" xfId="10516" xr:uid="{00000000-0005-0000-0000-0000ED450000}"/>
    <cellStyle name="Normal 4 3 2 2 2 2 4 2" xfId="27456" xr:uid="{00000000-0005-0000-0000-0000EE450000}"/>
    <cellStyle name="Normal 4 3 2 2 2 2 5" xfId="19008" xr:uid="{00000000-0005-0000-0000-0000EF450000}"/>
    <cellStyle name="Normal 4 3 2 2 2 3" xfId="3122" xr:uid="{00000000-0005-0000-0000-0000F0450000}"/>
    <cellStyle name="Normal 4 3 2 2 2 3 2" xfId="7348" xr:uid="{00000000-0005-0000-0000-0000F1450000}"/>
    <cellStyle name="Normal 4 3 2 2 2 3 2 2" xfId="15796" xr:uid="{00000000-0005-0000-0000-0000F2450000}"/>
    <cellStyle name="Normal 4 3 2 2 2 3 2 2 2" xfId="32736" xr:uid="{00000000-0005-0000-0000-0000F3450000}"/>
    <cellStyle name="Normal 4 3 2 2 2 3 2 3" xfId="24288" xr:uid="{00000000-0005-0000-0000-0000F4450000}"/>
    <cellStyle name="Normal 4 3 2 2 2 3 3" xfId="11572" xr:uid="{00000000-0005-0000-0000-0000F5450000}"/>
    <cellStyle name="Normal 4 3 2 2 2 3 3 2" xfId="28512" xr:uid="{00000000-0005-0000-0000-0000F6450000}"/>
    <cellStyle name="Normal 4 3 2 2 2 3 4" xfId="20064" xr:uid="{00000000-0005-0000-0000-0000F7450000}"/>
    <cellStyle name="Normal 4 3 2 2 2 4" xfId="5236" xr:uid="{00000000-0005-0000-0000-0000F8450000}"/>
    <cellStyle name="Normal 4 3 2 2 2 4 2" xfId="13684" xr:uid="{00000000-0005-0000-0000-0000F9450000}"/>
    <cellStyle name="Normal 4 3 2 2 2 4 2 2" xfId="30624" xr:uid="{00000000-0005-0000-0000-0000FA450000}"/>
    <cellStyle name="Normal 4 3 2 2 2 4 3" xfId="22176" xr:uid="{00000000-0005-0000-0000-0000FB450000}"/>
    <cellStyle name="Normal 4 3 2 2 2 5" xfId="9460" xr:uid="{00000000-0005-0000-0000-0000FC450000}"/>
    <cellStyle name="Normal 4 3 2 2 2 5 2" xfId="26400" xr:uid="{00000000-0005-0000-0000-0000FD450000}"/>
    <cellStyle name="Normal 4 3 2 2 2 6" xfId="17952" xr:uid="{00000000-0005-0000-0000-0000FE450000}"/>
    <cellStyle name="Normal 4 3 2 2 3" xfId="1714" xr:uid="{00000000-0005-0000-0000-0000FF450000}"/>
    <cellStyle name="Normal 4 3 2 2 3 2" xfId="3826" xr:uid="{00000000-0005-0000-0000-000000460000}"/>
    <cellStyle name="Normal 4 3 2 2 3 2 2" xfId="8052" xr:uid="{00000000-0005-0000-0000-000001460000}"/>
    <cellStyle name="Normal 4 3 2 2 3 2 2 2" xfId="16500" xr:uid="{00000000-0005-0000-0000-000002460000}"/>
    <cellStyle name="Normal 4 3 2 2 3 2 2 2 2" xfId="33440" xr:uid="{00000000-0005-0000-0000-000003460000}"/>
    <cellStyle name="Normal 4 3 2 2 3 2 2 3" xfId="24992" xr:uid="{00000000-0005-0000-0000-000004460000}"/>
    <cellStyle name="Normal 4 3 2 2 3 2 3" xfId="12276" xr:uid="{00000000-0005-0000-0000-000005460000}"/>
    <cellStyle name="Normal 4 3 2 2 3 2 3 2" xfId="29216" xr:uid="{00000000-0005-0000-0000-000006460000}"/>
    <cellStyle name="Normal 4 3 2 2 3 2 4" xfId="20768" xr:uid="{00000000-0005-0000-0000-000007460000}"/>
    <cellStyle name="Normal 4 3 2 2 3 3" xfId="5940" xr:uid="{00000000-0005-0000-0000-000008460000}"/>
    <cellStyle name="Normal 4 3 2 2 3 3 2" xfId="14388" xr:uid="{00000000-0005-0000-0000-000009460000}"/>
    <cellStyle name="Normal 4 3 2 2 3 3 2 2" xfId="31328" xr:uid="{00000000-0005-0000-0000-00000A460000}"/>
    <cellStyle name="Normal 4 3 2 2 3 3 3" xfId="22880" xr:uid="{00000000-0005-0000-0000-00000B460000}"/>
    <cellStyle name="Normal 4 3 2 2 3 4" xfId="10164" xr:uid="{00000000-0005-0000-0000-00000C460000}"/>
    <cellStyle name="Normal 4 3 2 2 3 4 2" xfId="27104" xr:uid="{00000000-0005-0000-0000-00000D460000}"/>
    <cellStyle name="Normal 4 3 2 2 3 5" xfId="18656" xr:uid="{00000000-0005-0000-0000-00000E460000}"/>
    <cellStyle name="Normal 4 3 2 2 4" xfId="2770" xr:uid="{00000000-0005-0000-0000-00000F460000}"/>
    <cellStyle name="Normal 4 3 2 2 4 2" xfId="6996" xr:uid="{00000000-0005-0000-0000-000010460000}"/>
    <cellStyle name="Normal 4 3 2 2 4 2 2" xfId="15444" xr:uid="{00000000-0005-0000-0000-000011460000}"/>
    <cellStyle name="Normal 4 3 2 2 4 2 2 2" xfId="32384" xr:uid="{00000000-0005-0000-0000-000012460000}"/>
    <cellStyle name="Normal 4 3 2 2 4 2 3" xfId="23936" xr:uid="{00000000-0005-0000-0000-000013460000}"/>
    <cellStyle name="Normal 4 3 2 2 4 3" xfId="11220" xr:uid="{00000000-0005-0000-0000-000014460000}"/>
    <cellStyle name="Normal 4 3 2 2 4 3 2" xfId="28160" xr:uid="{00000000-0005-0000-0000-000015460000}"/>
    <cellStyle name="Normal 4 3 2 2 4 4" xfId="19712" xr:uid="{00000000-0005-0000-0000-000016460000}"/>
    <cellStyle name="Normal 4 3 2 2 5" xfId="4884" xr:uid="{00000000-0005-0000-0000-000017460000}"/>
    <cellStyle name="Normal 4 3 2 2 5 2" xfId="13332" xr:uid="{00000000-0005-0000-0000-000018460000}"/>
    <cellStyle name="Normal 4 3 2 2 5 2 2" xfId="30272" xr:uid="{00000000-0005-0000-0000-000019460000}"/>
    <cellStyle name="Normal 4 3 2 2 5 3" xfId="21824" xr:uid="{00000000-0005-0000-0000-00001A460000}"/>
    <cellStyle name="Normal 4 3 2 2 6" xfId="9108" xr:uid="{00000000-0005-0000-0000-00001B460000}"/>
    <cellStyle name="Normal 4 3 2 2 6 2" xfId="26048" xr:uid="{00000000-0005-0000-0000-00001C460000}"/>
    <cellStyle name="Normal 4 3 2 2 7" xfId="17600" xr:uid="{00000000-0005-0000-0000-00001D460000}"/>
    <cellStyle name="Normal 4 3 2 3" xfId="828" xr:uid="{00000000-0005-0000-0000-00001E460000}"/>
    <cellStyle name="Normal 4 3 2 3 2" xfId="1890" xr:uid="{00000000-0005-0000-0000-00001F460000}"/>
    <cellStyle name="Normal 4 3 2 3 2 2" xfId="4002" xr:uid="{00000000-0005-0000-0000-000020460000}"/>
    <cellStyle name="Normal 4 3 2 3 2 2 2" xfId="8228" xr:uid="{00000000-0005-0000-0000-000021460000}"/>
    <cellStyle name="Normal 4 3 2 3 2 2 2 2" xfId="16676" xr:uid="{00000000-0005-0000-0000-000022460000}"/>
    <cellStyle name="Normal 4 3 2 3 2 2 2 2 2" xfId="33616" xr:uid="{00000000-0005-0000-0000-000023460000}"/>
    <cellStyle name="Normal 4 3 2 3 2 2 2 3" xfId="25168" xr:uid="{00000000-0005-0000-0000-000024460000}"/>
    <cellStyle name="Normal 4 3 2 3 2 2 3" xfId="12452" xr:uid="{00000000-0005-0000-0000-000025460000}"/>
    <cellStyle name="Normal 4 3 2 3 2 2 3 2" xfId="29392" xr:uid="{00000000-0005-0000-0000-000026460000}"/>
    <cellStyle name="Normal 4 3 2 3 2 2 4" xfId="20944" xr:uid="{00000000-0005-0000-0000-000027460000}"/>
    <cellStyle name="Normal 4 3 2 3 2 3" xfId="6116" xr:uid="{00000000-0005-0000-0000-000028460000}"/>
    <cellStyle name="Normal 4 3 2 3 2 3 2" xfId="14564" xr:uid="{00000000-0005-0000-0000-000029460000}"/>
    <cellStyle name="Normal 4 3 2 3 2 3 2 2" xfId="31504" xr:uid="{00000000-0005-0000-0000-00002A460000}"/>
    <cellStyle name="Normal 4 3 2 3 2 3 3" xfId="23056" xr:uid="{00000000-0005-0000-0000-00002B460000}"/>
    <cellStyle name="Normal 4 3 2 3 2 4" xfId="10340" xr:uid="{00000000-0005-0000-0000-00002C460000}"/>
    <cellStyle name="Normal 4 3 2 3 2 4 2" xfId="27280" xr:uid="{00000000-0005-0000-0000-00002D460000}"/>
    <cellStyle name="Normal 4 3 2 3 2 5" xfId="18832" xr:uid="{00000000-0005-0000-0000-00002E460000}"/>
    <cellStyle name="Normal 4 3 2 3 3" xfId="2946" xr:uid="{00000000-0005-0000-0000-00002F460000}"/>
    <cellStyle name="Normal 4 3 2 3 3 2" xfId="7172" xr:uid="{00000000-0005-0000-0000-000030460000}"/>
    <cellStyle name="Normal 4 3 2 3 3 2 2" xfId="15620" xr:uid="{00000000-0005-0000-0000-000031460000}"/>
    <cellStyle name="Normal 4 3 2 3 3 2 2 2" xfId="32560" xr:uid="{00000000-0005-0000-0000-000032460000}"/>
    <cellStyle name="Normal 4 3 2 3 3 2 3" xfId="24112" xr:uid="{00000000-0005-0000-0000-000033460000}"/>
    <cellStyle name="Normal 4 3 2 3 3 3" xfId="11396" xr:uid="{00000000-0005-0000-0000-000034460000}"/>
    <cellStyle name="Normal 4 3 2 3 3 3 2" xfId="28336" xr:uid="{00000000-0005-0000-0000-000035460000}"/>
    <cellStyle name="Normal 4 3 2 3 3 4" xfId="19888" xr:uid="{00000000-0005-0000-0000-000036460000}"/>
    <cellStyle name="Normal 4 3 2 3 4" xfId="5060" xr:uid="{00000000-0005-0000-0000-000037460000}"/>
    <cellStyle name="Normal 4 3 2 3 4 2" xfId="13508" xr:uid="{00000000-0005-0000-0000-000038460000}"/>
    <cellStyle name="Normal 4 3 2 3 4 2 2" xfId="30448" xr:uid="{00000000-0005-0000-0000-000039460000}"/>
    <cellStyle name="Normal 4 3 2 3 4 3" xfId="22000" xr:uid="{00000000-0005-0000-0000-00003A460000}"/>
    <cellStyle name="Normal 4 3 2 3 5" xfId="9284" xr:uid="{00000000-0005-0000-0000-00003B460000}"/>
    <cellStyle name="Normal 4 3 2 3 5 2" xfId="26224" xr:uid="{00000000-0005-0000-0000-00003C460000}"/>
    <cellStyle name="Normal 4 3 2 3 6" xfId="17776" xr:uid="{00000000-0005-0000-0000-00003D460000}"/>
    <cellStyle name="Normal 4 3 2 4" xfId="1180" xr:uid="{00000000-0005-0000-0000-00003E460000}"/>
    <cellStyle name="Normal 4 3 2 4 2" xfId="2242" xr:uid="{00000000-0005-0000-0000-00003F460000}"/>
    <cellStyle name="Normal 4 3 2 4 2 2" xfId="4354" xr:uid="{00000000-0005-0000-0000-000040460000}"/>
    <cellStyle name="Normal 4 3 2 4 2 2 2" xfId="8580" xr:uid="{00000000-0005-0000-0000-000041460000}"/>
    <cellStyle name="Normal 4 3 2 4 2 2 2 2" xfId="17028" xr:uid="{00000000-0005-0000-0000-000042460000}"/>
    <cellStyle name="Normal 4 3 2 4 2 2 2 2 2" xfId="33968" xr:uid="{00000000-0005-0000-0000-000043460000}"/>
    <cellStyle name="Normal 4 3 2 4 2 2 2 3" xfId="25520" xr:uid="{00000000-0005-0000-0000-000044460000}"/>
    <cellStyle name="Normal 4 3 2 4 2 2 3" xfId="12804" xr:uid="{00000000-0005-0000-0000-000045460000}"/>
    <cellStyle name="Normal 4 3 2 4 2 2 3 2" xfId="29744" xr:uid="{00000000-0005-0000-0000-000046460000}"/>
    <cellStyle name="Normal 4 3 2 4 2 2 4" xfId="21296" xr:uid="{00000000-0005-0000-0000-000047460000}"/>
    <cellStyle name="Normal 4 3 2 4 2 3" xfId="6468" xr:uid="{00000000-0005-0000-0000-000048460000}"/>
    <cellStyle name="Normal 4 3 2 4 2 3 2" xfId="14916" xr:uid="{00000000-0005-0000-0000-000049460000}"/>
    <cellStyle name="Normal 4 3 2 4 2 3 2 2" xfId="31856" xr:uid="{00000000-0005-0000-0000-00004A460000}"/>
    <cellStyle name="Normal 4 3 2 4 2 3 3" xfId="23408" xr:uid="{00000000-0005-0000-0000-00004B460000}"/>
    <cellStyle name="Normal 4 3 2 4 2 4" xfId="10692" xr:uid="{00000000-0005-0000-0000-00004C460000}"/>
    <cellStyle name="Normal 4 3 2 4 2 4 2" xfId="27632" xr:uid="{00000000-0005-0000-0000-00004D460000}"/>
    <cellStyle name="Normal 4 3 2 4 2 5" xfId="19184" xr:uid="{00000000-0005-0000-0000-00004E460000}"/>
    <cellStyle name="Normal 4 3 2 4 3" xfId="3298" xr:uid="{00000000-0005-0000-0000-00004F460000}"/>
    <cellStyle name="Normal 4 3 2 4 3 2" xfId="7524" xr:uid="{00000000-0005-0000-0000-000050460000}"/>
    <cellStyle name="Normal 4 3 2 4 3 2 2" xfId="15972" xr:uid="{00000000-0005-0000-0000-000051460000}"/>
    <cellStyle name="Normal 4 3 2 4 3 2 2 2" xfId="32912" xr:uid="{00000000-0005-0000-0000-000052460000}"/>
    <cellStyle name="Normal 4 3 2 4 3 2 3" xfId="24464" xr:uid="{00000000-0005-0000-0000-000053460000}"/>
    <cellStyle name="Normal 4 3 2 4 3 3" xfId="11748" xr:uid="{00000000-0005-0000-0000-000054460000}"/>
    <cellStyle name="Normal 4 3 2 4 3 3 2" xfId="28688" xr:uid="{00000000-0005-0000-0000-000055460000}"/>
    <cellStyle name="Normal 4 3 2 4 3 4" xfId="20240" xr:uid="{00000000-0005-0000-0000-000056460000}"/>
    <cellStyle name="Normal 4 3 2 4 4" xfId="5412" xr:uid="{00000000-0005-0000-0000-000057460000}"/>
    <cellStyle name="Normal 4 3 2 4 4 2" xfId="13860" xr:uid="{00000000-0005-0000-0000-000058460000}"/>
    <cellStyle name="Normal 4 3 2 4 4 2 2" xfId="30800" xr:uid="{00000000-0005-0000-0000-000059460000}"/>
    <cellStyle name="Normal 4 3 2 4 4 3" xfId="22352" xr:uid="{00000000-0005-0000-0000-00005A460000}"/>
    <cellStyle name="Normal 4 3 2 4 5" xfId="9636" xr:uid="{00000000-0005-0000-0000-00005B460000}"/>
    <cellStyle name="Normal 4 3 2 4 5 2" xfId="26576" xr:uid="{00000000-0005-0000-0000-00005C460000}"/>
    <cellStyle name="Normal 4 3 2 4 6" xfId="18128" xr:uid="{00000000-0005-0000-0000-00005D460000}"/>
    <cellStyle name="Normal 4 3 2 5" xfId="1362" xr:uid="{00000000-0005-0000-0000-00005E460000}"/>
    <cellStyle name="Normal 4 3 2 5 2" xfId="2418" xr:uid="{00000000-0005-0000-0000-00005F460000}"/>
    <cellStyle name="Normal 4 3 2 5 2 2" xfId="4530" xr:uid="{00000000-0005-0000-0000-000060460000}"/>
    <cellStyle name="Normal 4 3 2 5 2 2 2" xfId="8756" xr:uid="{00000000-0005-0000-0000-000061460000}"/>
    <cellStyle name="Normal 4 3 2 5 2 2 2 2" xfId="17204" xr:uid="{00000000-0005-0000-0000-000062460000}"/>
    <cellStyle name="Normal 4 3 2 5 2 2 2 2 2" xfId="34144" xr:uid="{00000000-0005-0000-0000-000063460000}"/>
    <cellStyle name="Normal 4 3 2 5 2 2 2 3" xfId="25696" xr:uid="{00000000-0005-0000-0000-000064460000}"/>
    <cellStyle name="Normal 4 3 2 5 2 2 3" xfId="12980" xr:uid="{00000000-0005-0000-0000-000065460000}"/>
    <cellStyle name="Normal 4 3 2 5 2 2 3 2" xfId="29920" xr:uid="{00000000-0005-0000-0000-000066460000}"/>
    <cellStyle name="Normal 4 3 2 5 2 2 4" xfId="21472" xr:uid="{00000000-0005-0000-0000-000067460000}"/>
    <cellStyle name="Normal 4 3 2 5 2 3" xfId="6644" xr:uid="{00000000-0005-0000-0000-000068460000}"/>
    <cellStyle name="Normal 4 3 2 5 2 3 2" xfId="15092" xr:uid="{00000000-0005-0000-0000-000069460000}"/>
    <cellStyle name="Normal 4 3 2 5 2 3 2 2" xfId="32032" xr:uid="{00000000-0005-0000-0000-00006A460000}"/>
    <cellStyle name="Normal 4 3 2 5 2 3 3" xfId="23584" xr:uid="{00000000-0005-0000-0000-00006B460000}"/>
    <cellStyle name="Normal 4 3 2 5 2 4" xfId="10868" xr:uid="{00000000-0005-0000-0000-00006C460000}"/>
    <cellStyle name="Normal 4 3 2 5 2 4 2" xfId="27808" xr:uid="{00000000-0005-0000-0000-00006D460000}"/>
    <cellStyle name="Normal 4 3 2 5 2 5" xfId="19360" xr:uid="{00000000-0005-0000-0000-00006E460000}"/>
    <cellStyle name="Normal 4 3 2 5 3" xfId="3474" xr:uid="{00000000-0005-0000-0000-00006F460000}"/>
    <cellStyle name="Normal 4 3 2 5 3 2" xfId="7700" xr:uid="{00000000-0005-0000-0000-000070460000}"/>
    <cellStyle name="Normal 4 3 2 5 3 2 2" xfId="16148" xr:uid="{00000000-0005-0000-0000-000071460000}"/>
    <cellStyle name="Normal 4 3 2 5 3 2 2 2" xfId="33088" xr:uid="{00000000-0005-0000-0000-000072460000}"/>
    <cellStyle name="Normal 4 3 2 5 3 2 3" xfId="24640" xr:uid="{00000000-0005-0000-0000-000073460000}"/>
    <cellStyle name="Normal 4 3 2 5 3 3" xfId="11924" xr:uid="{00000000-0005-0000-0000-000074460000}"/>
    <cellStyle name="Normal 4 3 2 5 3 3 2" xfId="28864" xr:uid="{00000000-0005-0000-0000-000075460000}"/>
    <cellStyle name="Normal 4 3 2 5 3 4" xfId="20416" xr:uid="{00000000-0005-0000-0000-000076460000}"/>
    <cellStyle name="Normal 4 3 2 5 4" xfId="5588" xr:uid="{00000000-0005-0000-0000-000077460000}"/>
    <cellStyle name="Normal 4 3 2 5 4 2" xfId="14036" xr:uid="{00000000-0005-0000-0000-000078460000}"/>
    <cellStyle name="Normal 4 3 2 5 4 2 2" xfId="30976" xr:uid="{00000000-0005-0000-0000-000079460000}"/>
    <cellStyle name="Normal 4 3 2 5 4 3" xfId="22528" xr:uid="{00000000-0005-0000-0000-00007A460000}"/>
    <cellStyle name="Normal 4 3 2 5 5" xfId="9812" xr:uid="{00000000-0005-0000-0000-00007B460000}"/>
    <cellStyle name="Normal 4 3 2 5 5 2" xfId="26752" xr:uid="{00000000-0005-0000-0000-00007C460000}"/>
    <cellStyle name="Normal 4 3 2 5 6" xfId="18304" xr:uid="{00000000-0005-0000-0000-00007D460000}"/>
    <cellStyle name="Normal 4 3 2 6" xfId="1538" xr:uid="{00000000-0005-0000-0000-00007E460000}"/>
    <cellStyle name="Normal 4 3 2 6 2" xfId="3650" xr:uid="{00000000-0005-0000-0000-00007F460000}"/>
    <cellStyle name="Normal 4 3 2 6 2 2" xfId="7876" xr:uid="{00000000-0005-0000-0000-000080460000}"/>
    <cellStyle name="Normal 4 3 2 6 2 2 2" xfId="16324" xr:uid="{00000000-0005-0000-0000-000081460000}"/>
    <cellStyle name="Normal 4 3 2 6 2 2 2 2" xfId="33264" xr:uid="{00000000-0005-0000-0000-000082460000}"/>
    <cellStyle name="Normal 4 3 2 6 2 2 3" xfId="24816" xr:uid="{00000000-0005-0000-0000-000083460000}"/>
    <cellStyle name="Normal 4 3 2 6 2 3" xfId="12100" xr:uid="{00000000-0005-0000-0000-000084460000}"/>
    <cellStyle name="Normal 4 3 2 6 2 3 2" xfId="29040" xr:uid="{00000000-0005-0000-0000-000085460000}"/>
    <cellStyle name="Normal 4 3 2 6 2 4" xfId="20592" xr:uid="{00000000-0005-0000-0000-000086460000}"/>
    <cellStyle name="Normal 4 3 2 6 3" xfId="5764" xr:uid="{00000000-0005-0000-0000-000087460000}"/>
    <cellStyle name="Normal 4 3 2 6 3 2" xfId="14212" xr:uid="{00000000-0005-0000-0000-000088460000}"/>
    <cellStyle name="Normal 4 3 2 6 3 2 2" xfId="31152" xr:uid="{00000000-0005-0000-0000-000089460000}"/>
    <cellStyle name="Normal 4 3 2 6 3 3" xfId="22704" xr:uid="{00000000-0005-0000-0000-00008A460000}"/>
    <cellStyle name="Normal 4 3 2 6 4" xfId="9988" xr:uid="{00000000-0005-0000-0000-00008B460000}"/>
    <cellStyle name="Normal 4 3 2 6 4 2" xfId="26928" xr:uid="{00000000-0005-0000-0000-00008C460000}"/>
    <cellStyle name="Normal 4 3 2 6 5" xfId="18480" xr:uid="{00000000-0005-0000-0000-00008D460000}"/>
    <cellStyle name="Normal 4 3 2 7" xfId="2594" xr:uid="{00000000-0005-0000-0000-00008E460000}"/>
    <cellStyle name="Normal 4 3 2 7 2" xfId="6820" xr:uid="{00000000-0005-0000-0000-00008F460000}"/>
    <cellStyle name="Normal 4 3 2 7 2 2" xfId="15268" xr:uid="{00000000-0005-0000-0000-000090460000}"/>
    <cellStyle name="Normal 4 3 2 7 2 2 2" xfId="32208" xr:uid="{00000000-0005-0000-0000-000091460000}"/>
    <cellStyle name="Normal 4 3 2 7 2 3" xfId="23760" xr:uid="{00000000-0005-0000-0000-000092460000}"/>
    <cellStyle name="Normal 4 3 2 7 3" xfId="11044" xr:uid="{00000000-0005-0000-0000-000093460000}"/>
    <cellStyle name="Normal 4 3 2 7 3 2" xfId="27984" xr:uid="{00000000-0005-0000-0000-000094460000}"/>
    <cellStyle name="Normal 4 3 2 7 4" xfId="19536" xr:uid="{00000000-0005-0000-0000-000095460000}"/>
    <cellStyle name="Normal 4 3 2 8" xfId="4707" xr:uid="{00000000-0005-0000-0000-000096460000}"/>
    <cellStyle name="Normal 4 3 2 8 2" xfId="13156" xr:uid="{00000000-0005-0000-0000-000097460000}"/>
    <cellStyle name="Normal 4 3 2 8 2 2" xfId="30096" xr:uid="{00000000-0005-0000-0000-000098460000}"/>
    <cellStyle name="Normal 4 3 2 8 3" xfId="21648" xr:uid="{00000000-0005-0000-0000-000099460000}"/>
    <cellStyle name="Normal 4 3 2 9" xfId="8932" xr:uid="{00000000-0005-0000-0000-00009A460000}"/>
    <cellStyle name="Normal 4 3 2 9 2" xfId="25872" xr:uid="{00000000-0005-0000-0000-00009B460000}"/>
    <cellStyle name="Normal 4 3 3" xfId="352" xr:uid="{00000000-0005-0000-0000-00009C460000}"/>
    <cellStyle name="Normal 4 3 3 10" xfId="17425" xr:uid="{00000000-0005-0000-0000-00009D460000}"/>
    <cellStyle name="Normal 4 3 3 2" xfId="653" xr:uid="{00000000-0005-0000-0000-00009E460000}"/>
    <cellStyle name="Normal 4 3 3 2 2" xfId="1005" xr:uid="{00000000-0005-0000-0000-00009F460000}"/>
    <cellStyle name="Normal 4 3 3 2 2 2" xfId="2067" xr:uid="{00000000-0005-0000-0000-0000A0460000}"/>
    <cellStyle name="Normal 4 3 3 2 2 2 2" xfId="4179" xr:uid="{00000000-0005-0000-0000-0000A1460000}"/>
    <cellStyle name="Normal 4 3 3 2 2 2 2 2" xfId="8405" xr:uid="{00000000-0005-0000-0000-0000A2460000}"/>
    <cellStyle name="Normal 4 3 3 2 2 2 2 2 2" xfId="16853" xr:uid="{00000000-0005-0000-0000-0000A3460000}"/>
    <cellStyle name="Normal 4 3 3 2 2 2 2 2 2 2" xfId="33793" xr:uid="{00000000-0005-0000-0000-0000A4460000}"/>
    <cellStyle name="Normal 4 3 3 2 2 2 2 2 3" xfId="25345" xr:uid="{00000000-0005-0000-0000-0000A5460000}"/>
    <cellStyle name="Normal 4 3 3 2 2 2 2 3" xfId="12629" xr:uid="{00000000-0005-0000-0000-0000A6460000}"/>
    <cellStyle name="Normal 4 3 3 2 2 2 2 3 2" xfId="29569" xr:uid="{00000000-0005-0000-0000-0000A7460000}"/>
    <cellStyle name="Normal 4 3 3 2 2 2 2 4" xfId="21121" xr:uid="{00000000-0005-0000-0000-0000A8460000}"/>
    <cellStyle name="Normal 4 3 3 2 2 2 3" xfId="6293" xr:uid="{00000000-0005-0000-0000-0000A9460000}"/>
    <cellStyle name="Normal 4 3 3 2 2 2 3 2" xfId="14741" xr:uid="{00000000-0005-0000-0000-0000AA460000}"/>
    <cellStyle name="Normal 4 3 3 2 2 2 3 2 2" xfId="31681" xr:uid="{00000000-0005-0000-0000-0000AB460000}"/>
    <cellStyle name="Normal 4 3 3 2 2 2 3 3" xfId="23233" xr:uid="{00000000-0005-0000-0000-0000AC460000}"/>
    <cellStyle name="Normal 4 3 3 2 2 2 4" xfId="10517" xr:uid="{00000000-0005-0000-0000-0000AD460000}"/>
    <cellStyle name="Normal 4 3 3 2 2 2 4 2" xfId="27457" xr:uid="{00000000-0005-0000-0000-0000AE460000}"/>
    <cellStyle name="Normal 4 3 3 2 2 2 5" xfId="19009" xr:uid="{00000000-0005-0000-0000-0000AF460000}"/>
    <cellStyle name="Normal 4 3 3 2 2 3" xfId="3123" xr:uid="{00000000-0005-0000-0000-0000B0460000}"/>
    <cellStyle name="Normal 4 3 3 2 2 3 2" xfId="7349" xr:uid="{00000000-0005-0000-0000-0000B1460000}"/>
    <cellStyle name="Normal 4 3 3 2 2 3 2 2" xfId="15797" xr:uid="{00000000-0005-0000-0000-0000B2460000}"/>
    <cellStyle name="Normal 4 3 3 2 2 3 2 2 2" xfId="32737" xr:uid="{00000000-0005-0000-0000-0000B3460000}"/>
    <cellStyle name="Normal 4 3 3 2 2 3 2 3" xfId="24289" xr:uid="{00000000-0005-0000-0000-0000B4460000}"/>
    <cellStyle name="Normal 4 3 3 2 2 3 3" xfId="11573" xr:uid="{00000000-0005-0000-0000-0000B5460000}"/>
    <cellStyle name="Normal 4 3 3 2 2 3 3 2" xfId="28513" xr:uid="{00000000-0005-0000-0000-0000B6460000}"/>
    <cellStyle name="Normal 4 3 3 2 2 3 4" xfId="20065" xr:uid="{00000000-0005-0000-0000-0000B7460000}"/>
    <cellStyle name="Normal 4 3 3 2 2 4" xfId="5237" xr:uid="{00000000-0005-0000-0000-0000B8460000}"/>
    <cellStyle name="Normal 4 3 3 2 2 4 2" xfId="13685" xr:uid="{00000000-0005-0000-0000-0000B9460000}"/>
    <cellStyle name="Normal 4 3 3 2 2 4 2 2" xfId="30625" xr:uid="{00000000-0005-0000-0000-0000BA460000}"/>
    <cellStyle name="Normal 4 3 3 2 2 4 3" xfId="22177" xr:uid="{00000000-0005-0000-0000-0000BB460000}"/>
    <cellStyle name="Normal 4 3 3 2 2 5" xfId="9461" xr:uid="{00000000-0005-0000-0000-0000BC460000}"/>
    <cellStyle name="Normal 4 3 3 2 2 5 2" xfId="26401" xr:uid="{00000000-0005-0000-0000-0000BD460000}"/>
    <cellStyle name="Normal 4 3 3 2 2 6" xfId="17953" xr:uid="{00000000-0005-0000-0000-0000BE460000}"/>
    <cellStyle name="Normal 4 3 3 2 3" xfId="1715" xr:uid="{00000000-0005-0000-0000-0000BF460000}"/>
    <cellStyle name="Normal 4 3 3 2 3 2" xfId="3827" xr:uid="{00000000-0005-0000-0000-0000C0460000}"/>
    <cellStyle name="Normal 4 3 3 2 3 2 2" xfId="8053" xr:uid="{00000000-0005-0000-0000-0000C1460000}"/>
    <cellStyle name="Normal 4 3 3 2 3 2 2 2" xfId="16501" xr:uid="{00000000-0005-0000-0000-0000C2460000}"/>
    <cellStyle name="Normal 4 3 3 2 3 2 2 2 2" xfId="33441" xr:uid="{00000000-0005-0000-0000-0000C3460000}"/>
    <cellStyle name="Normal 4 3 3 2 3 2 2 3" xfId="24993" xr:uid="{00000000-0005-0000-0000-0000C4460000}"/>
    <cellStyle name="Normal 4 3 3 2 3 2 3" xfId="12277" xr:uid="{00000000-0005-0000-0000-0000C5460000}"/>
    <cellStyle name="Normal 4 3 3 2 3 2 3 2" xfId="29217" xr:uid="{00000000-0005-0000-0000-0000C6460000}"/>
    <cellStyle name="Normal 4 3 3 2 3 2 4" xfId="20769" xr:uid="{00000000-0005-0000-0000-0000C7460000}"/>
    <cellStyle name="Normal 4 3 3 2 3 3" xfId="5941" xr:uid="{00000000-0005-0000-0000-0000C8460000}"/>
    <cellStyle name="Normal 4 3 3 2 3 3 2" xfId="14389" xr:uid="{00000000-0005-0000-0000-0000C9460000}"/>
    <cellStyle name="Normal 4 3 3 2 3 3 2 2" xfId="31329" xr:uid="{00000000-0005-0000-0000-0000CA460000}"/>
    <cellStyle name="Normal 4 3 3 2 3 3 3" xfId="22881" xr:uid="{00000000-0005-0000-0000-0000CB460000}"/>
    <cellStyle name="Normal 4 3 3 2 3 4" xfId="10165" xr:uid="{00000000-0005-0000-0000-0000CC460000}"/>
    <cellStyle name="Normal 4 3 3 2 3 4 2" xfId="27105" xr:uid="{00000000-0005-0000-0000-0000CD460000}"/>
    <cellStyle name="Normal 4 3 3 2 3 5" xfId="18657" xr:uid="{00000000-0005-0000-0000-0000CE460000}"/>
    <cellStyle name="Normal 4 3 3 2 4" xfId="2771" xr:uid="{00000000-0005-0000-0000-0000CF460000}"/>
    <cellStyle name="Normal 4 3 3 2 4 2" xfId="6997" xr:uid="{00000000-0005-0000-0000-0000D0460000}"/>
    <cellStyle name="Normal 4 3 3 2 4 2 2" xfId="15445" xr:uid="{00000000-0005-0000-0000-0000D1460000}"/>
    <cellStyle name="Normal 4 3 3 2 4 2 2 2" xfId="32385" xr:uid="{00000000-0005-0000-0000-0000D2460000}"/>
    <cellStyle name="Normal 4 3 3 2 4 2 3" xfId="23937" xr:uid="{00000000-0005-0000-0000-0000D3460000}"/>
    <cellStyle name="Normal 4 3 3 2 4 3" xfId="11221" xr:uid="{00000000-0005-0000-0000-0000D4460000}"/>
    <cellStyle name="Normal 4 3 3 2 4 3 2" xfId="28161" xr:uid="{00000000-0005-0000-0000-0000D5460000}"/>
    <cellStyle name="Normal 4 3 3 2 4 4" xfId="19713" xr:uid="{00000000-0005-0000-0000-0000D6460000}"/>
    <cellStyle name="Normal 4 3 3 2 5" xfId="4885" xr:uid="{00000000-0005-0000-0000-0000D7460000}"/>
    <cellStyle name="Normal 4 3 3 2 5 2" xfId="13333" xr:uid="{00000000-0005-0000-0000-0000D8460000}"/>
    <cellStyle name="Normal 4 3 3 2 5 2 2" xfId="30273" xr:uid="{00000000-0005-0000-0000-0000D9460000}"/>
    <cellStyle name="Normal 4 3 3 2 5 3" xfId="21825" xr:uid="{00000000-0005-0000-0000-0000DA460000}"/>
    <cellStyle name="Normal 4 3 3 2 6" xfId="9109" xr:uid="{00000000-0005-0000-0000-0000DB460000}"/>
    <cellStyle name="Normal 4 3 3 2 6 2" xfId="26049" xr:uid="{00000000-0005-0000-0000-0000DC460000}"/>
    <cellStyle name="Normal 4 3 3 2 7" xfId="17601" xr:uid="{00000000-0005-0000-0000-0000DD460000}"/>
    <cellStyle name="Normal 4 3 3 3" xfId="829" xr:uid="{00000000-0005-0000-0000-0000DE460000}"/>
    <cellStyle name="Normal 4 3 3 3 2" xfId="1891" xr:uid="{00000000-0005-0000-0000-0000DF460000}"/>
    <cellStyle name="Normal 4 3 3 3 2 2" xfId="4003" xr:uid="{00000000-0005-0000-0000-0000E0460000}"/>
    <cellStyle name="Normal 4 3 3 3 2 2 2" xfId="8229" xr:uid="{00000000-0005-0000-0000-0000E1460000}"/>
    <cellStyle name="Normal 4 3 3 3 2 2 2 2" xfId="16677" xr:uid="{00000000-0005-0000-0000-0000E2460000}"/>
    <cellStyle name="Normal 4 3 3 3 2 2 2 2 2" xfId="33617" xr:uid="{00000000-0005-0000-0000-0000E3460000}"/>
    <cellStyle name="Normal 4 3 3 3 2 2 2 3" xfId="25169" xr:uid="{00000000-0005-0000-0000-0000E4460000}"/>
    <cellStyle name="Normal 4 3 3 3 2 2 3" xfId="12453" xr:uid="{00000000-0005-0000-0000-0000E5460000}"/>
    <cellStyle name="Normal 4 3 3 3 2 2 3 2" xfId="29393" xr:uid="{00000000-0005-0000-0000-0000E6460000}"/>
    <cellStyle name="Normal 4 3 3 3 2 2 4" xfId="20945" xr:uid="{00000000-0005-0000-0000-0000E7460000}"/>
    <cellStyle name="Normal 4 3 3 3 2 3" xfId="6117" xr:uid="{00000000-0005-0000-0000-0000E8460000}"/>
    <cellStyle name="Normal 4 3 3 3 2 3 2" xfId="14565" xr:uid="{00000000-0005-0000-0000-0000E9460000}"/>
    <cellStyle name="Normal 4 3 3 3 2 3 2 2" xfId="31505" xr:uid="{00000000-0005-0000-0000-0000EA460000}"/>
    <cellStyle name="Normal 4 3 3 3 2 3 3" xfId="23057" xr:uid="{00000000-0005-0000-0000-0000EB460000}"/>
    <cellStyle name="Normal 4 3 3 3 2 4" xfId="10341" xr:uid="{00000000-0005-0000-0000-0000EC460000}"/>
    <cellStyle name="Normal 4 3 3 3 2 4 2" xfId="27281" xr:uid="{00000000-0005-0000-0000-0000ED460000}"/>
    <cellStyle name="Normal 4 3 3 3 2 5" xfId="18833" xr:uid="{00000000-0005-0000-0000-0000EE460000}"/>
    <cellStyle name="Normal 4 3 3 3 3" xfId="2947" xr:uid="{00000000-0005-0000-0000-0000EF460000}"/>
    <cellStyle name="Normal 4 3 3 3 3 2" xfId="7173" xr:uid="{00000000-0005-0000-0000-0000F0460000}"/>
    <cellStyle name="Normal 4 3 3 3 3 2 2" xfId="15621" xr:uid="{00000000-0005-0000-0000-0000F1460000}"/>
    <cellStyle name="Normal 4 3 3 3 3 2 2 2" xfId="32561" xr:uid="{00000000-0005-0000-0000-0000F2460000}"/>
    <cellStyle name="Normal 4 3 3 3 3 2 3" xfId="24113" xr:uid="{00000000-0005-0000-0000-0000F3460000}"/>
    <cellStyle name="Normal 4 3 3 3 3 3" xfId="11397" xr:uid="{00000000-0005-0000-0000-0000F4460000}"/>
    <cellStyle name="Normal 4 3 3 3 3 3 2" xfId="28337" xr:uid="{00000000-0005-0000-0000-0000F5460000}"/>
    <cellStyle name="Normal 4 3 3 3 3 4" xfId="19889" xr:uid="{00000000-0005-0000-0000-0000F6460000}"/>
    <cellStyle name="Normal 4 3 3 3 4" xfId="5061" xr:uid="{00000000-0005-0000-0000-0000F7460000}"/>
    <cellStyle name="Normal 4 3 3 3 4 2" xfId="13509" xr:uid="{00000000-0005-0000-0000-0000F8460000}"/>
    <cellStyle name="Normal 4 3 3 3 4 2 2" xfId="30449" xr:uid="{00000000-0005-0000-0000-0000F9460000}"/>
    <cellStyle name="Normal 4 3 3 3 4 3" xfId="22001" xr:uid="{00000000-0005-0000-0000-0000FA460000}"/>
    <cellStyle name="Normal 4 3 3 3 5" xfId="9285" xr:uid="{00000000-0005-0000-0000-0000FB460000}"/>
    <cellStyle name="Normal 4 3 3 3 5 2" xfId="26225" xr:uid="{00000000-0005-0000-0000-0000FC460000}"/>
    <cellStyle name="Normal 4 3 3 3 6" xfId="17777" xr:uid="{00000000-0005-0000-0000-0000FD460000}"/>
    <cellStyle name="Normal 4 3 3 4" xfId="1181" xr:uid="{00000000-0005-0000-0000-0000FE460000}"/>
    <cellStyle name="Normal 4 3 3 4 2" xfId="2243" xr:uid="{00000000-0005-0000-0000-0000FF460000}"/>
    <cellStyle name="Normal 4 3 3 4 2 2" xfId="4355" xr:uid="{00000000-0005-0000-0000-000000470000}"/>
    <cellStyle name="Normal 4 3 3 4 2 2 2" xfId="8581" xr:uid="{00000000-0005-0000-0000-000001470000}"/>
    <cellStyle name="Normal 4 3 3 4 2 2 2 2" xfId="17029" xr:uid="{00000000-0005-0000-0000-000002470000}"/>
    <cellStyle name="Normal 4 3 3 4 2 2 2 2 2" xfId="33969" xr:uid="{00000000-0005-0000-0000-000003470000}"/>
    <cellStyle name="Normal 4 3 3 4 2 2 2 3" xfId="25521" xr:uid="{00000000-0005-0000-0000-000004470000}"/>
    <cellStyle name="Normal 4 3 3 4 2 2 3" xfId="12805" xr:uid="{00000000-0005-0000-0000-000005470000}"/>
    <cellStyle name="Normal 4 3 3 4 2 2 3 2" xfId="29745" xr:uid="{00000000-0005-0000-0000-000006470000}"/>
    <cellStyle name="Normal 4 3 3 4 2 2 4" xfId="21297" xr:uid="{00000000-0005-0000-0000-000007470000}"/>
    <cellStyle name="Normal 4 3 3 4 2 3" xfId="6469" xr:uid="{00000000-0005-0000-0000-000008470000}"/>
    <cellStyle name="Normal 4 3 3 4 2 3 2" xfId="14917" xr:uid="{00000000-0005-0000-0000-000009470000}"/>
    <cellStyle name="Normal 4 3 3 4 2 3 2 2" xfId="31857" xr:uid="{00000000-0005-0000-0000-00000A470000}"/>
    <cellStyle name="Normal 4 3 3 4 2 3 3" xfId="23409" xr:uid="{00000000-0005-0000-0000-00000B470000}"/>
    <cellStyle name="Normal 4 3 3 4 2 4" xfId="10693" xr:uid="{00000000-0005-0000-0000-00000C470000}"/>
    <cellStyle name="Normal 4 3 3 4 2 4 2" xfId="27633" xr:uid="{00000000-0005-0000-0000-00000D470000}"/>
    <cellStyle name="Normal 4 3 3 4 2 5" xfId="19185" xr:uid="{00000000-0005-0000-0000-00000E470000}"/>
    <cellStyle name="Normal 4 3 3 4 3" xfId="3299" xr:uid="{00000000-0005-0000-0000-00000F470000}"/>
    <cellStyle name="Normal 4 3 3 4 3 2" xfId="7525" xr:uid="{00000000-0005-0000-0000-000010470000}"/>
    <cellStyle name="Normal 4 3 3 4 3 2 2" xfId="15973" xr:uid="{00000000-0005-0000-0000-000011470000}"/>
    <cellStyle name="Normal 4 3 3 4 3 2 2 2" xfId="32913" xr:uid="{00000000-0005-0000-0000-000012470000}"/>
    <cellStyle name="Normal 4 3 3 4 3 2 3" xfId="24465" xr:uid="{00000000-0005-0000-0000-000013470000}"/>
    <cellStyle name="Normal 4 3 3 4 3 3" xfId="11749" xr:uid="{00000000-0005-0000-0000-000014470000}"/>
    <cellStyle name="Normal 4 3 3 4 3 3 2" xfId="28689" xr:uid="{00000000-0005-0000-0000-000015470000}"/>
    <cellStyle name="Normal 4 3 3 4 3 4" xfId="20241" xr:uid="{00000000-0005-0000-0000-000016470000}"/>
    <cellStyle name="Normal 4 3 3 4 4" xfId="5413" xr:uid="{00000000-0005-0000-0000-000017470000}"/>
    <cellStyle name="Normal 4 3 3 4 4 2" xfId="13861" xr:uid="{00000000-0005-0000-0000-000018470000}"/>
    <cellStyle name="Normal 4 3 3 4 4 2 2" xfId="30801" xr:uid="{00000000-0005-0000-0000-000019470000}"/>
    <cellStyle name="Normal 4 3 3 4 4 3" xfId="22353" xr:uid="{00000000-0005-0000-0000-00001A470000}"/>
    <cellStyle name="Normal 4 3 3 4 5" xfId="9637" xr:uid="{00000000-0005-0000-0000-00001B470000}"/>
    <cellStyle name="Normal 4 3 3 4 5 2" xfId="26577" xr:uid="{00000000-0005-0000-0000-00001C470000}"/>
    <cellStyle name="Normal 4 3 3 4 6" xfId="18129" xr:uid="{00000000-0005-0000-0000-00001D470000}"/>
    <cellStyle name="Normal 4 3 3 5" xfId="1363" xr:uid="{00000000-0005-0000-0000-00001E470000}"/>
    <cellStyle name="Normal 4 3 3 5 2" xfId="2419" xr:uid="{00000000-0005-0000-0000-00001F470000}"/>
    <cellStyle name="Normal 4 3 3 5 2 2" xfId="4531" xr:uid="{00000000-0005-0000-0000-000020470000}"/>
    <cellStyle name="Normal 4 3 3 5 2 2 2" xfId="8757" xr:uid="{00000000-0005-0000-0000-000021470000}"/>
    <cellStyle name="Normal 4 3 3 5 2 2 2 2" xfId="17205" xr:uid="{00000000-0005-0000-0000-000022470000}"/>
    <cellStyle name="Normal 4 3 3 5 2 2 2 2 2" xfId="34145" xr:uid="{00000000-0005-0000-0000-000023470000}"/>
    <cellStyle name="Normal 4 3 3 5 2 2 2 3" xfId="25697" xr:uid="{00000000-0005-0000-0000-000024470000}"/>
    <cellStyle name="Normal 4 3 3 5 2 2 3" xfId="12981" xr:uid="{00000000-0005-0000-0000-000025470000}"/>
    <cellStyle name="Normal 4 3 3 5 2 2 3 2" xfId="29921" xr:uid="{00000000-0005-0000-0000-000026470000}"/>
    <cellStyle name="Normal 4 3 3 5 2 2 4" xfId="21473" xr:uid="{00000000-0005-0000-0000-000027470000}"/>
    <cellStyle name="Normal 4 3 3 5 2 3" xfId="6645" xr:uid="{00000000-0005-0000-0000-000028470000}"/>
    <cellStyle name="Normal 4 3 3 5 2 3 2" xfId="15093" xr:uid="{00000000-0005-0000-0000-000029470000}"/>
    <cellStyle name="Normal 4 3 3 5 2 3 2 2" xfId="32033" xr:uid="{00000000-0005-0000-0000-00002A470000}"/>
    <cellStyle name="Normal 4 3 3 5 2 3 3" xfId="23585" xr:uid="{00000000-0005-0000-0000-00002B470000}"/>
    <cellStyle name="Normal 4 3 3 5 2 4" xfId="10869" xr:uid="{00000000-0005-0000-0000-00002C470000}"/>
    <cellStyle name="Normal 4 3 3 5 2 4 2" xfId="27809" xr:uid="{00000000-0005-0000-0000-00002D470000}"/>
    <cellStyle name="Normal 4 3 3 5 2 5" xfId="19361" xr:uid="{00000000-0005-0000-0000-00002E470000}"/>
    <cellStyle name="Normal 4 3 3 5 3" xfId="3475" xr:uid="{00000000-0005-0000-0000-00002F470000}"/>
    <cellStyle name="Normal 4 3 3 5 3 2" xfId="7701" xr:uid="{00000000-0005-0000-0000-000030470000}"/>
    <cellStyle name="Normal 4 3 3 5 3 2 2" xfId="16149" xr:uid="{00000000-0005-0000-0000-000031470000}"/>
    <cellStyle name="Normal 4 3 3 5 3 2 2 2" xfId="33089" xr:uid="{00000000-0005-0000-0000-000032470000}"/>
    <cellStyle name="Normal 4 3 3 5 3 2 3" xfId="24641" xr:uid="{00000000-0005-0000-0000-000033470000}"/>
    <cellStyle name="Normal 4 3 3 5 3 3" xfId="11925" xr:uid="{00000000-0005-0000-0000-000034470000}"/>
    <cellStyle name="Normal 4 3 3 5 3 3 2" xfId="28865" xr:uid="{00000000-0005-0000-0000-000035470000}"/>
    <cellStyle name="Normal 4 3 3 5 3 4" xfId="20417" xr:uid="{00000000-0005-0000-0000-000036470000}"/>
    <cellStyle name="Normal 4 3 3 5 4" xfId="5589" xr:uid="{00000000-0005-0000-0000-000037470000}"/>
    <cellStyle name="Normal 4 3 3 5 4 2" xfId="14037" xr:uid="{00000000-0005-0000-0000-000038470000}"/>
    <cellStyle name="Normal 4 3 3 5 4 2 2" xfId="30977" xr:uid="{00000000-0005-0000-0000-000039470000}"/>
    <cellStyle name="Normal 4 3 3 5 4 3" xfId="22529" xr:uid="{00000000-0005-0000-0000-00003A470000}"/>
    <cellStyle name="Normal 4 3 3 5 5" xfId="9813" xr:uid="{00000000-0005-0000-0000-00003B470000}"/>
    <cellStyle name="Normal 4 3 3 5 5 2" xfId="26753" xr:uid="{00000000-0005-0000-0000-00003C470000}"/>
    <cellStyle name="Normal 4 3 3 5 6" xfId="18305" xr:uid="{00000000-0005-0000-0000-00003D470000}"/>
    <cellStyle name="Normal 4 3 3 6" xfId="1539" xr:uid="{00000000-0005-0000-0000-00003E470000}"/>
    <cellStyle name="Normal 4 3 3 6 2" xfId="3651" xr:uid="{00000000-0005-0000-0000-00003F470000}"/>
    <cellStyle name="Normal 4 3 3 6 2 2" xfId="7877" xr:uid="{00000000-0005-0000-0000-000040470000}"/>
    <cellStyle name="Normal 4 3 3 6 2 2 2" xfId="16325" xr:uid="{00000000-0005-0000-0000-000041470000}"/>
    <cellStyle name="Normal 4 3 3 6 2 2 2 2" xfId="33265" xr:uid="{00000000-0005-0000-0000-000042470000}"/>
    <cellStyle name="Normal 4 3 3 6 2 2 3" xfId="24817" xr:uid="{00000000-0005-0000-0000-000043470000}"/>
    <cellStyle name="Normal 4 3 3 6 2 3" xfId="12101" xr:uid="{00000000-0005-0000-0000-000044470000}"/>
    <cellStyle name="Normal 4 3 3 6 2 3 2" xfId="29041" xr:uid="{00000000-0005-0000-0000-000045470000}"/>
    <cellStyle name="Normal 4 3 3 6 2 4" xfId="20593" xr:uid="{00000000-0005-0000-0000-000046470000}"/>
    <cellStyle name="Normal 4 3 3 6 3" xfId="5765" xr:uid="{00000000-0005-0000-0000-000047470000}"/>
    <cellStyle name="Normal 4 3 3 6 3 2" xfId="14213" xr:uid="{00000000-0005-0000-0000-000048470000}"/>
    <cellStyle name="Normal 4 3 3 6 3 2 2" xfId="31153" xr:uid="{00000000-0005-0000-0000-000049470000}"/>
    <cellStyle name="Normal 4 3 3 6 3 3" xfId="22705" xr:uid="{00000000-0005-0000-0000-00004A470000}"/>
    <cellStyle name="Normal 4 3 3 6 4" xfId="9989" xr:uid="{00000000-0005-0000-0000-00004B470000}"/>
    <cellStyle name="Normal 4 3 3 6 4 2" xfId="26929" xr:uid="{00000000-0005-0000-0000-00004C470000}"/>
    <cellStyle name="Normal 4 3 3 6 5" xfId="18481" xr:uid="{00000000-0005-0000-0000-00004D470000}"/>
    <cellStyle name="Normal 4 3 3 7" xfId="2595" xr:uid="{00000000-0005-0000-0000-00004E470000}"/>
    <cellStyle name="Normal 4 3 3 7 2" xfId="6821" xr:uid="{00000000-0005-0000-0000-00004F470000}"/>
    <cellStyle name="Normal 4 3 3 7 2 2" xfId="15269" xr:uid="{00000000-0005-0000-0000-000050470000}"/>
    <cellStyle name="Normal 4 3 3 7 2 2 2" xfId="32209" xr:uid="{00000000-0005-0000-0000-000051470000}"/>
    <cellStyle name="Normal 4 3 3 7 2 3" xfId="23761" xr:uid="{00000000-0005-0000-0000-000052470000}"/>
    <cellStyle name="Normal 4 3 3 7 3" xfId="11045" xr:uid="{00000000-0005-0000-0000-000053470000}"/>
    <cellStyle name="Normal 4 3 3 7 3 2" xfId="27985" xr:uid="{00000000-0005-0000-0000-000054470000}"/>
    <cellStyle name="Normal 4 3 3 7 4" xfId="19537" xr:uid="{00000000-0005-0000-0000-000055470000}"/>
    <cellStyle name="Normal 4 3 3 8" xfId="4708" xr:uid="{00000000-0005-0000-0000-000056470000}"/>
    <cellStyle name="Normal 4 3 3 8 2" xfId="13157" xr:uid="{00000000-0005-0000-0000-000057470000}"/>
    <cellStyle name="Normal 4 3 3 8 2 2" xfId="30097" xr:uid="{00000000-0005-0000-0000-000058470000}"/>
    <cellStyle name="Normal 4 3 3 8 3" xfId="21649" xr:uid="{00000000-0005-0000-0000-000059470000}"/>
    <cellStyle name="Normal 4 3 3 9" xfId="8933" xr:uid="{00000000-0005-0000-0000-00005A470000}"/>
    <cellStyle name="Normal 4 3 3 9 2" xfId="25873" xr:uid="{00000000-0005-0000-0000-00005B470000}"/>
    <cellStyle name="Normal 4 3 4" xfId="651" xr:uid="{00000000-0005-0000-0000-00005C470000}"/>
    <cellStyle name="Normal 4 3 4 2" xfId="1003" xr:uid="{00000000-0005-0000-0000-00005D470000}"/>
    <cellStyle name="Normal 4 3 4 2 2" xfId="2065" xr:uid="{00000000-0005-0000-0000-00005E470000}"/>
    <cellStyle name="Normal 4 3 4 2 2 2" xfId="4177" xr:uid="{00000000-0005-0000-0000-00005F470000}"/>
    <cellStyle name="Normal 4 3 4 2 2 2 2" xfId="8403" xr:uid="{00000000-0005-0000-0000-000060470000}"/>
    <cellStyle name="Normal 4 3 4 2 2 2 2 2" xfId="16851" xr:uid="{00000000-0005-0000-0000-000061470000}"/>
    <cellStyle name="Normal 4 3 4 2 2 2 2 2 2" xfId="33791" xr:uid="{00000000-0005-0000-0000-000062470000}"/>
    <cellStyle name="Normal 4 3 4 2 2 2 2 3" xfId="25343" xr:uid="{00000000-0005-0000-0000-000063470000}"/>
    <cellStyle name="Normal 4 3 4 2 2 2 3" xfId="12627" xr:uid="{00000000-0005-0000-0000-000064470000}"/>
    <cellStyle name="Normal 4 3 4 2 2 2 3 2" xfId="29567" xr:uid="{00000000-0005-0000-0000-000065470000}"/>
    <cellStyle name="Normal 4 3 4 2 2 2 4" xfId="21119" xr:uid="{00000000-0005-0000-0000-000066470000}"/>
    <cellStyle name="Normal 4 3 4 2 2 3" xfId="6291" xr:uid="{00000000-0005-0000-0000-000067470000}"/>
    <cellStyle name="Normal 4 3 4 2 2 3 2" xfId="14739" xr:uid="{00000000-0005-0000-0000-000068470000}"/>
    <cellStyle name="Normal 4 3 4 2 2 3 2 2" xfId="31679" xr:uid="{00000000-0005-0000-0000-000069470000}"/>
    <cellStyle name="Normal 4 3 4 2 2 3 3" xfId="23231" xr:uid="{00000000-0005-0000-0000-00006A470000}"/>
    <cellStyle name="Normal 4 3 4 2 2 4" xfId="10515" xr:uid="{00000000-0005-0000-0000-00006B470000}"/>
    <cellStyle name="Normal 4 3 4 2 2 4 2" xfId="27455" xr:uid="{00000000-0005-0000-0000-00006C470000}"/>
    <cellStyle name="Normal 4 3 4 2 2 5" xfId="19007" xr:uid="{00000000-0005-0000-0000-00006D470000}"/>
    <cellStyle name="Normal 4 3 4 2 3" xfId="3121" xr:uid="{00000000-0005-0000-0000-00006E470000}"/>
    <cellStyle name="Normal 4 3 4 2 3 2" xfId="7347" xr:uid="{00000000-0005-0000-0000-00006F470000}"/>
    <cellStyle name="Normal 4 3 4 2 3 2 2" xfId="15795" xr:uid="{00000000-0005-0000-0000-000070470000}"/>
    <cellStyle name="Normal 4 3 4 2 3 2 2 2" xfId="32735" xr:uid="{00000000-0005-0000-0000-000071470000}"/>
    <cellStyle name="Normal 4 3 4 2 3 2 3" xfId="24287" xr:uid="{00000000-0005-0000-0000-000072470000}"/>
    <cellStyle name="Normal 4 3 4 2 3 3" xfId="11571" xr:uid="{00000000-0005-0000-0000-000073470000}"/>
    <cellStyle name="Normal 4 3 4 2 3 3 2" xfId="28511" xr:uid="{00000000-0005-0000-0000-000074470000}"/>
    <cellStyle name="Normal 4 3 4 2 3 4" xfId="20063" xr:uid="{00000000-0005-0000-0000-000075470000}"/>
    <cellStyle name="Normal 4 3 4 2 4" xfId="5235" xr:uid="{00000000-0005-0000-0000-000076470000}"/>
    <cellStyle name="Normal 4 3 4 2 4 2" xfId="13683" xr:uid="{00000000-0005-0000-0000-000077470000}"/>
    <cellStyle name="Normal 4 3 4 2 4 2 2" xfId="30623" xr:uid="{00000000-0005-0000-0000-000078470000}"/>
    <cellStyle name="Normal 4 3 4 2 4 3" xfId="22175" xr:uid="{00000000-0005-0000-0000-000079470000}"/>
    <cellStyle name="Normal 4 3 4 2 5" xfId="9459" xr:uid="{00000000-0005-0000-0000-00007A470000}"/>
    <cellStyle name="Normal 4 3 4 2 5 2" xfId="26399" xr:uid="{00000000-0005-0000-0000-00007B470000}"/>
    <cellStyle name="Normal 4 3 4 2 6" xfId="17951" xr:uid="{00000000-0005-0000-0000-00007C470000}"/>
    <cellStyle name="Normal 4 3 4 3" xfId="1713" xr:uid="{00000000-0005-0000-0000-00007D470000}"/>
    <cellStyle name="Normal 4 3 4 3 2" xfId="3825" xr:uid="{00000000-0005-0000-0000-00007E470000}"/>
    <cellStyle name="Normal 4 3 4 3 2 2" xfId="8051" xr:uid="{00000000-0005-0000-0000-00007F470000}"/>
    <cellStyle name="Normal 4 3 4 3 2 2 2" xfId="16499" xr:uid="{00000000-0005-0000-0000-000080470000}"/>
    <cellStyle name="Normal 4 3 4 3 2 2 2 2" xfId="33439" xr:uid="{00000000-0005-0000-0000-000081470000}"/>
    <cellStyle name="Normal 4 3 4 3 2 2 3" xfId="24991" xr:uid="{00000000-0005-0000-0000-000082470000}"/>
    <cellStyle name="Normal 4 3 4 3 2 3" xfId="12275" xr:uid="{00000000-0005-0000-0000-000083470000}"/>
    <cellStyle name="Normal 4 3 4 3 2 3 2" xfId="29215" xr:uid="{00000000-0005-0000-0000-000084470000}"/>
    <cellStyle name="Normal 4 3 4 3 2 4" xfId="20767" xr:uid="{00000000-0005-0000-0000-000085470000}"/>
    <cellStyle name="Normal 4 3 4 3 3" xfId="5939" xr:uid="{00000000-0005-0000-0000-000086470000}"/>
    <cellStyle name="Normal 4 3 4 3 3 2" xfId="14387" xr:uid="{00000000-0005-0000-0000-000087470000}"/>
    <cellStyle name="Normal 4 3 4 3 3 2 2" xfId="31327" xr:uid="{00000000-0005-0000-0000-000088470000}"/>
    <cellStyle name="Normal 4 3 4 3 3 3" xfId="22879" xr:uid="{00000000-0005-0000-0000-000089470000}"/>
    <cellStyle name="Normal 4 3 4 3 4" xfId="10163" xr:uid="{00000000-0005-0000-0000-00008A470000}"/>
    <cellStyle name="Normal 4 3 4 3 4 2" xfId="27103" xr:uid="{00000000-0005-0000-0000-00008B470000}"/>
    <cellStyle name="Normal 4 3 4 3 5" xfId="18655" xr:uid="{00000000-0005-0000-0000-00008C470000}"/>
    <cellStyle name="Normal 4 3 4 4" xfId="2769" xr:uid="{00000000-0005-0000-0000-00008D470000}"/>
    <cellStyle name="Normal 4 3 4 4 2" xfId="6995" xr:uid="{00000000-0005-0000-0000-00008E470000}"/>
    <cellStyle name="Normal 4 3 4 4 2 2" xfId="15443" xr:uid="{00000000-0005-0000-0000-00008F470000}"/>
    <cellStyle name="Normal 4 3 4 4 2 2 2" xfId="32383" xr:uid="{00000000-0005-0000-0000-000090470000}"/>
    <cellStyle name="Normal 4 3 4 4 2 3" xfId="23935" xr:uid="{00000000-0005-0000-0000-000091470000}"/>
    <cellStyle name="Normal 4 3 4 4 3" xfId="11219" xr:uid="{00000000-0005-0000-0000-000092470000}"/>
    <cellStyle name="Normal 4 3 4 4 3 2" xfId="28159" xr:uid="{00000000-0005-0000-0000-000093470000}"/>
    <cellStyle name="Normal 4 3 4 4 4" xfId="19711" xr:uid="{00000000-0005-0000-0000-000094470000}"/>
    <cellStyle name="Normal 4 3 4 5" xfId="4883" xr:uid="{00000000-0005-0000-0000-000095470000}"/>
    <cellStyle name="Normal 4 3 4 5 2" xfId="13331" xr:uid="{00000000-0005-0000-0000-000096470000}"/>
    <cellStyle name="Normal 4 3 4 5 2 2" xfId="30271" xr:uid="{00000000-0005-0000-0000-000097470000}"/>
    <cellStyle name="Normal 4 3 4 5 3" xfId="21823" xr:uid="{00000000-0005-0000-0000-000098470000}"/>
    <cellStyle name="Normal 4 3 4 6" xfId="9107" xr:uid="{00000000-0005-0000-0000-000099470000}"/>
    <cellStyle name="Normal 4 3 4 6 2" xfId="26047" xr:uid="{00000000-0005-0000-0000-00009A470000}"/>
    <cellStyle name="Normal 4 3 4 7" xfId="17599" xr:uid="{00000000-0005-0000-0000-00009B470000}"/>
    <cellStyle name="Normal 4 3 5" xfId="827" xr:uid="{00000000-0005-0000-0000-00009C470000}"/>
    <cellStyle name="Normal 4 3 5 2" xfId="1889" xr:uid="{00000000-0005-0000-0000-00009D470000}"/>
    <cellStyle name="Normal 4 3 5 2 2" xfId="4001" xr:uid="{00000000-0005-0000-0000-00009E470000}"/>
    <cellStyle name="Normal 4 3 5 2 2 2" xfId="8227" xr:uid="{00000000-0005-0000-0000-00009F470000}"/>
    <cellStyle name="Normal 4 3 5 2 2 2 2" xfId="16675" xr:uid="{00000000-0005-0000-0000-0000A0470000}"/>
    <cellStyle name="Normal 4 3 5 2 2 2 2 2" xfId="33615" xr:uid="{00000000-0005-0000-0000-0000A1470000}"/>
    <cellStyle name="Normal 4 3 5 2 2 2 3" xfId="25167" xr:uid="{00000000-0005-0000-0000-0000A2470000}"/>
    <cellStyle name="Normal 4 3 5 2 2 3" xfId="12451" xr:uid="{00000000-0005-0000-0000-0000A3470000}"/>
    <cellStyle name="Normal 4 3 5 2 2 3 2" xfId="29391" xr:uid="{00000000-0005-0000-0000-0000A4470000}"/>
    <cellStyle name="Normal 4 3 5 2 2 4" xfId="20943" xr:uid="{00000000-0005-0000-0000-0000A5470000}"/>
    <cellStyle name="Normal 4 3 5 2 3" xfId="6115" xr:uid="{00000000-0005-0000-0000-0000A6470000}"/>
    <cellStyle name="Normal 4 3 5 2 3 2" xfId="14563" xr:uid="{00000000-0005-0000-0000-0000A7470000}"/>
    <cellStyle name="Normal 4 3 5 2 3 2 2" xfId="31503" xr:uid="{00000000-0005-0000-0000-0000A8470000}"/>
    <cellStyle name="Normal 4 3 5 2 3 3" xfId="23055" xr:uid="{00000000-0005-0000-0000-0000A9470000}"/>
    <cellStyle name="Normal 4 3 5 2 4" xfId="10339" xr:uid="{00000000-0005-0000-0000-0000AA470000}"/>
    <cellStyle name="Normal 4 3 5 2 4 2" xfId="27279" xr:uid="{00000000-0005-0000-0000-0000AB470000}"/>
    <cellStyle name="Normal 4 3 5 2 5" xfId="18831" xr:uid="{00000000-0005-0000-0000-0000AC470000}"/>
    <cellStyle name="Normal 4 3 5 3" xfId="2945" xr:uid="{00000000-0005-0000-0000-0000AD470000}"/>
    <cellStyle name="Normal 4 3 5 3 2" xfId="7171" xr:uid="{00000000-0005-0000-0000-0000AE470000}"/>
    <cellStyle name="Normal 4 3 5 3 2 2" xfId="15619" xr:uid="{00000000-0005-0000-0000-0000AF470000}"/>
    <cellStyle name="Normal 4 3 5 3 2 2 2" xfId="32559" xr:uid="{00000000-0005-0000-0000-0000B0470000}"/>
    <cellStyle name="Normal 4 3 5 3 2 3" xfId="24111" xr:uid="{00000000-0005-0000-0000-0000B1470000}"/>
    <cellStyle name="Normal 4 3 5 3 3" xfId="11395" xr:uid="{00000000-0005-0000-0000-0000B2470000}"/>
    <cellStyle name="Normal 4 3 5 3 3 2" xfId="28335" xr:uid="{00000000-0005-0000-0000-0000B3470000}"/>
    <cellStyle name="Normal 4 3 5 3 4" xfId="19887" xr:uid="{00000000-0005-0000-0000-0000B4470000}"/>
    <cellStyle name="Normal 4 3 5 4" xfId="5059" xr:uid="{00000000-0005-0000-0000-0000B5470000}"/>
    <cellStyle name="Normal 4 3 5 4 2" xfId="13507" xr:uid="{00000000-0005-0000-0000-0000B6470000}"/>
    <cellStyle name="Normal 4 3 5 4 2 2" xfId="30447" xr:uid="{00000000-0005-0000-0000-0000B7470000}"/>
    <cellStyle name="Normal 4 3 5 4 3" xfId="21999" xr:uid="{00000000-0005-0000-0000-0000B8470000}"/>
    <cellStyle name="Normal 4 3 5 5" xfId="9283" xr:uid="{00000000-0005-0000-0000-0000B9470000}"/>
    <cellStyle name="Normal 4 3 5 5 2" xfId="26223" xr:uid="{00000000-0005-0000-0000-0000BA470000}"/>
    <cellStyle name="Normal 4 3 5 6" xfId="17775" xr:uid="{00000000-0005-0000-0000-0000BB470000}"/>
    <cellStyle name="Normal 4 3 6" xfId="1179" xr:uid="{00000000-0005-0000-0000-0000BC470000}"/>
    <cellStyle name="Normal 4 3 6 2" xfId="2241" xr:uid="{00000000-0005-0000-0000-0000BD470000}"/>
    <cellStyle name="Normal 4 3 6 2 2" xfId="4353" xr:uid="{00000000-0005-0000-0000-0000BE470000}"/>
    <cellStyle name="Normal 4 3 6 2 2 2" xfId="8579" xr:uid="{00000000-0005-0000-0000-0000BF470000}"/>
    <cellStyle name="Normal 4 3 6 2 2 2 2" xfId="17027" xr:uid="{00000000-0005-0000-0000-0000C0470000}"/>
    <cellStyle name="Normal 4 3 6 2 2 2 2 2" xfId="33967" xr:uid="{00000000-0005-0000-0000-0000C1470000}"/>
    <cellStyle name="Normal 4 3 6 2 2 2 3" xfId="25519" xr:uid="{00000000-0005-0000-0000-0000C2470000}"/>
    <cellStyle name="Normal 4 3 6 2 2 3" xfId="12803" xr:uid="{00000000-0005-0000-0000-0000C3470000}"/>
    <cellStyle name="Normal 4 3 6 2 2 3 2" xfId="29743" xr:uid="{00000000-0005-0000-0000-0000C4470000}"/>
    <cellStyle name="Normal 4 3 6 2 2 4" xfId="21295" xr:uid="{00000000-0005-0000-0000-0000C5470000}"/>
    <cellStyle name="Normal 4 3 6 2 3" xfId="6467" xr:uid="{00000000-0005-0000-0000-0000C6470000}"/>
    <cellStyle name="Normal 4 3 6 2 3 2" xfId="14915" xr:uid="{00000000-0005-0000-0000-0000C7470000}"/>
    <cellStyle name="Normal 4 3 6 2 3 2 2" xfId="31855" xr:uid="{00000000-0005-0000-0000-0000C8470000}"/>
    <cellStyle name="Normal 4 3 6 2 3 3" xfId="23407" xr:uid="{00000000-0005-0000-0000-0000C9470000}"/>
    <cellStyle name="Normal 4 3 6 2 4" xfId="10691" xr:uid="{00000000-0005-0000-0000-0000CA470000}"/>
    <cellStyle name="Normal 4 3 6 2 4 2" xfId="27631" xr:uid="{00000000-0005-0000-0000-0000CB470000}"/>
    <cellStyle name="Normal 4 3 6 2 5" xfId="19183" xr:uid="{00000000-0005-0000-0000-0000CC470000}"/>
    <cellStyle name="Normal 4 3 6 3" xfId="3297" xr:uid="{00000000-0005-0000-0000-0000CD470000}"/>
    <cellStyle name="Normal 4 3 6 3 2" xfId="7523" xr:uid="{00000000-0005-0000-0000-0000CE470000}"/>
    <cellStyle name="Normal 4 3 6 3 2 2" xfId="15971" xr:uid="{00000000-0005-0000-0000-0000CF470000}"/>
    <cellStyle name="Normal 4 3 6 3 2 2 2" xfId="32911" xr:uid="{00000000-0005-0000-0000-0000D0470000}"/>
    <cellStyle name="Normal 4 3 6 3 2 3" xfId="24463" xr:uid="{00000000-0005-0000-0000-0000D1470000}"/>
    <cellStyle name="Normal 4 3 6 3 3" xfId="11747" xr:uid="{00000000-0005-0000-0000-0000D2470000}"/>
    <cellStyle name="Normal 4 3 6 3 3 2" xfId="28687" xr:uid="{00000000-0005-0000-0000-0000D3470000}"/>
    <cellStyle name="Normal 4 3 6 3 4" xfId="20239" xr:uid="{00000000-0005-0000-0000-0000D4470000}"/>
    <cellStyle name="Normal 4 3 6 4" xfId="5411" xr:uid="{00000000-0005-0000-0000-0000D5470000}"/>
    <cellStyle name="Normal 4 3 6 4 2" xfId="13859" xr:uid="{00000000-0005-0000-0000-0000D6470000}"/>
    <cellStyle name="Normal 4 3 6 4 2 2" xfId="30799" xr:uid="{00000000-0005-0000-0000-0000D7470000}"/>
    <cellStyle name="Normal 4 3 6 4 3" xfId="22351" xr:uid="{00000000-0005-0000-0000-0000D8470000}"/>
    <cellStyle name="Normal 4 3 6 5" xfId="9635" xr:uid="{00000000-0005-0000-0000-0000D9470000}"/>
    <cellStyle name="Normal 4 3 6 5 2" xfId="26575" xr:uid="{00000000-0005-0000-0000-0000DA470000}"/>
    <cellStyle name="Normal 4 3 6 6" xfId="18127" xr:uid="{00000000-0005-0000-0000-0000DB470000}"/>
    <cellStyle name="Normal 4 3 7" xfId="1361" xr:uid="{00000000-0005-0000-0000-0000DC470000}"/>
    <cellStyle name="Normal 4 3 7 2" xfId="2417" xr:uid="{00000000-0005-0000-0000-0000DD470000}"/>
    <cellStyle name="Normal 4 3 7 2 2" xfId="4529" xr:uid="{00000000-0005-0000-0000-0000DE470000}"/>
    <cellStyle name="Normal 4 3 7 2 2 2" xfId="8755" xr:uid="{00000000-0005-0000-0000-0000DF470000}"/>
    <cellStyle name="Normal 4 3 7 2 2 2 2" xfId="17203" xr:uid="{00000000-0005-0000-0000-0000E0470000}"/>
    <cellStyle name="Normal 4 3 7 2 2 2 2 2" xfId="34143" xr:uid="{00000000-0005-0000-0000-0000E1470000}"/>
    <cellStyle name="Normal 4 3 7 2 2 2 3" xfId="25695" xr:uid="{00000000-0005-0000-0000-0000E2470000}"/>
    <cellStyle name="Normal 4 3 7 2 2 3" xfId="12979" xr:uid="{00000000-0005-0000-0000-0000E3470000}"/>
    <cellStyle name="Normal 4 3 7 2 2 3 2" xfId="29919" xr:uid="{00000000-0005-0000-0000-0000E4470000}"/>
    <cellStyle name="Normal 4 3 7 2 2 4" xfId="21471" xr:uid="{00000000-0005-0000-0000-0000E5470000}"/>
    <cellStyle name="Normal 4 3 7 2 3" xfId="6643" xr:uid="{00000000-0005-0000-0000-0000E6470000}"/>
    <cellStyle name="Normal 4 3 7 2 3 2" xfId="15091" xr:uid="{00000000-0005-0000-0000-0000E7470000}"/>
    <cellStyle name="Normal 4 3 7 2 3 2 2" xfId="32031" xr:uid="{00000000-0005-0000-0000-0000E8470000}"/>
    <cellStyle name="Normal 4 3 7 2 3 3" xfId="23583" xr:uid="{00000000-0005-0000-0000-0000E9470000}"/>
    <cellStyle name="Normal 4 3 7 2 4" xfId="10867" xr:uid="{00000000-0005-0000-0000-0000EA470000}"/>
    <cellStyle name="Normal 4 3 7 2 4 2" xfId="27807" xr:uid="{00000000-0005-0000-0000-0000EB470000}"/>
    <cellStyle name="Normal 4 3 7 2 5" xfId="19359" xr:uid="{00000000-0005-0000-0000-0000EC470000}"/>
    <cellStyle name="Normal 4 3 7 3" xfId="3473" xr:uid="{00000000-0005-0000-0000-0000ED470000}"/>
    <cellStyle name="Normal 4 3 7 3 2" xfId="7699" xr:uid="{00000000-0005-0000-0000-0000EE470000}"/>
    <cellStyle name="Normal 4 3 7 3 2 2" xfId="16147" xr:uid="{00000000-0005-0000-0000-0000EF470000}"/>
    <cellStyle name="Normal 4 3 7 3 2 2 2" xfId="33087" xr:uid="{00000000-0005-0000-0000-0000F0470000}"/>
    <cellStyle name="Normal 4 3 7 3 2 3" xfId="24639" xr:uid="{00000000-0005-0000-0000-0000F1470000}"/>
    <cellStyle name="Normal 4 3 7 3 3" xfId="11923" xr:uid="{00000000-0005-0000-0000-0000F2470000}"/>
    <cellStyle name="Normal 4 3 7 3 3 2" xfId="28863" xr:uid="{00000000-0005-0000-0000-0000F3470000}"/>
    <cellStyle name="Normal 4 3 7 3 4" xfId="20415" xr:uid="{00000000-0005-0000-0000-0000F4470000}"/>
    <cellStyle name="Normal 4 3 7 4" xfId="5587" xr:uid="{00000000-0005-0000-0000-0000F5470000}"/>
    <cellStyle name="Normal 4 3 7 4 2" xfId="14035" xr:uid="{00000000-0005-0000-0000-0000F6470000}"/>
    <cellStyle name="Normal 4 3 7 4 2 2" xfId="30975" xr:uid="{00000000-0005-0000-0000-0000F7470000}"/>
    <cellStyle name="Normal 4 3 7 4 3" xfId="22527" xr:uid="{00000000-0005-0000-0000-0000F8470000}"/>
    <cellStyle name="Normal 4 3 7 5" xfId="9811" xr:uid="{00000000-0005-0000-0000-0000F9470000}"/>
    <cellStyle name="Normal 4 3 7 5 2" xfId="26751" xr:uid="{00000000-0005-0000-0000-0000FA470000}"/>
    <cellStyle name="Normal 4 3 7 6" xfId="18303" xr:uid="{00000000-0005-0000-0000-0000FB470000}"/>
    <cellStyle name="Normal 4 3 8" xfId="1537" xr:uid="{00000000-0005-0000-0000-0000FC470000}"/>
    <cellStyle name="Normal 4 3 8 2" xfId="3649" xr:uid="{00000000-0005-0000-0000-0000FD470000}"/>
    <cellStyle name="Normal 4 3 8 2 2" xfId="7875" xr:uid="{00000000-0005-0000-0000-0000FE470000}"/>
    <cellStyle name="Normal 4 3 8 2 2 2" xfId="16323" xr:uid="{00000000-0005-0000-0000-0000FF470000}"/>
    <cellStyle name="Normal 4 3 8 2 2 2 2" xfId="33263" xr:uid="{00000000-0005-0000-0000-000000480000}"/>
    <cellStyle name="Normal 4 3 8 2 2 3" xfId="24815" xr:uid="{00000000-0005-0000-0000-000001480000}"/>
    <cellStyle name="Normal 4 3 8 2 3" xfId="12099" xr:uid="{00000000-0005-0000-0000-000002480000}"/>
    <cellStyle name="Normal 4 3 8 2 3 2" xfId="29039" xr:uid="{00000000-0005-0000-0000-000003480000}"/>
    <cellStyle name="Normal 4 3 8 2 4" xfId="20591" xr:uid="{00000000-0005-0000-0000-000004480000}"/>
    <cellStyle name="Normal 4 3 8 3" xfId="5763" xr:uid="{00000000-0005-0000-0000-000005480000}"/>
    <cellStyle name="Normal 4 3 8 3 2" xfId="14211" xr:uid="{00000000-0005-0000-0000-000006480000}"/>
    <cellStyle name="Normal 4 3 8 3 2 2" xfId="31151" xr:uid="{00000000-0005-0000-0000-000007480000}"/>
    <cellStyle name="Normal 4 3 8 3 3" xfId="22703" xr:uid="{00000000-0005-0000-0000-000008480000}"/>
    <cellStyle name="Normal 4 3 8 4" xfId="9987" xr:uid="{00000000-0005-0000-0000-000009480000}"/>
    <cellStyle name="Normal 4 3 8 4 2" xfId="26927" xr:uid="{00000000-0005-0000-0000-00000A480000}"/>
    <cellStyle name="Normal 4 3 8 5" xfId="18479" xr:uid="{00000000-0005-0000-0000-00000B480000}"/>
    <cellStyle name="Normal 4 3 9" xfId="2593" xr:uid="{00000000-0005-0000-0000-00000C480000}"/>
    <cellStyle name="Normal 4 3 9 2" xfId="6819" xr:uid="{00000000-0005-0000-0000-00000D480000}"/>
    <cellStyle name="Normal 4 3 9 2 2" xfId="15267" xr:uid="{00000000-0005-0000-0000-00000E480000}"/>
    <cellStyle name="Normal 4 3 9 2 2 2" xfId="32207" xr:uid="{00000000-0005-0000-0000-00000F480000}"/>
    <cellStyle name="Normal 4 3 9 2 3" xfId="23759" xr:uid="{00000000-0005-0000-0000-000010480000}"/>
    <cellStyle name="Normal 4 3 9 3" xfId="11043" xr:uid="{00000000-0005-0000-0000-000011480000}"/>
    <cellStyle name="Normal 4 3 9 3 2" xfId="27983" xr:uid="{00000000-0005-0000-0000-000012480000}"/>
    <cellStyle name="Normal 4 3 9 4" xfId="19535" xr:uid="{00000000-0005-0000-0000-000013480000}"/>
    <cellStyle name="Normal 4 4" xfId="353" xr:uid="{00000000-0005-0000-0000-000014480000}"/>
    <cellStyle name="Normal 4 4 10" xfId="4709" xr:uid="{00000000-0005-0000-0000-000015480000}"/>
    <cellStyle name="Normal 4 4 10 2" xfId="13158" xr:uid="{00000000-0005-0000-0000-000016480000}"/>
    <cellStyle name="Normal 4 4 10 2 2" xfId="30098" xr:uid="{00000000-0005-0000-0000-000017480000}"/>
    <cellStyle name="Normal 4 4 10 3" xfId="21650" xr:uid="{00000000-0005-0000-0000-000018480000}"/>
    <cellStyle name="Normal 4 4 11" xfId="8934" xr:uid="{00000000-0005-0000-0000-000019480000}"/>
    <cellStyle name="Normal 4 4 11 2" xfId="25874" xr:uid="{00000000-0005-0000-0000-00001A480000}"/>
    <cellStyle name="Normal 4 4 12" xfId="17426" xr:uid="{00000000-0005-0000-0000-00001B480000}"/>
    <cellStyle name="Normal 4 4 2" xfId="354" xr:uid="{00000000-0005-0000-0000-00001C480000}"/>
    <cellStyle name="Normal 4 4 2 10" xfId="17427" xr:uid="{00000000-0005-0000-0000-00001D480000}"/>
    <cellStyle name="Normal 4 4 2 2" xfId="655" xr:uid="{00000000-0005-0000-0000-00001E480000}"/>
    <cellStyle name="Normal 4 4 2 2 2" xfId="1007" xr:uid="{00000000-0005-0000-0000-00001F480000}"/>
    <cellStyle name="Normal 4 4 2 2 2 2" xfId="2069" xr:uid="{00000000-0005-0000-0000-000020480000}"/>
    <cellStyle name="Normal 4 4 2 2 2 2 2" xfId="4181" xr:uid="{00000000-0005-0000-0000-000021480000}"/>
    <cellStyle name="Normal 4 4 2 2 2 2 2 2" xfId="8407" xr:uid="{00000000-0005-0000-0000-000022480000}"/>
    <cellStyle name="Normal 4 4 2 2 2 2 2 2 2" xfId="16855" xr:uid="{00000000-0005-0000-0000-000023480000}"/>
    <cellStyle name="Normal 4 4 2 2 2 2 2 2 2 2" xfId="33795" xr:uid="{00000000-0005-0000-0000-000024480000}"/>
    <cellStyle name="Normal 4 4 2 2 2 2 2 2 3" xfId="25347" xr:uid="{00000000-0005-0000-0000-000025480000}"/>
    <cellStyle name="Normal 4 4 2 2 2 2 2 3" xfId="12631" xr:uid="{00000000-0005-0000-0000-000026480000}"/>
    <cellStyle name="Normal 4 4 2 2 2 2 2 3 2" xfId="29571" xr:uid="{00000000-0005-0000-0000-000027480000}"/>
    <cellStyle name="Normal 4 4 2 2 2 2 2 4" xfId="21123" xr:uid="{00000000-0005-0000-0000-000028480000}"/>
    <cellStyle name="Normal 4 4 2 2 2 2 3" xfId="6295" xr:uid="{00000000-0005-0000-0000-000029480000}"/>
    <cellStyle name="Normal 4 4 2 2 2 2 3 2" xfId="14743" xr:uid="{00000000-0005-0000-0000-00002A480000}"/>
    <cellStyle name="Normal 4 4 2 2 2 2 3 2 2" xfId="31683" xr:uid="{00000000-0005-0000-0000-00002B480000}"/>
    <cellStyle name="Normal 4 4 2 2 2 2 3 3" xfId="23235" xr:uid="{00000000-0005-0000-0000-00002C480000}"/>
    <cellStyle name="Normal 4 4 2 2 2 2 4" xfId="10519" xr:uid="{00000000-0005-0000-0000-00002D480000}"/>
    <cellStyle name="Normal 4 4 2 2 2 2 4 2" xfId="27459" xr:uid="{00000000-0005-0000-0000-00002E480000}"/>
    <cellStyle name="Normal 4 4 2 2 2 2 5" xfId="19011" xr:uid="{00000000-0005-0000-0000-00002F480000}"/>
    <cellStyle name="Normal 4 4 2 2 2 3" xfId="3125" xr:uid="{00000000-0005-0000-0000-000030480000}"/>
    <cellStyle name="Normal 4 4 2 2 2 3 2" xfId="7351" xr:uid="{00000000-0005-0000-0000-000031480000}"/>
    <cellStyle name="Normal 4 4 2 2 2 3 2 2" xfId="15799" xr:uid="{00000000-0005-0000-0000-000032480000}"/>
    <cellStyle name="Normal 4 4 2 2 2 3 2 2 2" xfId="32739" xr:uid="{00000000-0005-0000-0000-000033480000}"/>
    <cellStyle name="Normal 4 4 2 2 2 3 2 3" xfId="24291" xr:uid="{00000000-0005-0000-0000-000034480000}"/>
    <cellStyle name="Normal 4 4 2 2 2 3 3" xfId="11575" xr:uid="{00000000-0005-0000-0000-000035480000}"/>
    <cellStyle name="Normal 4 4 2 2 2 3 3 2" xfId="28515" xr:uid="{00000000-0005-0000-0000-000036480000}"/>
    <cellStyle name="Normal 4 4 2 2 2 3 4" xfId="20067" xr:uid="{00000000-0005-0000-0000-000037480000}"/>
    <cellStyle name="Normal 4 4 2 2 2 4" xfId="5239" xr:uid="{00000000-0005-0000-0000-000038480000}"/>
    <cellStyle name="Normal 4 4 2 2 2 4 2" xfId="13687" xr:uid="{00000000-0005-0000-0000-000039480000}"/>
    <cellStyle name="Normal 4 4 2 2 2 4 2 2" xfId="30627" xr:uid="{00000000-0005-0000-0000-00003A480000}"/>
    <cellStyle name="Normal 4 4 2 2 2 4 3" xfId="22179" xr:uid="{00000000-0005-0000-0000-00003B480000}"/>
    <cellStyle name="Normal 4 4 2 2 2 5" xfId="9463" xr:uid="{00000000-0005-0000-0000-00003C480000}"/>
    <cellStyle name="Normal 4 4 2 2 2 5 2" xfId="26403" xr:uid="{00000000-0005-0000-0000-00003D480000}"/>
    <cellStyle name="Normal 4 4 2 2 2 6" xfId="17955" xr:uid="{00000000-0005-0000-0000-00003E480000}"/>
    <cellStyle name="Normal 4 4 2 2 3" xfId="1717" xr:uid="{00000000-0005-0000-0000-00003F480000}"/>
    <cellStyle name="Normal 4 4 2 2 3 2" xfId="3829" xr:uid="{00000000-0005-0000-0000-000040480000}"/>
    <cellStyle name="Normal 4 4 2 2 3 2 2" xfId="8055" xr:uid="{00000000-0005-0000-0000-000041480000}"/>
    <cellStyle name="Normal 4 4 2 2 3 2 2 2" xfId="16503" xr:uid="{00000000-0005-0000-0000-000042480000}"/>
    <cellStyle name="Normal 4 4 2 2 3 2 2 2 2" xfId="33443" xr:uid="{00000000-0005-0000-0000-000043480000}"/>
    <cellStyle name="Normal 4 4 2 2 3 2 2 3" xfId="24995" xr:uid="{00000000-0005-0000-0000-000044480000}"/>
    <cellStyle name="Normal 4 4 2 2 3 2 3" xfId="12279" xr:uid="{00000000-0005-0000-0000-000045480000}"/>
    <cellStyle name="Normal 4 4 2 2 3 2 3 2" xfId="29219" xr:uid="{00000000-0005-0000-0000-000046480000}"/>
    <cellStyle name="Normal 4 4 2 2 3 2 4" xfId="20771" xr:uid="{00000000-0005-0000-0000-000047480000}"/>
    <cellStyle name="Normal 4 4 2 2 3 3" xfId="5943" xr:uid="{00000000-0005-0000-0000-000048480000}"/>
    <cellStyle name="Normal 4 4 2 2 3 3 2" xfId="14391" xr:uid="{00000000-0005-0000-0000-000049480000}"/>
    <cellStyle name="Normal 4 4 2 2 3 3 2 2" xfId="31331" xr:uid="{00000000-0005-0000-0000-00004A480000}"/>
    <cellStyle name="Normal 4 4 2 2 3 3 3" xfId="22883" xr:uid="{00000000-0005-0000-0000-00004B480000}"/>
    <cellStyle name="Normal 4 4 2 2 3 4" xfId="10167" xr:uid="{00000000-0005-0000-0000-00004C480000}"/>
    <cellStyle name="Normal 4 4 2 2 3 4 2" xfId="27107" xr:uid="{00000000-0005-0000-0000-00004D480000}"/>
    <cellStyle name="Normal 4 4 2 2 3 5" xfId="18659" xr:uid="{00000000-0005-0000-0000-00004E480000}"/>
    <cellStyle name="Normal 4 4 2 2 4" xfId="2773" xr:uid="{00000000-0005-0000-0000-00004F480000}"/>
    <cellStyle name="Normal 4 4 2 2 4 2" xfId="6999" xr:uid="{00000000-0005-0000-0000-000050480000}"/>
    <cellStyle name="Normal 4 4 2 2 4 2 2" xfId="15447" xr:uid="{00000000-0005-0000-0000-000051480000}"/>
    <cellStyle name="Normal 4 4 2 2 4 2 2 2" xfId="32387" xr:uid="{00000000-0005-0000-0000-000052480000}"/>
    <cellStyle name="Normal 4 4 2 2 4 2 3" xfId="23939" xr:uid="{00000000-0005-0000-0000-000053480000}"/>
    <cellStyle name="Normal 4 4 2 2 4 3" xfId="11223" xr:uid="{00000000-0005-0000-0000-000054480000}"/>
    <cellStyle name="Normal 4 4 2 2 4 3 2" xfId="28163" xr:uid="{00000000-0005-0000-0000-000055480000}"/>
    <cellStyle name="Normal 4 4 2 2 4 4" xfId="19715" xr:uid="{00000000-0005-0000-0000-000056480000}"/>
    <cellStyle name="Normal 4 4 2 2 5" xfId="4887" xr:uid="{00000000-0005-0000-0000-000057480000}"/>
    <cellStyle name="Normal 4 4 2 2 5 2" xfId="13335" xr:uid="{00000000-0005-0000-0000-000058480000}"/>
    <cellStyle name="Normal 4 4 2 2 5 2 2" xfId="30275" xr:uid="{00000000-0005-0000-0000-000059480000}"/>
    <cellStyle name="Normal 4 4 2 2 5 3" xfId="21827" xr:uid="{00000000-0005-0000-0000-00005A480000}"/>
    <cellStyle name="Normal 4 4 2 2 6" xfId="9111" xr:uid="{00000000-0005-0000-0000-00005B480000}"/>
    <cellStyle name="Normal 4 4 2 2 6 2" xfId="26051" xr:uid="{00000000-0005-0000-0000-00005C480000}"/>
    <cellStyle name="Normal 4 4 2 2 7" xfId="17603" xr:uid="{00000000-0005-0000-0000-00005D480000}"/>
    <cellStyle name="Normal 4 4 2 3" xfId="831" xr:uid="{00000000-0005-0000-0000-00005E480000}"/>
    <cellStyle name="Normal 4 4 2 3 2" xfId="1893" xr:uid="{00000000-0005-0000-0000-00005F480000}"/>
    <cellStyle name="Normal 4 4 2 3 2 2" xfId="4005" xr:uid="{00000000-0005-0000-0000-000060480000}"/>
    <cellStyle name="Normal 4 4 2 3 2 2 2" xfId="8231" xr:uid="{00000000-0005-0000-0000-000061480000}"/>
    <cellStyle name="Normal 4 4 2 3 2 2 2 2" xfId="16679" xr:uid="{00000000-0005-0000-0000-000062480000}"/>
    <cellStyle name="Normal 4 4 2 3 2 2 2 2 2" xfId="33619" xr:uid="{00000000-0005-0000-0000-000063480000}"/>
    <cellStyle name="Normal 4 4 2 3 2 2 2 3" xfId="25171" xr:uid="{00000000-0005-0000-0000-000064480000}"/>
    <cellStyle name="Normal 4 4 2 3 2 2 3" xfId="12455" xr:uid="{00000000-0005-0000-0000-000065480000}"/>
    <cellStyle name="Normal 4 4 2 3 2 2 3 2" xfId="29395" xr:uid="{00000000-0005-0000-0000-000066480000}"/>
    <cellStyle name="Normal 4 4 2 3 2 2 4" xfId="20947" xr:uid="{00000000-0005-0000-0000-000067480000}"/>
    <cellStyle name="Normal 4 4 2 3 2 3" xfId="6119" xr:uid="{00000000-0005-0000-0000-000068480000}"/>
    <cellStyle name="Normal 4 4 2 3 2 3 2" xfId="14567" xr:uid="{00000000-0005-0000-0000-000069480000}"/>
    <cellStyle name="Normal 4 4 2 3 2 3 2 2" xfId="31507" xr:uid="{00000000-0005-0000-0000-00006A480000}"/>
    <cellStyle name="Normal 4 4 2 3 2 3 3" xfId="23059" xr:uid="{00000000-0005-0000-0000-00006B480000}"/>
    <cellStyle name="Normal 4 4 2 3 2 4" xfId="10343" xr:uid="{00000000-0005-0000-0000-00006C480000}"/>
    <cellStyle name="Normal 4 4 2 3 2 4 2" xfId="27283" xr:uid="{00000000-0005-0000-0000-00006D480000}"/>
    <cellStyle name="Normal 4 4 2 3 2 5" xfId="18835" xr:uid="{00000000-0005-0000-0000-00006E480000}"/>
    <cellStyle name="Normal 4 4 2 3 3" xfId="2949" xr:uid="{00000000-0005-0000-0000-00006F480000}"/>
    <cellStyle name="Normal 4 4 2 3 3 2" xfId="7175" xr:uid="{00000000-0005-0000-0000-000070480000}"/>
    <cellStyle name="Normal 4 4 2 3 3 2 2" xfId="15623" xr:uid="{00000000-0005-0000-0000-000071480000}"/>
    <cellStyle name="Normal 4 4 2 3 3 2 2 2" xfId="32563" xr:uid="{00000000-0005-0000-0000-000072480000}"/>
    <cellStyle name="Normal 4 4 2 3 3 2 3" xfId="24115" xr:uid="{00000000-0005-0000-0000-000073480000}"/>
    <cellStyle name="Normal 4 4 2 3 3 3" xfId="11399" xr:uid="{00000000-0005-0000-0000-000074480000}"/>
    <cellStyle name="Normal 4 4 2 3 3 3 2" xfId="28339" xr:uid="{00000000-0005-0000-0000-000075480000}"/>
    <cellStyle name="Normal 4 4 2 3 3 4" xfId="19891" xr:uid="{00000000-0005-0000-0000-000076480000}"/>
    <cellStyle name="Normal 4 4 2 3 4" xfId="5063" xr:uid="{00000000-0005-0000-0000-000077480000}"/>
    <cellStyle name="Normal 4 4 2 3 4 2" xfId="13511" xr:uid="{00000000-0005-0000-0000-000078480000}"/>
    <cellStyle name="Normal 4 4 2 3 4 2 2" xfId="30451" xr:uid="{00000000-0005-0000-0000-000079480000}"/>
    <cellStyle name="Normal 4 4 2 3 4 3" xfId="22003" xr:uid="{00000000-0005-0000-0000-00007A480000}"/>
    <cellStyle name="Normal 4 4 2 3 5" xfId="9287" xr:uid="{00000000-0005-0000-0000-00007B480000}"/>
    <cellStyle name="Normal 4 4 2 3 5 2" xfId="26227" xr:uid="{00000000-0005-0000-0000-00007C480000}"/>
    <cellStyle name="Normal 4 4 2 3 6" xfId="17779" xr:uid="{00000000-0005-0000-0000-00007D480000}"/>
    <cellStyle name="Normal 4 4 2 4" xfId="1183" xr:uid="{00000000-0005-0000-0000-00007E480000}"/>
    <cellStyle name="Normal 4 4 2 4 2" xfId="2245" xr:uid="{00000000-0005-0000-0000-00007F480000}"/>
    <cellStyle name="Normal 4 4 2 4 2 2" xfId="4357" xr:uid="{00000000-0005-0000-0000-000080480000}"/>
    <cellStyle name="Normal 4 4 2 4 2 2 2" xfId="8583" xr:uid="{00000000-0005-0000-0000-000081480000}"/>
    <cellStyle name="Normal 4 4 2 4 2 2 2 2" xfId="17031" xr:uid="{00000000-0005-0000-0000-000082480000}"/>
    <cellStyle name="Normal 4 4 2 4 2 2 2 2 2" xfId="33971" xr:uid="{00000000-0005-0000-0000-000083480000}"/>
    <cellStyle name="Normal 4 4 2 4 2 2 2 3" xfId="25523" xr:uid="{00000000-0005-0000-0000-000084480000}"/>
    <cellStyle name="Normal 4 4 2 4 2 2 3" xfId="12807" xr:uid="{00000000-0005-0000-0000-000085480000}"/>
    <cellStyle name="Normal 4 4 2 4 2 2 3 2" xfId="29747" xr:uid="{00000000-0005-0000-0000-000086480000}"/>
    <cellStyle name="Normal 4 4 2 4 2 2 4" xfId="21299" xr:uid="{00000000-0005-0000-0000-000087480000}"/>
    <cellStyle name="Normal 4 4 2 4 2 3" xfId="6471" xr:uid="{00000000-0005-0000-0000-000088480000}"/>
    <cellStyle name="Normal 4 4 2 4 2 3 2" xfId="14919" xr:uid="{00000000-0005-0000-0000-000089480000}"/>
    <cellStyle name="Normal 4 4 2 4 2 3 2 2" xfId="31859" xr:uid="{00000000-0005-0000-0000-00008A480000}"/>
    <cellStyle name="Normal 4 4 2 4 2 3 3" xfId="23411" xr:uid="{00000000-0005-0000-0000-00008B480000}"/>
    <cellStyle name="Normal 4 4 2 4 2 4" xfId="10695" xr:uid="{00000000-0005-0000-0000-00008C480000}"/>
    <cellStyle name="Normal 4 4 2 4 2 4 2" xfId="27635" xr:uid="{00000000-0005-0000-0000-00008D480000}"/>
    <cellStyle name="Normal 4 4 2 4 2 5" xfId="19187" xr:uid="{00000000-0005-0000-0000-00008E480000}"/>
    <cellStyle name="Normal 4 4 2 4 3" xfId="3301" xr:uid="{00000000-0005-0000-0000-00008F480000}"/>
    <cellStyle name="Normal 4 4 2 4 3 2" xfId="7527" xr:uid="{00000000-0005-0000-0000-000090480000}"/>
    <cellStyle name="Normal 4 4 2 4 3 2 2" xfId="15975" xr:uid="{00000000-0005-0000-0000-000091480000}"/>
    <cellStyle name="Normal 4 4 2 4 3 2 2 2" xfId="32915" xr:uid="{00000000-0005-0000-0000-000092480000}"/>
    <cellStyle name="Normal 4 4 2 4 3 2 3" xfId="24467" xr:uid="{00000000-0005-0000-0000-000093480000}"/>
    <cellStyle name="Normal 4 4 2 4 3 3" xfId="11751" xr:uid="{00000000-0005-0000-0000-000094480000}"/>
    <cellStyle name="Normal 4 4 2 4 3 3 2" xfId="28691" xr:uid="{00000000-0005-0000-0000-000095480000}"/>
    <cellStyle name="Normal 4 4 2 4 3 4" xfId="20243" xr:uid="{00000000-0005-0000-0000-000096480000}"/>
    <cellStyle name="Normal 4 4 2 4 4" xfId="5415" xr:uid="{00000000-0005-0000-0000-000097480000}"/>
    <cellStyle name="Normal 4 4 2 4 4 2" xfId="13863" xr:uid="{00000000-0005-0000-0000-000098480000}"/>
    <cellStyle name="Normal 4 4 2 4 4 2 2" xfId="30803" xr:uid="{00000000-0005-0000-0000-000099480000}"/>
    <cellStyle name="Normal 4 4 2 4 4 3" xfId="22355" xr:uid="{00000000-0005-0000-0000-00009A480000}"/>
    <cellStyle name="Normal 4 4 2 4 5" xfId="9639" xr:uid="{00000000-0005-0000-0000-00009B480000}"/>
    <cellStyle name="Normal 4 4 2 4 5 2" xfId="26579" xr:uid="{00000000-0005-0000-0000-00009C480000}"/>
    <cellStyle name="Normal 4 4 2 4 6" xfId="18131" xr:uid="{00000000-0005-0000-0000-00009D480000}"/>
    <cellStyle name="Normal 4 4 2 5" xfId="1365" xr:uid="{00000000-0005-0000-0000-00009E480000}"/>
    <cellStyle name="Normal 4 4 2 5 2" xfId="2421" xr:uid="{00000000-0005-0000-0000-00009F480000}"/>
    <cellStyle name="Normal 4 4 2 5 2 2" xfId="4533" xr:uid="{00000000-0005-0000-0000-0000A0480000}"/>
    <cellStyle name="Normal 4 4 2 5 2 2 2" xfId="8759" xr:uid="{00000000-0005-0000-0000-0000A1480000}"/>
    <cellStyle name="Normal 4 4 2 5 2 2 2 2" xfId="17207" xr:uid="{00000000-0005-0000-0000-0000A2480000}"/>
    <cellStyle name="Normal 4 4 2 5 2 2 2 2 2" xfId="34147" xr:uid="{00000000-0005-0000-0000-0000A3480000}"/>
    <cellStyle name="Normal 4 4 2 5 2 2 2 3" xfId="25699" xr:uid="{00000000-0005-0000-0000-0000A4480000}"/>
    <cellStyle name="Normal 4 4 2 5 2 2 3" xfId="12983" xr:uid="{00000000-0005-0000-0000-0000A5480000}"/>
    <cellStyle name="Normal 4 4 2 5 2 2 3 2" xfId="29923" xr:uid="{00000000-0005-0000-0000-0000A6480000}"/>
    <cellStyle name="Normal 4 4 2 5 2 2 4" xfId="21475" xr:uid="{00000000-0005-0000-0000-0000A7480000}"/>
    <cellStyle name="Normal 4 4 2 5 2 3" xfId="6647" xr:uid="{00000000-0005-0000-0000-0000A8480000}"/>
    <cellStyle name="Normal 4 4 2 5 2 3 2" xfId="15095" xr:uid="{00000000-0005-0000-0000-0000A9480000}"/>
    <cellStyle name="Normal 4 4 2 5 2 3 2 2" xfId="32035" xr:uid="{00000000-0005-0000-0000-0000AA480000}"/>
    <cellStyle name="Normal 4 4 2 5 2 3 3" xfId="23587" xr:uid="{00000000-0005-0000-0000-0000AB480000}"/>
    <cellStyle name="Normal 4 4 2 5 2 4" xfId="10871" xr:uid="{00000000-0005-0000-0000-0000AC480000}"/>
    <cellStyle name="Normal 4 4 2 5 2 4 2" xfId="27811" xr:uid="{00000000-0005-0000-0000-0000AD480000}"/>
    <cellStyle name="Normal 4 4 2 5 2 5" xfId="19363" xr:uid="{00000000-0005-0000-0000-0000AE480000}"/>
    <cellStyle name="Normal 4 4 2 5 3" xfId="3477" xr:uid="{00000000-0005-0000-0000-0000AF480000}"/>
    <cellStyle name="Normal 4 4 2 5 3 2" xfId="7703" xr:uid="{00000000-0005-0000-0000-0000B0480000}"/>
    <cellStyle name="Normal 4 4 2 5 3 2 2" xfId="16151" xr:uid="{00000000-0005-0000-0000-0000B1480000}"/>
    <cellStyle name="Normal 4 4 2 5 3 2 2 2" xfId="33091" xr:uid="{00000000-0005-0000-0000-0000B2480000}"/>
    <cellStyle name="Normal 4 4 2 5 3 2 3" xfId="24643" xr:uid="{00000000-0005-0000-0000-0000B3480000}"/>
    <cellStyle name="Normal 4 4 2 5 3 3" xfId="11927" xr:uid="{00000000-0005-0000-0000-0000B4480000}"/>
    <cellStyle name="Normal 4 4 2 5 3 3 2" xfId="28867" xr:uid="{00000000-0005-0000-0000-0000B5480000}"/>
    <cellStyle name="Normal 4 4 2 5 3 4" xfId="20419" xr:uid="{00000000-0005-0000-0000-0000B6480000}"/>
    <cellStyle name="Normal 4 4 2 5 4" xfId="5591" xr:uid="{00000000-0005-0000-0000-0000B7480000}"/>
    <cellStyle name="Normal 4 4 2 5 4 2" xfId="14039" xr:uid="{00000000-0005-0000-0000-0000B8480000}"/>
    <cellStyle name="Normal 4 4 2 5 4 2 2" xfId="30979" xr:uid="{00000000-0005-0000-0000-0000B9480000}"/>
    <cellStyle name="Normal 4 4 2 5 4 3" xfId="22531" xr:uid="{00000000-0005-0000-0000-0000BA480000}"/>
    <cellStyle name="Normal 4 4 2 5 5" xfId="9815" xr:uid="{00000000-0005-0000-0000-0000BB480000}"/>
    <cellStyle name="Normal 4 4 2 5 5 2" xfId="26755" xr:uid="{00000000-0005-0000-0000-0000BC480000}"/>
    <cellStyle name="Normal 4 4 2 5 6" xfId="18307" xr:uid="{00000000-0005-0000-0000-0000BD480000}"/>
    <cellStyle name="Normal 4 4 2 6" xfId="1541" xr:uid="{00000000-0005-0000-0000-0000BE480000}"/>
    <cellStyle name="Normal 4 4 2 6 2" xfId="3653" xr:uid="{00000000-0005-0000-0000-0000BF480000}"/>
    <cellStyle name="Normal 4 4 2 6 2 2" xfId="7879" xr:uid="{00000000-0005-0000-0000-0000C0480000}"/>
    <cellStyle name="Normal 4 4 2 6 2 2 2" xfId="16327" xr:uid="{00000000-0005-0000-0000-0000C1480000}"/>
    <cellStyle name="Normal 4 4 2 6 2 2 2 2" xfId="33267" xr:uid="{00000000-0005-0000-0000-0000C2480000}"/>
    <cellStyle name="Normal 4 4 2 6 2 2 3" xfId="24819" xr:uid="{00000000-0005-0000-0000-0000C3480000}"/>
    <cellStyle name="Normal 4 4 2 6 2 3" xfId="12103" xr:uid="{00000000-0005-0000-0000-0000C4480000}"/>
    <cellStyle name="Normal 4 4 2 6 2 3 2" xfId="29043" xr:uid="{00000000-0005-0000-0000-0000C5480000}"/>
    <cellStyle name="Normal 4 4 2 6 2 4" xfId="20595" xr:uid="{00000000-0005-0000-0000-0000C6480000}"/>
    <cellStyle name="Normal 4 4 2 6 3" xfId="5767" xr:uid="{00000000-0005-0000-0000-0000C7480000}"/>
    <cellStyle name="Normal 4 4 2 6 3 2" xfId="14215" xr:uid="{00000000-0005-0000-0000-0000C8480000}"/>
    <cellStyle name="Normal 4 4 2 6 3 2 2" xfId="31155" xr:uid="{00000000-0005-0000-0000-0000C9480000}"/>
    <cellStyle name="Normal 4 4 2 6 3 3" xfId="22707" xr:uid="{00000000-0005-0000-0000-0000CA480000}"/>
    <cellStyle name="Normal 4 4 2 6 4" xfId="9991" xr:uid="{00000000-0005-0000-0000-0000CB480000}"/>
    <cellStyle name="Normal 4 4 2 6 4 2" xfId="26931" xr:uid="{00000000-0005-0000-0000-0000CC480000}"/>
    <cellStyle name="Normal 4 4 2 6 5" xfId="18483" xr:uid="{00000000-0005-0000-0000-0000CD480000}"/>
    <cellStyle name="Normal 4 4 2 7" xfId="2597" xr:uid="{00000000-0005-0000-0000-0000CE480000}"/>
    <cellStyle name="Normal 4 4 2 7 2" xfId="6823" xr:uid="{00000000-0005-0000-0000-0000CF480000}"/>
    <cellStyle name="Normal 4 4 2 7 2 2" xfId="15271" xr:uid="{00000000-0005-0000-0000-0000D0480000}"/>
    <cellStyle name="Normal 4 4 2 7 2 2 2" xfId="32211" xr:uid="{00000000-0005-0000-0000-0000D1480000}"/>
    <cellStyle name="Normal 4 4 2 7 2 3" xfId="23763" xr:uid="{00000000-0005-0000-0000-0000D2480000}"/>
    <cellStyle name="Normal 4 4 2 7 3" xfId="11047" xr:uid="{00000000-0005-0000-0000-0000D3480000}"/>
    <cellStyle name="Normal 4 4 2 7 3 2" xfId="27987" xr:uid="{00000000-0005-0000-0000-0000D4480000}"/>
    <cellStyle name="Normal 4 4 2 7 4" xfId="19539" xr:uid="{00000000-0005-0000-0000-0000D5480000}"/>
    <cellStyle name="Normal 4 4 2 8" xfId="4710" xr:uid="{00000000-0005-0000-0000-0000D6480000}"/>
    <cellStyle name="Normal 4 4 2 8 2" xfId="13159" xr:uid="{00000000-0005-0000-0000-0000D7480000}"/>
    <cellStyle name="Normal 4 4 2 8 2 2" xfId="30099" xr:uid="{00000000-0005-0000-0000-0000D8480000}"/>
    <cellStyle name="Normal 4 4 2 8 3" xfId="21651" xr:uid="{00000000-0005-0000-0000-0000D9480000}"/>
    <cellStyle name="Normal 4 4 2 9" xfId="8935" xr:uid="{00000000-0005-0000-0000-0000DA480000}"/>
    <cellStyle name="Normal 4 4 2 9 2" xfId="25875" xr:uid="{00000000-0005-0000-0000-0000DB480000}"/>
    <cellStyle name="Normal 4 4 3" xfId="355" xr:uid="{00000000-0005-0000-0000-0000DC480000}"/>
    <cellStyle name="Normal 4 4 3 10" xfId="17428" xr:uid="{00000000-0005-0000-0000-0000DD480000}"/>
    <cellStyle name="Normal 4 4 3 2" xfId="656" xr:uid="{00000000-0005-0000-0000-0000DE480000}"/>
    <cellStyle name="Normal 4 4 3 2 2" xfId="1008" xr:uid="{00000000-0005-0000-0000-0000DF480000}"/>
    <cellStyle name="Normal 4 4 3 2 2 2" xfId="2070" xr:uid="{00000000-0005-0000-0000-0000E0480000}"/>
    <cellStyle name="Normal 4 4 3 2 2 2 2" xfId="4182" xr:uid="{00000000-0005-0000-0000-0000E1480000}"/>
    <cellStyle name="Normal 4 4 3 2 2 2 2 2" xfId="8408" xr:uid="{00000000-0005-0000-0000-0000E2480000}"/>
    <cellStyle name="Normal 4 4 3 2 2 2 2 2 2" xfId="16856" xr:uid="{00000000-0005-0000-0000-0000E3480000}"/>
    <cellStyle name="Normal 4 4 3 2 2 2 2 2 2 2" xfId="33796" xr:uid="{00000000-0005-0000-0000-0000E4480000}"/>
    <cellStyle name="Normal 4 4 3 2 2 2 2 2 3" xfId="25348" xr:uid="{00000000-0005-0000-0000-0000E5480000}"/>
    <cellStyle name="Normal 4 4 3 2 2 2 2 3" xfId="12632" xr:uid="{00000000-0005-0000-0000-0000E6480000}"/>
    <cellStyle name="Normal 4 4 3 2 2 2 2 3 2" xfId="29572" xr:uid="{00000000-0005-0000-0000-0000E7480000}"/>
    <cellStyle name="Normal 4 4 3 2 2 2 2 4" xfId="21124" xr:uid="{00000000-0005-0000-0000-0000E8480000}"/>
    <cellStyle name="Normal 4 4 3 2 2 2 3" xfId="6296" xr:uid="{00000000-0005-0000-0000-0000E9480000}"/>
    <cellStyle name="Normal 4 4 3 2 2 2 3 2" xfId="14744" xr:uid="{00000000-0005-0000-0000-0000EA480000}"/>
    <cellStyle name="Normal 4 4 3 2 2 2 3 2 2" xfId="31684" xr:uid="{00000000-0005-0000-0000-0000EB480000}"/>
    <cellStyle name="Normal 4 4 3 2 2 2 3 3" xfId="23236" xr:uid="{00000000-0005-0000-0000-0000EC480000}"/>
    <cellStyle name="Normal 4 4 3 2 2 2 4" xfId="10520" xr:uid="{00000000-0005-0000-0000-0000ED480000}"/>
    <cellStyle name="Normal 4 4 3 2 2 2 4 2" xfId="27460" xr:uid="{00000000-0005-0000-0000-0000EE480000}"/>
    <cellStyle name="Normal 4 4 3 2 2 2 5" xfId="19012" xr:uid="{00000000-0005-0000-0000-0000EF480000}"/>
    <cellStyle name="Normal 4 4 3 2 2 3" xfId="3126" xr:uid="{00000000-0005-0000-0000-0000F0480000}"/>
    <cellStyle name="Normal 4 4 3 2 2 3 2" xfId="7352" xr:uid="{00000000-0005-0000-0000-0000F1480000}"/>
    <cellStyle name="Normal 4 4 3 2 2 3 2 2" xfId="15800" xr:uid="{00000000-0005-0000-0000-0000F2480000}"/>
    <cellStyle name="Normal 4 4 3 2 2 3 2 2 2" xfId="32740" xr:uid="{00000000-0005-0000-0000-0000F3480000}"/>
    <cellStyle name="Normal 4 4 3 2 2 3 2 3" xfId="24292" xr:uid="{00000000-0005-0000-0000-0000F4480000}"/>
    <cellStyle name="Normal 4 4 3 2 2 3 3" xfId="11576" xr:uid="{00000000-0005-0000-0000-0000F5480000}"/>
    <cellStyle name="Normal 4 4 3 2 2 3 3 2" xfId="28516" xr:uid="{00000000-0005-0000-0000-0000F6480000}"/>
    <cellStyle name="Normal 4 4 3 2 2 3 4" xfId="20068" xr:uid="{00000000-0005-0000-0000-0000F7480000}"/>
    <cellStyle name="Normal 4 4 3 2 2 4" xfId="5240" xr:uid="{00000000-0005-0000-0000-0000F8480000}"/>
    <cellStyle name="Normal 4 4 3 2 2 4 2" xfId="13688" xr:uid="{00000000-0005-0000-0000-0000F9480000}"/>
    <cellStyle name="Normal 4 4 3 2 2 4 2 2" xfId="30628" xr:uid="{00000000-0005-0000-0000-0000FA480000}"/>
    <cellStyle name="Normal 4 4 3 2 2 4 3" xfId="22180" xr:uid="{00000000-0005-0000-0000-0000FB480000}"/>
    <cellStyle name="Normal 4 4 3 2 2 5" xfId="9464" xr:uid="{00000000-0005-0000-0000-0000FC480000}"/>
    <cellStyle name="Normal 4 4 3 2 2 5 2" xfId="26404" xr:uid="{00000000-0005-0000-0000-0000FD480000}"/>
    <cellStyle name="Normal 4 4 3 2 2 6" xfId="17956" xr:uid="{00000000-0005-0000-0000-0000FE480000}"/>
    <cellStyle name="Normal 4 4 3 2 3" xfId="1718" xr:uid="{00000000-0005-0000-0000-0000FF480000}"/>
    <cellStyle name="Normal 4 4 3 2 3 2" xfId="3830" xr:uid="{00000000-0005-0000-0000-000000490000}"/>
    <cellStyle name="Normal 4 4 3 2 3 2 2" xfId="8056" xr:uid="{00000000-0005-0000-0000-000001490000}"/>
    <cellStyle name="Normal 4 4 3 2 3 2 2 2" xfId="16504" xr:uid="{00000000-0005-0000-0000-000002490000}"/>
    <cellStyle name="Normal 4 4 3 2 3 2 2 2 2" xfId="33444" xr:uid="{00000000-0005-0000-0000-000003490000}"/>
    <cellStyle name="Normal 4 4 3 2 3 2 2 3" xfId="24996" xr:uid="{00000000-0005-0000-0000-000004490000}"/>
    <cellStyle name="Normal 4 4 3 2 3 2 3" xfId="12280" xr:uid="{00000000-0005-0000-0000-000005490000}"/>
    <cellStyle name="Normal 4 4 3 2 3 2 3 2" xfId="29220" xr:uid="{00000000-0005-0000-0000-000006490000}"/>
    <cellStyle name="Normal 4 4 3 2 3 2 4" xfId="20772" xr:uid="{00000000-0005-0000-0000-000007490000}"/>
    <cellStyle name="Normal 4 4 3 2 3 3" xfId="5944" xr:uid="{00000000-0005-0000-0000-000008490000}"/>
    <cellStyle name="Normal 4 4 3 2 3 3 2" xfId="14392" xr:uid="{00000000-0005-0000-0000-000009490000}"/>
    <cellStyle name="Normal 4 4 3 2 3 3 2 2" xfId="31332" xr:uid="{00000000-0005-0000-0000-00000A490000}"/>
    <cellStyle name="Normal 4 4 3 2 3 3 3" xfId="22884" xr:uid="{00000000-0005-0000-0000-00000B490000}"/>
    <cellStyle name="Normal 4 4 3 2 3 4" xfId="10168" xr:uid="{00000000-0005-0000-0000-00000C490000}"/>
    <cellStyle name="Normal 4 4 3 2 3 4 2" xfId="27108" xr:uid="{00000000-0005-0000-0000-00000D490000}"/>
    <cellStyle name="Normal 4 4 3 2 3 5" xfId="18660" xr:uid="{00000000-0005-0000-0000-00000E490000}"/>
    <cellStyle name="Normal 4 4 3 2 4" xfId="2774" xr:uid="{00000000-0005-0000-0000-00000F490000}"/>
    <cellStyle name="Normal 4 4 3 2 4 2" xfId="7000" xr:uid="{00000000-0005-0000-0000-000010490000}"/>
    <cellStyle name="Normal 4 4 3 2 4 2 2" xfId="15448" xr:uid="{00000000-0005-0000-0000-000011490000}"/>
    <cellStyle name="Normal 4 4 3 2 4 2 2 2" xfId="32388" xr:uid="{00000000-0005-0000-0000-000012490000}"/>
    <cellStyle name="Normal 4 4 3 2 4 2 3" xfId="23940" xr:uid="{00000000-0005-0000-0000-000013490000}"/>
    <cellStyle name="Normal 4 4 3 2 4 3" xfId="11224" xr:uid="{00000000-0005-0000-0000-000014490000}"/>
    <cellStyle name="Normal 4 4 3 2 4 3 2" xfId="28164" xr:uid="{00000000-0005-0000-0000-000015490000}"/>
    <cellStyle name="Normal 4 4 3 2 4 4" xfId="19716" xr:uid="{00000000-0005-0000-0000-000016490000}"/>
    <cellStyle name="Normal 4 4 3 2 5" xfId="4888" xr:uid="{00000000-0005-0000-0000-000017490000}"/>
    <cellStyle name="Normal 4 4 3 2 5 2" xfId="13336" xr:uid="{00000000-0005-0000-0000-000018490000}"/>
    <cellStyle name="Normal 4 4 3 2 5 2 2" xfId="30276" xr:uid="{00000000-0005-0000-0000-000019490000}"/>
    <cellStyle name="Normal 4 4 3 2 5 3" xfId="21828" xr:uid="{00000000-0005-0000-0000-00001A490000}"/>
    <cellStyle name="Normal 4 4 3 2 6" xfId="9112" xr:uid="{00000000-0005-0000-0000-00001B490000}"/>
    <cellStyle name="Normal 4 4 3 2 6 2" xfId="26052" xr:uid="{00000000-0005-0000-0000-00001C490000}"/>
    <cellStyle name="Normal 4 4 3 2 7" xfId="17604" xr:uid="{00000000-0005-0000-0000-00001D490000}"/>
    <cellStyle name="Normal 4 4 3 3" xfId="832" xr:uid="{00000000-0005-0000-0000-00001E490000}"/>
    <cellStyle name="Normal 4 4 3 3 2" xfId="1894" xr:uid="{00000000-0005-0000-0000-00001F490000}"/>
    <cellStyle name="Normal 4 4 3 3 2 2" xfId="4006" xr:uid="{00000000-0005-0000-0000-000020490000}"/>
    <cellStyle name="Normal 4 4 3 3 2 2 2" xfId="8232" xr:uid="{00000000-0005-0000-0000-000021490000}"/>
    <cellStyle name="Normal 4 4 3 3 2 2 2 2" xfId="16680" xr:uid="{00000000-0005-0000-0000-000022490000}"/>
    <cellStyle name="Normal 4 4 3 3 2 2 2 2 2" xfId="33620" xr:uid="{00000000-0005-0000-0000-000023490000}"/>
    <cellStyle name="Normal 4 4 3 3 2 2 2 3" xfId="25172" xr:uid="{00000000-0005-0000-0000-000024490000}"/>
    <cellStyle name="Normal 4 4 3 3 2 2 3" xfId="12456" xr:uid="{00000000-0005-0000-0000-000025490000}"/>
    <cellStyle name="Normal 4 4 3 3 2 2 3 2" xfId="29396" xr:uid="{00000000-0005-0000-0000-000026490000}"/>
    <cellStyle name="Normal 4 4 3 3 2 2 4" xfId="20948" xr:uid="{00000000-0005-0000-0000-000027490000}"/>
    <cellStyle name="Normal 4 4 3 3 2 3" xfId="6120" xr:uid="{00000000-0005-0000-0000-000028490000}"/>
    <cellStyle name="Normal 4 4 3 3 2 3 2" xfId="14568" xr:uid="{00000000-0005-0000-0000-000029490000}"/>
    <cellStyle name="Normal 4 4 3 3 2 3 2 2" xfId="31508" xr:uid="{00000000-0005-0000-0000-00002A490000}"/>
    <cellStyle name="Normal 4 4 3 3 2 3 3" xfId="23060" xr:uid="{00000000-0005-0000-0000-00002B490000}"/>
    <cellStyle name="Normal 4 4 3 3 2 4" xfId="10344" xr:uid="{00000000-0005-0000-0000-00002C490000}"/>
    <cellStyle name="Normal 4 4 3 3 2 4 2" xfId="27284" xr:uid="{00000000-0005-0000-0000-00002D490000}"/>
    <cellStyle name="Normal 4 4 3 3 2 5" xfId="18836" xr:uid="{00000000-0005-0000-0000-00002E490000}"/>
    <cellStyle name="Normal 4 4 3 3 3" xfId="2950" xr:uid="{00000000-0005-0000-0000-00002F490000}"/>
    <cellStyle name="Normal 4 4 3 3 3 2" xfId="7176" xr:uid="{00000000-0005-0000-0000-000030490000}"/>
    <cellStyle name="Normal 4 4 3 3 3 2 2" xfId="15624" xr:uid="{00000000-0005-0000-0000-000031490000}"/>
    <cellStyle name="Normal 4 4 3 3 3 2 2 2" xfId="32564" xr:uid="{00000000-0005-0000-0000-000032490000}"/>
    <cellStyle name="Normal 4 4 3 3 3 2 3" xfId="24116" xr:uid="{00000000-0005-0000-0000-000033490000}"/>
    <cellStyle name="Normal 4 4 3 3 3 3" xfId="11400" xr:uid="{00000000-0005-0000-0000-000034490000}"/>
    <cellStyle name="Normal 4 4 3 3 3 3 2" xfId="28340" xr:uid="{00000000-0005-0000-0000-000035490000}"/>
    <cellStyle name="Normal 4 4 3 3 3 4" xfId="19892" xr:uid="{00000000-0005-0000-0000-000036490000}"/>
    <cellStyle name="Normal 4 4 3 3 4" xfId="5064" xr:uid="{00000000-0005-0000-0000-000037490000}"/>
    <cellStyle name="Normal 4 4 3 3 4 2" xfId="13512" xr:uid="{00000000-0005-0000-0000-000038490000}"/>
    <cellStyle name="Normal 4 4 3 3 4 2 2" xfId="30452" xr:uid="{00000000-0005-0000-0000-000039490000}"/>
    <cellStyle name="Normal 4 4 3 3 4 3" xfId="22004" xr:uid="{00000000-0005-0000-0000-00003A490000}"/>
    <cellStyle name="Normal 4 4 3 3 5" xfId="9288" xr:uid="{00000000-0005-0000-0000-00003B490000}"/>
    <cellStyle name="Normal 4 4 3 3 5 2" xfId="26228" xr:uid="{00000000-0005-0000-0000-00003C490000}"/>
    <cellStyle name="Normal 4 4 3 3 6" xfId="17780" xr:uid="{00000000-0005-0000-0000-00003D490000}"/>
    <cellStyle name="Normal 4 4 3 4" xfId="1184" xr:uid="{00000000-0005-0000-0000-00003E490000}"/>
    <cellStyle name="Normal 4 4 3 4 2" xfId="2246" xr:uid="{00000000-0005-0000-0000-00003F490000}"/>
    <cellStyle name="Normal 4 4 3 4 2 2" xfId="4358" xr:uid="{00000000-0005-0000-0000-000040490000}"/>
    <cellStyle name="Normal 4 4 3 4 2 2 2" xfId="8584" xr:uid="{00000000-0005-0000-0000-000041490000}"/>
    <cellStyle name="Normal 4 4 3 4 2 2 2 2" xfId="17032" xr:uid="{00000000-0005-0000-0000-000042490000}"/>
    <cellStyle name="Normal 4 4 3 4 2 2 2 2 2" xfId="33972" xr:uid="{00000000-0005-0000-0000-000043490000}"/>
    <cellStyle name="Normal 4 4 3 4 2 2 2 3" xfId="25524" xr:uid="{00000000-0005-0000-0000-000044490000}"/>
    <cellStyle name="Normal 4 4 3 4 2 2 3" xfId="12808" xr:uid="{00000000-0005-0000-0000-000045490000}"/>
    <cellStyle name="Normal 4 4 3 4 2 2 3 2" xfId="29748" xr:uid="{00000000-0005-0000-0000-000046490000}"/>
    <cellStyle name="Normal 4 4 3 4 2 2 4" xfId="21300" xr:uid="{00000000-0005-0000-0000-000047490000}"/>
    <cellStyle name="Normal 4 4 3 4 2 3" xfId="6472" xr:uid="{00000000-0005-0000-0000-000048490000}"/>
    <cellStyle name="Normal 4 4 3 4 2 3 2" xfId="14920" xr:uid="{00000000-0005-0000-0000-000049490000}"/>
    <cellStyle name="Normal 4 4 3 4 2 3 2 2" xfId="31860" xr:uid="{00000000-0005-0000-0000-00004A490000}"/>
    <cellStyle name="Normal 4 4 3 4 2 3 3" xfId="23412" xr:uid="{00000000-0005-0000-0000-00004B490000}"/>
    <cellStyle name="Normal 4 4 3 4 2 4" xfId="10696" xr:uid="{00000000-0005-0000-0000-00004C490000}"/>
    <cellStyle name="Normal 4 4 3 4 2 4 2" xfId="27636" xr:uid="{00000000-0005-0000-0000-00004D490000}"/>
    <cellStyle name="Normal 4 4 3 4 2 5" xfId="19188" xr:uid="{00000000-0005-0000-0000-00004E490000}"/>
    <cellStyle name="Normal 4 4 3 4 3" xfId="3302" xr:uid="{00000000-0005-0000-0000-00004F490000}"/>
    <cellStyle name="Normal 4 4 3 4 3 2" xfId="7528" xr:uid="{00000000-0005-0000-0000-000050490000}"/>
    <cellStyle name="Normal 4 4 3 4 3 2 2" xfId="15976" xr:uid="{00000000-0005-0000-0000-000051490000}"/>
    <cellStyle name="Normal 4 4 3 4 3 2 2 2" xfId="32916" xr:uid="{00000000-0005-0000-0000-000052490000}"/>
    <cellStyle name="Normal 4 4 3 4 3 2 3" xfId="24468" xr:uid="{00000000-0005-0000-0000-000053490000}"/>
    <cellStyle name="Normal 4 4 3 4 3 3" xfId="11752" xr:uid="{00000000-0005-0000-0000-000054490000}"/>
    <cellStyle name="Normal 4 4 3 4 3 3 2" xfId="28692" xr:uid="{00000000-0005-0000-0000-000055490000}"/>
    <cellStyle name="Normal 4 4 3 4 3 4" xfId="20244" xr:uid="{00000000-0005-0000-0000-000056490000}"/>
    <cellStyle name="Normal 4 4 3 4 4" xfId="5416" xr:uid="{00000000-0005-0000-0000-000057490000}"/>
    <cellStyle name="Normal 4 4 3 4 4 2" xfId="13864" xr:uid="{00000000-0005-0000-0000-000058490000}"/>
    <cellStyle name="Normal 4 4 3 4 4 2 2" xfId="30804" xr:uid="{00000000-0005-0000-0000-000059490000}"/>
    <cellStyle name="Normal 4 4 3 4 4 3" xfId="22356" xr:uid="{00000000-0005-0000-0000-00005A490000}"/>
    <cellStyle name="Normal 4 4 3 4 5" xfId="9640" xr:uid="{00000000-0005-0000-0000-00005B490000}"/>
    <cellStyle name="Normal 4 4 3 4 5 2" xfId="26580" xr:uid="{00000000-0005-0000-0000-00005C490000}"/>
    <cellStyle name="Normal 4 4 3 4 6" xfId="18132" xr:uid="{00000000-0005-0000-0000-00005D490000}"/>
    <cellStyle name="Normal 4 4 3 5" xfId="1366" xr:uid="{00000000-0005-0000-0000-00005E490000}"/>
    <cellStyle name="Normal 4 4 3 5 2" xfId="2422" xr:uid="{00000000-0005-0000-0000-00005F490000}"/>
    <cellStyle name="Normal 4 4 3 5 2 2" xfId="4534" xr:uid="{00000000-0005-0000-0000-000060490000}"/>
    <cellStyle name="Normal 4 4 3 5 2 2 2" xfId="8760" xr:uid="{00000000-0005-0000-0000-000061490000}"/>
    <cellStyle name="Normal 4 4 3 5 2 2 2 2" xfId="17208" xr:uid="{00000000-0005-0000-0000-000062490000}"/>
    <cellStyle name="Normal 4 4 3 5 2 2 2 2 2" xfId="34148" xr:uid="{00000000-0005-0000-0000-000063490000}"/>
    <cellStyle name="Normal 4 4 3 5 2 2 2 3" xfId="25700" xr:uid="{00000000-0005-0000-0000-000064490000}"/>
    <cellStyle name="Normal 4 4 3 5 2 2 3" xfId="12984" xr:uid="{00000000-0005-0000-0000-000065490000}"/>
    <cellStyle name="Normal 4 4 3 5 2 2 3 2" xfId="29924" xr:uid="{00000000-0005-0000-0000-000066490000}"/>
    <cellStyle name="Normal 4 4 3 5 2 2 4" xfId="21476" xr:uid="{00000000-0005-0000-0000-000067490000}"/>
    <cellStyle name="Normal 4 4 3 5 2 3" xfId="6648" xr:uid="{00000000-0005-0000-0000-000068490000}"/>
    <cellStyle name="Normal 4 4 3 5 2 3 2" xfId="15096" xr:uid="{00000000-0005-0000-0000-000069490000}"/>
    <cellStyle name="Normal 4 4 3 5 2 3 2 2" xfId="32036" xr:uid="{00000000-0005-0000-0000-00006A490000}"/>
    <cellStyle name="Normal 4 4 3 5 2 3 3" xfId="23588" xr:uid="{00000000-0005-0000-0000-00006B490000}"/>
    <cellStyle name="Normal 4 4 3 5 2 4" xfId="10872" xr:uid="{00000000-0005-0000-0000-00006C490000}"/>
    <cellStyle name="Normal 4 4 3 5 2 4 2" xfId="27812" xr:uid="{00000000-0005-0000-0000-00006D490000}"/>
    <cellStyle name="Normal 4 4 3 5 2 5" xfId="19364" xr:uid="{00000000-0005-0000-0000-00006E490000}"/>
    <cellStyle name="Normal 4 4 3 5 3" xfId="3478" xr:uid="{00000000-0005-0000-0000-00006F490000}"/>
    <cellStyle name="Normal 4 4 3 5 3 2" xfId="7704" xr:uid="{00000000-0005-0000-0000-000070490000}"/>
    <cellStyle name="Normal 4 4 3 5 3 2 2" xfId="16152" xr:uid="{00000000-0005-0000-0000-000071490000}"/>
    <cellStyle name="Normal 4 4 3 5 3 2 2 2" xfId="33092" xr:uid="{00000000-0005-0000-0000-000072490000}"/>
    <cellStyle name="Normal 4 4 3 5 3 2 3" xfId="24644" xr:uid="{00000000-0005-0000-0000-000073490000}"/>
    <cellStyle name="Normal 4 4 3 5 3 3" xfId="11928" xr:uid="{00000000-0005-0000-0000-000074490000}"/>
    <cellStyle name="Normal 4 4 3 5 3 3 2" xfId="28868" xr:uid="{00000000-0005-0000-0000-000075490000}"/>
    <cellStyle name="Normal 4 4 3 5 3 4" xfId="20420" xr:uid="{00000000-0005-0000-0000-000076490000}"/>
    <cellStyle name="Normal 4 4 3 5 4" xfId="5592" xr:uid="{00000000-0005-0000-0000-000077490000}"/>
    <cellStyle name="Normal 4 4 3 5 4 2" xfId="14040" xr:uid="{00000000-0005-0000-0000-000078490000}"/>
    <cellStyle name="Normal 4 4 3 5 4 2 2" xfId="30980" xr:uid="{00000000-0005-0000-0000-000079490000}"/>
    <cellStyle name="Normal 4 4 3 5 4 3" xfId="22532" xr:uid="{00000000-0005-0000-0000-00007A490000}"/>
    <cellStyle name="Normal 4 4 3 5 5" xfId="9816" xr:uid="{00000000-0005-0000-0000-00007B490000}"/>
    <cellStyle name="Normal 4 4 3 5 5 2" xfId="26756" xr:uid="{00000000-0005-0000-0000-00007C490000}"/>
    <cellStyle name="Normal 4 4 3 5 6" xfId="18308" xr:uid="{00000000-0005-0000-0000-00007D490000}"/>
    <cellStyle name="Normal 4 4 3 6" xfId="1542" xr:uid="{00000000-0005-0000-0000-00007E490000}"/>
    <cellStyle name="Normal 4 4 3 6 2" xfId="3654" xr:uid="{00000000-0005-0000-0000-00007F490000}"/>
    <cellStyle name="Normal 4 4 3 6 2 2" xfId="7880" xr:uid="{00000000-0005-0000-0000-000080490000}"/>
    <cellStyle name="Normal 4 4 3 6 2 2 2" xfId="16328" xr:uid="{00000000-0005-0000-0000-000081490000}"/>
    <cellStyle name="Normal 4 4 3 6 2 2 2 2" xfId="33268" xr:uid="{00000000-0005-0000-0000-000082490000}"/>
    <cellStyle name="Normal 4 4 3 6 2 2 3" xfId="24820" xr:uid="{00000000-0005-0000-0000-000083490000}"/>
    <cellStyle name="Normal 4 4 3 6 2 3" xfId="12104" xr:uid="{00000000-0005-0000-0000-000084490000}"/>
    <cellStyle name="Normal 4 4 3 6 2 3 2" xfId="29044" xr:uid="{00000000-0005-0000-0000-000085490000}"/>
    <cellStyle name="Normal 4 4 3 6 2 4" xfId="20596" xr:uid="{00000000-0005-0000-0000-000086490000}"/>
    <cellStyle name="Normal 4 4 3 6 3" xfId="5768" xr:uid="{00000000-0005-0000-0000-000087490000}"/>
    <cellStyle name="Normal 4 4 3 6 3 2" xfId="14216" xr:uid="{00000000-0005-0000-0000-000088490000}"/>
    <cellStyle name="Normal 4 4 3 6 3 2 2" xfId="31156" xr:uid="{00000000-0005-0000-0000-000089490000}"/>
    <cellStyle name="Normal 4 4 3 6 3 3" xfId="22708" xr:uid="{00000000-0005-0000-0000-00008A490000}"/>
    <cellStyle name="Normal 4 4 3 6 4" xfId="9992" xr:uid="{00000000-0005-0000-0000-00008B490000}"/>
    <cellStyle name="Normal 4 4 3 6 4 2" xfId="26932" xr:uid="{00000000-0005-0000-0000-00008C490000}"/>
    <cellStyle name="Normal 4 4 3 6 5" xfId="18484" xr:uid="{00000000-0005-0000-0000-00008D490000}"/>
    <cellStyle name="Normal 4 4 3 7" xfId="2598" xr:uid="{00000000-0005-0000-0000-00008E490000}"/>
    <cellStyle name="Normal 4 4 3 7 2" xfId="6824" xr:uid="{00000000-0005-0000-0000-00008F490000}"/>
    <cellStyle name="Normal 4 4 3 7 2 2" xfId="15272" xr:uid="{00000000-0005-0000-0000-000090490000}"/>
    <cellStyle name="Normal 4 4 3 7 2 2 2" xfId="32212" xr:uid="{00000000-0005-0000-0000-000091490000}"/>
    <cellStyle name="Normal 4 4 3 7 2 3" xfId="23764" xr:uid="{00000000-0005-0000-0000-000092490000}"/>
    <cellStyle name="Normal 4 4 3 7 3" xfId="11048" xr:uid="{00000000-0005-0000-0000-000093490000}"/>
    <cellStyle name="Normal 4 4 3 7 3 2" xfId="27988" xr:uid="{00000000-0005-0000-0000-000094490000}"/>
    <cellStyle name="Normal 4 4 3 7 4" xfId="19540" xr:uid="{00000000-0005-0000-0000-000095490000}"/>
    <cellStyle name="Normal 4 4 3 8" xfId="4711" xr:uid="{00000000-0005-0000-0000-000096490000}"/>
    <cellStyle name="Normal 4 4 3 8 2" xfId="13160" xr:uid="{00000000-0005-0000-0000-000097490000}"/>
    <cellStyle name="Normal 4 4 3 8 2 2" xfId="30100" xr:uid="{00000000-0005-0000-0000-000098490000}"/>
    <cellStyle name="Normal 4 4 3 8 3" xfId="21652" xr:uid="{00000000-0005-0000-0000-000099490000}"/>
    <cellStyle name="Normal 4 4 3 9" xfId="8936" xr:uid="{00000000-0005-0000-0000-00009A490000}"/>
    <cellStyle name="Normal 4 4 3 9 2" xfId="25876" xr:uid="{00000000-0005-0000-0000-00009B490000}"/>
    <cellStyle name="Normal 4 4 4" xfId="654" xr:uid="{00000000-0005-0000-0000-00009C490000}"/>
    <cellStyle name="Normal 4 4 4 2" xfId="1006" xr:uid="{00000000-0005-0000-0000-00009D490000}"/>
    <cellStyle name="Normal 4 4 4 2 2" xfId="2068" xr:uid="{00000000-0005-0000-0000-00009E490000}"/>
    <cellStyle name="Normal 4 4 4 2 2 2" xfId="4180" xr:uid="{00000000-0005-0000-0000-00009F490000}"/>
    <cellStyle name="Normal 4 4 4 2 2 2 2" xfId="8406" xr:uid="{00000000-0005-0000-0000-0000A0490000}"/>
    <cellStyle name="Normal 4 4 4 2 2 2 2 2" xfId="16854" xr:uid="{00000000-0005-0000-0000-0000A1490000}"/>
    <cellStyle name="Normal 4 4 4 2 2 2 2 2 2" xfId="33794" xr:uid="{00000000-0005-0000-0000-0000A2490000}"/>
    <cellStyle name="Normal 4 4 4 2 2 2 2 3" xfId="25346" xr:uid="{00000000-0005-0000-0000-0000A3490000}"/>
    <cellStyle name="Normal 4 4 4 2 2 2 3" xfId="12630" xr:uid="{00000000-0005-0000-0000-0000A4490000}"/>
    <cellStyle name="Normal 4 4 4 2 2 2 3 2" xfId="29570" xr:uid="{00000000-0005-0000-0000-0000A5490000}"/>
    <cellStyle name="Normal 4 4 4 2 2 2 4" xfId="21122" xr:uid="{00000000-0005-0000-0000-0000A6490000}"/>
    <cellStyle name="Normal 4 4 4 2 2 3" xfId="6294" xr:uid="{00000000-0005-0000-0000-0000A7490000}"/>
    <cellStyle name="Normal 4 4 4 2 2 3 2" xfId="14742" xr:uid="{00000000-0005-0000-0000-0000A8490000}"/>
    <cellStyle name="Normal 4 4 4 2 2 3 2 2" xfId="31682" xr:uid="{00000000-0005-0000-0000-0000A9490000}"/>
    <cellStyle name="Normal 4 4 4 2 2 3 3" xfId="23234" xr:uid="{00000000-0005-0000-0000-0000AA490000}"/>
    <cellStyle name="Normal 4 4 4 2 2 4" xfId="10518" xr:uid="{00000000-0005-0000-0000-0000AB490000}"/>
    <cellStyle name="Normal 4 4 4 2 2 4 2" xfId="27458" xr:uid="{00000000-0005-0000-0000-0000AC490000}"/>
    <cellStyle name="Normal 4 4 4 2 2 5" xfId="19010" xr:uid="{00000000-0005-0000-0000-0000AD490000}"/>
    <cellStyle name="Normal 4 4 4 2 3" xfId="3124" xr:uid="{00000000-0005-0000-0000-0000AE490000}"/>
    <cellStyle name="Normal 4 4 4 2 3 2" xfId="7350" xr:uid="{00000000-0005-0000-0000-0000AF490000}"/>
    <cellStyle name="Normal 4 4 4 2 3 2 2" xfId="15798" xr:uid="{00000000-0005-0000-0000-0000B0490000}"/>
    <cellStyle name="Normal 4 4 4 2 3 2 2 2" xfId="32738" xr:uid="{00000000-0005-0000-0000-0000B1490000}"/>
    <cellStyle name="Normal 4 4 4 2 3 2 3" xfId="24290" xr:uid="{00000000-0005-0000-0000-0000B2490000}"/>
    <cellStyle name="Normal 4 4 4 2 3 3" xfId="11574" xr:uid="{00000000-0005-0000-0000-0000B3490000}"/>
    <cellStyle name="Normal 4 4 4 2 3 3 2" xfId="28514" xr:uid="{00000000-0005-0000-0000-0000B4490000}"/>
    <cellStyle name="Normal 4 4 4 2 3 4" xfId="20066" xr:uid="{00000000-0005-0000-0000-0000B5490000}"/>
    <cellStyle name="Normal 4 4 4 2 4" xfId="5238" xr:uid="{00000000-0005-0000-0000-0000B6490000}"/>
    <cellStyle name="Normal 4 4 4 2 4 2" xfId="13686" xr:uid="{00000000-0005-0000-0000-0000B7490000}"/>
    <cellStyle name="Normal 4 4 4 2 4 2 2" xfId="30626" xr:uid="{00000000-0005-0000-0000-0000B8490000}"/>
    <cellStyle name="Normal 4 4 4 2 4 3" xfId="22178" xr:uid="{00000000-0005-0000-0000-0000B9490000}"/>
    <cellStyle name="Normal 4 4 4 2 5" xfId="9462" xr:uid="{00000000-0005-0000-0000-0000BA490000}"/>
    <cellStyle name="Normal 4 4 4 2 5 2" xfId="26402" xr:uid="{00000000-0005-0000-0000-0000BB490000}"/>
    <cellStyle name="Normal 4 4 4 2 6" xfId="17954" xr:uid="{00000000-0005-0000-0000-0000BC490000}"/>
    <cellStyle name="Normal 4 4 4 3" xfId="1716" xr:uid="{00000000-0005-0000-0000-0000BD490000}"/>
    <cellStyle name="Normal 4 4 4 3 2" xfId="3828" xr:uid="{00000000-0005-0000-0000-0000BE490000}"/>
    <cellStyle name="Normal 4 4 4 3 2 2" xfId="8054" xr:uid="{00000000-0005-0000-0000-0000BF490000}"/>
    <cellStyle name="Normal 4 4 4 3 2 2 2" xfId="16502" xr:uid="{00000000-0005-0000-0000-0000C0490000}"/>
    <cellStyle name="Normal 4 4 4 3 2 2 2 2" xfId="33442" xr:uid="{00000000-0005-0000-0000-0000C1490000}"/>
    <cellStyle name="Normal 4 4 4 3 2 2 3" xfId="24994" xr:uid="{00000000-0005-0000-0000-0000C2490000}"/>
    <cellStyle name="Normal 4 4 4 3 2 3" xfId="12278" xr:uid="{00000000-0005-0000-0000-0000C3490000}"/>
    <cellStyle name="Normal 4 4 4 3 2 3 2" xfId="29218" xr:uid="{00000000-0005-0000-0000-0000C4490000}"/>
    <cellStyle name="Normal 4 4 4 3 2 4" xfId="20770" xr:uid="{00000000-0005-0000-0000-0000C5490000}"/>
    <cellStyle name="Normal 4 4 4 3 3" xfId="5942" xr:uid="{00000000-0005-0000-0000-0000C6490000}"/>
    <cellStyle name="Normal 4 4 4 3 3 2" xfId="14390" xr:uid="{00000000-0005-0000-0000-0000C7490000}"/>
    <cellStyle name="Normal 4 4 4 3 3 2 2" xfId="31330" xr:uid="{00000000-0005-0000-0000-0000C8490000}"/>
    <cellStyle name="Normal 4 4 4 3 3 3" xfId="22882" xr:uid="{00000000-0005-0000-0000-0000C9490000}"/>
    <cellStyle name="Normal 4 4 4 3 4" xfId="10166" xr:uid="{00000000-0005-0000-0000-0000CA490000}"/>
    <cellStyle name="Normal 4 4 4 3 4 2" xfId="27106" xr:uid="{00000000-0005-0000-0000-0000CB490000}"/>
    <cellStyle name="Normal 4 4 4 3 5" xfId="18658" xr:uid="{00000000-0005-0000-0000-0000CC490000}"/>
    <cellStyle name="Normal 4 4 4 4" xfId="2772" xr:uid="{00000000-0005-0000-0000-0000CD490000}"/>
    <cellStyle name="Normal 4 4 4 4 2" xfId="6998" xr:uid="{00000000-0005-0000-0000-0000CE490000}"/>
    <cellStyle name="Normal 4 4 4 4 2 2" xfId="15446" xr:uid="{00000000-0005-0000-0000-0000CF490000}"/>
    <cellStyle name="Normal 4 4 4 4 2 2 2" xfId="32386" xr:uid="{00000000-0005-0000-0000-0000D0490000}"/>
    <cellStyle name="Normal 4 4 4 4 2 3" xfId="23938" xr:uid="{00000000-0005-0000-0000-0000D1490000}"/>
    <cellStyle name="Normal 4 4 4 4 3" xfId="11222" xr:uid="{00000000-0005-0000-0000-0000D2490000}"/>
    <cellStyle name="Normal 4 4 4 4 3 2" xfId="28162" xr:uid="{00000000-0005-0000-0000-0000D3490000}"/>
    <cellStyle name="Normal 4 4 4 4 4" xfId="19714" xr:uid="{00000000-0005-0000-0000-0000D4490000}"/>
    <cellStyle name="Normal 4 4 4 5" xfId="4886" xr:uid="{00000000-0005-0000-0000-0000D5490000}"/>
    <cellStyle name="Normal 4 4 4 5 2" xfId="13334" xr:uid="{00000000-0005-0000-0000-0000D6490000}"/>
    <cellStyle name="Normal 4 4 4 5 2 2" xfId="30274" xr:uid="{00000000-0005-0000-0000-0000D7490000}"/>
    <cellStyle name="Normal 4 4 4 5 3" xfId="21826" xr:uid="{00000000-0005-0000-0000-0000D8490000}"/>
    <cellStyle name="Normal 4 4 4 6" xfId="9110" xr:uid="{00000000-0005-0000-0000-0000D9490000}"/>
    <cellStyle name="Normal 4 4 4 6 2" xfId="26050" xr:uid="{00000000-0005-0000-0000-0000DA490000}"/>
    <cellStyle name="Normal 4 4 4 7" xfId="17602" xr:uid="{00000000-0005-0000-0000-0000DB490000}"/>
    <cellStyle name="Normal 4 4 5" xfId="830" xr:uid="{00000000-0005-0000-0000-0000DC490000}"/>
    <cellStyle name="Normal 4 4 5 2" xfId="1892" xr:uid="{00000000-0005-0000-0000-0000DD490000}"/>
    <cellStyle name="Normal 4 4 5 2 2" xfId="4004" xr:uid="{00000000-0005-0000-0000-0000DE490000}"/>
    <cellStyle name="Normal 4 4 5 2 2 2" xfId="8230" xr:uid="{00000000-0005-0000-0000-0000DF490000}"/>
    <cellStyle name="Normal 4 4 5 2 2 2 2" xfId="16678" xr:uid="{00000000-0005-0000-0000-0000E0490000}"/>
    <cellStyle name="Normal 4 4 5 2 2 2 2 2" xfId="33618" xr:uid="{00000000-0005-0000-0000-0000E1490000}"/>
    <cellStyle name="Normal 4 4 5 2 2 2 3" xfId="25170" xr:uid="{00000000-0005-0000-0000-0000E2490000}"/>
    <cellStyle name="Normal 4 4 5 2 2 3" xfId="12454" xr:uid="{00000000-0005-0000-0000-0000E3490000}"/>
    <cellStyle name="Normal 4 4 5 2 2 3 2" xfId="29394" xr:uid="{00000000-0005-0000-0000-0000E4490000}"/>
    <cellStyle name="Normal 4 4 5 2 2 4" xfId="20946" xr:uid="{00000000-0005-0000-0000-0000E5490000}"/>
    <cellStyle name="Normal 4 4 5 2 3" xfId="6118" xr:uid="{00000000-0005-0000-0000-0000E6490000}"/>
    <cellStyle name="Normal 4 4 5 2 3 2" xfId="14566" xr:uid="{00000000-0005-0000-0000-0000E7490000}"/>
    <cellStyle name="Normal 4 4 5 2 3 2 2" xfId="31506" xr:uid="{00000000-0005-0000-0000-0000E8490000}"/>
    <cellStyle name="Normal 4 4 5 2 3 3" xfId="23058" xr:uid="{00000000-0005-0000-0000-0000E9490000}"/>
    <cellStyle name="Normal 4 4 5 2 4" xfId="10342" xr:uid="{00000000-0005-0000-0000-0000EA490000}"/>
    <cellStyle name="Normal 4 4 5 2 4 2" xfId="27282" xr:uid="{00000000-0005-0000-0000-0000EB490000}"/>
    <cellStyle name="Normal 4 4 5 2 5" xfId="18834" xr:uid="{00000000-0005-0000-0000-0000EC490000}"/>
    <cellStyle name="Normal 4 4 5 3" xfId="2948" xr:uid="{00000000-0005-0000-0000-0000ED490000}"/>
    <cellStyle name="Normal 4 4 5 3 2" xfId="7174" xr:uid="{00000000-0005-0000-0000-0000EE490000}"/>
    <cellStyle name="Normal 4 4 5 3 2 2" xfId="15622" xr:uid="{00000000-0005-0000-0000-0000EF490000}"/>
    <cellStyle name="Normal 4 4 5 3 2 2 2" xfId="32562" xr:uid="{00000000-0005-0000-0000-0000F0490000}"/>
    <cellStyle name="Normal 4 4 5 3 2 3" xfId="24114" xr:uid="{00000000-0005-0000-0000-0000F1490000}"/>
    <cellStyle name="Normal 4 4 5 3 3" xfId="11398" xr:uid="{00000000-0005-0000-0000-0000F2490000}"/>
    <cellStyle name="Normal 4 4 5 3 3 2" xfId="28338" xr:uid="{00000000-0005-0000-0000-0000F3490000}"/>
    <cellStyle name="Normal 4 4 5 3 4" xfId="19890" xr:uid="{00000000-0005-0000-0000-0000F4490000}"/>
    <cellStyle name="Normal 4 4 5 4" xfId="5062" xr:uid="{00000000-0005-0000-0000-0000F5490000}"/>
    <cellStyle name="Normal 4 4 5 4 2" xfId="13510" xr:uid="{00000000-0005-0000-0000-0000F6490000}"/>
    <cellStyle name="Normal 4 4 5 4 2 2" xfId="30450" xr:uid="{00000000-0005-0000-0000-0000F7490000}"/>
    <cellStyle name="Normal 4 4 5 4 3" xfId="22002" xr:uid="{00000000-0005-0000-0000-0000F8490000}"/>
    <cellStyle name="Normal 4 4 5 5" xfId="9286" xr:uid="{00000000-0005-0000-0000-0000F9490000}"/>
    <cellStyle name="Normal 4 4 5 5 2" xfId="26226" xr:uid="{00000000-0005-0000-0000-0000FA490000}"/>
    <cellStyle name="Normal 4 4 5 6" xfId="17778" xr:uid="{00000000-0005-0000-0000-0000FB490000}"/>
    <cellStyle name="Normal 4 4 6" xfId="1182" xr:uid="{00000000-0005-0000-0000-0000FC490000}"/>
    <cellStyle name="Normal 4 4 6 2" xfId="2244" xr:uid="{00000000-0005-0000-0000-0000FD490000}"/>
    <cellStyle name="Normal 4 4 6 2 2" xfId="4356" xr:uid="{00000000-0005-0000-0000-0000FE490000}"/>
    <cellStyle name="Normal 4 4 6 2 2 2" xfId="8582" xr:uid="{00000000-0005-0000-0000-0000FF490000}"/>
    <cellStyle name="Normal 4 4 6 2 2 2 2" xfId="17030" xr:uid="{00000000-0005-0000-0000-0000004A0000}"/>
    <cellStyle name="Normal 4 4 6 2 2 2 2 2" xfId="33970" xr:uid="{00000000-0005-0000-0000-0000014A0000}"/>
    <cellStyle name="Normal 4 4 6 2 2 2 3" xfId="25522" xr:uid="{00000000-0005-0000-0000-0000024A0000}"/>
    <cellStyle name="Normal 4 4 6 2 2 3" xfId="12806" xr:uid="{00000000-0005-0000-0000-0000034A0000}"/>
    <cellStyle name="Normal 4 4 6 2 2 3 2" xfId="29746" xr:uid="{00000000-0005-0000-0000-0000044A0000}"/>
    <cellStyle name="Normal 4 4 6 2 2 4" xfId="21298" xr:uid="{00000000-0005-0000-0000-0000054A0000}"/>
    <cellStyle name="Normal 4 4 6 2 3" xfId="6470" xr:uid="{00000000-0005-0000-0000-0000064A0000}"/>
    <cellStyle name="Normal 4 4 6 2 3 2" xfId="14918" xr:uid="{00000000-0005-0000-0000-0000074A0000}"/>
    <cellStyle name="Normal 4 4 6 2 3 2 2" xfId="31858" xr:uid="{00000000-0005-0000-0000-0000084A0000}"/>
    <cellStyle name="Normal 4 4 6 2 3 3" xfId="23410" xr:uid="{00000000-0005-0000-0000-0000094A0000}"/>
    <cellStyle name="Normal 4 4 6 2 4" xfId="10694" xr:uid="{00000000-0005-0000-0000-00000A4A0000}"/>
    <cellStyle name="Normal 4 4 6 2 4 2" xfId="27634" xr:uid="{00000000-0005-0000-0000-00000B4A0000}"/>
    <cellStyle name="Normal 4 4 6 2 5" xfId="19186" xr:uid="{00000000-0005-0000-0000-00000C4A0000}"/>
    <cellStyle name="Normal 4 4 6 3" xfId="3300" xr:uid="{00000000-0005-0000-0000-00000D4A0000}"/>
    <cellStyle name="Normal 4 4 6 3 2" xfId="7526" xr:uid="{00000000-0005-0000-0000-00000E4A0000}"/>
    <cellStyle name="Normal 4 4 6 3 2 2" xfId="15974" xr:uid="{00000000-0005-0000-0000-00000F4A0000}"/>
    <cellStyle name="Normal 4 4 6 3 2 2 2" xfId="32914" xr:uid="{00000000-0005-0000-0000-0000104A0000}"/>
    <cellStyle name="Normal 4 4 6 3 2 3" xfId="24466" xr:uid="{00000000-0005-0000-0000-0000114A0000}"/>
    <cellStyle name="Normal 4 4 6 3 3" xfId="11750" xr:uid="{00000000-0005-0000-0000-0000124A0000}"/>
    <cellStyle name="Normal 4 4 6 3 3 2" xfId="28690" xr:uid="{00000000-0005-0000-0000-0000134A0000}"/>
    <cellStyle name="Normal 4 4 6 3 4" xfId="20242" xr:uid="{00000000-0005-0000-0000-0000144A0000}"/>
    <cellStyle name="Normal 4 4 6 4" xfId="5414" xr:uid="{00000000-0005-0000-0000-0000154A0000}"/>
    <cellStyle name="Normal 4 4 6 4 2" xfId="13862" xr:uid="{00000000-0005-0000-0000-0000164A0000}"/>
    <cellStyle name="Normal 4 4 6 4 2 2" xfId="30802" xr:uid="{00000000-0005-0000-0000-0000174A0000}"/>
    <cellStyle name="Normal 4 4 6 4 3" xfId="22354" xr:uid="{00000000-0005-0000-0000-0000184A0000}"/>
    <cellStyle name="Normal 4 4 6 5" xfId="9638" xr:uid="{00000000-0005-0000-0000-0000194A0000}"/>
    <cellStyle name="Normal 4 4 6 5 2" xfId="26578" xr:uid="{00000000-0005-0000-0000-00001A4A0000}"/>
    <cellStyle name="Normal 4 4 6 6" xfId="18130" xr:uid="{00000000-0005-0000-0000-00001B4A0000}"/>
    <cellStyle name="Normal 4 4 7" xfId="1364" xr:uid="{00000000-0005-0000-0000-00001C4A0000}"/>
    <cellStyle name="Normal 4 4 7 2" xfId="2420" xr:uid="{00000000-0005-0000-0000-00001D4A0000}"/>
    <cellStyle name="Normal 4 4 7 2 2" xfId="4532" xr:uid="{00000000-0005-0000-0000-00001E4A0000}"/>
    <cellStyle name="Normal 4 4 7 2 2 2" xfId="8758" xr:uid="{00000000-0005-0000-0000-00001F4A0000}"/>
    <cellStyle name="Normal 4 4 7 2 2 2 2" xfId="17206" xr:uid="{00000000-0005-0000-0000-0000204A0000}"/>
    <cellStyle name="Normal 4 4 7 2 2 2 2 2" xfId="34146" xr:uid="{00000000-0005-0000-0000-0000214A0000}"/>
    <cellStyle name="Normal 4 4 7 2 2 2 3" xfId="25698" xr:uid="{00000000-0005-0000-0000-0000224A0000}"/>
    <cellStyle name="Normal 4 4 7 2 2 3" xfId="12982" xr:uid="{00000000-0005-0000-0000-0000234A0000}"/>
    <cellStyle name="Normal 4 4 7 2 2 3 2" xfId="29922" xr:uid="{00000000-0005-0000-0000-0000244A0000}"/>
    <cellStyle name="Normal 4 4 7 2 2 4" xfId="21474" xr:uid="{00000000-0005-0000-0000-0000254A0000}"/>
    <cellStyle name="Normal 4 4 7 2 3" xfId="6646" xr:uid="{00000000-0005-0000-0000-0000264A0000}"/>
    <cellStyle name="Normal 4 4 7 2 3 2" xfId="15094" xr:uid="{00000000-0005-0000-0000-0000274A0000}"/>
    <cellStyle name="Normal 4 4 7 2 3 2 2" xfId="32034" xr:uid="{00000000-0005-0000-0000-0000284A0000}"/>
    <cellStyle name="Normal 4 4 7 2 3 3" xfId="23586" xr:uid="{00000000-0005-0000-0000-0000294A0000}"/>
    <cellStyle name="Normal 4 4 7 2 4" xfId="10870" xr:uid="{00000000-0005-0000-0000-00002A4A0000}"/>
    <cellStyle name="Normal 4 4 7 2 4 2" xfId="27810" xr:uid="{00000000-0005-0000-0000-00002B4A0000}"/>
    <cellStyle name="Normal 4 4 7 2 5" xfId="19362" xr:uid="{00000000-0005-0000-0000-00002C4A0000}"/>
    <cellStyle name="Normal 4 4 7 3" xfId="3476" xr:uid="{00000000-0005-0000-0000-00002D4A0000}"/>
    <cellStyle name="Normal 4 4 7 3 2" xfId="7702" xr:uid="{00000000-0005-0000-0000-00002E4A0000}"/>
    <cellStyle name="Normal 4 4 7 3 2 2" xfId="16150" xr:uid="{00000000-0005-0000-0000-00002F4A0000}"/>
    <cellStyle name="Normal 4 4 7 3 2 2 2" xfId="33090" xr:uid="{00000000-0005-0000-0000-0000304A0000}"/>
    <cellStyle name="Normal 4 4 7 3 2 3" xfId="24642" xr:uid="{00000000-0005-0000-0000-0000314A0000}"/>
    <cellStyle name="Normal 4 4 7 3 3" xfId="11926" xr:uid="{00000000-0005-0000-0000-0000324A0000}"/>
    <cellStyle name="Normal 4 4 7 3 3 2" xfId="28866" xr:uid="{00000000-0005-0000-0000-0000334A0000}"/>
    <cellStyle name="Normal 4 4 7 3 4" xfId="20418" xr:uid="{00000000-0005-0000-0000-0000344A0000}"/>
    <cellStyle name="Normal 4 4 7 4" xfId="5590" xr:uid="{00000000-0005-0000-0000-0000354A0000}"/>
    <cellStyle name="Normal 4 4 7 4 2" xfId="14038" xr:uid="{00000000-0005-0000-0000-0000364A0000}"/>
    <cellStyle name="Normal 4 4 7 4 2 2" xfId="30978" xr:uid="{00000000-0005-0000-0000-0000374A0000}"/>
    <cellStyle name="Normal 4 4 7 4 3" xfId="22530" xr:uid="{00000000-0005-0000-0000-0000384A0000}"/>
    <cellStyle name="Normal 4 4 7 5" xfId="9814" xr:uid="{00000000-0005-0000-0000-0000394A0000}"/>
    <cellStyle name="Normal 4 4 7 5 2" xfId="26754" xr:uid="{00000000-0005-0000-0000-00003A4A0000}"/>
    <cellStyle name="Normal 4 4 7 6" xfId="18306" xr:uid="{00000000-0005-0000-0000-00003B4A0000}"/>
    <cellStyle name="Normal 4 4 8" xfId="1540" xr:uid="{00000000-0005-0000-0000-00003C4A0000}"/>
    <cellStyle name="Normal 4 4 8 2" xfId="3652" xr:uid="{00000000-0005-0000-0000-00003D4A0000}"/>
    <cellStyle name="Normal 4 4 8 2 2" xfId="7878" xr:uid="{00000000-0005-0000-0000-00003E4A0000}"/>
    <cellStyle name="Normal 4 4 8 2 2 2" xfId="16326" xr:uid="{00000000-0005-0000-0000-00003F4A0000}"/>
    <cellStyle name="Normal 4 4 8 2 2 2 2" xfId="33266" xr:uid="{00000000-0005-0000-0000-0000404A0000}"/>
    <cellStyle name="Normal 4 4 8 2 2 3" xfId="24818" xr:uid="{00000000-0005-0000-0000-0000414A0000}"/>
    <cellStyle name="Normal 4 4 8 2 3" xfId="12102" xr:uid="{00000000-0005-0000-0000-0000424A0000}"/>
    <cellStyle name="Normal 4 4 8 2 3 2" xfId="29042" xr:uid="{00000000-0005-0000-0000-0000434A0000}"/>
    <cellStyle name="Normal 4 4 8 2 4" xfId="20594" xr:uid="{00000000-0005-0000-0000-0000444A0000}"/>
    <cellStyle name="Normal 4 4 8 3" xfId="5766" xr:uid="{00000000-0005-0000-0000-0000454A0000}"/>
    <cellStyle name="Normal 4 4 8 3 2" xfId="14214" xr:uid="{00000000-0005-0000-0000-0000464A0000}"/>
    <cellStyle name="Normal 4 4 8 3 2 2" xfId="31154" xr:uid="{00000000-0005-0000-0000-0000474A0000}"/>
    <cellStyle name="Normal 4 4 8 3 3" xfId="22706" xr:uid="{00000000-0005-0000-0000-0000484A0000}"/>
    <cellStyle name="Normal 4 4 8 4" xfId="9990" xr:uid="{00000000-0005-0000-0000-0000494A0000}"/>
    <cellStyle name="Normal 4 4 8 4 2" xfId="26930" xr:uid="{00000000-0005-0000-0000-00004A4A0000}"/>
    <cellStyle name="Normal 4 4 8 5" xfId="18482" xr:uid="{00000000-0005-0000-0000-00004B4A0000}"/>
    <cellStyle name="Normal 4 4 9" xfId="2596" xr:uid="{00000000-0005-0000-0000-00004C4A0000}"/>
    <cellStyle name="Normal 4 4 9 2" xfId="6822" xr:uid="{00000000-0005-0000-0000-00004D4A0000}"/>
    <cellStyle name="Normal 4 4 9 2 2" xfId="15270" xr:uid="{00000000-0005-0000-0000-00004E4A0000}"/>
    <cellStyle name="Normal 4 4 9 2 2 2" xfId="32210" xr:uid="{00000000-0005-0000-0000-00004F4A0000}"/>
    <cellStyle name="Normal 4 4 9 2 3" xfId="23762" xr:uid="{00000000-0005-0000-0000-0000504A0000}"/>
    <cellStyle name="Normal 4 4 9 3" xfId="11046" xr:uid="{00000000-0005-0000-0000-0000514A0000}"/>
    <cellStyle name="Normal 4 4 9 3 2" xfId="27986" xr:uid="{00000000-0005-0000-0000-0000524A0000}"/>
    <cellStyle name="Normal 4 4 9 4" xfId="19538" xr:uid="{00000000-0005-0000-0000-0000534A0000}"/>
    <cellStyle name="Normal 4 5" xfId="356" xr:uid="{00000000-0005-0000-0000-0000544A0000}"/>
    <cellStyle name="Normal 4 6" xfId="357" xr:uid="{00000000-0005-0000-0000-0000554A0000}"/>
    <cellStyle name="Normal 4 6 10" xfId="17429" xr:uid="{00000000-0005-0000-0000-0000564A0000}"/>
    <cellStyle name="Normal 4 6 2" xfId="657" xr:uid="{00000000-0005-0000-0000-0000574A0000}"/>
    <cellStyle name="Normal 4 6 2 2" xfId="1009" xr:uid="{00000000-0005-0000-0000-0000584A0000}"/>
    <cellStyle name="Normal 4 6 2 2 2" xfId="2071" xr:uid="{00000000-0005-0000-0000-0000594A0000}"/>
    <cellStyle name="Normal 4 6 2 2 2 2" xfId="4183" xr:uid="{00000000-0005-0000-0000-00005A4A0000}"/>
    <cellStyle name="Normal 4 6 2 2 2 2 2" xfId="8409" xr:uid="{00000000-0005-0000-0000-00005B4A0000}"/>
    <cellStyle name="Normal 4 6 2 2 2 2 2 2" xfId="16857" xr:uid="{00000000-0005-0000-0000-00005C4A0000}"/>
    <cellStyle name="Normal 4 6 2 2 2 2 2 2 2" xfId="33797" xr:uid="{00000000-0005-0000-0000-00005D4A0000}"/>
    <cellStyle name="Normal 4 6 2 2 2 2 2 3" xfId="25349" xr:uid="{00000000-0005-0000-0000-00005E4A0000}"/>
    <cellStyle name="Normal 4 6 2 2 2 2 3" xfId="12633" xr:uid="{00000000-0005-0000-0000-00005F4A0000}"/>
    <cellStyle name="Normal 4 6 2 2 2 2 3 2" xfId="29573" xr:uid="{00000000-0005-0000-0000-0000604A0000}"/>
    <cellStyle name="Normal 4 6 2 2 2 2 4" xfId="21125" xr:uid="{00000000-0005-0000-0000-0000614A0000}"/>
    <cellStyle name="Normal 4 6 2 2 2 3" xfId="6297" xr:uid="{00000000-0005-0000-0000-0000624A0000}"/>
    <cellStyle name="Normal 4 6 2 2 2 3 2" xfId="14745" xr:uid="{00000000-0005-0000-0000-0000634A0000}"/>
    <cellStyle name="Normal 4 6 2 2 2 3 2 2" xfId="31685" xr:uid="{00000000-0005-0000-0000-0000644A0000}"/>
    <cellStyle name="Normal 4 6 2 2 2 3 3" xfId="23237" xr:uid="{00000000-0005-0000-0000-0000654A0000}"/>
    <cellStyle name="Normal 4 6 2 2 2 4" xfId="10521" xr:uid="{00000000-0005-0000-0000-0000664A0000}"/>
    <cellStyle name="Normal 4 6 2 2 2 4 2" xfId="27461" xr:uid="{00000000-0005-0000-0000-0000674A0000}"/>
    <cellStyle name="Normal 4 6 2 2 2 5" xfId="19013" xr:uid="{00000000-0005-0000-0000-0000684A0000}"/>
    <cellStyle name="Normal 4 6 2 2 3" xfId="3127" xr:uid="{00000000-0005-0000-0000-0000694A0000}"/>
    <cellStyle name="Normal 4 6 2 2 3 2" xfId="7353" xr:uid="{00000000-0005-0000-0000-00006A4A0000}"/>
    <cellStyle name="Normal 4 6 2 2 3 2 2" xfId="15801" xr:uid="{00000000-0005-0000-0000-00006B4A0000}"/>
    <cellStyle name="Normal 4 6 2 2 3 2 2 2" xfId="32741" xr:uid="{00000000-0005-0000-0000-00006C4A0000}"/>
    <cellStyle name="Normal 4 6 2 2 3 2 3" xfId="24293" xr:uid="{00000000-0005-0000-0000-00006D4A0000}"/>
    <cellStyle name="Normal 4 6 2 2 3 3" xfId="11577" xr:uid="{00000000-0005-0000-0000-00006E4A0000}"/>
    <cellStyle name="Normal 4 6 2 2 3 3 2" xfId="28517" xr:uid="{00000000-0005-0000-0000-00006F4A0000}"/>
    <cellStyle name="Normal 4 6 2 2 3 4" xfId="20069" xr:uid="{00000000-0005-0000-0000-0000704A0000}"/>
    <cellStyle name="Normal 4 6 2 2 4" xfId="5241" xr:uid="{00000000-0005-0000-0000-0000714A0000}"/>
    <cellStyle name="Normal 4 6 2 2 4 2" xfId="13689" xr:uid="{00000000-0005-0000-0000-0000724A0000}"/>
    <cellStyle name="Normal 4 6 2 2 4 2 2" xfId="30629" xr:uid="{00000000-0005-0000-0000-0000734A0000}"/>
    <cellStyle name="Normal 4 6 2 2 4 3" xfId="22181" xr:uid="{00000000-0005-0000-0000-0000744A0000}"/>
    <cellStyle name="Normal 4 6 2 2 5" xfId="9465" xr:uid="{00000000-0005-0000-0000-0000754A0000}"/>
    <cellStyle name="Normal 4 6 2 2 5 2" xfId="26405" xr:uid="{00000000-0005-0000-0000-0000764A0000}"/>
    <cellStyle name="Normal 4 6 2 2 6" xfId="17957" xr:uid="{00000000-0005-0000-0000-0000774A0000}"/>
    <cellStyle name="Normal 4 6 2 3" xfId="1719" xr:uid="{00000000-0005-0000-0000-0000784A0000}"/>
    <cellStyle name="Normal 4 6 2 3 2" xfId="3831" xr:uid="{00000000-0005-0000-0000-0000794A0000}"/>
    <cellStyle name="Normal 4 6 2 3 2 2" xfId="8057" xr:uid="{00000000-0005-0000-0000-00007A4A0000}"/>
    <cellStyle name="Normal 4 6 2 3 2 2 2" xfId="16505" xr:uid="{00000000-0005-0000-0000-00007B4A0000}"/>
    <cellStyle name="Normal 4 6 2 3 2 2 2 2" xfId="33445" xr:uid="{00000000-0005-0000-0000-00007C4A0000}"/>
    <cellStyle name="Normal 4 6 2 3 2 2 3" xfId="24997" xr:uid="{00000000-0005-0000-0000-00007D4A0000}"/>
    <cellStyle name="Normal 4 6 2 3 2 3" xfId="12281" xr:uid="{00000000-0005-0000-0000-00007E4A0000}"/>
    <cellStyle name="Normal 4 6 2 3 2 3 2" xfId="29221" xr:uid="{00000000-0005-0000-0000-00007F4A0000}"/>
    <cellStyle name="Normal 4 6 2 3 2 4" xfId="20773" xr:uid="{00000000-0005-0000-0000-0000804A0000}"/>
    <cellStyle name="Normal 4 6 2 3 3" xfId="5945" xr:uid="{00000000-0005-0000-0000-0000814A0000}"/>
    <cellStyle name="Normal 4 6 2 3 3 2" xfId="14393" xr:uid="{00000000-0005-0000-0000-0000824A0000}"/>
    <cellStyle name="Normal 4 6 2 3 3 2 2" xfId="31333" xr:uid="{00000000-0005-0000-0000-0000834A0000}"/>
    <cellStyle name="Normal 4 6 2 3 3 3" xfId="22885" xr:uid="{00000000-0005-0000-0000-0000844A0000}"/>
    <cellStyle name="Normal 4 6 2 3 4" xfId="10169" xr:uid="{00000000-0005-0000-0000-0000854A0000}"/>
    <cellStyle name="Normal 4 6 2 3 4 2" xfId="27109" xr:uid="{00000000-0005-0000-0000-0000864A0000}"/>
    <cellStyle name="Normal 4 6 2 3 5" xfId="18661" xr:uid="{00000000-0005-0000-0000-0000874A0000}"/>
    <cellStyle name="Normal 4 6 2 4" xfId="2775" xr:uid="{00000000-0005-0000-0000-0000884A0000}"/>
    <cellStyle name="Normal 4 6 2 4 2" xfId="7001" xr:uid="{00000000-0005-0000-0000-0000894A0000}"/>
    <cellStyle name="Normal 4 6 2 4 2 2" xfId="15449" xr:uid="{00000000-0005-0000-0000-00008A4A0000}"/>
    <cellStyle name="Normal 4 6 2 4 2 2 2" xfId="32389" xr:uid="{00000000-0005-0000-0000-00008B4A0000}"/>
    <cellStyle name="Normal 4 6 2 4 2 3" xfId="23941" xr:uid="{00000000-0005-0000-0000-00008C4A0000}"/>
    <cellStyle name="Normal 4 6 2 4 3" xfId="11225" xr:uid="{00000000-0005-0000-0000-00008D4A0000}"/>
    <cellStyle name="Normal 4 6 2 4 3 2" xfId="28165" xr:uid="{00000000-0005-0000-0000-00008E4A0000}"/>
    <cellStyle name="Normal 4 6 2 4 4" xfId="19717" xr:uid="{00000000-0005-0000-0000-00008F4A0000}"/>
    <cellStyle name="Normal 4 6 2 5" xfId="4889" xr:uid="{00000000-0005-0000-0000-0000904A0000}"/>
    <cellStyle name="Normal 4 6 2 5 2" xfId="13337" xr:uid="{00000000-0005-0000-0000-0000914A0000}"/>
    <cellStyle name="Normal 4 6 2 5 2 2" xfId="30277" xr:uid="{00000000-0005-0000-0000-0000924A0000}"/>
    <cellStyle name="Normal 4 6 2 5 3" xfId="21829" xr:uid="{00000000-0005-0000-0000-0000934A0000}"/>
    <cellStyle name="Normal 4 6 2 6" xfId="9113" xr:uid="{00000000-0005-0000-0000-0000944A0000}"/>
    <cellStyle name="Normal 4 6 2 6 2" xfId="26053" xr:uid="{00000000-0005-0000-0000-0000954A0000}"/>
    <cellStyle name="Normal 4 6 2 7" xfId="17605" xr:uid="{00000000-0005-0000-0000-0000964A0000}"/>
    <cellStyle name="Normal 4 6 3" xfId="833" xr:uid="{00000000-0005-0000-0000-0000974A0000}"/>
    <cellStyle name="Normal 4 6 3 2" xfId="1895" xr:uid="{00000000-0005-0000-0000-0000984A0000}"/>
    <cellStyle name="Normal 4 6 3 2 2" xfId="4007" xr:uid="{00000000-0005-0000-0000-0000994A0000}"/>
    <cellStyle name="Normal 4 6 3 2 2 2" xfId="8233" xr:uid="{00000000-0005-0000-0000-00009A4A0000}"/>
    <cellStyle name="Normal 4 6 3 2 2 2 2" xfId="16681" xr:uid="{00000000-0005-0000-0000-00009B4A0000}"/>
    <cellStyle name="Normal 4 6 3 2 2 2 2 2" xfId="33621" xr:uid="{00000000-0005-0000-0000-00009C4A0000}"/>
    <cellStyle name="Normal 4 6 3 2 2 2 3" xfId="25173" xr:uid="{00000000-0005-0000-0000-00009D4A0000}"/>
    <cellStyle name="Normal 4 6 3 2 2 3" xfId="12457" xr:uid="{00000000-0005-0000-0000-00009E4A0000}"/>
    <cellStyle name="Normal 4 6 3 2 2 3 2" xfId="29397" xr:uid="{00000000-0005-0000-0000-00009F4A0000}"/>
    <cellStyle name="Normal 4 6 3 2 2 4" xfId="20949" xr:uid="{00000000-0005-0000-0000-0000A04A0000}"/>
    <cellStyle name="Normal 4 6 3 2 3" xfId="6121" xr:uid="{00000000-0005-0000-0000-0000A14A0000}"/>
    <cellStyle name="Normal 4 6 3 2 3 2" xfId="14569" xr:uid="{00000000-0005-0000-0000-0000A24A0000}"/>
    <cellStyle name="Normal 4 6 3 2 3 2 2" xfId="31509" xr:uid="{00000000-0005-0000-0000-0000A34A0000}"/>
    <cellStyle name="Normal 4 6 3 2 3 3" xfId="23061" xr:uid="{00000000-0005-0000-0000-0000A44A0000}"/>
    <cellStyle name="Normal 4 6 3 2 4" xfId="10345" xr:uid="{00000000-0005-0000-0000-0000A54A0000}"/>
    <cellStyle name="Normal 4 6 3 2 4 2" xfId="27285" xr:uid="{00000000-0005-0000-0000-0000A64A0000}"/>
    <cellStyle name="Normal 4 6 3 2 5" xfId="18837" xr:uid="{00000000-0005-0000-0000-0000A74A0000}"/>
    <cellStyle name="Normal 4 6 3 3" xfId="2951" xr:uid="{00000000-0005-0000-0000-0000A84A0000}"/>
    <cellStyle name="Normal 4 6 3 3 2" xfId="7177" xr:uid="{00000000-0005-0000-0000-0000A94A0000}"/>
    <cellStyle name="Normal 4 6 3 3 2 2" xfId="15625" xr:uid="{00000000-0005-0000-0000-0000AA4A0000}"/>
    <cellStyle name="Normal 4 6 3 3 2 2 2" xfId="32565" xr:uid="{00000000-0005-0000-0000-0000AB4A0000}"/>
    <cellStyle name="Normal 4 6 3 3 2 3" xfId="24117" xr:uid="{00000000-0005-0000-0000-0000AC4A0000}"/>
    <cellStyle name="Normal 4 6 3 3 3" xfId="11401" xr:uid="{00000000-0005-0000-0000-0000AD4A0000}"/>
    <cellStyle name="Normal 4 6 3 3 3 2" xfId="28341" xr:uid="{00000000-0005-0000-0000-0000AE4A0000}"/>
    <cellStyle name="Normal 4 6 3 3 4" xfId="19893" xr:uid="{00000000-0005-0000-0000-0000AF4A0000}"/>
    <cellStyle name="Normal 4 6 3 4" xfId="5065" xr:uid="{00000000-0005-0000-0000-0000B04A0000}"/>
    <cellStyle name="Normal 4 6 3 4 2" xfId="13513" xr:uid="{00000000-0005-0000-0000-0000B14A0000}"/>
    <cellStyle name="Normal 4 6 3 4 2 2" xfId="30453" xr:uid="{00000000-0005-0000-0000-0000B24A0000}"/>
    <cellStyle name="Normal 4 6 3 4 3" xfId="22005" xr:uid="{00000000-0005-0000-0000-0000B34A0000}"/>
    <cellStyle name="Normal 4 6 3 5" xfId="9289" xr:uid="{00000000-0005-0000-0000-0000B44A0000}"/>
    <cellStyle name="Normal 4 6 3 5 2" xfId="26229" xr:uid="{00000000-0005-0000-0000-0000B54A0000}"/>
    <cellStyle name="Normal 4 6 3 6" xfId="17781" xr:uid="{00000000-0005-0000-0000-0000B64A0000}"/>
    <cellStyle name="Normal 4 6 4" xfId="1185" xr:uid="{00000000-0005-0000-0000-0000B74A0000}"/>
    <cellStyle name="Normal 4 6 4 2" xfId="2247" xr:uid="{00000000-0005-0000-0000-0000B84A0000}"/>
    <cellStyle name="Normal 4 6 4 2 2" xfId="4359" xr:uid="{00000000-0005-0000-0000-0000B94A0000}"/>
    <cellStyle name="Normal 4 6 4 2 2 2" xfId="8585" xr:uid="{00000000-0005-0000-0000-0000BA4A0000}"/>
    <cellStyle name="Normal 4 6 4 2 2 2 2" xfId="17033" xr:uid="{00000000-0005-0000-0000-0000BB4A0000}"/>
    <cellStyle name="Normal 4 6 4 2 2 2 2 2" xfId="33973" xr:uid="{00000000-0005-0000-0000-0000BC4A0000}"/>
    <cellStyle name="Normal 4 6 4 2 2 2 3" xfId="25525" xr:uid="{00000000-0005-0000-0000-0000BD4A0000}"/>
    <cellStyle name="Normal 4 6 4 2 2 3" xfId="12809" xr:uid="{00000000-0005-0000-0000-0000BE4A0000}"/>
    <cellStyle name="Normal 4 6 4 2 2 3 2" xfId="29749" xr:uid="{00000000-0005-0000-0000-0000BF4A0000}"/>
    <cellStyle name="Normal 4 6 4 2 2 4" xfId="21301" xr:uid="{00000000-0005-0000-0000-0000C04A0000}"/>
    <cellStyle name="Normal 4 6 4 2 3" xfId="6473" xr:uid="{00000000-0005-0000-0000-0000C14A0000}"/>
    <cellStyle name="Normal 4 6 4 2 3 2" xfId="14921" xr:uid="{00000000-0005-0000-0000-0000C24A0000}"/>
    <cellStyle name="Normal 4 6 4 2 3 2 2" xfId="31861" xr:uid="{00000000-0005-0000-0000-0000C34A0000}"/>
    <cellStyle name="Normal 4 6 4 2 3 3" xfId="23413" xr:uid="{00000000-0005-0000-0000-0000C44A0000}"/>
    <cellStyle name="Normal 4 6 4 2 4" xfId="10697" xr:uid="{00000000-0005-0000-0000-0000C54A0000}"/>
    <cellStyle name="Normal 4 6 4 2 4 2" xfId="27637" xr:uid="{00000000-0005-0000-0000-0000C64A0000}"/>
    <cellStyle name="Normal 4 6 4 2 5" xfId="19189" xr:uid="{00000000-0005-0000-0000-0000C74A0000}"/>
    <cellStyle name="Normal 4 6 4 3" xfId="3303" xr:uid="{00000000-0005-0000-0000-0000C84A0000}"/>
    <cellStyle name="Normal 4 6 4 3 2" xfId="7529" xr:uid="{00000000-0005-0000-0000-0000C94A0000}"/>
    <cellStyle name="Normal 4 6 4 3 2 2" xfId="15977" xr:uid="{00000000-0005-0000-0000-0000CA4A0000}"/>
    <cellStyle name="Normal 4 6 4 3 2 2 2" xfId="32917" xr:uid="{00000000-0005-0000-0000-0000CB4A0000}"/>
    <cellStyle name="Normal 4 6 4 3 2 3" xfId="24469" xr:uid="{00000000-0005-0000-0000-0000CC4A0000}"/>
    <cellStyle name="Normal 4 6 4 3 3" xfId="11753" xr:uid="{00000000-0005-0000-0000-0000CD4A0000}"/>
    <cellStyle name="Normal 4 6 4 3 3 2" xfId="28693" xr:uid="{00000000-0005-0000-0000-0000CE4A0000}"/>
    <cellStyle name="Normal 4 6 4 3 4" xfId="20245" xr:uid="{00000000-0005-0000-0000-0000CF4A0000}"/>
    <cellStyle name="Normal 4 6 4 4" xfId="5417" xr:uid="{00000000-0005-0000-0000-0000D04A0000}"/>
    <cellStyle name="Normal 4 6 4 4 2" xfId="13865" xr:uid="{00000000-0005-0000-0000-0000D14A0000}"/>
    <cellStyle name="Normal 4 6 4 4 2 2" xfId="30805" xr:uid="{00000000-0005-0000-0000-0000D24A0000}"/>
    <cellStyle name="Normal 4 6 4 4 3" xfId="22357" xr:uid="{00000000-0005-0000-0000-0000D34A0000}"/>
    <cellStyle name="Normal 4 6 4 5" xfId="9641" xr:uid="{00000000-0005-0000-0000-0000D44A0000}"/>
    <cellStyle name="Normal 4 6 4 5 2" xfId="26581" xr:uid="{00000000-0005-0000-0000-0000D54A0000}"/>
    <cellStyle name="Normal 4 6 4 6" xfId="18133" xr:uid="{00000000-0005-0000-0000-0000D64A0000}"/>
    <cellStyle name="Normal 4 6 5" xfId="1367" xr:uid="{00000000-0005-0000-0000-0000D74A0000}"/>
    <cellStyle name="Normal 4 6 5 2" xfId="2423" xr:uid="{00000000-0005-0000-0000-0000D84A0000}"/>
    <cellStyle name="Normal 4 6 5 2 2" xfId="4535" xr:uid="{00000000-0005-0000-0000-0000D94A0000}"/>
    <cellStyle name="Normal 4 6 5 2 2 2" xfId="8761" xr:uid="{00000000-0005-0000-0000-0000DA4A0000}"/>
    <cellStyle name="Normal 4 6 5 2 2 2 2" xfId="17209" xr:uid="{00000000-0005-0000-0000-0000DB4A0000}"/>
    <cellStyle name="Normal 4 6 5 2 2 2 2 2" xfId="34149" xr:uid="{00000000-0005-0000-0000-0000DC4A0000}"/>
    <cellStyle name="Normal 4 6 5 2 2 2 3" xfId="25701" xr:uid="{00000000-0005-0000-0000-0000DD4A0000}"/>
    <cellStyle name="Normal 4 6 5 2 2 3" xfId="12985" xr:uid="{00000000-0005-0000-0000-0000DE4A0000}"/>
    <cellStyle name="Normal 4 6 5 2 2 3 2" xfId="29925" xr:uid="{00000000-0005-0000-0000-0000DF4A0000}"/>
    <cellStyle name="Normal 4 6 5 2 2 4" xfId="21477" xr:uid="{00000000-0005-0000-0000-0000E04A0000}"/>
    <cellStyle name="Normal 4 6 5 2 3" xfId="6649" xr:uid="{00000000-0005-0000-0000-0000E14A0000}"/>
    <cellStyle name="Normal 4 6 5 2 3 2" xfId="15097" xr:uid="{00000000-0005-0000-0000-0000E24A0000}"/>
    <cellStyle name="Normal 4 6 5 2 3 2 2" xfId="32037" xr:uid="{00000000-0005-0000-0000-0000E34A0000}"/>
    <cellStyle name="Normal 4 6 5 2 3 3" xfId="23589" xr:uid="{00000000-0005-0000-0000-0000E44A0000}"/>
    <cellStyle name="Normal 4 6 5 2 4" xfId="10873" xr:uid="{00000000-0005-0000-0000-0000E54A0000}"/>
    <cellStyle name="Normal 4 6 5 2 4 2" xfId="27813" xr:uid="{00000000-0005-0000-0000-0000E64A0000}"/>
    <cellStyle name="Normal 4 6 5 2 5" xfId="19365" xr:uid="{00000000-0005-0000-0000-0000E74A0000}"/>
    <cellStyle name="Normal 4 6 5 3" xfId="3479" xr:uid="{00000000-0005-0000-0000-0000E84A0000}"/>
    <cellStyle name="Normal 4 6 5 3 2" xfId="7705" xr:uid="{00000000-0005-0000-0000-0000E94A0000}"/>
    <cellStyle name="Normal 4 6 5 3 2 2" xfId="16153" xr:uid="{00000000-0005-0000-0000-0000EA4A0000}"/>
    <cellStyle name="Normal 4 6 5 3 2 2 2" xfId="33093" xr:uid="{00000000-0005-0000-0000-0000EB4A0000}"/>
    <cellStyle name="Normal 4 6 5 3 2 3" xfId="24645" xr:uid="{00000000-0005-0000-0000-0000EC4A0000}"/>
    <cellStyle name="Normal 4 6 5 3 3" xfId="11929" xr:uid="{00000000-0005-0000-0000-0000ED4A0000}"/>
    <cellStyle name="Normal 4 6 5 3 3 2" xfId="28869" xr:uid="{00000000-0005-0000-0000-0000EE4A0000}"/>
    <cellStyle name="Normal 4 6 5 3 4" xfId="20421" xr:uid="{00000000-0005-0000-0000-0000EF4A0000}"/>
    <cellStyle name="Normal 4 6 5 4" xfId="5593" xr:uid="{00000000-0005-0000-0000-0000F04A0000}"/>
    <cellStyle name="Normal 4 6 5 4 2" xfId="14041" xr:uid="{00000000-0005-0000-0000-0000F14A0000}"/>
    <cellStyle name="Normal 4 6 5 4 2 2" xfId="30981" xr:uid="{00000000-0005-0000-0000-0000F24A0000}"/>
    <cellStyle name="Normal 4 6 5 4 3" xfId="22533" xr:uid="{00000000-0005-0000-0000-0000F34A0000}"/>
    <cellStyle name="Normal 4 6 5 5" xfId="9817" xr:uid="{00000000-0005-0000-0000-0000F44A0000}"/>
    <cellStyle name="Normal 4 6 5 5 2" xfId="26757" xr:uid="{00000000-0005-0000-0000-0000F54A0000}"/>
    <cellStyle name="Normal 4 6 5 6" xfId="18309" xr:uid="{00000000-0005-0000-0000-0000F64A0000}"/>
    <cellStyle name="Normal 4 6 6" xfId="1543" xr:uid="{00000000-0005-0000-0000-0000F74A0000}"/>
    <cellStyle name="Normal 4 6 6 2" xfId="3655" xr:uid="{00000000-0005-0000-0000-0000F84A0000}"/>
    <cellStyle name="Normal 4 6 6 2 2" xfId="7881" xr:uid="{00000000-0005-0000-0000-0000F94A0000}"/>
    <cellStyle name="Normal 4 6 6 2 2 2" xfId="16329" xr:uid="{00000000-0005-0000-0000-0000FA4A0000}"/>
    <cellStyle name="Normal 4 6 6 2 2 2 2" xfId="33269" xr:uid="{00000000-0005-0000-0000-0000FB4A0000}"/>
    <cellStyle name="Normal 4 6 6 2 2 3" xfId="24821" xr:uid="{00000000-0005-0000-0000-0000FC4A0000}"/>
    <cellStyle name="Normal 4 6 6 2 3" xfId="12105" xr:uid="{00000000-0005-0000-0000-0000FD4A0000}"/>
    <cellStyle name="Normal 4 6 6 2 3 2" xfId="29045" xr:uid="{00000000-0005-0000-0000-0000FE4A0000}"/>
    <cellStyle name="Normal 4 6 6 2 4" xfId="20597" xr:uid="{00000000-0005-0000-0000-0000FF4A0000}"/>
    <cellStyle name="Normal 4 6 6 3" xfId="5769" xr:uid="{00000000-0005-0000-0000-0000004B0000}"/>
    <cellStyle name="Normal 4 6 6 3 2" xfId="14217" xr:uid="{00000000-0005-0000-0000-0000014B0000}"/>
    <cellStyle name="Normal 4 6 6 3 2 2" xfId="31157" xr:uid="{00000000-0005-0000-0000-0000024B0000}"/>
    <cellStyle name="Normal 4 6 6 3 3" xfId="22709" xr:uid="{00000000-0005-0000-0000-0000034B0000}"/>
    <cellStyle name="Normal 4 6 6 4" xfId="9993" xr:uid="{00000000-0005-0000-0000-0000044B0000}"/>
    <cellStyle name="Normal 4 6 6 4 2" xfId="26933" xr:uid="{00000000-0005-0000-0000-0000054B0000}"/>
    <cellStyle name="Normal 4 6 6 5" xfId="18485" xr:uid="{00000000-0005-0000-0000-0000064B0000}"/>
    <cellStyle name="Normal 4 6 7" xfId="2599" xr:uid="{00000000-0005-0000-0000-0000074B0000}"/>
    <cellStyle name="Normal 4 6 7 2" xfId="6825" xr:uid="{00000000-0005-0000-0000-0000084B0000}"/>
    <cellStyle name="Normal 4 6 7 2 2" xfId="15273" xr:uid="{00000000-0005-0000-0000-0000094B0000}"/>
    <cellStyle name="Normal 4 6 7 2 2 2" xfId="32213" xr:uid="{00000000-0005-0000-0000-00000A4B0000}"/>
    <cellStyle name="Normal 4 6 7 2 3" xfId="23765" xr:uid="{00000000-0005-0000-0000-00000B4B0000}"/>
    <cellStyle name="Normal 4 6 7 3" xfId="11049" xr:uid="{00000000-0005-0000-0000-00000C4B0000}"/>
    <cellStyle name="Normal 4 6 7 3 2" xfId="27989" xr:uid="{00000000-0005-0000-0000-00000D4B0000}"/>
    <cellStyle name="Normal 4 6 7 4" xfId="19541" xr:uid="{00000000-0005-0000-0000-00000E4B0000}"/>
    <cellStyle name="Normal 4 6 8" xfId="4712" xr:uid="{00000000-0005-0000-0000-00000F4B0000}"/>
    <cellStyle name="Normal 4 6 8 2" xfId="13161" xr:uid="{00000000-0005-0000-0000-0000104B0000}"/>
    <cellStyle name="Normal 4 6 8 2 2" xfId="30101" xr:uid="{00000000-0005-0000-0000-0000114B0000}"/>
    <cellStyle name="Normal 4 6 8 3" xfId="21653" xr:uid="{00000000-0005-0000-0000-0000124B0000}"/>
    <cellStyle name="Normal 4 6 9" xfId="8937" xr:uid="{00000000-0005-0000-0000-0000134B0000}"/>
    <cellStyle name="Normal 4 6 9 2" xfId="25877" xr:uid="{00000000-0005-0000-0000-0000144B0000}"/>
    <cellStyle name="Normal 4 7" xfId="358" xr:uid="{00000000-0005-0000-0000-0000154B0000}"/>
    <cellStyle name="Normal 4 7 10" xfId="17430" xr:uid="{00000000-0005-0000-0000-0000164B0000}"/>
    <cellStyle name="Normal 4 7 2" xfId="658" xr:uid="{00000000-0005-0000-0000-0000174B0000}"/>
    <cellStyle name="Normal 4 7 2 2" xfId="1010" xr:uid="{00000000-0005-0000-0000-0000184B0000}"/>
    <cellStyle name="Normal 4 7 2 2 2" xfId="2072" xr:uid="{00000000-0005-0000-0000-0000194B0000}"/>
    <cellStyle name="Normal 4 7 2 2 2 2" xfId="4184" xr:uid="{00000000-0005-0000-0000-00001A4B0000}"/>
    <cellStyle name="Normal 4 7 2 2 2 2 2" xfId="8410" xr:uid="{00000000-0005-0000-0000-00001B4B0000}"/>
    <cellStyle name="Normal 4 7 2 2 2 2 2 2" xfId="16858" xr:uid="{00000000-0005-0000-0000-00001C4B0000}"/>
    <cellStyle name="Normal 4 7 2 2 2 2 2 2 2" xfId="33798" xr:uid="{00000000-0005-0000-0000-00001D4B0000}"/>
    <cellStyle name="Normal 4 7 2 2 2 2 2 3" xfId="25350" xr:uid="{00000000-0005-0000-0000-00001E4B0000}"/>
    <cellStyle name="Normal 4 7 2 2 2 2 3" xfId="12634" xr:uid="{00000000-0005-0000-0000-00001F4B0000}"/>
    <cellStyle name="Normal 4 7 2 2 2 2 3 2" xfId="29574" xr:uid="{00000000-0005-0000-0000-0000204B0000}"/>
    <cellStyle name="Normal 4 7 2 2 2 2 4" xfId="21126" xr:uid="{00000000-0005-0000-0000-0000214B0000}"/>
    <cellStyle name="Normal 4 7 2 2 2 3" xfId="6298" xr:uid="{00000000-0005-0000-0000-0000224B0000}"/>
    <cellStyle name="Normal 4 7 2 2 2 3 2" xfId="14746" xr:uid="{00000000-0005-0000-0000-0000234B0000}"/>
    <cellStyle name="Normal 4 7 2 2 2 3 2 2" xfId="31686" xr:uid="{00000000-0005-0000-0000-0000244B0000}"/>
    <cellStyle name="Normal 4 7 2 2 2 3 3" xfId="23238" xr:uid="{00000000-0005-0000-0000-0000254B0000}"/>
    <cellStyle name="Normal 4 7 2 2 2 4" xfId="10522" xr:uid="{00000000-0005-0000-0000-0000264B0000}"/>
    <cellStyle name="Normal 4 7 2 2 2 4 2" xfId="27462" xr:uid="{00000000-0005-0000-0000-0000274B0000}"/>
    <cellStyle name="Normal 4 7 2 2 2 5" xfId="19014" xr:uid="{00000000-0005-0000-0000-0000284B0000}"/>
    <cellStyle name="Normal 4 7 2 2 3" xfId="3128" xr:uid="{00000000-0005-0000-0000-0000294B0000}"/>
    <cellStyle name="Normal 4 7 2 2 3 2" xfId="7354" xr:uid="{00000000-0005-0000-0000-00002A4B0000}"/>
    <cellStyle name="Normal 4 7 2 2 3 2 2" xfId="15802" xr:uid="{00000000-0005-0000-0000-00002B4B0000}"/>
    <cellStyle name="Normal 4 7 2 2 3 2 2 2" xfId="32742" xr:uid="{00000000-0005-0000-0000-00002C4B0000}"/>
    <cellStyle name="Normal 4 7 2 2 3 2 3" xfId="24294" xr:uid="{00000000-0005-0000-0000-00002D4B0000}"/>
    <cellStyle name="Normal 4 7 2 2 3 3" xfId="11578" xr:uid="{00000000-0005-0000-0000-00002E4B0000}"/>
    <cellStyle name="Normal 4 7 2 2 3 3 2" xfId="28518" xr:uid="{00000000-0005-0000-0000-00002F4B0000}"/>
    <cellStyle name="Normal 4 7 2 2 3 4" xfId="20070" xr:uid="{00000000-0005-0000-0000-0000304B0000}"/>
    <cellStyle name="Normal 4 7 2 2 4" xfId="5242" xr:uid="{00000000-0005-0000-0000-0000314B0000}"/>
    <cellStyle name="Normal 4 7 2 2 4 2" xfId="13690" xr:uid="{00000000-0005-0000-0000-0000324B0000}"/>
    <cellStyle name="Normal 4 7 2 2 4 2 2" xfId="30630" xr:uid="{00000000-0005-0000-0000-0000334B0000}"/>
    <cellStyle name="Normal 4 7 2 2 4 3" xfId="22182" xr:uid="{00000000-0005-0000-0000-0000344B0000}"/>
    <cellStyle name="Normal 4 7 2 2 5" xfId="9466" xr:uid="{00000000-0005-0000-0000-0000354B0000}"/>
    <cellStyle name="Normal 4 7 2 2 5 2" xfId="26406" xr:uid="{00000000-0005-0000-0000-0000364B0000}"/>
    <cellStyle name="Normal 4 7 2 2 6" xfId="17958" xr:uid="{00000000-0005-0000-0000-0000374B0000}"/>
    <cellStyle name="Normal 4 7 2 3" xfId="1720" xr:uid="{00000000-0005-0000-0000-0000384B0000}"/>
    <cellStyle name="Normal 4 7 2 3 2" xfId="3832" xr:uid="{00000000-0005-0000-0000-0000394B0000}"/>
    <cellStyle name="Normal 4 7 2 3 2 2" xfId="8058" xr:uid="{00000000-0005-0000-0000-00003A4B0000}"/>
    <cellStyle name="Normal 4 7 2 3 2 2 2" xfId="16506" xr:uid="{00000000-0005-0000-0000-00003B4B0000}"/>
    <cellStyle name="Normal 4 7 2 3 2 2 2 2" xfId="33446" xr:uid="{00000000-0005-0000-0000-00003C4B0000}"/>
    <cellStyle name="Normal 4 7 2 3 2 2 3" xfId="24998" xr:uid="{00000000-0005-0000-0000-00003D4B0000}"/>
    <cellStyle name="Normal 4 7 2 3 2 3" xfId="12282" xr:uid="{00000000-0005-0000-0000-00003E4B0000}"/>
    <cellStyle name="Normal 4 7 2 3 2 3 2" xfId="29222" xr:uid="{00000000-0005-0000-0000-00003F4B0000}"/>
    <cellStyle name="Normal 4 7 2 3 2 4" xfId="20774" xr:uid="{00000000-0005-0000-0000-0000404B0000}"/>
    <cellStyle name="Normal 4 7 2 3 3" xfId="5946" xr:uid="{00000000-0005-0000-0000-0000414B0000}"/>
    <cellStyle name="Normal 4 7 2 3 3 2" xfId="14394" xr:uid="{00000000-0005-0000-0000-0000424B0000}"/>
    <cellStyle name="Normal 4 7 2 3 3 2 2" xfId="31334" xr:uid="{00000000-0005-0000-0000-0000434B0000}"/>
    <cellStyle name="Normal 4 7 2 3 3 3" xfId="22886" xr:uid="{00000000-0005-0000-0000-0000444B0000}"/>
    <cellStyle name="Normal 4 7 2 3 4" xfId="10170" xr:uid="{00000000-0005-0000-0000-0000454B0000}"/>
    <cellStyle name="Normal 4 7 2 3 4 2" xfId="27110" xr:uid="{00000000-0005-0000-0000-0000464B0000}"/>
    <cellStyle name="Normal 4 7 2 3 5" xfId="18662" xr:uid="{00000000-0005-0000-0000-0000474B0000}"/>
    <cellStyle name="Normal 4 7 2 4" xfId="2776" xr:uid="{00000000-0005-0000-0000-0000484B0000}"/>
    <cellStyle name="Normal 4 7 2 4 2" xfId="7002" xr:uid="{00000000-0005-0000-0000-0000494B0000}"/>
    <cellStyle name="Normal 4 7 2 4 2 2" xfId="15450" xr:uid="{00000000-0005-0000-0000-00004A4B0000}"/>
    <cellStyle name="Normal 4 7 2 4 2 2 2" xfId="32390" xr:uid="{00000000-0005-0000-0000-00004B4B0000}"/>
    <cellStyle name="Normal 4 7 2 4 2 3" xfId="23942" xr:uid="{00000000-0005-0000-0000-00004C4B0000}"/>
    <cellStyle name="Normal 4 7 2 4 3" xfId="11226" xr:uid="{00000000-0005-0000-0000-00004D4B0000}"/>
    <cellStyle name="Normal 4 7 2 4 3 2" xfId="28166" xr:uid="{00000000-0005-0000-0000-00004E4B0000}"/>
    <cellStyle name="Normal 4 7 2 4 4" xfId="19718" xr:uid="{00000000-0005-0000-0000-00004F4B0000}"/>
    <cellStyle name="Normal 4 7 2 5" xfId="4890" xr:uid="{00000000-0005-0000-0000-0000504B0000}"/>
    <cellStyle name="Normal 4 7 2 5 2" xfId="13338" xr:uid="{00000000-0005-0000-0000-0000514B0000}"/>
    <cellStyle name="Normal 4 7 2 5 2 2" xfId="30278" xr:uid="{00000000-0005-0000-0000-0000524B0000}"/>
    <cellStyle name="Normal 4 7 2 5 3" xfId="21830" xr:uid="{00000000-0005-0000-0000-0000534B0000}"/>
    <cellStyle name="Normal 4 7 2 6" xfId="9114" xr:uid="{00000000-0005-0000-0000-0000544B0000}"/>
    <cellStyle name="Normal 4 7 2 6 2" xfId="26054" xr:uid="{00000000-0005-0000-0000-0000554B0000}"/>
    <cellStyle name="Normal 4 7 2 7" xfId="17606" xr:uid="{00000000-0005-0000-0000-0000564B0000}"/>
    <cellStyle name="Normal 4 7 3" xfId="834" xr:uid="{00000000-0005-0000-0000-0000574B0000}"/>
    <cellStyle name="Normal 4 7 3 2" xfId="1896" xr:uid="{00000000-0005-0000-0000-0000584B0000}"/>
    <cellStyle name="Normal 4 7 3 2 2" xfId="4008" xr:uid="{00000000-0005-0000-0000-0000594B0000}"/>
    <cellStyle name="Normal 4 7 3 2 2 2" xfId="8234" xr:uid="{00000000-0005-0000-0000-00005A4B0000}"/>
    <cellStyle name="Normal 4 7 3 2 2 2 2" xfId="16682" xr:uid="{00000000-0005-0000-0000-00005B4B0000}"/>
    <cellStyle name="Normal 4 7 3 2 2 2 2 2" xfId="33622" xr:uid="{00000000-0005-0000-0000-00005C4B0000}"/>
    <cellStyle name="Normal 4 7 3 2 2 2 3" xfId="25174" xr:uid="{00000000-0005-0000-0000-00005D4B0000}"/>
    <cellStyle name="Normal 4 7 3 2 2 3" xfId="12458" xr:uid="{00000000-0005-0000-0000-00005E4B0000}"/>
    <cellStyle name="Normal 4 7 3 2 2 3 2" xfId="29398" xr:uid="{00000000-0005-0000-0000-00005F4B0000}"/>
    <cellStyle name="Normal 4 7 3 2 2 4" xfId="20950" xr:uid="{00000000-0005-0000-0000-0000604B0000}"/>
    <cellStyle name="Normal 4 7 3 2 3" xfId="6122" xr:uid="{00000000-0005-0000-0000-0000614B0000}"/>
    <cellStyle name="Normal 4 7 3 2 3 2" xfId="14570" xr:uid="{00000000-0005-0000-0000-0000624B0000}"/>
    <cellStyle name="Normal 4 7 3 2 3 2 2" xfId="31510" xr:uid="{00000000-0005-0000-0000-0000634B0000}"/>
    <cellStyle name="Normal 4 7 3 2 3 3" xfId="23062" xr:uid="{00000000-0005-0000-0000-0000644B0000}"/>
    <cellStyle name="Normal 4 7 3 2 4" xfId="10346" xr:uid="{00000000-0005-0000-0000-0000654B0000}"/>
    <cellStyle name="Normal 4 7 3 2 4 2" xfId="27286" xr:uid="{00000000-0005-0000-0000-0000664B0000}"/>
    <cellStyle name="Normal 4 7 3 2 5" xfId="18838" xr:uid="{00000000-0005-0000-0000-0000674B0000}"/>
    <cellStyle name="Normal 4 7 3 3" xfId="2952" xr:uid="{00000000-0005-0000-0000-0000684B0000}"/>
    <cellStyle name="Normal 4 7 3 3 2" xfId="7178" xr:uid="{00000000-0005-0000-0000-0000694B0000}"/>
    <cellStyle name="Normal 4 7 3 3 2 2" xfId="15626" xr:uid="{00000000-0005-0000-0000-00006A4B0000}"/>
    <cellStyle name="Normal 4 7 3 3 2 2 2" xfId="32566" xr:uid="{00000000-0005-0000-0000-00006B4B0000}"/>
    <cellStyle name="Normal 4 7 3 3 2 3" xfId="24118" xr:uid="{00000000-0005-0000-0000-00006C4B0000}"/>
    <cellStyle name="Normal 4 7 3 3 3" xfId="11402" xr:uid="{00000000-0005-0000-0000-00006D4B0000}"/>
    <cellStyle name="Normal 4 7 3 3 3 2" xfId="28342" xr:uid="{00000000-0005-0000-0000-00006E4B0000}"/>
    <cellStyle name="Normal 4 7 3 3 4" xfId="19894" xr:uid="{00000000-0005-0000-0000-00006F4B0000}"/>
    <cellStyle name="Normal 4 7 3 4" xfId="5066" xr:uid="{00000000-0005-0000-0000-0000704B0000}"/>
    <cellStyle name="Normal 4 7 3 4 2" xfId="13514" xr:uid="{00000000-0005-0000-0000-0000714B0000}"/>
    <cellStyle name="Normal 4 7 3 4 2 2" xfId="30454" xr:uid="{00000000-0005-0000-0000-0000724B0000}"/>
    <cellStyle name="Normal 4 7 3 4 3" xfId="22006" xr:uid="{00000000-0005-0000-0000-0000734B0000}"/>
    <cellStyle name="Normal 4 7 3 5" xfId="9290" xr:uid="{00000000-0005-0000-0000-0000744B0000}"/>
    <cellStyle name="Normal 4 7 3 5 2" xfId="26230" xr:uid="{00000000-0005-0000-0000-0000754B0000}"/>
    <cellStyle name="Normal 4 7 3 6" xfId="17782" xr:uid="{00000000-0005-0000-0000-0000764B0000}"/>
    <cellStyle name="Normal 4 7 4" xfId="1186" xr:uid="{00000000-0005-0000-0000-0000774B0000}"/>
    <cellStyle name="Normal 4 7 4 2" xfId="2248" xr:uid="{00000000-0005-0000-0000-0000784B0000}"/>
    <cellStyle name="Normal 4 7 4 2 2" xfId="4360" xr:uid="{00000000-0005-0000-0000-0000794B0000}"/>
    <cellStyle name="Normal 4 7 4 2 2 2" xfId="8586" xr:uid="{00000000-0005-0000-0000-00007A4B0000}"/>
    <cellStyle name="Normal 4 7 4 2 2 2 2" xfId="17034" xr:uid="{00000000-0005-0000-0000-00007B4B0000}"/>
    <cellStyle name="Normal 4 7 4 2 2 2 2 2" xfId="33974" xr:uid="{00000000-0005-0000-0000-00007C4B0000}"/>
    <cellStyle name="Normal 4 7 4 2 2 2 3" xfId="25526" xr:uid="{00000000-0005-0000-0000-00007D4B0000}"/>
    <cellStyle name="Normal 4 7 4 2 2 3" xfId="12810" xr:uid="{00000000-0005-0000-0000-00007E4B0000}"/>
    <cellStyle name="Normal 4 7 4 2 2 3 2" xfId="29750" xr:uid="{00000000-0005-0000-0000-00007F4B0000}"/>
    <cellStyle name="Normal 4 7 4 2 2 4" xfId="21302" xr:uid="{00000000-0005-0000-0000-0000804B0000}"/>
    <cellStyle name="Normal 4 7 4 2 3" xfId="6474" xr:uid="{00000000-0005-0000-0000-0000814B0000}"/>
    <cellStyle name="Normal 4 7 4 2 3 2" xfId="14922" xr:uid="{00000000-0005-0000-0000-0000824B0000}"/>
    <cellStyle name="Normal 4 7 4 2 3 2 2" xfId="31862" xr:uid="{00000000-0005-0000-0000-0000834B0000}"/>
    <cellStyle name="Normal 4 7 4 2 3 3" xfId="23414" xr:uid="{00000000-0005-0000-0000-0000844B0000}"/>
    <cellStyle name="Normal 4 7 4 2 4" xfId="10698" xr:uid="{00000000-0005-0000-0000-0000854B0000}"/>
    <cellStyle name="Normal 4 7 4 2 4 2" xfId="27638" xr:uid="{00000000-0005-0000-0000-0000864B0000}"/>
    <cellStyle name="Normal 4 7 4 2 5" xfId="19190" xr:uid="{00000000-0005-0000-0000-0000874B0000}"/>
    <cellStyle name="Normal 4 7 4 3" xfId="3304" xr:uid="{00000000-0005-0000-0000-0000884B0000}"/>
    <cellStyle name="Normal 4 7 4 3 2" xfId="7530" xr:uid="{00000000-0005-0000-0000-0000894B0000}"/>
    <cellStyle name="Normal 4 7 4 3 2 2" xfId="15978" xr:uid="{00000000-0005-0000-0000-00008A4B0000}"/>
    <cellStyle name="Normal 4 7 4 3 2 2 2" xfId="32918" xr:uid="{00000000-0005-0000-0000-00008B4B0000}"/>
    <cellStyle name="Normal 4 7 4 3 2 3" xfId="24470" xr:uid="{00000000-0005-0000-0000-00008C4B0000}"/>
    <cellStyle name="Normal 4 7 4 3 3" xfId="11754" xr:uid="{00000000-0005-0000-0000-00008D4B0000}"/>
    <cellStyle name="Normal 4 7 4 3 3 2" xfId="28694" xr:uid="{00000000-0005-0000-0000-00008E4B0000}"/>
    <cellStyle name="Normal 4 7 4 3 4" xfId="20246" xr:uid="{00000000-0005-0000-0000-00008F4B0000}"/>
    <cellStyle name="Normal 4 7 4 4" xfId="5418" xr:uid="{00000000-0005-0000-0000-0000904B0000}"/>
    <cellStyle name="Normal 4 7 4 4 2" xfId="13866" xr:uid="{00000000-0005-0000-0000-0000914B0000}"/>
    <cellStyle name="Normal 4 7 4 4 2 2" xfId="30806" xr:uid="{00000000-0005-0000-0000-0000924B0000}"/>
    <cellStyle name="Normal 4 7 4 4 3" xfId="22358" xr:uid="{00000000-0005-0000-0000-0000934B0000}"/>
    <cellStyle name="Normal 4 7 4 5" xfId="9642" xr:uid="{00000000-0005-0000-0000-0000944B0000}"/>
    <cellStyle name="Normal 4 7 4 5 2" xfId="26582" xr:uid="{00000000-0005-0000-0000-0000954B0000}"/>
    <cellStyle name="Normal 4 7 4 6" xfId="18134" xr:uid="{00000000-0005-0000-0000-0000964B0000}"/>
    <cellStyle name="Normal 4 7 5" xfId="1368" xr:uid="{00000000-0005-0000-0000-0000974B0000}"/>
    <cellStyle name="Normal 4 7 5 2" xfId="2424" xr:uid="{00000000-0005-0000-0000-0000984B0000}"/>
    <cellStyle name="Normal 4 7 5 2 2" xfId="4536" xr:uid="{00000000-0005-0000-0000-0000994B0000}"/>
    <cellStyle name="Normal 4 7 5 2 2 2" xfId="8762" xr:uid="{00000000-0005-0000-0000-00009A4B0000}"/>
    <cellStyle name="Normal 4 7 5 2 2 2 2" xfId="17210" xr:uid="{00000000-0005-0000-0000-00009B4B0000}"/>
    <cellStyle name="Normal 4 7 5 2 2 2 2 2" xfId="34150" xr:uid="{00000000-0005-0000-0000-00009C4B0000}"/>
    <cellStyle name="Normal 4 7 5 2 2 2 3" xfId="25702" xr:uid="{00000000-0005-0000-0000-00009D4B0000}"/>
    <cellStyle name="Normal 4 7 5 2 2 3" xfId="12986" xr:uid="{00000000-0005-0000-0000-00009E4B0000}"/>
    <cellStyle name="Normal 4 7 5 2 2 3 2" xfId="29926" xr:uid="{00000000-0005-0000-0000-00009F4B0000}"/>
    <cellStyle name="Normal 4 7 5 2 2 4" xfId="21478" xr:uid="{00000000-0005-0000-0000-0000A04B0000}"/>
    <cellStyle name="Normal 4 7 5 2 3" xfId="6650" xr:uid="{00000000-0005-0000-0000-0000A14B0000}"/>
    <cellStyle name="Normal 4 7 5 2 3 2" xfId="15098" xr:uid="{00000000-0005-0000-0000-0000A24B0000}"/>
    <cellStyle name="Normal 4 7 5 2 3 2 2" xfId="32038" xr:uid="{00000000-0005-0000-0000-0000A34B0000}"/>
    <cellStyle name="Normal 4 7 5 2 3 3" xfId="23590" xr:uid="{00000000-0005-0000-0000-0000A44B0000}"/>
    <cellStyle name="Normal 4 7 5 2 4" xfId="10874" xr:uid="{00000000-0005-0000-0000-0000A54B0000}"/>
    <cellStyle name="Normal 4 7 5 2 4 2" xfId="27814" xr:uid="{00000000-0005-0000-0000-0000A64B0000}"/>
    <cellStyle name="Normal 4 7 5 2 5" xfId="19366" xr:uid="{00000000-0005-0000-0000-0000A74B0000}"/>
    <cellStyle name="Normal 4 7 5 3" xfId="3480" xr:uid="{00000000-0005-0000-0000-0000A84B0000}"/>
    <cellStyle name="Normal 4 7 5 3 2" xfId="7706" xr:uid="{00000000-0005-0000-0000-0000A94B0000}"/>
    <cellStyle name="Normal 4 7 5 3 2 2" xfId="16154" xr:uid="{00000000-0005-0000-0000-0000AA4B0000}"/>
    <cellStyle name="Normal 4 7 5 3 2 2 2" xfId="33094" xr:uid="{00000000-0005-0000-0000-0000AB4B0000}"/>
    <cellStyle name="Normal 4 7 5 3 2 3" xfId="24646" xr:uid="{00000000-0005-0000-0000-0000AC4B0000}"/>
    <cellStyle name="Normal 4 7 5 3 3" xfId="11930" xr:uid="{00000000-0005-0000-0000-0000AD4B0000}"/>
    <cellStyle name="Normal 4 7 5 3 3 2" xfId="28870" xr:uid="{00000000-0005-0000-0000-0000AE4B0000}"/>
    <cellStyle name="Normal 4 7 5 3 4" xfId="20422" xr:uid="{00000000-0005-0000-0000-0000AF4B0000}"/>
    <cellStyle name="Normal 4 7 5 4" xfId="5594" xr:uid="{00000000-0005-0000-0000-0000B04B0000}"/>
    <cellStyle name="Normal 4 7 5 4 2" xfId="14042" xr:uid="{00000000-0005-0000-0000-0000B14B0000}"/>
    <cellStyle name="Normal 4 7 5 4 2 2" xfId="30982" xr:uid="{00000000-0005-0000-0000-0000B24B0000}"/>
    <cellStyle name="Normal 4 7 5 4 3" xfId="22534" xr:uid="{00000000-0005-0000-0000-0000B34B0000}"/>
    <cellStyle name="Normal 4 7 5 5" xfId="9818" xr:uid="{00000000-0005-0000-0000-0000B44B0000}"/>
    <cellStyle name="Normal 4 7 5 5 2" xfId="26758" xr:uid="{00000000-0005-0000-0000-0000B54B0000}"/>
    <cellStyle name="Normal 4 7 5 6" xfId="18310" xr:uid="{00000000-0005-0000-0000-0000B64B0000}"/>
    <cellStyle name="Normal 4 7 6" xfId="1544" xr:uid="{00000000-0005-0000-0000-0000B74B0000}"/>
    <cellStyle name="Normal 4 7 6 2" xfId="3656" xr:uid="{00000000-0005-0000-0000-0000B84B0000}"/>
    <cellStyle name="Normal 4 7 6 2 2" xfId="7882" xr:uid="{00000000-0005-0000-0000-0000B94B0000}"/>
    <cellStyle name="Normal 4 7 6 2 2 2" xfId="16330" xr:uid="{00000000-0005-0000-0000-0000BA4B0000}"/>
    <cellStyle name="Normal 4 7 6 2 2 2 2" xfId="33270" xr:uid="{00000000-0005-0000-0000-0000BB4B0000}"/>
    <cellStyle name="Normal 4 7 6 2 2 3" xfId="24822" xr:uid="{00000000-0005-0000-0000-0000BC4B0000}"/>
    <cellStyle name="Normal 4 7 6 2 3" xfId="12106" xr:uid="{00000000-0005-0000-0000-0000BD4B0000}"/>
    <cellStyle name="Normal 4 7 6 2 3 2" xfId="29046" xr:uid="{00000000-0005-0000-0000-0000BE4B0000}"/>
    <cellStyle name="Normal 4 7 6 2 4" xfId="20598" xr:uid="{00000000-0005-0000-0000-0000BF4B0000}"/>
    <cellStyle name="Normal 4 7 6 3" xfId="5770" xr:uid="{00000000-0005-0000-0000-0000C04B0000}"/>
    <cellStyle name="Normal 4 7 6 3 2" xfId="14218" xr:uid="{00000000-0005-0000-0000-0000C14B0000}"/>
    <cellStyle name="Normal 4 7 6 3 2 2" xfId="31158" xr:uid="{00000000-0005-0000-0000-0000C24B0000}"/>
    <cellStyle name="Normal 4 7 6 3 3" xfId="22710" xr:uid="{00000000-0005-0000-0000-0000C34B0000}"/>
    <cellStyle name="Normal 4 7 6 4" xfId="9994" xr:uid="{00000000-0005-0000-0000-0000C44B0000}"/>
    <cellStyle name="Normal 4 7 6 4 2" xfId="26934" xr:uid="{00000000-0005-0000-0000-0000C54B0000}"/>
    <cellStyle name="Normal 4 7 6 5" xfId="18486" xr:uid="{00000000-0005-0000-0000-0000C64B0000}"/>
    <cellStyle name="Normal 4 7 7" xfId="2600" xr:uid="{00000000-0005-0000-0000-0000C74B0000}"/>
    <cellStyle name="Normal 4 7 7 2" xfId="6826" xr:uid="{00000000-0005-0000-0000-0000C84B0000}"/>
    <cellStyle name="Normal 4 7 7 2 2" xfId="15274" xr:uid="{00000000-0005-0000-0000-0000C94B0000}"/>
    <cellStyle name="Normal 4 7 7 2 2 2" xfId="32214" xr:uid="{00000000-0005-0000-0000-0000CA4B0000}"/>
    <cellStyle name="Normal 4 7 7 2 3" xfId="23766" xr:uid="{00000000-0005-0000-0000-0000CB4B0000}"/>
    <cellStyle name="Normal 4 7 7 3" xfId="11050" xr:uid="{00000000-0005-0000-0000-0000CC4B0000}"/>
    <cellStyle name="Normal 4 7 7 3 2" xfId="27990" xr:uid="{00000000-0005-0000-0000-0000CD4B0000}"/>
    <cellStyle name="Normal 4 7 7 4" xfId="19542" xr:uid="{00000000-0005-0000-0000-0000CE4B0000}"/>
    <cellStyle name="Normal 4 7 8" xfId="4713" xr:uid="{00000000-0005-0000-0000-0000CF4B0000}"/>
    <cellStyle name="Normal 4 7 8 2" xfId="13162" xr:uid="{00000000-0005-0000-0000-0000D04B0000}"/>
    <cellStyle name="Normal 4 7 8 2 2" xfId="30102" xr:uid="{00000000-0005-0000-0000-0000D14B0000}"/>
    <cellStyle name="Normal 4 7 8 3" xfId="21654" xr:uid="{00000000-0005-0000-0000-0000D24B0000}"/>
    <cellStyle name="Normal 4 7 9" xfId="8938" xr:uid="{00000000-0005-0000-0000-0000D34B0000}"/>
    <cellStyle name="Normal 4 7 9 2" xfId="25878" xr:uid="{00000000-0005-0000-0000-0000D44B0000}"/>
    <cellStyle name="Normal 4 8" xfId="650" xr:uid="{00000000-0005-0000-0000-0000D54B0000}"/>
    <cellStyle name="Normal 4 8 2" xfId="1002" xr:uid="{00000000-0005-0000-0000-0000D64B0000}"/>
    <cellStyle name="Normal 4 8 2 2" xfId="2064" xr:uid="{00000000-0005-0000-0000-0000D74B0000}"/>
    <cellStyle name="Normal 4 8 2 2 2" xfId="4176" xr:uid="{00000000-0005-0000-0000-0000D84B0000}"/>
    <cellStyle name="Normal 4 8 2 2 2 2" xfId="8402" xr:uid="{00000000-0005-0000-0000-0000D94B0000}"/>
    <cellStyle name="Normal 4 8 2 2 2 2 2" xfId="16850" xr:uid="{00000000-0005-0000-0000-0000DA4B0000}"/>
    <cellStyle name="Normal 4 8 2 2 2 2 2 2" xfId="33790" xr:uid="{00000000-0005-0000-0000-0000DB4B0000}"/>
    <cellStyle name="Normal 4 8 2 2 2 2 3" xfId="25342" xr:uid="{00000000-0005-0000-0000-0000DC4B0000}"/>
    <cellStyle name="Normal 4 8 2 2 2 3" xfId="12626" xr:uid="{00000000-0005-0000-0000-0000DD4B0000}"/>
    <cellStyle name="Normal 4 8 2 2 2 3 2" xfId="29566" xr:uid="{00000000-0005-0000-0000-0000DE4B0000}"/>
    <cellStyle name="Normal 4 8 2 2 2 4" xfId="21118" xr:uid="{00000000-0005-0000-0000-0000DF4B0000}"/>
    <cellStyle name="Normal 4 8 2 2 3" xfId="6290" xr:uid="{00000000-0005-0000-0000-0000E04B0000}"/>
    <cellStyle name="Normal 4 8 2 2 3 2" xfId="14738" xr:uid="{00000000-0005-0000-0000-0000E14B0000}"/>
    <cellStyle name="Normal 4 8 2 2 3 2 2" xfId="31678" xr:uid="{00000000-0005-0000-0000-0000E24B0000}"/>
    <cellStyle name="Normal 4 8 2 2 3 3" xfId="23230" xr:uid="{00000000-0005-0000-0000-0000E34B0000}"/>
    <cellStyle name="Normal 4 8 2 2 4" xfId="10514" xr:uid="{00000000-0005-0000-0000-0000E44B0000}"/>
    <cellStyle name="Normal 4 8 2 2 4 2" xfId="27454" xr:uid="{00000000-0005-0000-0000-0000E54B0000}"/>
    <cellStyle name="Normal 4 8 2 2 5" xfId="19006" xr:uid="{00000000-0005-0000-0000-0000E64B0000}"/>
    <cellStyle name="Normal 4 8 2 3" xfId="3120" xr:uid="{00000000-0005-0000-0000-0000E74B0000}"/>
    <cellStyle name="Normal 4 8 2 3 2" xfId="7346" xr:uid="{00000000-0005-0000-0000-0000E84B0000}"/>
    <cellStyle name="Normal 4 8 2 3 2 2" xfId="15794" xr:uid="{00000000-0005-0000-0000-0000E94B0000}"/>
    <cellStyle name="Normal 4 8 2 3 2 2 2" xfId="32734" xr:uid="{00000000-0005-0000-0000-0000EA4B0000}"/>
    <cellStyle name="Normal 4 8 2 3 2 3" xfId="24286" xr:uid="{00000000-0005-0000-0000-0000EB4B0000}"/>
    <cellStyle name="Normal 4 8 2 3 3" xfId="11570" xr:uid="{00000000-0005-0000-0000-0000EC4B0000}"/>
    <cellStyle name="Normal 4 8 2 3 3 2" xfId="28510" xr:uid="{00000000-0005-0000-0000-0000ED4B0000}"/>
    <cellStyle name="Normal 4 8 2 3 4" xfId="20062" xr:uid="{00000000-0005-0000-0000-0000EE4B0000}"/>
    <cellStyle name="Normal 4 8 2 4" xfId="5234" xr:uid="{00000000-0005-0000-0000-0000EF4B0000}"/>
    <cellStyle name="Normal 4 8 2 4 2" xfId="13682" xr:uid="{00000000-0005-0000-0000-0000F04B0000}"/>
    <cellStyle name="Normal 4 8 2 4 2 2" xfId="30622" xr:uid="{00000000-0005-0000-0000-0000F14B0000}"/>
    <cellStyle name="Normal 4 8 2 4 3" xfId="22174" xr:uid="{00000000-0005-0000-0000-0000F24B0000}"/>
    <cellStyle name="Normal 4 8 2 5" xfId="9458" xr:uid="{00000000-0005-0000-0000-0000F34B0000}"/>
    <cellStyle name="Normal 4 8 2 5 2" xfId="26398" xr:uid="{00000000-0005-0000-0000-0000F44B0000}"/>
    <cellStyle name="Normal 4 8 2 6" xfId="17950" xr:uid="{00000000-0005-0000-0000-0000F54B0000}"/>
    <cellStyle name="Normal 4 8 3" xfId="1712" xr:uid="{00000000-0005-0000-0000-0000F64B0000}"/>
    <cellStyle name="Normal 4 8 3 2" xfId="3824" xr:uid="{00000000-0005-0000-0000-0000F74B0000}"/>
    <cellStyle name="Normal 4 8 3 2 2" xfId="8050" xr:uid="{00000000-0005-0000-0000-0000F84B0000}"/>
    <cellStyle name="Normal 4 8 3 2 2 2" xfId="16498" xr:uid="{00000000-0005-0000-0000-0000F94B0000}"/>
    <cellStyle name="Normal 4 8 3 2 2 2 2" xfId="33438" xr:uid="{00000000-0005-0000-0000-0000FA4B0000}"/>
    <cellStyle name="Normal 4 8 3 2 2 3" xfId="24990" xr:uid="{00000000-0005-0000-0000-0000FB4B0000}"/>
    <cellStyle name="Normal 4 8 3 2 3" xfId="12274" xr:uid="{00000000-0005-0000-0000-0000FC4B0000}"/>
    <cellStyle name="Normal 4 8 3 2 3 2" xfId="29214" xr:uid="{00000000-0005-0000-0000-0000FD4B0000}"/>
    <cellStyle name="Normal 4 8 3 2 4" xfId="20766" xr:uid="{00000000-0005-0000-0000-0000FE4B0000}"/>
    <cellStyle name="Normal 4 8 3 3" xfId="5938" xr:uid="{00000000-0005-0000-0000-0000FF4B0000}"/>
    <cellStyle name="Normal 4 8 3 3 2" xfId="14386" xr:uid="{00000000-0005-0000-0000-0000004C0000}"/>
    <cellStyle name="Normal 4 8 3 3 2 2" xfId="31326" xr:uid="{00000000-0005-0000-0000-0000014C0000}"/>
    <cellStyle name="Normal 4 8 3 3 3" xfId="22878" xr:uid="{00000000-0005-0000-0000-0000024C0000}"/>
    <cellStyle name="Normal 4 8 3 4" xfId="10162" xr:uid="{00000000-0005-0000-0000-0000034C0000}"/>
    <cellStyle name="Normal 4 8 3 4 2" xfId="27102" xr:uid="{00000000-0005-0000-0000-0000044C0000}"/>
    <cellStyle name="Normal 4 8 3 5" xfId="18654" xr:uid="{00000000-0005-0000-0000-0000054C0000}"/>
    <cellStyle name="Normal 4 8 4" xfId="2768" xr:uid="{00000000-0005-0000-0000-0000064C0000}"/>
    <cellStyle name="Normal 4 8 4 2" xfId="6994" xr:uid="{00000000-0005-0000-0000-0000074C0000}"/>
    <cellStyle name="Normal 4 8 4 2 2" xfId="15442" xr:uid="{00000000-0005-0000-0000-0000084C0000}"/>
    <cellStyle name="Normal 4 8 4 2 2 2" xfId="32382" xr:uid="{00000000-0005-0000-0000-0000094C0000}"/>
    <cellStyle name="Normal 4 8 4 2 3" xfId="23934" xr:uid="{00000000-0005-0000-0000-00000A4C0000}"/>
    <cellStyle name="Normal 4 8 4 3" xfId="11218" xr:uid="{00000000-0005-0000-0000-00000B4C0000}"/>
    <cellStyle name="Normal 4 8 4 3 2" xfId="28158" xr:uid="{00000000-0005-0000-0000-00000C4C0000}"/>
    <cellStyle name="Normal 4 8 4 4" xfId="19710" xr:uid="{00000000-0005-0000-0000-00000D4C0000}"/>
    <cellStyle name="Normal 4 8 5" xfId="4882" xr:uid="{00000000-0005-0000-0000-00000E4C0000}"/>
    <cellStyle name="Normal 4 8 5 2" xfId="13330" xr:uid="{00000000-0005-0000-0000-00000F4C0000}"/>
    <cellStyle name="Normal 4 8 5 2 2" xfId="30270" xr:uid="{00000000-0005-0000-0000-0000104C0000}"/>
    <cellStyle name="Normal 4 8 5 3" xfId="21822" xr:uid="{00000000-0005-0000-0000-0000114C0000}"/>
    <cellStyle name="Normal 4 8 6" xfId="9106" xr:uid="{00000000-0005-0000-0000-0000124C0000}"/>
    <cellStyle name="Normal 4 8 6 2" xfId="26046" xr:uid="{00000000-0005-0000-0000-0000134C0000}"/>
    <cellStyle name="Normal 4 8 7" xfId="17598" xr:uid="{00000000-0005-0000-0000-0000144C0000}"/>
    <cellStyle name="Normal 4 9" xfId="826" xr:uid="{00000000-0005-0000-0000-0000154C0000}"/>
    <cellStyle name="Normal 4 9 2" xfId="1888" xr:uid="{00000000-0005-0000-0000-0000164C0000}"/>
    <cellStyle name="Normal 4 9 2 2" xfId="4000" xr:uid="{00000000-0005-0000-0000-0000174C0000}"/>
    <cellStyle name="Normal 4 9 2 2 2" xfId="8226" xr:uid="{00000000-0005-0000-0000-0000184C0000}"/>
    <cellStyle name="Normal 4 9 2 2 2 2" xfId="16674" xr:uid="{00000000-0005-0000-0000-0000194C0000}"/>
    <cellStyle name="Normal 4 9 2 2 2 2 2" xfId="33614" xr:uid="{00000000-0005-0000-0000-00001A4C0000}"/>
    <cellStyle name="Normal 4 9 2 2 2 3" xfId="25166" xr:uid="{00000000-0005-0000-0000-00001B4C0000}"/>
    <cellStyle name="Normal 4 9 2 2 3" xfId="12450" xr:uid="{00000000-0005-0000-0000-00001C4C0000}"/>
    <cellStyle name="Normal 4 9 2 2 3 2" xfId="29390" xr:uid="{00000000-0005-0000-0000-00001D4C0000}"/>
    <cellStyle name="Normal 4 9 2 2 4" xfId="20942" xr:uid="{00000000-0005-0000-0000-00001E4C0000}"/>
    <cellStyle name="Normal 4 9 2 3" xfId="6114" xr:uid="{00000000-0005-0000-0000-00001F4C0000}"/>
    <cellStyle name="Normal 4 9 2 3 2" xfId="14562" xr:uid="{00000000-0005-0000-0000-0000204C0000}"/>
    <cellStyle name="Normal 4 9 2 3 2 2" xfId="31502" xr:uid="{00000000-0005-0000-0000-0000214C0000}"/>
    <cellStyle name="Normal 4 9 2 3 3" xfId="23054" xr:uid="{00000000-0005-0000-0000-0000224C0000}"/>
    <cellStyle name="Normal 4 9 2 4" xfId="10338" xr:uid="{00000000-0005-0000-0000-0000234C0000}"/>
    <cellStyle name="Normal 4 9 2 4 2" xfId="27278" xr:uid="{00000000-0005-0000-0000-0000244C0000}"/>
    <cellStyle name="Normal 4 9 2 5" xfId="18830" xr:uid="{00000000-0005-0000-0000-0000254C0000}"/>
    <cellStyle name="Normal 4 9 3" xfId="2944" xr:uid="{00000000-0005-0000-0000-0000264C0000}"/>
    <cellStyle name="Normal 4 9 3 2" xfId="7170" xr:uid="{00000000-0005-0000-0000-0000274C0000}"/>
    <cellStyle name="Normal 4 9 3 2 2" xfId="15618" xr:uid="{00000000-0005-0000-0000-0000284C0000}"/>
    <cellStyle name="Normal 4 9 3 2 2 2" xfId="32558" xr:uid="{00000000-0005-0000-0000-0000294C0000}"/>
    <cellStyle name="Normal 4 9 3 2 3" xfId="24110" xr:uid="{00000000-0005-0000-0000-00002A4C0000}"/>
    <cellStyle name="Normal 4 9 3 3" xfId="11394" xr:uid="{00000000-0005-0000-0000-00002B4C0000}"/>
    <cellStyle name="Normal 4 9 3 3 2" xfId="28334" xr:uid="{00000000-0005-0000-0000-00002C4C0000}"/>
    <cellStyle name="Normal 4 9 3 4" xfId="19886" xr:uid="{00000000-0005-0000-0000-00002D4C0000}"/>
    <cellStyle name="Normal 4 9 4" xfId="5058" xr:uid="{00000000-0005-0000-0000-00002E4C0000}"/>
    <cellStyle name="Normal 4 9 4 2" xfId="13506" xr:uid="{00000000-0005-0000-0000-00002F4C0000}"/>
    <cellStyle name="Normal 4 9 4 2 2" xfId="30446" xr:uid="{00000000-0005-0000-0000-0000304C0000}"/>
    <cellStyle name="Normal 4 9 4 3" xfId="21998" xr:uid="{00000000-0005-0000-0000-0000314C0000}"/>
    <cellStyle name="Normal 4 9 5" xfId="9282" xr:uid="{00000000-0005-0000-0000-0000324C0000}"/>
    <cellStyle name="Normal 4 9 5 2" xfId="26222" xr:uid="{00000000-0005-0000-0000-0000334C0000}"/>
    <cellStyle name="Normal 4 9 6" xfId="17774" xr:uid="{00000000-0005-0000-0000-0000344C0000}"/>
    <cellStyle name="Normal 40" xfId="359" xr:uid="{00000000-0005-0000-0000-0000354C0000}"/>
    <cellStyle name="Normal 41" xfId="360" xr:uid="{00000000-0005-0000-0000-0000364C0000}"/>
    <cellStyle name="Normal 41 10" xfId="8939" xr:uid="{00000000-0005-0000-0000-0000374C0000}"/>
    <cellStyle name="Normal 41 10 2" xfId="25879" xr:uid="{00000000-0005-0000-0000-0000384C0000}"/>
    <cellStyle name="Normal 41 11" xfId="17431" xr:uid="{00000000-0005-0000-0000-0000394C0000}"/>
    <cellStyle name="Normal 41 2" xfId="361" xr:uid="{00000000-0005-0000-0000-00003A4C0000}"/>
    <cellStyle name="Normal 41 2 10" xfId="17432" xr:uid="{00000000-0005-0000-0000-00003B4C0000}"/>
    <cellStyle name="Normal 41 2 2" xfId="660" xr:uid="{00000000-0005-0000-0000-00003C4C0000}"/>
    <cellStyle name="Normal 41 2 2 2" xfId="1012" xr:uid="{00000000-0005-0000-0000-00003D4C0000}"/>
    <cellStyle name="Normal 41 2 2 2 2" xfId="2074" xr:uid="{00000000-0005-0000-0000-00003E4C0000}"/>
    <cellStyle name="Normal 41 2 2 2 2 2" xfId="4186" xr:uid="{00000000-0005-0000-0000-00003F4C0000}"/>
    <cellStyle name="Normal 41 2 2 2 2 2 2" xfId="8412" xr:uid="{00000000-0005-0000-0000-0000404C0000}"/>
    <cellStyle name="Normal 41 2 2 2 2 2 2 2" xfId="16860" xr:uid="{00000000-0005-0000-0000-0000414C0000}"/>
    <cellStyle name="Normal 41 2 2 2 2 2 2 2 2" xfId="33800" xr:uid="{00000000-0005-0000-0000-0000424C0000}"/>
    <cellStyle name="Normal 41 2 2 2 2 2 2 3" xfId="25352" xr:uid="{00000000-0005-0000-0000-0000434C0000}"/>
    <cellStyle name="Normal 41 2 2 2 2 2 3" xfId="12636" xr:uid="{00000000-0005-0000-0000-0000444C0000}"/>
    <cellStyle name="Normal 41 2 2 2 2 2 3 2" xfId="29576" xr:uid="{00000000-0005-0000-0000-0000454C0000}"/>
    <cellStyle name="Normal 41 2 2 2 2 2 4" xfId="21128" xr:uid="{00000000-0005-0000-0000-0000464C0000}"/>
    <cellStyle name="Normal 41 2 2 2 2 3" xfId="6300" xr:uid="{00000000-0005-0000-0000-0000474C0000}"/>
    <cellStyle name="Normal 41 2 2 2 2 3 2" xfId="14748" xr:uid="{00000000-0005-0000-0000-0000484C0000}"/>
    <cellStyle name="Normal 41 2 2 2 2 3 2 2" xfId="31688" xr:uid="{00000000-0005-0000-0000-0000494C0000}"/>
    <cellStyle name="Normal 41 2 2 2 2 3 3" xfId="23240" xr:uid="{00000000-0005-0000-0000-00004A4C0000}"/>
    <cellStyle name="Normal 41 2 2 2 2 4" xfId="10524" xr:uid="{00000000-0005-0000-0000-00004B4C0000}"/>
    <cellStyle name="Normal 41 2 2 2 2 4 2" xfId="27464" xr:uid="{00000000-0005-0000-0000-00004C4C0000}"/>
    <cellStyle name="Normal 41 2 2 2 2 5" xfId="19016" xr:uid="{00000000-0005-0000-0000-00004D4C0000}"/>
    <cellStyle name="Normal 41 2 2 2 3" xfId="3130" xr:uid="{00000000-0005-0000-0000-00004E4C0000}"/>
    <cellStyle name="Normal 41 2 2 2 3 2" xfId="7356" xr:uid="{00000000-0005-0000-0000-00004F4C0000}"/>
    <cellStyle name="Normal 41 2 2 2 3 2 2" xfId="15804" xr:uid="{00000000-0005-0000-0000-0000504C0000}"/>
    <cellStyle name="Normal 41 2 2 2 3 2 2 2" xfId="32744" xr:uid="{00000000-0005-0000-0000-0000514C0000}"/>
    <cellStyle name="Normal 41 2 2 2 3 2 3" xfId="24296" xr:uid="{00000000-0005-0000-0000-0000524C0000}"/>
    <cellStyle name="Normal 41 2 2 2 3 3" xfId="11580" xr:uid="{00000000-0005-0000-0000-0000534C0000}"/>
    <cellStyle name="Normal 41 2 2 2 3 3 2" xfId="28520" xr:uid="{00000000-0005-0000-0000-0000544C0000}"/>
    <cellStyle name="Normal 41 2 2 2 3 4" xfId="20072" xr:uid="{00000000-0005-0000-0000-0000554C0000}"/>
    <cellStyle name="Normal 41 2 2 2 4" xfId="5244" xr:uid="{00000000-0005-0000-0000-0000564C0000}"/>
    <cellStyle name="Normal 41 2 2 2 4 2" xfId="13692" xr:uid="{00000000-0005-0000-0000-0000574C0000}"/>
    <cellStyle name="Normal 41 2 2 2 4 2 2" xfId="30632" xr:uid="{00000000-0005-0000-0000-0000584C0000}"/>
    <cellStyle name="Normal 41 2 2 2 4 3" xfId="22184" xr:uid="{00000000-0005-0000-0000-0000594C0000}"/>
    <cellStyle name="Normal 41 2 2 2 5" xfId="9468" xr:uid="{00000000-0005-0000-0000-00005A4C0000}"/>
    <cellStyle name="Normal 41 2 2 2 5 2" xfId="26408" xr:uid="{00000000-0005-0000-0000-00005B4C0000}"/>
    <cellStyle name="Normal 41 2 2 2 6" xfId="17960" xr:uid="{00000000-0005-0000-0000-00005C4C0000}"/>
    <cellStyle name="Normal 41 2 2 3" xfId="1722" xr:uid="{00000000-0005-0000-0000-00005D4C0000}"/>
    <cellStyle name="Normal 41 2 2 3 2" xfId="3834" xr:uid="{00000000-0005-0000-0000-00005E4C0000}"/>
    <cellStyle name="Normal 41 2 2 3 2 2" xfId="8060" xr:uid="{00000000-0005-0000-0000-00005F4C0000}"/>
    <cellStyle name="Normal 41 2 2 3 2 2 2" xfId="16508" xr:uid="{00000000-0005-0000-0000-0000604C0000}"/>
    <cellStyle name="Normal 41 2 2 3 2 2 2 2" xfId="33448" xr:uid="{00000000-0005-0000-0000-0000614C0000}"/>
    <cellStyle name="Normal 41 2 2 3 2 2 3" xfId="25000" xr:uid="{00000000-0005-0000-0000-0000624C0000}"/>
    <cellStyle name="Normal 41 2 2 3 2 3" xfId="12284" xr:uid="{00000000-0005-0000-0000-0000634C0000}"/>
    <cellStyle name="Normal 41 2 2 3 2 3 2" xfId="29224" xr:uid="{00000000-0005-0000-0000-0000644C0000}"/>
    <cellStyle name="Normal 41 2 2 3 2 4" xfId="20776" xr:uid="{00000000-0005-0000-0000-0000654C0000}"/>
    <cellStyle name="Normal 41 2 2 3 3" xfId="5948" xr:uid="{00000000-0005-0000-0000-0000664C0000}"/>
    <cellStyle name="Normal 41 2 2 3 3 2" xfId="14396" xr:uid="{00000000-0005-0000-0000-0000674C0000}"/>
    <cellStyle name="Normal 41 2 2 3 3 2 2" xfId="31336" xr:uid="{00000000-0005-0000-0000-0000684C0000}"/>
    <cellStyle name="Normal 41 2 2 3 3 3" xfId="22888" xr:uid="{00000000-0005-0000-0000-0000694C0000}"/>
    <cellStyle name="Normal 41 2 2 3 4" xfId="10172" xr:uid="{00000000-0005-0000-0000-00006A4C0000}"/>
    <cellStyle name="Normal 41 2 2 3 4 2" xfId="27112" xr:uid="{00000000-0005-0000-0000-00006B4C0000}"/>
    <cellStyle name="Normal 41 2 2 3 5" xfId="18664" xr:uid="{00000000-0005-0000-0000-00006C4C0000}"/>
    <cellStyle name="Normal 41 2 2 4" xfId="2778" xr:uid="{00000000-0005-0000-0000-00006D4C0000}"/>
    <cellStyle name="Normal 41 2 2 4 2" xfId="7004" xr:uid="{00000000-0005-0000-0000-00006E4C0000}"/>
    <cellStyle name="Normal 41 2 2 4 2 2" xfId="15452" xr:uid="{00000000-0005-0000-0000-00006F4C0000}"/>
    <cellStyle name="Normal 41 2 2 4 2 2 2" xfId="32392" xr:uid="{00000000-0005-0000-0000-0000704C0000}"/>
    <cellStyle name="Normal 41 2 2 4 2 3" xfId="23944" xr:uid="{00000000-0005-0000-0000-0000714C0000}"/>
    <cellStyle name="Normal 41 2 2 4 3" xfId="11228" xr:uid="{00000000-0005-0000-0000-0000724C0000}"/>
    <cellStyle name="Normal 41 2 2 4 3 2" xfId="28168" xr:uid="{00000000-0005-0000-0000-0000734C0000}"/>
    <cellStyle name="Normal 41 2 2 4 4" xfId="19720" xr:uid="{00000000-0005-0000-0000-0000744C0000}"/>
    <cellStyle name="Normal 41 2 2 5" xfId="4892" xr:uid="{00000000-0005-0000-0000-0000754C0000}"/>
    <cellStyle name="Normal 41 2 2 5 2" xfId="13340" xr:uid="{00000000-0005-0000-0000-0000764C0000}"/>
    <cellStyle name="Normal 41 2 2 5 2 2" xfId="30280" xr:uid="{00000000-0005-0000-0000-0000774C0000}"/>
    <cellStyle name="Normal 41 2 2 5 3" xfId="21832" xr:uid="{00000000-0005-0000-0000-0000784C0000}"/>
    <cellStyle name="Normal 41 2 2 6" xfId="9116" xr:uid="{00000000-0005-0000-0000-0000794C0000}"/>
    <cellStyle name="Normal 41 2 2 6 2" xfId="26056" xr:uid="{00000000-0005-0000-0000-00007A4C0000}"/>
    <cellStyle name="Normal 41 2 2 7" xfId="17608" xr:uid="{00000000-0005-0000-0000-00007B4C0000}"/>
    <cellStyle name="Normal 41 2 3" xfId="836" xr:uid="{00000000-0005-0000-0000-00007C4C0000}"/>
    <cellStyle name="Normal 41 2 3 2" xfId="1898" xr:uid="{00000000-0005-0000-0000-00007D4C0000}"/>
    <cellStyle name="Normal 41 2 3 2 2" xfId="4010" xr:uid="{00000000-0005-0000-0000-00007E4C0000}"/>
    <cellStyle name="Normal 41 2 3 2 2 2" xfId="8236" xr:uid="{00000000-0005-0000-0000-00007F4C0000}"/>
    <cellStyle name="Normal 41 2 3 2 2 2 2" xfId="16684" xr:uid="{00000000-0005-0000-0000-0000804C0000}"/>
    <cellStyle name="Normal 41 2 3 2 2 2 2 2" xfId="33624" xr:uid="{00000000-0005-0000-0000-0000814C0000}"/>
    <cellStyle name="Normal 41 2 3 2 2 2 3" xfId="25176" xr:uid="{00000000-0005-0000-0000-0000824C0000}"/>
    <cellStyle name="Normal 41 2 3 2 2 3" xfId="12460" xr:uid="{00000000-0005-0000-0000-0000834C0000}"/>
    <cellStyle name="Normal 41 2 3 2 2 3 2" xfId="29400" xr:uid="{00000000-0005-0000-0000-0000844C0000}"/>
    <cellStyle name="Normal 41 2 3 2 2 4" xfId="20952" xr:uid="{00000000-0005-0000-0000-0000854C0000}"/>
    <cellStyle name="Normal 41 2 3 2 3" xfId="6124" xr:uid="{00000000-0005-0000-0000-0000864C0000}"/>
    <cellStyle name="Normal 41 2 3 2 3 2" xfId="14572" xr:uid="{00000000-0005-0000-0000-0000874C0000}"/>
    <cellStyle name="Normal 41 2 3 2 3 2 2" xfId="31512" xr:uid="{00000000-0005-0000-0000-0000884C0000}"/>
    <cellStyle name="Normal 41 2 3 2 3 3" xfId="23064" xr:uid="{00000000-0005-0000-0000-0000894C0000}"/>
    <cellStyle name="Normal 41 2 3 2 4" xfId="10348" xr:uid="{00000000-0005-0000-0000-00008A4C0000}"/>
    <cellStyle name="Normal 41 2 3 2 4 2" xfId="27288" xr:uid="{00000000-0005-0000-0000-00008B4C0000}"/>
    <cellStyle name="Normal 41 2 3 2 5" xfId="18840" xr:uid="{00000000-0005-0000-0000-00008C4C0000}"/>
    <cellStyle name="Normal 41 2 3 3" xfId="2954" xr:uid="{00000000-0005-0000-0000-00008D4C0000}"/>
    <cellStyle name="Normal 41 2 3 3 2" xfId="7180" xr:uid="{00000000-0005-0000-0000-00008E4C0000}"/>
    <cellStyle name="Normal 41 2 3 3 2 2" xfId="15628" xr:uid="{00000000-0005-0000-0000-00008F4C0000}"/>
    <cellStyle name="Normal 41 2 3 3 2 2 2" xfId="32568" xr:uid="{00000000-0005-0000-0000-0000904C0000}"/>
    <cellStyle name="Normal 41 2 3 3 2 3" xfId="24120" xr:uid="{00000000-0005-0000-0000-0000914C0000}"/>
    <cellStyle name="Normal 41 2 3 3 3" xfId="11404" xr:uid="{00000000-0005-0000-0000-0000924C0000}"/>
    <cellStyle name="Normal 41 2 3 3 3 2" xfId="28344" xr:uid="{00000000-0005-0000-0000-0000934C0000}"/>
    <cellStyle name="Normal 41 2 3 3 4" xfId="19896" xr:uid="{00000000-0005-0000-0000-0000944C0000}"/>
    <cellStyle name="Normal 41 2 3 4" xfId="5068" xr:uid="{00000000-0005-0000-0000-0000954C0000}"/>
    <cellStyle name="Normal 41 2 3 4 2" xfId="13516" xr:uid="{00000000-0005-0000-0000-0000964C0000}"/>
    <cellStyle name="Normal 41 2 3 4 2 2" xfId="30456" xr:uid="{00000000-0005-0000-0000-0000974C0000}"/>
    <cellStyle name="Normal 41 2 3 4 3" xfId="22008" xr:uid="{00000000-0005-0000-0000-0000984C0000}"/>
    <cellStyle name="Normal 41 2 3 5" xfId="9292" xr:uid="{00000000-0005-0000-0000-0000994C0000}"/>
    <cellStyle name="Normal 41 2 3 5 2" xfId="26232" xr:uid="{00000000-0005-0000-0000-00009A4C0000}"/>
    <cellStyle name="Normal 41 2 3 6" xfId="17784" xr:uid="{00000000-0005-0000-0000-00009B4C0000}"/>
    <cellStyle name="Normal 41 2 4" xfId="1188" xr:uid="{00000000-0005-0000-0000-00009C4C0000}"/>
    <cellStyle name="Normal 41 2 4 2" xfId="2250" xr:uid="{00000000-0005-0000-0000-00009D4C0000}"/>
    <cellStyle name="Normal 41 2 4 2 2" xfId="4362" xr:uid="{00000000-0005-0000-0000-00009E4C0000}"/>
    <cellStyle name="Normal 41 2 4 2 2 2" xfId="8588" xr:uid="{00000000-0005-0000-0000-00009F4C0000}"/>
    <cellStyle name="Normal 41 2 4 2 2 2 2" xfId="17036" xr:uid="{00000000-0005-0000-0000-0000A04C0000}"/>
    <cellStyle name="Normal 41 2 4 2 2 2 2 2" xfId="33976" xr:uid="{00000000-0005-0000-0000-0000A14C0000}"/>
    <cellStyle name="Normal 41 2 4 2 2 2 3" xfId="25528" xr:uid="{00000000-0005-0000-0000-0000A24C0000}"/>
    <cellStyle name="Normal 41 2 4 2 2 3" xfId="12812" xr:uid="{00000000-0005-0000-0000-0000A34C0000}"/>
    <cellStyle name="Normal 41 2 4 2 2 3 2" xfId="29752" xr:uid="{00000000-0005-0000-0000-0000A44C0000}"/>
    <cellStyle name="Normal 41 2 4 2 2 4" xfId="21304" xr:uid="{00000000-0005-0000-0000-0000A54C0000}"/>
    <cellStyle name="Normal 41 2 4 2 3" xfId="6476" xr:uid="{00000000-0005-0000-0000-0000A64C0000}"/>
    <cellStyle name="Normal 41 2 4 2 3 2" xfId="14924" xr:uid="{00000000-0005-0000-0000-0000A74C0000}"/>
    <cellStyle name="Normal 41 2 4 2 3 2 2" xfId="31864" xr:uid="{00000000-0005-0000-0000-0000A84C0000}"/>
    <cellStyle name="Normal 41 2 4 2 3 3" xfId="23416" xr:uid="{00000000-0005-0000-0000-0000A94C0000}"/>
    <cellStyle name="Normal 41 2 4 2 4" xfId="10700" xr:uid="{00000000-0005-0000-0000-0000AA4C0000}"/>
    <cellStyle name="Normal 41 2 4 2 4 2" xfId="27640" xr:uid="{00000000-0005-0000-0000-0000AB4C0000}"/>
    <cellStyle name="Normal 41 2 4 2 5" xfId="19192" xr:uid="{00000000-0005-0000-0000-0000AC4C0000}"/>
    <cellStyle name="Normal 41 2 4 3" xfId="3306" xr:uid="{00000000-0005-0000-0000-0000AD4C0000}"/>
    <cellStyle name="Normal 41 2 4 3 2" xfId="7532" xr:uid="{00000000-0005-0000-0000-0000AE4C0000}"/>
    <cellStyle name="Normal 41 2 4 3 2 2" xfId="15980" xr:uid="{00000000-0005-0000-0000-0000AF4C0000}"/>
    <cellStyle name="Normal 41 2 4 3 2 2 2" xfId="32920" xr:uid="{00000000-0005-0000-0000-0000B04C0000}"/>
    <cellStyle name="Normal 41 2 4 3 2 3" xfId="24472" xr:uid="{00000000-0005-0000-0000-0000B14C0000}"/>
    <cellStyle name="Normal 41 2 4 3 3" xfId="11756" xr:uid="{00000000-0005-0000-0000-0000B24C0000}"/>
    <cellStyle name="Normal 41 2 4 3 3 2" xfId="28696" xr:uid="{00000000-0005-0000-0000-0000B34C0000}"/>
    <cellStyle name="Normal 41 2 4 3 4" xfId="20248" xr:uid="{00000000-0005-0000-0000-0000B44C0000}"/>
    <cellStyle name="Normal 41 2 4 4" xfId="5420" xr:uid="{00000000-0005-0000-0000-0000B54C0000}"/>
    <cellStyle name="Normal 41 2 4 4 2" xfId="13868" xr:uid="{00000000-0005-0000-0000-0000B64C0000}"/>
    <cellStyle name="Normal 41 2 4 4 2 2" xfId="30808" xr:uid="{00000000-0005-0000-0000-0000B74C0000}"/>
    <cellStyle name="Normal 41 2 4 4 3" xfId="22360" xr:uid="{00000000-0005-0000-0000-0000B84C0000}"/>
    <cellStyle name="Normal 41 2 4 5" xfId="9644" xr:uid="{00000000-0005-0000-0000-0000B94C0000}"/>
    <cellStyle name="Normal 41 2 4 5 2" xfId="26584" xr:uid="{00000000-0005-0000-0000-0000BA4C0000}"/>
    <cellStyle name="Normal 41 2 4 6" xfId="18136" xr:uid="{00000000-0005-0000-0000-0000BB4C0000}"/>
    <cellStyle name="Normal 41 2 5" xfId="1370" xr:uid="{00000000-0005-0000-0000-0000BC4C0000}"/>
    <cellStyle name="Normal 41 2 5 2" xfId="2426" xr:uid="{00000000-0005-0000-0000-0000BD4C0000}"/>
    <cellStyle name="Normal 41 2 5 2 2" xfId="4538" xr:uid="{00000000-0005-0000-0000-0000BE4C0000}"/>
    <cellStyle name="Normal 41 2 5 2 2 2" xfId="8764" xr:uid="{00000000-0005-0000-0000-0000BF4C0000}"/>
    <cellStyle name="Normal 41 2 5 2 2 2 2" xfId="17212" xr:uid="{00000000-0005-0000-0000-0000C04C0000}"/>
    <cellStyle name="Normal 41 2 5 2 2 2 2 2" xfId="34152" xr:uid="{00000000-0005-0000-0000-0000C14C0000}"/>
    <cellStyle name="Normal 41 2 5 2 2 2 3" xfId="25704" xr:uid="{00000000-0005-0000-0000-0000C24C0000}"/>
    <cellStyle name="Normal 41 2 5 2 2 3" xfId="12988" xr:uid="{00000000-0005-0000-0000-0000C34C0000}"/>
    <cellStyle name="Normal 41 2 5 2 2 3 2" xfId="29928" xr:uid="{00000000-0005-0000-0000-0000C44C0000}"/>
    <cellStyle name="Normal 41 2 5 2 2 4" xfId="21480" xr:uid="{00000000-0005-0000-0000-0000C54C0000}"/>
    <cellStyle name="Normal 41 2 5 2 3" xfId="6652" xr:uid="{00000000-0005-0000-0000-0000C64C0000}"/>
    <cellStyle name="Normal 41 2 5 2 3 2" xfId="15100" xr:uid="{00000000-0005-0000-0000-0000C74C0000}"/>
    <cellStyle name="Normal 41 2 5 2 3 2 2" xfId="32040" xr:uid="{00000000-0005-0000-0000-0000C84C0000}"/>
    <cellStyle name="Normal 41 2 5 2 3 3" xfId="23592" xr:uid="{00000000-0005-0000-0000-0000C94C0000}"/>
    <cellStyle name="Normal 41 2 5 2 4" xfId="10876" xr:uid="{00000000-0005-0000-0000-0000CA4C0000}"/>
    <cellStyle name="Normal 41 2 5 2 4 2" xfId="27816" xr:uid="{00000000-0005-0000-0000-0000CB4C0000}"/>
    <cellStyle name="Normal 41 2 5 2 5" xfId="19368" xr:uid="{00000000-0005-0000-0000-0000CC4C0000}"/>
    <cellStyle name="Normal 41 2 5 3" xfId="3482" xr:uid="{00000000-0005-0000-0000-0000CD4C0000}"/>
    <cellStyle name="Normal 41 2 5 3 2" xfId="7708" xr:uid="{00000000-0005-0000-0000-0000CE4C0000}"/>
    <cellStyle name="Normal 41 2 5 3 2 2" xfId="16156" xr:uid="{00000000-0005-0000-0000-0000CF4C0000}"/>
    <cellStyle name="Normal 41 2 5 3 2 2 2" xfId="33096" xr:uid="{00000000-0005-0000-0000-0000D04C0000}"/>
    <cellStyle name="Normal 41 2 5 3 2 3" xfId="24648" xr:uid="{00000000-0005-0000-0000-0000D14C0000}"/>
    <cellStyle name="Normal 41 2 5 3 3" xfId="11932" xr:uid="{00000000-0005-0000-0000-0000D24C0000}"/>
    <cellStyle name="Normal 41 2 5 3 3 2" xfId="28872" xr:uid="{00000000-0005-0000-0000-0000D34C0000}"/>
    <cellStyle name="Normal 41 2 5 3 4" xfId="20424" xr:uid="{00000000-0005-0000-0000-0000D44C0000}"/>
    <cellStyle name="Normal 41 2 5 4" xfId="5596" xr:uid="{00000000-0005-0000-0000-0000D54C0000}"/>
    <cellStyle name="Normal 41 2 5 4 2" xfId="14044" xr:uid="{00000000-0005-0000-0000-0000D64C0000}"/>
    <cellStyle name="Normal 41 2 5 4 2 2" xfId="30984" xr:uid="{00000000-0005-0000-0000-0000D74C0000}"/>
    <cellStyle name="Normal 41 2 5 4 3" xfId="22536" xr:uid="{00000000-0005-0000-0000-0000D84C0000}"/>
    <cellStyle name="Normal 41 2 5 5" xfId="9820" xr:uid="{00000000-0005-0000-0000-0000D94C0000}"/>
    <cellStyle name="Normal 41 2 5 5 2" xfId="26760" xr:uid="{00000000-0005-0000-0000-0000DA4C0000}"/>
    <cellStyle name="Normal 41 2 5 6" xfId="18312" xr:uid="{00000000-0005-0000-0000-0000DB4C0000}"/>
    <cellStyle name="Normal 41 2 6" xfId="1546" xr:uid="{00000000-0005-0000-0000-0000DC4C0000}"/>
    <cellStyle name="Normal 41 2 6 2" xfId="3658" xr:uid="{00000000-0005-0000-0000-0000DD4C0000}"/>
    <cellStyle name="Normal 41 2 6 2 2" xfId="7884" xr:uid="{00000000-0005-0000-0000-0000DE4C0000}"/>
    <cellStyle name="Normal 41 2 6 2 2 2" xfId="16332" xr:uid="{00000000-0005-0000-0000-0000DF4C0000}"/>
    <cellStyle name="Normal 41 2 6 2 2 2 2" xfId="33272" xr:uid="{00000000-0005-0000-0000-0000E04C0000}"/>
    <cellStyle name="Normal 41 2 6 2 2 3" xfId="24824" xr:uid="{00000000-0005-0000-0000-0000E14C0000}"/>
    <cellStyle name="Normal 41 2 6 2 3" xfId="12108" xr:uid="{00000000-0005-0000-0000-0000E24C0000}"/>
    <cellStyle name="Normal 41 2 6 2 3 2" xfId="29048" xr:uid="{00000000-0005-0000-0000-0000E34C0000}"/>
    <cellStyle name="Normal 41 2 6 2 4" xfId="20600" xr:uid="{00000000-0005-0000-0000-0000E44C0000}"/>
    <cellStyle name="Normal 41 2 6 3" xfId="5772" xr:uid="{00000000-0005-0000-0000-0000E54C0000}"/>
    <cellStyle name="Normal 41 2 6 3 2" xfId="14220" xr:uid="{00000000-0005-0000-0000-0000E64C0000}"/>
    <cellStyle name="Normal 41 2 6 3 2 2" xfId="31160" xr:uid="{00000000-0005-0000-0000-0000E74C0000}"/>
    <cellStyle name="Normal 41 2 6 3 3" xfId="22712" xr:uid="{00000000-0005-0000-0000-0000E84C0000}"/>
    <cellStyle name="Normal 41 2 6 4" xfId="9996" xr:uid="{00000000-0005-0000-0000-0000E94C0000}"/>
    <cellStyle name="Normal 41 2 6 4 2" xfId="26936" xr:uid="{00000000-0005-0000-0000-0000EA4C0000}"/>
    <cellStyle name="Normal 41 2 6 5" xfId="18488" xr:uid="{00000000-0005-0000-0000-0000EB4C0000}"/>
    <cellStyle name="Normal 41 2 7" xfId="2602" xr:uid="{00000000-0005-0000-0000-0000EC4C0000}"/>
    <cellStyle name="Normal 41 2 7 2" xfId="6828" xr:uid="{00000000-0005-0000-0000-0000ED4C0000}"/>
    <cellStyle name="Normal 41 2 7 2 2" xfId="15276" xr:uid="{00000000-0005-0000-0000-0000EE4C0000}"/>
    <cellStyle name="Normal 41 2 7 2 2 2" xfId="32216" xr:uid="{00000000-0005-0000-0000-0000EF4C0000}"/>
    <cellStyle name="Normal 41 2 7 2 3" xfId="23768" xr:uid="{00000000-0005-0000-0000-0000F04C0000}"/>
    <cellStyle name="Normal 41 2 7 3" xfId="11052" xr:uid="{00000000-0005-0000-0000-0000F14C0000}"/>
    <cellStyle name="Normal 41 2 7 3 2" xfId="27992" xr:uid="{00000000-0005-0000-0000-0000F24C0000}"/>
    <cellStyle name="Normal 41 2 7 4" xfId="19544" xr:uid="{00000000-0005-0000-0000-0000F34C0000}"/>
    <cellStyle name="Normal 41 2 8" xfId="4715" xr:uid="{00000000-0005-0000-0000-0000F44C0000}"/>
    <cellStyle name="Normal 41 2 8 2" xfId="13164" xr:uid="{00000000-0005-0000-0000-0000F54C0000}"/>
    <cellStyle name="Normal 41 2 8 2 2" xfId="30104" xr:uid="{00000000-0005-0000-0000-0000F64C0000}"/>
    <cellStyle name="Normal 41 2 8 3" xfId="21656" xr:uid="{00000000-0005-0000-0000-0000F74C0000}"/>
    <cellStyle name="Normal 41 2 9" xfId="8940" xr:uid="{00000000-0005-0000-0000-0000F84C0000}"/>
    <cellStyle name="Normal 41 2 9 2" xfId="25880" xr:uid="{00000000-0005-0000-0000-0000F94C0000}"/>
    <cellStyle name="Normal 41 3" xfId="659" xr:uid="{00000000-0005-0000-0000-0000FA4C0000}"/>
    <cellStyle name="Normal 41 3 2" xfId="1011" xr:uid="{00000000-0005-0000-0000-0000FB4C0000}"/>
    <cellStyle name="Normal 41 3 2 2" xfId="2073" xr:uid="{00000000-0005-0000-0000-0000FC4C0000}"/>
    <cellStyle name="Normal 41 3 2 2 2" xfId="4185" xr:uid="{00000000-0005-0000-0000-0000FD4C0000}"/>
    <cellStyle name="Normal 41 3 2 2 2 2" xfId="8411" xr:uid="{00000000-0005-0000-0000-0000FE4C0000}"/>
    <cellStyle name="Normal 41 3 2 2 2 2 2" xfId="16859" xr:uid="{00000000-0005-0000-0000-0000FF4C0000}"/>
    <cellStyle name="Normal 41 3 2 2 2 2 2 2" xfId="33799" xr:uid="{00000000-0005-0000-0000-0000004D0000}"/>
    <cellStyle name="Normal 41 3 2 2 2 2 3" xfId="25351" xr:uid="{00000000-0005-0000-0000-0000014D0000}"/>
    <cellStyle name="Normal 41 3 2 2 2 3" xfId="12635" xr:uid="{00000000-0005-0000-0000-0000024D0000}"/>
    <cellStyle name="Normal 41 3 2 2 2 3 2" xfId="29575" xr:uid="{00000000-0005-0000-0000-0000034D0000}"/>
    <cellStyle name="Normal 41 3 2 2 2 4" xfId="21127" xr:uid="{00000000-0005-0000-0000-0000044D0000}"/>
    <cellStyle name="Normal 41 3 2 2 3" xfId="6299" xr:uid="{00000000-0005-0000-0000-0000054D0000}"/>
    <cellStyle name="Normal 41 3 2 2 3 2" xfId="14747" xr:uid="{00000000-0005-0000-0000-0000064D0000}"/>
    <cellStyle name="Normal 41 3 2 2 3 2 2" xfId="31687" xr:uid="{00000000-0005-0000-0000-0000074D0000}"/>
    <cellStyle name="Normal 41 3 2 2 3 3" xfId="23239" xr:uid="{00000000-0005-0000-0000-0000084D0000}"/>
    <cellStyle name="Normal 41 3 2 2 4" xfId="10523" xr:uid="{00000000-0005-0000-0000-0000094D0000}"/>
    <cellStyle name="Normal 41 3 2 2 4 2" xfId="27463" xr:uid="{00000000-0005-0000-0000-00000A4D0000}"/>
    <cellStyle name="Normal 41 3 2 2 5" xfId="19015" xr:uid="{00000000-0005-0000-0000-00000B4D0000}"/>
    <cellStyle name="Normal 41 3 2 3" xfId="3129" xr:uid="{00000000-0005-0000-0000-00000C4D0000}"/>
    <cellStyle name="Normal 41 3 2 3 2" xfId="7355" xr:uid="{00000000-0005-0000-0000-00000D4D0000}"/>
    <cellStyle name="Normal 41 3 2 3 2 2" xfId="15803" xr:uid="{00000000-0005-0000-0000-00000E4D0000}"/>
    <cellStyle name="Normal 41 3 2 3 2 2 2" xfId="32743" xr:uid="{00000000-0005-0000-0000-00000F4D0000}"/>
    <cellStyle name="Normal 41 3 2 3 2 3" xfId="24295" xr:uid="{00000000-0005-0000-0000-0000104D0000}"/>
    <cellStyle name="Normal 41 3 2 3 3" xfId="11579" xr:uid="{00000000-0005-0000-0000-0000114D0000}"/>
    <cellStyle name="Normal 41 3 2 3 3 2" xfId="28519" xr:uid="{00000000-0005-0000-0000-0000124D0000}"/>
    <cellStyle name="Normal 41 3 2 3 4" xfId="20071" xr:uid="{00000000-0005-0000-0000-0000134D0000}"/>
    <cellStyle name="Normal 41 3 2 4" xfId="5243" xr:uid="{00000000-0005-0000-0000-0000144D0000}"/>
    <cellStyle name="Normal 41 3 2 4 2" xfId="13691" xr:uid="{00000000-0005-0000-0000-0000154D0000}"/>
    <cellStyle name="Normal 41 3 2 4 2 2" xfId="30631" xr:uid="{00000000-0005-0000-0000-0000164D0000}"/>
    <cellStyle name="Normal 41 3 2 4 3" xfId="22183" xr:uid="{00000000-0005-0000-0000-0000174D0000}"/>
    <cellStyle name="Normal 41 3 2 5" xfId="9467" xr:uid="{00000000-0005-0000-0000-0000184D0000}"/>
    <cellStyle name="Normal 41 3 2 5 2" xfId="26407" xr:uid="{00000000-0005-0000-0000-0000194D0000}"/>
    <cellStyle name="Normal 41 3 2 6" xfId="17959" xr:uid="{00000000-0005-0000-0000-00001A4D0000}"/>
    <cellStyle name="Normal 41 3 3" xfId="1721" xr:uid="{00000000-0005-0000-0000-00001B4D0000}"/>
    <cellStyle name="Normal 41 3 3 2" xfId="3833" xr:uid="{00000000-0005-0000-0000-00001C4D0000}"/>
    <cellStyle name="Normal 41 3 3 2 2" xfId="8059" xr:uid="{00000000-0005-0000-0000-00001D4D0000}"/>
    <cellStyle name="Normal 41 3 3 2 2 2" xfId="16507" xr:uid="{00000000-0005-0000-0000-00001E4D0000}"/>
    <cellStyle name="Normal 41 3 3 2 2 2 2" xfId="33447" xr:uid="{00000000-0005-0000-0000-00001F4D0000}"/>
    <cellStyle name="Normal 41 3 3 2 2 3" xfId="24999" xr:uid="{00000000-0005-0000-0000-0000204D0000}"/>
    <cellStyle name="Normal 41 3 3 2 3" xfId="12283" xr:uid="{00000000-0005-0000-0000-0000214D0000}"/>
    <cellStyle name="Normal 41 3 3 2 3 2" xfId="29223" xr:uid="{00000000-0005-0000-0000-0000224D0000}"/>
    <cellStyle name="Normal 41 3 3 2 4" xfId="20775" xr:uid="{00000000-0005-0000-0000-0000234D0000}"/>
    <cellStyle name="Normal 41 3 3 3" xfId="5947" xr:uid="{00000000-0005-0000-0000-0000244D0000}"/>
    <cellStyle name="Normal 41 3 3 3 2" xfId="14395" xr:uid="{00000000-0005-0000-0000-0000254D0000}"/>
    <cellStyle name="Normal 41 3 3 3 2 2" xfId="31335" xr:uid="{00000000-0005-0000-0000-0000264D0000}"/>
    <cellStyle name="Normal 41 3 3 3 3" xfId="22887" xr:uid="{00000000-0005-0000-0000-0000274D0000}"/>
    <cellStyle name="Normal 41 3 3 4" xfId="10171" xr:uid="{00000000-0005-0000-0000-0000284D0000}"/>
    <cellStyle name="Normal 41 3 3 4 2" xfId="27111" xr:uid="{00000000-0005-0000-0000-0000294D0000}"/>
    <cellStyle name="Normal 41 3 3 5" xfId="18663" xr:uid="{00000000-0005-0000-0000-00002A4D0000}"/>
    <cellStyle name="Normal 41 3 4" xfId="2777" xr:uid="{00000000-0005-0000-0000-00002B4D0000}"/>
    <cellStyle name="Normal 41 3 4 2" xfId="7003" xr:uid="{00000000-0005-0000-0000-00002C4D0000}"/>
    <cellStyle name="Normal 41 3 4 2 2" xfId="15451" xr:uid="{00000000-0005-0000-0000-00002D4D0000}"/>
    <cellStyle name="Normal 41 3 4 2 2 2" xfId="32391" xr:uid="{00000000-0005-0000-0000-00002E4D0000}"/>
    <cellStyle name="Normal 41 3 4 2 3" xfId="23943" xr:uid="{00000000-0005-0000-0000-00002F4D0000}"/>
    <cellStyle name="Normal 41 3 4 3" xfId="11227" xr:uid="{00000000-0005-0000-0000-0000304D0000}"/>
    <cellStyle name="Normal 41 3 4 3 2" xfId="28167" xr:uid="{00000000-0005-0000-0000-0000314D0000}"/>
    <cellStyle name="Normal 41 3 4 4" xfId="19719" xr:uid="{00000000-0005-0000-0000-0000324D0000}"/>
    <cellStyle name="Normal 41 3 5" xfId="4891" xr:uid="{00000000-0005-0000-0000-0000334D0000}"/>
    <cellStyle name="Normal 41 3 5 2" xfId="13339" xr:uid="{00000000-0005-0000-0000-0000344D0000}"/>
    <cellStyle name="Normal 41 3 5 2 2" xfId="30279" xr:uid="{00000000-0005-0000-0000-0000354D0000}"/>
    <cellStyle name="Normal 41 3 5 3" xfId="21831" xr:uid="{00000000-0005-0000-0000-0000364D0000}"/>
    <cellStyle name="Normal 41 3 6" xfId="9115" xr:uid="{00000000-0005-0000-0000-0000374D0000}"/>
    <cellStyle name="Normal 41 3 6 2" xfId="26055" xr:uid="{00000000-0005-0000-0000-0000384D0000}"/>
    <cellStyle name="Normal 41 3 7" xfId="17607" xr:uid="{00000000-0005-0000-0000-0000394D0000}"/>
    <cellStyle name="Normal 41 4" xfId="835" xr:uid="{00000000-0005-0000-0000-00003A4D0000}"/>
    <cellStyle name="Normal 41 4 2" xfId="1897" xr:uid="{00000000-0005-0000-0000-00003B4D0000}"/>
    <cellStyle name="Normal 41 4 2 2" xfId="4009" xr:uid="{00000000-0005-0000-0000-00003C4D0000}"/>
    <cellStyle name="Normal 41 4 2 2 2" xfId="8235" xr:uid="{00000000-0005-0000-0000-00003D4D0000}"/>
    <cellStyle name="Normal 41 4 2 2 2 2" xfId="16683" xr:uid="{00000000-0005-0000-0000-00003E4D0000}"/>
    <cellStyle name="Normal 41 4 2 2 2 2 2" xfId="33623" xr:uid="{00000000-0005-0000-0000-00003F4D0000}"/>
    <cellStyle name="Normal 41 4 2 2 2 3" xfId="25175" xr:uid="{00000000-0005-0000-0000-0000404D0000}"/>
    <cellStyle name="Normal 41 4 2 2 3" xfId="12459" xr:uid="{00000000-0005-0000-0000-0000414D0000}"/>
    <cellStyle name="Normal 41 4 2 2 3 2" xfId="29399" xr:uid="{00000000-0005-0000-0000-0000424D0000}"/>
    <cellStyle name="Normal 41 4 2 2 4" xfId="20951" xr:uid="{00000000-0005-0000-0000-0000434D0000}"/>
    <cellStyle name="Normal 41 4 2 3" xfId="6123" xr:uid="{00000000-0005-0000-0000-0000444D0000}"/>
    <cellStyle name="Normal 41 4 2 3 2" xfId="14571" xr:uid="{00000000-0005-0000-0000-0000454D0000}"/>
    <cellStyle name="Normal 41 4 2 3 2 2" xfId="31511" xr:uid="{00000000-0005-0000-0000-0000464D0000}"/>
    <cellStyle name="Normal 41 4 2 3 3" xfId="23063" xr:uid="{00000000-0005-0000-0000-0000474D0000}"/>
    <cellStyle name="Normal 41 4 2 4" xfId="10347" xr:uid="{00000000-0005-0000-0000-0000484D0000}"/>
    <cellStyle name="Normal 41 4 2 4 2" xfId="27287" xr:uid="{00000000-0005-0000-0000-0000494D0000}"/>
    <cellStyle name="Normal 41 4 2 5" xfId="18839" xr:uid="{00000000-0005-0000-0000-00004A4D0000}"/>
    <cellStyle name="Normal 41 4 3" xfId="2953" xr:uid="{00000000-0005-0000-0000-00004B4D0000}"/>
    <cellStyle name="Normal 41 4 3 2" xfId="7179" xr:uid="{00000000-0005-0000-0000-00004C4D0000}"/>
    <cellStyle name="Normal 41 4 3 2 2" xfId="15627" xr:uid="{00000000-0005-0000-0000-00004D4D0000}"/>
    <cellStyle name="Normal 41 4 3 2 2 2" xfId="32567" xr:uid="{00000000-0005-0000-0000-00004E4D0000}"/>
    <cellStyle name="Normal 41 4 3 2 3" xfId="24119" xr:uid="{00000000-0005-0000-0000-00004F4D0000}"/>
    <cellStyle name="Normal 41 4 3 3" xfId="11403" xr:uid="{00000000-0005-0000-0000-0000504D0000}"/>
    <cellStyle name="Normal 41 4 3 3 2" xfId="28343" xr:uid="{00000000-0005-0000-0000-0000514D0000}"/>
    <cellStyle name="Normal 41 4 3 4" xfId="19895" xr:uid="{00000000-0005-0000-0000-0000524D0000}"/>
    <cellStyle name="Normal 41 4 4" xfId="5067" xr:uid="{00000000-0005-0000-0000-0000534D0000}"/>
    <cellStyle name="Normal 41 4 4 2" xfId="13515" xr:uid="{00000000-0005-0000-0000-0000544D0000}"/>
    <cellStyle name="Normal 41 4 4 2 2" xfId="30455" xr:uid="{00000000-0005-0000-0000-0000554D0000}"/>
    <cellStyle name="Normal 41 4 4 3" xfId="22007" xr:uid="{00000000-0005-0000-0000-0000564D0000}"/>
    <cellStyle name="Normal 41 4 5" xfId="9291" xr:uid="{00000000-0005-0000-0000-0000574D0000}"/>
    <cellStyle name="Normal 41 4 5 2" xfId="26231" xr:uid="{00000000-0005-0000-0000-0000584D0000}"/>
    <cellStyle name="Normal 41 4 6" xfId="17783" xr:uid="{00000000-0005-0000-0000-0000594D0000}"/>
    <cellStyle name="Normal 41 5" xfId="1187" xr:uid="{00000000-0005-0000-0000-00005A4D0000}"/>
    <cellStyle name="Normal 41 5 2" xfId="2249" xr:uid="{00000000-0005-0000-0000-00005B4D0000}"/>
    <cellStyle name="Normal 41 5 2 2" xfId="4361" xr:uid="{00000000-0005-0000-0000-00005C4D0000}"/>
    <cellStyle name="Normal 41 5 2 2 2" xfId="8587" xr:uid="{00000000-0005-0000-0000-00005D4D0000}"/>
    <cellStyle name="Normal 41 5 2 2 2 2" xfId="17035" xr:uid="{00000000-0005-0000-0000-00005E4D0000}"/>
    <cellStyle name="Normal 41 5 2 2 2 2 2" xfId="33975" xr:uid="{00000000-0005-0000-0000-00005F4D0000}"/>
    <cellStyle name="Normal 41 5 2 2 2 3" xfId="25527" xr:uid="{00000000-0005-0000-0000-0000604D0000}"/>
    <cellStyle name="Normal 41 5 2 2 3" xfId="12811" xr:uid="{00000000-0005-0000-0000-0000614D0000}"/>
    <cellStyle name="Normal 41 5 2 2 3 2" xfId="29751" xr:uid="{00000000-0005-0000-0000-0000624D0000}"/>
    <cellStyle name="Normal 41 5 2 2 4" xfId="21303" xr:uid="{00000000-0005-0000-0000-0000634D0000}"/>
    <cellStyle name="Normal 41 5 2 3" xfId="6475" xr:uid="{00000000-0005-0000-0000-0000644D0000}"/>
    <cellStyle name="Normal 41 5 2 3 2" xfId="14923" xr:uid="{00000000-0005-0000-0000-0000654D0000}"/>
    <cellStyle name="Normal 41 5 2 3 2 2" xfId="31863" xr:uid="{00000000-0005-0000-0000-0000664D0000}"/>
    <cellStyle name="Normal 41 5 2 3 3" xfId="23415" xr:uid="{00000000-0005-0000-0000-0000674D0000}"/>
    <cellStyle name="Normal 41 5 2 4" xfId="10699" xr:uid="{00000000-0005-0000-0000-0000684D0000}"/>
    <cellStyle name="Normal 41 5 2 4 2" xfId="27639" xr:uid="{00000000-0005-0000-0000-0000694D0000}"/>
    <cellStyle name="Normal 41 5 2 5" xfId="19191" xr:uid="{00000000-0005-0000-0000-00006A4D0000}"/>
    <cellStyle name="Normal 41 5 3" xfId="3305" xr:uid="{00000000-0005-0000-0000-00006B4D0000}"/>
    <cellStyle name="Normal 41 5 3 2" xfId="7531" xr:uid="{00000000-0005-0000-0000-00006C4D0000}"/>
    <cellStyle name="Normal 41 5 3 2 2" xfId="15979" xr:uid="{00000000-0005-0000-0000-00006D4D0000}"/>
    <cellStyle name="Normal 41 5 3 2 2 2" xfId="32919" xr:uid="{00000000-0005-0000-0000-00006E4D0000}"/>
    <cellStyle name="Normal 41 5 3 2 3" xfId="24471" xr:uid="{00000000-0005-0000-0000-00006F4D0000}"/>
    <cellStyle name="Normal 41 5 3 3" xfId="11755" xr:uid="{00000000-0005-0000-0000-0000704D0000}"/>
    <cellStyle name="Normal 41 5 3 3 2" xfId="28695" xr:uid="{00000000-0005-0000-0000-0000714D0000}"/>
    <cellStyle name="Normal 41 5 3 4" xfId="20247" xr:uid="{00000000-0005-0000-0000-0000724D0000}"/>
    <cellStyle name="Normal 41 5 4" xfId="5419" xr:uid="{00000000-0005-0000-0000-0000734D0000}"/>
    <cellStyle name="Normal 41 5 4 2" xfId="13867" xr:uid="{00000000-0005-0000-0000-0000744D0000}"/>
    <cellStyle name="Normal 41 5 4 2 2" xfId="30807" xr:uid="{00000000-0005-0000-0000-0000754D0000}"/>
    <cellStyle name="Normal 41 5 4 3" xfId="22359" xr:uid="{00000000-0005-0000-0000-0000764D0000}"/>
    <cellStyle name="Normal 41 5 5" xfId="9643" xr:uid="{00000000-0005-0000-0000-0000774D0000}"/>
    <cellStyle name="Normal 41 5 5 2" xfId="26583" xr:uid="{00000000-0005-0000-0000-0000784D0000}"/>
    <cellStyle name="Normal 41 5 6" xfId="18135" xr:uid="{00000000-0005-0000-0000-0000794D0000}"/>
    <cellStyle name="Normal 41 6" xfId="1369" xr:uid="{00000000-0005-0000-0000-00007A4D0000}"/>
    <cellStyle name="Normal 41 6 2" xfId="2425" xr:uid="{00000000-0005-0000-0000-00007B4D0000}"/>
    <cellStyle name="Normal 41 6 2 2" xfId="4537" xr:uid="{00000000-0005-0000-0000-00007C4D0000}"/>
    <cellStyle name="Normal 41 6 2 2 2" xfId="8763" xr:uid="{00000000-0005-0000-0000-00007D4D0000}"/>
    <cellStyle name="Normal 41 6 2 2 2 2" xfId="17211" xr:uid="{00000000-0005-0000-0000-00007E4D0000}"/>
    <cellStyle name="Normal 41 6 2 2 2 2 2" xfId="34151" xr:uid="{00000000-0005-0000-0000-00007F4D0000}"/>
    <cellStyle name="Normal 41 6 2 2 2 3" xfId="25703" xr:uid="{00000000-0005-0000-0000-0000804D0000}"/>
    <cellStyle name="Normal 41 6 2 2 3" xfId="12987" xr:uid="{00000000-0005-0000-0000-0000814D0000}"/>
    <cellStyle name="Normal 41 6 2 2 3 2" xfId="29927" xr:uid="{00000000-0005-0000-0000-0000824D0000}"/>
    <cellStyle name="Normal 41 6 2 2 4" xfId="21479" xr:uid="{00000000-0005-0000-0000-0000834D0000}"/>
    <cellStyle name="Normal 41 6 2 3" xfId="6651" xr:uid="{00000000-0005-0000-0000-0000844D0000}"/>
    <cellStyle name="Normal 41 6 2 3 2" xfId="15099" xr:uid="{00000000-0005-0000-0000-0000854D0000}"/>
    <cellStyle name="Normal 41 6 2 3 2 2" xfId="32039" xr:uid="{00000000-0005-0000-0000-0000864D0000}"/>
    <cellStyle name="Normal 41 6 2 3 3" xfId="23591" xr:uid="{00000000-0005-0000-0000-0000874D0000}"/>
    <cellStyle name="Normal 41 6 2 4" xfId="10875" xr:uid="{00000000-0005-0000-0000-0000884D0000}"/>
    <cellStyle name="Normal 41 6 2 4 2" xfId="27815" xr:uid="{00000000-0005-0000-0000-0000894D0000}"/>
    <cellStyle name="Normal 41 6 2 5" xfId="19367" xr:uid="{00000000-0005-0000-0000-00008A4D0000}"/>
    <cellStyle name="Normal 41 6 3" xfId="3481" xr:uid="{00000000-0005-0000-0000-00008B4D0000}"/>
    <cellStyle name="Normal 41 6 3 2" xfId="7707" xr:uid="{00000000-0005-0000-0000-00008C4D0000}"/>
    <cellStyle name="Normal 41 6 3 2 2" xfId="16155" xr:uid="{00000000-0005-0000-0000-00008D4D0000}"/>
    <cellStyle name="Normal 41 6 3 2 2 2" xfId="33095" xr:uid="{00000000-0005-0000-0000-00008E4D0000}"/>
    <cellStyle name="Normal 41 6 3 2 3" xfId="24647" xr:uid="{00000000-0005-0000-0000-00008F4D0000}"/>
    <cellStyle name="Normal 41 6 3 3" xfId="11931" xr:uid="{00000000-0005-0000-0000-0000904D0000}"/>
    <cellStyle name="Normal 41 6 3 3 2" xfId="28871" xr:uid="{00000000-0005-0000-0000-0000914D0000}"/>
    <cellStyle name="Normal 41 6 3 4" xfId="20423" xr:uid="{00000000-0005-0000-0000-0000924D0000}"/>
    <cellStyle name="Normal 41 6 4" xfId="5595" xr:uid="{00000000-0005-0000-0000-0000934D0000}"/>
    <cellStyle name="Normal 41 6 4 2" xfId="14043" xr:uid="{00000000-0005-0000-0000-0000944D0000}"/>
    <cellStyle name="Normal 41 6 4 2 2" xfId="30983" xr:uid="{00000000-0005-0000-0000-0000954D0000}"/>
    <cellStyle name="Normal 41 6 4 3" xfId="22535" xr:uid="{00000000-0005-0000-0000-0000964D0000}"/>
    <cellStyle name="Normal 41 6 5" xfId="9819" xr:uid="{00000000-0005-0000-0000-0000974D0000}"/>
    <cellStyle name="Normal 41 6 5 2" xfId="26759" xr:uid="{00000000-0005-0000-0000-0000984D0000}"/>
    <cellStyle name="Normal 41 6 6" xfId="18311" xr:uid="{00000000-0005-0000-0000-0000994D0000}"/>
    <cellStyle name="Normal 41 7" xfId="1545" xr:uid="{00000000-0005-0000-0000-00009A4D0000}"/>
    <cellStyle name="Normal 41 7 2" xfId="3657" xr:uid="{00000000-0005-0000-0000-00009B4D0000}"/>
    <cellStyle name="Normal 41 7 2 2" xfId="7883" xr:uid="{00000000-0005-0000-0000-00009C4D0000}"/>
    <cellStyle name="Normal 41 7 2 2 2" xfId="16331" xr:uid="{00000000-0005-0000-0000-00009D4D0000}"/>
    <cellStyle name="Normal 41 7 2 2 2 2" xfId="33271" xr:uid="{00000000-0005-0000-0000-00009E4D0000}"/>
    <cellStyle name="Normal 41 7 2 2 3" xfId="24823" xr:uid="{00000000-0005-0000-0000-00009F4D0000}"/>
    <cellStyle name="Normal 41 7 2 3" xfId="12107" xr:uid="{00000000-0005-0000-0000-0000A04D0000}"/>
    <cellStyle name="Normal 41 7 2 3 2" xfId="29047" xr:uid="{00000000-0005-0000-0000-0000A14D0000}"/>
    <cellStyle name="Normal 41 7 2 4" xfId="20599" xr:uid="{00000000-0005-0000-0000-0000A24D0000}"/>
    <cellStyle name="Normal 41 7 3" xfId="5771" xr:uid="{00000000-0005-0000-0000-0000A34D0000}"/>
    <cellStyle name="Normal 41 7 3 2" xfId="14219" xr:uid="{00000000-0005-0000-0000-0000A44D0000}"/>
    <cellStyle name="Normal 41 7 3 2 2" xfId="31159" xr:uid="{00000000-0005-0000-0000-0000A54D0000}"/>
    <cellStyle name="Normal 41 7 3 3" xfId="22711" xr:uid="{00000000-0005-0000-0000-0000A64D0000}"/>
    <cellStyle name="Normal 41 7 4" xfId="9995" xr:uid="{00000000-0005-0000-0000-0000A74D0000}"/>
    <cellStyle name="Normal 41 7 4 2" xfId="26935" xr:uid="{00000000-0005-0000-0000-0000A84D0000}"/>
    <cellStyle name="Normal 41 7 5" xfId="18487" xr:uid="{00000000-0005-0000-0000-0000A94D0000}"/>
    <cellStyle name="Normal 41 8" xfId="2601" xr:uid="{00000000-0005-0000-0000-0000AA4D0000}"/>
    <cellStyle name="Normal 41 8 2" xfId="6827" xr:uid="{00000000-0005-0000-0000-0000AB4D0000}"/>
    <cellStyle name="Normal 41 8 2 2" xfId="15275" xr:uid="{00000000-0005-0000-0000-0000AC4D0000}"/>
    <cellStyle name="Normal 41 8 2 2 2" xfId="32215" xr:uid="{00000000-0005-0000-0000-0000AD4D0000}"/>
    <cellStyle name="Normal 41 8 2 3" xfId="23767" xr:uid="{00000000-0005-0000-0000-0000AE4D0000}"/>
    <cellStyle name="Normal 41 8 3" xfId="11051" xr:uid="{00000000-0005-0000-0000-0000AF4D0000}"/>
    <cellStyle name="Normal 41 8 3 2" xfId="27991" xr:uid="{00000000-0005-0000-0000-0000B04D0000}"/>
    <cellStyle name="Normal 41 8 4" xfId="19543" xr:uid="{00000000-0005-0000-0000-0000B14D0000}"/>
    <cellStyle name="Normal 41 9" xfId="4714" xr:uid="{00000000-0005-0000-0000-0000B24D0000}"/>
    <cellStyle name="Normal 41 9 2" xfId="13163" xr:uid="{00000000-0005-0000-0000-0000B34D0000}"/>
    <cellStyle name="Normal 41 9 2 2" xfId="30103" xr:uid="{00000000-0005-0000-0000-0000B44D0000}"/>
    <cellStyle name="Normal 41 9 3" xfId="21655" xr:uid="{00000000-0005-0000-0000-0000B54D0000}"/>
    <cellStyle name="Normal 42" xfId="362" xr:uid="{00000000-0005-0000-0000-0000B64D0000}"/>
    <cellStyle name="Normal 42 10" xfId="8941" xr:uid="{00000000-0005-0000-0000-0000B74D0000}"/>
    <cellStyle name="Normal 42 10 2" xfId="25881" xr:uid="{00000000-0005-0000-0000-0000B84D0000}"/>
    <cellStyle name="Normal 42 11" xfId="17433" xr:uid="{00000000-0005-0000-0000-0000B94D0000}"/>
    <cellStyle name="Normal 42 2" xfId="363" xr:uid="{00000000-0005-0000-0000-0000BA4D0000}"/>
    <cellStyle name="Normal 42 2 10" xfId="17434" xr:uid="{00000000-0005-0000-0000-0000BB4D0000}"/>
    <cellStyle name="Normal 42 2 2" xfId="662" xr:uid="{00000000-0005-0000-0000-0000BC4D0000}"/>
    <cellStyle name="Normal 42 2 2 2" xfId="1014" xr:uid="{00000000-0005-0000-0000-0000BD4D0000}"/>
    <cellStyle name="Normal 42 2 2 2 2" xfId="2076" xr:uid="{00000000-0005-0000-0000-0000BE4D0000}"/>
    <cellStyle name="Normal 42 2 2 2 2 2" xfId="4188" xr:uid="{00000000-0005-0000-0000-0000BF4D0000}"/>
    <cellStyle name="Normal 42 2 2 2 2 2 2" xfId="8414" xr:uid="{00000000-0005-0000-0000-0000C04D0000}"/>
    <cellStyle name="Normal 42 2 2 2 2 2 2 2" xfId="16862" xr:uid="{00000000-0005-0000-0000-0000C14D0000}"/>
    <cellStyle name="Normal 42 2 2 2 2 2 2 2 2" xfId="33802" xr:uid="{00000000-0005-0000-0000-0000C24D0000}"/>
    <cellStyle name="Normal 42 2 2 2 2 2 2 3" xfId="25354" xr:uid="{00000000-0005-0000-0000-0000C34D0000}"/>
    <cellStyle name="Normal 42 2 2 2 2 2 3" xfId="12638" xr:uid="{00000000-0005-0000-0000-0000C44D0000}"/>
    <cellStyle name="Normal 42 2 2 2 2 2 3 2" xfId="29578" xr:uid="{00000000-0005-0000-0000-0000C54D0000}"/>
    <cellStyle name="Normal 42 2 2 2 2 2 4" xfId="21130" xr:uid="{00000000-0005-0000-0000-0000C64D0000}"/>
    <cellStyle name="Normal 42 2 2 2 2 3" xfId="6302" xr:uid="{00000000-0005-0000-0000-0000C74D0000}"/>
    <cellStyle name="Normal 42 2 2 2 2 3 2" xfId="14750" xr:uid="{00000000-0005-0000-0000-0000C84D0000}"/>
    <cellStyle name="Normal 42 2 2 2 2 3 2 2" xfId="31690" xr:uid="{00000000-0005-0000-0000-0000C94D0000}"/>
    <cellStyle name="Normal 42 2 2 2 2 3 3" xfId="23242" xr:uid="{00000000-0005-0000-0000-0000CA4D0000}"/>
    <cellStyle name="Normal 42 2 2 2 2 4" xfId="10526" xr:uid="{00000000-0005-0000-0000-0000CB4D0000}"/>
    <cellStyle name="Normal 42 2 2 2 2 4 2" xfId="27466" xr:uid="{00000000-0005-0000-0000-0000CC4D0000}"/>
    <cellStyle name="Normal 42 2 2 2 2 5" xfId="19018" xr:uid="{00000000-0005-0000-0000-0000CD4D0000}"/>
    <cellStyle name="Normal 42 2 2 2 3" xfId="3132" xr:uid="{00000000-0005-0000-0000-0000CE4D0000}"/>
    <cellStyle name="Normal 42 2 2 2 3 2" xfId="7358" xr:uid="{00000000-0005-0000-0000-0000CF4D0000}"/>
    <cellStyle name="Normal 42 2 2 2 3 2 2" xfId="15806" xr:uid="{00000000-0005-0000-0000-0000D04D0000}"/>
    <cellStyle name="Normal 42 2 2 2 3 2 2 2" xfId="32746" xr:uid="{00000000-0005-0000-0000-0000D14D0000}"/>
    <cellStyle name="Normal 42 2 2 2 3 2 3" xfId="24298" xr:uid="{00000000-0005-0000-0000-0000D24D0000}"/>
    <cellStyle name="Normal 42 2 2 2 3 3" xfId="11582" xr:uid="{00000000-0005-0000-0000-0000D34D0000}"/>
    <cellStyle name="Normal 42 2 2 2 3 3 2" xfId="28522" xr:uid="{00000000-0005-0000-0000-0000D44D0000}"/>
    <cellStyle name="Normal 42 2 2 2 3 4" xfId="20074" xr:uid="{00000000-0005-0000-0000-0000D54D0000}"/>
    <cellStyle name="Normal 42 2 2 2 4" xfId="5246" xr:uid="{00000000-0005-0000-0000-0000D64D0000}"/>
    <cellStyle name="Normal 42 2 2 2 4 2" xfId="13694" xr:uid="{00000000-0005-0000-0000-0000D74D0000}"/>
    <cellStyle name="Normal 42 2 2 2 4 2 2" xfId="30634" xr:uid="{00000000-0005-0000-0000-0000D84D0000}"/>
    <cellStyle name="Normal 42 2 2 2 4 3" xfId="22186" xr:uid="{00000000-0005-0000-0000-0000D94D0000}"/>
    <cellStyle name="Normal 42 2 2 2 5" xfId="9470" xr:uid="{00000000-0005-0000-0000-0000DA4D0000}"/>
    <cellStyle name="Normal 42 2 2 2 5 2" xfId="26410" xr:uid="{00000000-0005-0000-0000-0000DB4D0000}"/>
    <cellStyle name="Normal 42 2 2 2 6" xfId="17962" xr:uid="{00000000-0005-0000-0000-0000DC4D0000}"/>
    <cellStyle name="Normal 42 2 2 3" xfId="1724" xr:uid="{00000000-0005-0000-0000-0000DD4D0000}"/>
    <cellStyle name="Normal 42 2 2 3 2" xfId="3836" xr:uid="{00000000-0005-0000-0000-0000DE4D0000}"/>
    <cellStyle name="Normal 42 2 2 3 2 2" xfId="8062" xr:uid="{00000000-0005-0000-0000-0000DF4D0000}"/>
    <cellStyle name="Normal 42 2 2 3 2 2 2" xfId="16510" xr:uid="{00000000-0005-0000-0000-0000E04D0000}"/>
    <cellStyle name="Normal 42 2 2 3 2 2 2 2" xfId="33450" xr:uid="{00000000-0005-0000-0000-0000E14D0000}"/>
    <cellStyle name="Normal 42 2 2 3 2 2 3" xfId="25002" xr:uid="{00000000-0005-0000-0000-0000E24D0000}"/>
    <cellStyle name="Normal 42 2 2 3 2 3" xfId="12286" xr:uid="{00000000-0005-0000-0000-0000E34D0000}"/>
    <cellStyle name="Normal 42 2 2 3 2 3 2" xfId="29226" xr:uid="{00000000-0005-0000-0000-0000E44D0000}"/>
    <cellStyle name="Normal 42 2 2 3 2 4" xfId="20778" xr:uid="{00000000-0005-0000-0000-0000E54D0000}"/>
    <cellStyle name="Normal 42 2 2 3 3" xfId="5950" xr:uid="{00000000-0005-0000-0000-0000E64D0000}"/>
    <cellStyle name="Normal 42 2 2 3 3 2" xfId="14398" xr:uid="{00000000-0005-0000-0000-0000E74D0000}"/>
    <cellStyle name="Normal 42 2 2 3 3 2 2" xfId="31338" xr:uid="{00000000-0005-0000-0000-0000E84D0000}"/>
    <cellStyle name="Normal 42 2 2 3 3 3" xfId="22890" xr:uid="{00000000-0005-0000-0000-0000E94D0000}"/>
    <cellStyle name="Normal 42 2 2 3 4" xfId="10174" xr:uid="{00000000-0005-0000-0000-0000EA4D0000}"/>
    <cellStyle name="Normal 42 2 2 3 4 2" xfId="27114" xr:uid="{00000000-0005-0000-0000-0000EB4D0000}"/>
    <cellStyle name="Normal 42 2 2 3 5" xfId="18666" xr:uid="{00000000-0005-0000-0000-0000EC4D0000}"/>
    <cellStyle name="Normal 42 2 2 4" xfId="2780" xr:uid="{00000000-0005-0000-0000-0000ED4D0000}"/>
    <cellStyle name="Normal 42 2 2 4 2" xfId="7006" xr:uid="{00000000-0005-0000-0000-0000EE4D0000}"/>
    <cellStyle name="Normal 42 2 2 4 2 2" xfId="15454" xr:uid="{00000000-0005-0000-0000-0000EF4D0000}"/>
    <cellStyle name="Normal 42 2 2 4 2 2 2" xfId="32394" xr:uid="{00000000-0005-0000-0000-0000F04D0000}"/>
    <cellStyle name="Normal 42 2 2 4 2 3" xfId="23946" xr:uid="{00000000-0005-0000-0000-0000F14D0000}"/>
    <cellStyle name="Normal 42 2 2 4 3" xfId="11230" xr:uid="{00000000-0005-0000-0000-0000F24D0000}"/>
    <cellStyle name="Normal 42 2 2 4 3 2" xfId="28170" xr:uid="{00000000-0005-0000-0000-0000F34D0000}"/>
    <cellStyle name="Normal 42 2 2 4 4" xfId="19722" xr:uid="{00000000-0005-0000-0000-0000F44D0000}"/>
    <cellStyle name="Normal 42 2 2 5" xfId="4894" xr:uid="{00000000-0005-0000-0000-0000F54D0000}"/>
    <cellStyle name="Normal 42 2 2 5 2" xfId="13342" xr:uid="{00000000-0005-0000-0000-0000F64D0000}"/>
    <cellStyle name="Normal 42 2 2 5 2 2" xfId="30282" xr:uid="{00000000-0005-0000-0000-0000F74D0000}"/>
    <cellStyle name="Normal 42 2 2 5 3" xfId="21834" xr:uid="{00000000-0005-0000-0000-0000F84D0000}"/>
    <cellStyle name="Normal 42 2 2 6" xfId="9118" xr:uid="{00000000-0005-0000-0000-0000F94D0000}"/>
    <cellStyle name="Normal 42 2 2 6 2" xfId="26058" xr:uid="{00000000-0005-0000-0000-0000FA4D0000}"/>
    <cellStyle name="Normal 42 2 2 7" xfId="17610" xr:uid="{00000000-0005-0000-0000-0000FB4D0000}"/>
    <cellStyle name="Normal 42 2 3" xfId="838" xr:uid="{00000000-0005-0000-0000-0000FC4D0000}"/>
    <cellStyle name="Normal 42 2 3 2" xfId="1900" xr:uid="{00000000-0005-0000-0000-0000FD4D0000}"/>
    <cellStyle name="Normal 42 2 3 2 2" xfId="4012" xr:uid="{00000000-0005-0000-0000-0000FE4D0000}"/>
    <cellStyle name="Normal 42 2 3 2 2 2" xfId="8238" xr:uid="{00000000-0005-0000-0000-0000FF4D0000}"/>
    <cellStyle name="Normal 42 2 3 2 2 2 2" xfId="16686" xr:uid="{00000000-0005-0000-0000-0000004E0000}"/>
    <cellStyle name="Normal 42 2 3 2 2 2 2 2" xfId="33626" xr:uid="{00000000-0005-0000-0000-0000014E0000}"/>
    <cellStyle name="Normal 42 2 3 2 2 2 3" xfId="25178" xr:uid="{00000000-0005-0000-0000-0000024E0000}"/>
    <cellStyle name="Normal 42 2 3 2 2 3" xfId="12462" xr:uid="{00000000-0005-0000-0000-0000034E0000}"/>
    <cellStyle name="Normal 42 2 3 2 2 3 2" xfId="29402" xr:uid="{00000000-0005-0000-0000-0000044E0000}"/>
    <cellStyle name="Normal 42 2 3 2 2 4" xfId="20954" xr:uid="{00000000-0005-0000-0000-0000054E0000}"/>
    <cellStyle name="Normal 42 2 3 2 3" xfId="6126" xr:uid="{00000000-0005-0000-0000-0000064E0000}"/>
    <cellStyle name="Normal 42 2 3 2 3 2" xfId="14574" xr:uid="{00000000-0005-0000-0000-0000074E0000}"/>
    <cellStyle name="Normal 42 2 3 2 3 2 2" xfId="31514" xr:uid="{00000000-0005-0000-0000-0000084E0000}"/>
    <cellStyle name="Normal 42 2 3 2 3 3" xfId="23066" xr:uid="{00000000-0005-0000-0000-0000094E0000}"/>
    <cellStyle name="Normal 42 2 3 2 4" xfId="10350" xr:uid="{00000000-0005-0000-0000-00000A4E0000}"/>
    <cellStyle name="Normal 42 2 3 2 4 2" xfId="27290" xr:uid="{00000000-0005-0000-0000-00000B4E0000}"/>
    <cellStyle name="Normal 42 2 3 2 5" xfId="18842" xr:uid="{00000000-0005-0000-0000-00000C4E0000}"/>
    <cellStyle name="Normal 42 2 3 3" xfId="2956" xr:uid="{00000000-0005-0000-0000-00000D4E0000}"/>
    <cellStyle name="Normal 42 2 3 3 2" xfId="7182" xr:uid="{00000000-0005-0000-0000-00000E4E0000}"/>
    <cellStyle name="Normal 42 2 3 3 2 2" xfId="15630" xr:uid="{00000000-0005-0000-0000-00000F4E0000}"/>
    <cellStyle name="Normal 42 2 3 3 2 2 2" xfId="32570" xr:uid="{00000000-0005-0000-0000-0000104E0000}"/>
    <cellStyle name="Normal 42 2 3 3 2 3" xfId="24122" xr:uid="{00000000-0005-0000-0000-0000114E0000}"/>
    <cellStyle name="Normal 42 2 3 3 3" xfId="11406" xr:uid="{00000000-0005-0000-0000-0000124E0000}"/>
    <cellStyle name="Normal 42 2 3 3 3 2" xfId="28346" xr:uid="{00000000-0005-0000-0000-0000134E0000}"/>
    <cellStyle name="Normal 42 2 3 3 4" xfId="19898" xr:uid="{00000000-0005-0000-0000-0000144E0000}"/>
    <cellStyle name="Normal 42 2 3 4" xfId="5070" xr:uid="{00000000-0005-0000-0000-0000154E0000}"/>
    <cellStyle name="Normal 42 2 3 4 2" xfId="13518" xr:uid="{00000000-0005-0000-0000-0000164E0000}"/>
    <cellStyle name="Normal 42 2 3 4 2 2" xfId="30458" xr:uid="{00000000-0005-0000-0000-0000174E0000}"/>
    <cellStyle name="Normal 42 2 3 4 3" xfId="22010" xr:uid="{00000000-0005-0000-0000-0000184E0000}"/>
    <cellStyle name="Normal 42 2 3 5" xfId="9294" xr:uid="{00000000-0005-0000-0000-0000194E0000}"/>
    <cellStyle name="Normal 42 2 3 5 2" xfId="26234" xr:uid="{00000000-0005-0000-0000-00001A4E0000}"/>
    <cellStyle name="Normal 42 2 3 6" xfId="17786" xr:uid="{00000000-0005-0000-0000-00001B4E0000}"/>
    <cellStyle name="Normal 42 2 4" xfId="1190" xr:uid="{00000000-0005-0000-0000-00001C4E0000}"/>
    <cellStyle name="Normal 42 2 4 2" xfId="2252" xr:uid="{00000000-0005-0000-0000-00001D4E0000}"/>
    <cellStyle name="Normal 42 2 4 2 2" xfId="4364" xr:uid="{00000000-0005-0000-0000-00001E4E0000}"/>
    <cellStyle name="Normal 42 2 4 2 2 2" xfId="8590" xr:uid="{00000000-0005-0000-0000-00001F4E0000}"/>
    <cellStyle name="Normal 42 2 4 2 2 2 2" xfId="17038" xr:uid="{00000000-0005-0000-0000-0000204E0000}"/>
    <cellStyle name="Normal 42 2 4 2 2 2 2 2" xfId="33978" xr:uid="{00000000-0005-0000-0000-0000214E0000}"/>
    <cellStyle name="Normal 42 2 4 2 2 2 3" xfId="25530" xr:uid="{00000000-0005-0000-0000-0000224E0000}"/>
    <cellStyle name="Normal 42 2 4 2 2 3" xfId="12814" xr:uid="{00000000-0005-0000-0000-0000234E0000}"/>
    <cellStyle name="Normal 42 2 4 2 2 3 2" xfId="29754" xr:uid="{00000000-0005-0000-0000-0000244E0000}"/>
    <cellStyle name="Normal 42 2 4 2 2 4" xfId="21306" xr:uid="{00000000-0005-0000-0000-0000254E0000}"/>
    <cellStyle name="Normal 42 2 4 2 3" xfId="6478" xr:uid="{00000000-0005-0000-0000-0000264E0000}"/>
    <cellStyle name="Normal 42 2 4 2 3 2" xfId="14926" xr:uid="{00000000-0005-0000-0000-0000274E0000}"/>
    <cellStyle name="Normal 42 2 4 2 3 2 2" xfId="31866" xr:uid="{00000000-0005-0000-0000-0000284E0000}"/>
    <cellStyle name="Normal 42 2 4 2 3 3" xfId="23418" xr:uid="{00000000-0005-0000-0000-0000294E0000}"/>
    <cellStyle name="Normal 42 2 4 2 4" xfId="10702" xr:uid="{00000000-0005-0000-0000-00002A4E0000}"/>
    <cellStyle name="Normal 42 2 4 2 4 2" xfId="27642" xr:uid="{00000000-0005-0000-0000-00002B4E0000}"/>
    <cellStyle name="Normal 42 2 4 2 5" xfId="19194" xr:uid="{00000000-0005-0000-0000-00002C4E0000}"/>
    <cellStyle name="Normal 42 2 4 3" xfId="3308" xr:uid="{00000000-0005-0000-0000-00002D4E0000}"/>
    <cellStyle name="Normal 42 2 4 3 2" xfId="7534" xr:uid="{00000000-0005-0000-0000-00002E4E0000}"/>
    <cellStyle name="Normal 42 2 4 3 2 2" xfId="15982" xr:uid="{00000000-0005-0000-0000-00002F4E0000}"/>
    <cellStyle name="Normal 42 2 4 3 2 2 2" xfId="32922" xr:uid="{00000000-0005-0000-0000-0000304E0000}"/>
    <cellStyle name="Normal 42 2 4 3 2 3" xfId="24474" xr:uid="{00000000-0005-0000-0000-0000314E0000}"/>
    <cellStyle name="Normal 42 2 4 3 3" xfId="11758" xr:uid="{00000000-0005-0000-0000-0000324E0000}"/>
    <cellStyle name="Normal 42 2 4 3 3 2" xfId="28698" xr:uid="{00000000-0005-0000-0000-0000334E0000}"/>
    <cellStyle name="Normal 42 2 4 3 4" xfId="20250" xr:uid="{00000000-0005-0000-0000-0000344E0000}"/>
    <cellStyle name="Normal 42 2 4 4" xfId="5422" xr:uid="{00000000-0005-0000-0000-0000354E0000}"/>
    <cellStyle name="Normal 42 2 4 4 2" xfId="13870" xr:uid="{00000000-0005-0000-0000-0000364E0000}"/>
    <cellStyle name="Normal 42 2 4 4 2 2" xfId="30810" xr:uid="{00000000-0005-0000-0000-0000374E0000}"/>
    <cellStyle name="Normal 42 2 4 4 3" xfId="22362" xr:uid="{00000000-0005-0000-0000-0000384E0000}"/>
    <cellStyle name="Normal 42 2 4 5" xfId="9646" xr:uid="{00000000-0005-0000-0000-0000394E0000}"/>
    <cellStyle name="Normal 42 2 4 5 2" xfId="26586" xr:uid="{00000000-0005-0000-0000-00003A4E0000}"/>
    <cellStyle name="Normal 42 2 4 6" xfId="18138" xr:uid="{00000000-0005-0000-0000-00003B4E0000}"/>
    <cellStyle name="Normal 42 2 5" xfId="1372" xr:uid="{00000000-0005-0000-0000-00003C4E0000}"/>
    <cellStyle name="Normal 42 2 5 2" xfId="2428" xr:uid="{00000000-0005-0000-0000-00003D4E0000}"/>
    <cellStyle name="Normal 42 2 5 2 2" xfId="4540" xr:uid="{00000000-0005-0000-0000-00003E4E0000}"/>
    <cellStyle name="Normal 42 2 5 2 2 2" xfId="8766" xr:uid="{00000000-0005-0000-0000-00003F4E0000}"/>
    <cellStyle name="Normal 42 2 5 2 2 2 2" xfId="17214" xr:uid="{00000000-0005-0000-0000-0000404E0000}"/>
    <cellStyle name="Normal 42 2 5 2 2 2 2 2" xfId="34154" xr:uid="{00000000-0005-0000-0000-0000414E0000}"/>
    <cellStyle name="Normal 42 2 5 2 2 2 3" xfId="25706" xr:uid="{00000000-0005-0000-0000-0000424E0000}"/>
    <cellStyle name="Normal 42 2 5 2 2 3" xfId="12990" xr:uid="{00000000-0005-0000-0000-0000434E0000}"/>
    <cellStyle name="Normal 42 2 5 2 2 3 2" xfId="29930" xr:uid="{00000000-0005-0000-0000-0000444E0000}"/>
    <cellStyle name="Normal 42 2 5 2 2 4" xfId="21482" xr:uid="{00000000-0005-0000-0000-0000454E0000}"/>
    <cellStyle name="Normal 42 2 5 2 3" xfId="6654" xr:uid="{00000000-0005-0000-0000-0000464E0000}"/>
    <cellStyle name="Normal 42 2 5 2 3 2" xfId="15102" xr:uid="{00000000-0005-0000-0000-0000474E0000}"/>
    <cellStyle name="Normal 42 2 5 2 3 2 2" xfId="32042" xr:uid="{00000000-0005-0000-0000-0000484E0000}"/>
    <cellStyle name="Normal 42 2 5 2 3 3" xfId="23594" xr:uid="{00000000-0005-0000-0000-0000494E0000}"/>
    <cellStyle name="Normal 42 2 5 2 4" xfId="10878" xr:uid="{00000000-0005-0000-0000-00004A4E0000}"/>
    <cellStyle name="Normal 42 2 5 2 4 2" xfId="27818" xr:uid="{00000000-0005-0000-0000-00004B4E0000}"/>
    <cellStyle name="Normal 42 2 5 2 5" xfId="19370" xr:uid="{00000000-0005-0000-0000-00004C4E0000}"/>
    <cellStyle name="Normal 42 2 5 3" xfId="3484" xr:uid="{00000000-0005-0000-0000-00004D4E0000}"/>
    <cellStyle name="Normal 42 2 5 3 2" xfId="7710" xr:uid="{00000000-0005-0000-0000-00004E4E0000}"/>
    <cellStyle name="Normal 42 2 5 3 2 2" xfId="16158" xr:uid="{00000000-0005-0000-0000-00004F4E0000}"/>
    <cellStyle name="Normal 42 2 5 3 2 2 2" xfId="33098" xr:uid="{00000000-0005-0000-0000-0000504E0000}"/>
    <cellStyle name="Normal 42 2 5 3 2 3" xfId="24650" xr:uid="{00000000-0005-0000-0000-0000514E0000}"/>
    <cellStyle name="Normal 42 2 5 3 3" xfId="11934" xr:uid="{00000000-0005-0000-0000-0000524E0000}"/>
    <cellStyle name="Normal 42 2 5 3 3 2" xfId="28874" xr:uid="{00000000-0005-0000-0000-0000534E0000}"/>
    <cellStyle name="Normal 42 2 5 3 4" xfId="20426" xr:uid="{00000000-0005-0000-0000-0000544E0000}"/>
    <cellStyle name="Normal 42 2 5 4" xfId="5598" xr:uid="{00000000-0005-0000-0000-0000554E0000}"/>
    <cellStyle name="Normal 42 2 5 4 2" xfId="14046" xr:uid="{00000000-0005-0000-0000-0000564E0000}"/>
    <cellStyle name="Normal 42 2 5 4 2 2" xfId="30986" xr:uid="{00000000-0005-0000-0000-0000574E0000}"/>
    <cellStyle name="Normal 42 2 5 4 3" xfId="22538" xr:uid="{00000000-0005-0000-0000-0000584E0000}"/>
    <cellStyle name="Normal 42 2 5 5" xfId="9822" xr:uid="{00000000-0005-0000-0000-0000594E0000}"/>
    <cellStyle name="Normal 42 2 5 5 2" xfId="26762" xr:uid="{00000000-0005-0000-0000-00005A4E0000}"/>
    <cellStyle name="Normal 42 2 5 6" xfId="18314" xr:uid="{00000000-0005-0000-0000-00005B4E0000}"/>
    <cellStyle name="Normal 42 2 6" xfId="1548" xr:uid="{00000000-0005-0000-0000-00005C4E0000}"/>
    <cellStyle name="Normal 42 2 6 2" xfId="3660" xr:uid="{00000000-0005-0000-0000-00005D4E0000}"/>
    <cellStyle name="Normal 42 2 6 2 2" xfId="7886" xr:uid="{00000000-0005-0000-0000-00005E4E0000}"/>
    <cellStyle name="Normal 42 2 6 2 2 2" xfId="16334" xr:uid="{00000000-0005-0000-0000-00005F4E0000}"/>
    <cellStyle name="Normal 42 2 6 2 2 2 2" xfId="33274" xr:uid="{00000000-0005-0000-0000-0000604E0000}"/>
    <cellStyle name="Normal 42 2 6 2 2 3" xfId="24826" xr:uid="{00000000-0005-0000-0000-0000614E0000}"/>
    <cellStyle name="Normal 42 2 6 2 3" xfId="12110" xr:uid="{00000000-0005-0000-0000-0000624E0000}"/>
    <cellStyle name="Normal 42 2 6 2 3 2" xfId="29050" xr:uid="{00000000-0005-0000-0000-0000634E0000}"/>
    <cellStyle name="Normal 42 2 6 2 4" xfId="20602" xr:uid="{00000000-0005-0000-0000-0000644E0000}"/>
    <cellStyle name="Normal 42 2 6 3" xfId="5774" xr:uid="{00000000-0005-0000-0000-0000654E0000}"/>
    <cellStyle name="Normal 42 2 6 3 2" xfId="14222" xr:uid="{00000000-0005-0000-0000-0000664E0000}"/>
    <cellStyle name="Normal 42 2 6 3 2 2" xfId="31162" xr:uid="{00000000-0005-0000-0000-0000674E0000}"/>
    <cellStyle name="Normal 42 2 6 3 3" xfId="22714" xr:uid="{00000000-0005-0000-0000-0000684E0000}"/>
    <cellStyle name="Normal 42 2 6 4" xfId="9998" xr:uid="{00000000-0005-0000-0000-0000694E0000}"/>
    <cellStyle name="Normal 42 2 6 4 2" xfId="26938" xr:uid="{00000000-0005-0000-0000-00006A4E0000}"/>
    <cellStyle name="Normal 42 2 6 5" xfId="18490" xr:uid="{00000000-0005-0000-0000-00006B4E0000}"/>
    <cellStyle name="Normal 42 2 7" xfId="2604" xr:uid="{00000000-0005-0000-0000-00006C4E0000}"/>
    <cellStyle name="Normal 42 2 7 2" xfId="6830" xr:uid="{00000000-0005-0000-0000-00006D4E0000}"/>
    <cellStyle name="Normal 42 2 7 2 2" xfId="15278" xr:uid="{00000000-0005-0000-0000-00006E4E0000}"/>
    <cellStyle name="Normal 42 2 7 2 2 2" xfId="32218" xr:uid="{00000000-0005-0000-0000-00006F4E0000}"/>
    <cellStyle name="Normal 42 2 7 2 3" xfId="23770" xr:uid="{00000000-0005-0000-0000-0000704E0000}"/>
    <cellStyle name="Normal 42 2 7 3" xfId="11054" xr:uid="{00000000-0005-0000-0000-0000714E0000}"/>
    <cellStyle name="Normal 42 2 7 3 2" xfId="27994" xr:uid="{00000000-0005-0000-0000-0000724E0000}"/>
    <cellStyle name="Normal 42 2 7 4" xfId="19546" xr:uid="{00000000-0005-0000-0000-0000734E0000}"/>
    <cellStyle name="Normal 42 2 8" xfId="4717" xr:uid="{00000000-0005-0000-0000-0000744E0000}"/>
    <cellStyle name="Normal 42 2 8 2" xfId="13166" xr:uid="{00000000-0005-0000-0000-0000754E0000}"/>
    <cellStyle name="Normal 42 2 8 2 2" xfId="30106" xr:uid="{00000000-0005-0000-0000-0000764E0000}"/>
    <cellStyle name="Normal 42 2 8 3" xfId="21658" xr:uid="{00000000-0005-0000-0000-0000774E0000}"/>
    <cellStyle name="Normal 42 2 9" xfId="8942" xr:uid="{00000000-0005-0000-0000-0000784E0000}"/>
    <cellStyle name="Normal 42 2 9 2" xfId="25882" xr:uid="{00000000-0005-0000-0000-0000794E0000}"/>
    <cellStyle name="Normal 42 3" xfId="661" xr:uid="{00000000-0005-0000-0000-00007A4E0000}"/>
    <cellStyle name="Normal 42 3 2" xfId="1013" xr:uid="{00000000-0005-0000-0000-00007B4E0000}"/>
    <cellStyle name="Normal 42 3 2 2" xfId="2075" xr:uid="{00000000-0005-0000-0000-00007C4E0000}"/>
    <cellStyle name="Normal 42 3 2 2 2" xfId="4187" xr:uid="{00000000-0005-0000-0000-00007D4E0000}"/>
    <cellStyle name="Normal 42 3 2 2 2 2" xfId="8413" xr:uid="{00000000-0005-0000-0000-00007E4E0000}"/>
    <cellStyle name="Normal 42 3 2 2 2 2 2" xfId="16861" xr:uid="{00000000-0005-0000-0000-00007F4E0000}"/>
    <cellStyle name="Normal 42 3 2 2 2 2 2 2" xfId="33801" xr:uid="{00000000-0005-0000-0000-0000804E0000}"/>
    <cellStyle name="Normal 42 3 2 2 2 2 3" xfId="25353" xr:uid="{00000000-0005-0000-0000-0000814E0000}"/>
    <cellStyle name="Normal 42 3 2 2 2 3" xfId="12637" xr:uid="{00000000-0005-0000-0000-0000824E0000}"/>
    <cellStyle name="Normal 42 3 2 2 2 3 2" xfId="29577" xr:uid="{00000000-0005-0000-0000-0000834E0000}"/>
    <cellStyle name="Normal 42 3 2 2 2 4" xfId="21129" xr:uid="{00000000-0005-0000-0000-0000844E0000}"/>
    <cellStyle name="Normal 42 3 2 2 3" xfId="6301" xr:uid="{00000000-0005-0000-0000-0000854E0000}"/>
    <cellStyle name="Normal 42 3 2 2 3 2" xfId="14749" xr:uid="{00000000-0005-0000-0000-0000864E0000}"/>
    <cellStyle name="Normal 42 3 2 2 3 2 2" xfId="31689" xr:uid="{00000000-0005-0000-0000-0000874E0000}"/>
    <cellStyle name="Normal 42 3 2 2 3 3" xfId="23241" xr:uid="{00000000-0005-0000-0000-0000884E0000}"/>
    <cellStyle name="Normal 42 3 2 2 4" xfId="10525" xr:uid="{00000000-0005-0000-0000-0000894E0000}"/>
    <cellStyle name="Normal 42 3 2 2 4 2" xfId="27465" xr:uid="{00000000-0005-0000-0000-00008A4E0000}"/>
    <cellStyle name="Normal 42 3 2 2 5" xfId="19017" xr:uid="{00000000-0005-0000-0000-00008B4E0000}"/>
    <cellStyle name="Normal 42 3 2 3" xfId="3131" xr:uid="{00000000-0005-0000-0000-00008C4E0000}"/>
    <cellStyle name="Normal 42 3 2 3 2" xfId="7357" xr:uid="{00000000-0005-0000-0000-00008D4E0000}"/>
    <cellStyle name="Normal 42 3 2 3 2 2" xfId="15805" xr:uid="{00000000-0005-0000-0000-00008E4E0000}"/>
    <cellStyle name="Normal 42 3 2 3 2 2 2" xfId="32745" xr:uid="{00000000-0005-0000-0000-00008F4E0000}"/>
    <cellStyle name="Normal 42 3 2 3 2 3" xfId="24297" xr:uid="{00000000-0005-0000-0000-0000904E0000}"/>
    <cellStyle name="Normal 42 3 2 3 3" xfId="11581" xr:uid="{00000000-0005-0000-0000-0000914E0000}"/>
    <cellStyle name="Normal 42 3 2 3 3 2" xfId="28521" xr:uid="{00000000-0005-0000-0000-0000924E0000}"/>
    <cellStyle name="Normal 42 3 2 3 4" xfId="20073" xr:uid="{00000000-0005-0000-0000-0000934E0000}"/>
    <cellStyle name="Normal 42 3 2 4" xfId="5245" xr:uid="{00000000-0005-0000-0000-0000944E0000}"/>
    <cellStyle name="Normal 42 3 2 4 2" xfId="13693" xr:uid="{00000000-0005-0000-0000-0000954E0000}"/>
    <cellStyle name="Normal 42 3 2 4 2 2" xfId="30633" xr:uid="{00000000-0005-0000-0000-0000964E0000}"/>
    <cellStyle name="Normal 42 3 2 4 3" xfId="22185" xr:uid="{00000000-0005-0000-0000-0000974E0000}"/>
    <cellStyle name="Normal 42 3 2 5" xfId="9469" xr:uid="{00000000-0005-0000-0000-0000984E0000}"/>
    <cellStyle name="Normal 42 3 2 5 2" xfId="26409" xr:uid="{00000000-0005-0000-0000-0000994E0000}"/>
    <cellStyle name="Normal 42 3 2 6" xfId="17961" xr:uid="{00000000-0005-0000-0000-00009A4E0000}"/>
    <cellStyle name="Normal 42 3 3" xfId="1723" xr:uid="{00000000-0005-0000-0000-00009B4E0000}"/>
    <cellStyle name="Normal 42 3 3 2" xfId="3835" xr:uid="{00000000-0005-0000-0000-00009C4E0000}"/>
    <cellStyle name="Normal 42 3 3 2 2" xfId="8061" xr:uid="{00000000-0005-0000-0000-00009D4E0000}"/>
    <cellStyle name="Normal 42 3 3 2 2 2" xfId="16509" xr:uid="{00000000-0005-0000-0000-00009E4E0000}"/>
    <cellStyle name="Normal 42 3 3 2 2 2 2" xfId="33449" xr:uid="{00000000-0005-0000-0000-00009F4E0000}"/>
    <cellStyle name="Normal 42 3 3 2 2 3" xfId="25001" xr:uid="{00000000-0005-0000-0000-0000A04E0000}"/>
    <cellStyle name="Normal 42 3 3 2 3" xfId="12285" xr:uid="{00000000-0005-0000-0000-0000A14E0000}"/>
    <cellStyle name="Normal 42 3 3 2 3 2" xfId="29225" xr:uid="{00000000-0005-0000-0000-0000A24E0000}"/>
    <cellStyle name="Normal 42 3 3 2 4" xfId="20777" xr:uid="{00000000-0005-0000-0000-0000A34E0000}"/>
    <cellStyle name="Normal 42 3 3 3" xfId="5949" xr:uid="{00000000-0005-0000-0000-0000A44E0000}"/>
    <cellStyle name="Normal 42 3 3 3 2" xfId="14397" xr:uid="{00000000-0005-0000-0000-0000A54E0000}"/>
    <cellStyle name="Normal 42 3 3 3 2 2" xfId="31337" xr:uid="{00000000-0005-0000-0000-0000A64E0000}"/>
    <cellStyle name="Normal 42 3 3 3 3" xfId="22889" xr:uid="{00000000-0005-0000-0000-0000A74E0000}"/>
    <cellStyle name="Normal 42 3 3 4" xfId="10173" xr:uid="{00000000-0005-0000-0000-0000A84E0000}"/>
    <cellStyle name="Normal 42 3 3 4 2" xfId="27113" xr:uid="{00000000-0005-0000-0000-0000A94E0000}"/>
    <cellStyle name="Normal 42 3 3 5" xfId="18665" xr:uid="{00000000-0005-0000-0000-0000AA4E0000}"/>
    <cellStyle name="Normal 42 3 4" xfId="2779" xr:uid="{00000000-0005-0000-0000-0000AB4E0000}"/>
    <cellStyle name="Normal 42 3 4 2" xfId="7005" xr:uid="{00000000-0005-0000-0000-0000AC4E0000}"/>
    <cellStyle name="Normal 42 3 4 2 2" xfId="15453" xr:uid="{00000000-0005-0000-0000-0000AD4E0000}"/>
    <cellStyle name="Normal 42 3 4 2 2 2" xfId="32393" xr:uid="{00000000-0005-0000-0000-0000AE4E0000}"/>
    <cellStyle name="Normal 42 3 4 2 3" xfId="23945" xr:uid="{00000000-0005-0000-0000-0000AF4E0000}"/>
    <cellStyle name="Normal 42 3 4 3" xfId="11229" xr:uid="{00000000-0005-0000-0000-0000B04E0000}"/>
    <cellStyle name="Normal 42 3 4 3 2" xfId="28169" xr:uid="{00000000-0005-0000-0000-0000B14E0000}"/>
    <cellStyle name="Normal 42 3 4 4" xfId="19721" xr:uid="{00000000-0005-0000-0000-0000B24E0000}"/>
    <cellStyle name="Normal 42 3 5" xfId="4893" xr:uid="{00000000-0005-0000-0000-0000B34E0000}"/>
    <cellStyle name="Normal 42 3 5 2" xfId="13341" xr:uid="{00000000-0005-0000-0000-0000B44E0000}"/>
    <cellStyle name="Normal 42 3 5 2 2" xfId="30281" xr:uid="{00000000-0005-0000-0000-0000B54E0000}"/>
    <cellStyle name="Normal 42 3 5 3" xfId="21833" xr:uid="{00000000-0005-0000-0000-0000B64E0000}"/>
    <cellStyle name="Normal 42 3 6" xfId="9117" xr:uid="{00000000-0005-0000-0000-0000B74E0000}"/>
    <cellStyle name="Normal 42 3 6 2" xfId="26057" xr:uid="{00000000-0005-0000-0000-0000B84E0000}"/>
    <cellStyle name="Normal 42 3 7" xfId="17609" xr:uid="{00000000-0005-0000-0000-0000B94E0000}"/>
    <cellStyle name="Normal 42 4" xfId="837" xr:uid="{00000000-0005-0000-0000-0000BA4E0000}"/>
    <cellStyle name="Normal 42 4 2" xfId="1899" xr:uid="{00000000-0005-0000-0000-0000BB4E0000}"/>
    <cellStyle name="Normal 42 4 2 2" xfId="4011" xr:uid="{00000000-0005-0000-0000-0000BC4E0000}"/>
    <cellStyle name="Normal 42 4 2 2 2" xfId="8237" xr:uid="{00000000-0005-0000-0000-0000BD4E0000}"/>
    <cellStyle name="Normal 42 4 2 2 2 2" xfId="16685" xr:uid="{00000000-0005-0000-0000-0000BE4E0000}"/>
    <cellStyle name="Normal 42 4 2 2 2 2 2" xfId="33625" xr:uid="{00000000-0005-0000-0000-0000BF4E0000}"/>
    <cellStyle name="Normal 42 4 2 2 2 3" xfId="25177" xr:uid="{00000000-0005-0000-0000-0000C04E0000}"/>
    <cellStyle name="Normal 42 4 2 2 3" xfId="12461" xr:uid="{00000000-0005-0000-0000-0000C14E0000}"/>
    <cellStyle name="Normal 42 4 2 2 3 2" xfId="29401" xr:uid="{00000000-0005-0000-0000-0000C24E0000}"/>
    <cellStyle name="Normal 42 4 2 2 4" xfId="20953" xr:uid="{00000000-0005-0000-0000-0000C34E0000}"/>
    <cellStyle name="Normal 42 4 2 3" xfId="6125" xr:uid="{00000000-0005-0000-0000-0000C44E0000}"/>
    <cellStyle name="Normal 42 4 2 3 2" xfId="14573" xr:uid="{00000000-0005-0000-0000-0000C54E0000}"/>
    <cellStyle name="Normal 42 4 2 3 2 2" xfId="31513" xr:uid="{00000000-0005-0000-0000-0000C64E0000}"/>
    <cellStyle name="Normal 42 4 2 3 3" xfId="23065" xr:uid="{00000000-0005-0000-0000-0000C74E0000}"/>
    <cellStyle name="Normal 42 4 2 4" xfId="10349" xr:uid="{00000000-0005-0000-0000-0000C84E0000}"/>
    <cellStyle name="Normal 42 4 2 4 2" xfId="27289" xr:uid="{00000000-0005-0000-0000-0000C94E0000}"/>
    <cellStyle name="Normal 42 4 2 5" xfId="18841" xr:uid="{00000000-0005-0000-0000-0000CA4E0000}"/>
    <cellStyle name="Normal 42 4 3" xfId="2955" xr:uid="{00000000-0005-0000-0000-0000CB4E0000}"/>
    <cellStyle name="Normal 42 4 3 2" xfId="7181" xr:uid="{00000000-0005-0000-0000-0000CC4E0000}"/>
    <cellStyle name="Normal 42 4 3 2 2" xfId="15629" xr:uid="{00000000-0005-0000-0000-0000CD4E0000}"/>
    <cellStyle name="Normal 42 4 3 2 2 2" xfId="32569" xr:uid="{00000000-0005-0000-0000-0000CE4E0000}"/>
    <cellStyle name="Normal 42 4 3 2 3" xfId="24121" xr:uid="{00000000-0005-0000-0000-0000CF4E0000}"/>
    <cellStyle name="Normal 42 4 3 3" xfId="11405" xr:uid="{00000000-0005-0000-0000-0000D04E0000}"/>
    <cellStyle name="Normal 42 4 3 3 2" xfId="28345" xr:uid="{00000000-0005-0000-0000-0000D14E0000}"/>
    <cellStyle name="Normal 42 4 3 4" xfId="19897" xr:uid="{00000000-0005-0000-0000-0000D24E0000}"/>
    <cellStyle name="Normal 42 4 4" xfId="5069" xr:uid="{00000000-0005-0000-0000-0000D34E0000}"/>
    <cellStyle name="Normal 42 4 4 2" xfId="13517" xr:uid="{00000000-0005-0000-0000-0000D44E0000}"/>
    <cellStyle name="Normal 42 4 4 2 2" xfId="30457" xr:uid="{00000000-0005-0000-0000-0000D54E0000}"/>
    <cellStyle name="Normal 42 4 4 3" xfId="22009" xr:uid="{00000000-0005-0000-0000-0000D64E0000}"/>
    <cellStyle name="Normal 42 4 5" xfId="9293" xr:uid="{00000000-0005-0000-0000-0000D74E0000}"/>
    <cellStyle name="Normal 42 4 5 2" xfId="26233" xr:uid="{00000000-0005-0000-0000-0000D84E0000}"/>
    <cellStyle name="Normal 42 4 6" xfId="17785" xr:uid="{00000000-0005-0000-0000-0000D94E0000}"/>
    <cellStyle name="Normal 42 5" xfId="1189" xr:uid="{00000000-0005-0000-0000-0000DA4E0000}"/>
    <cellStyle name="Normal 42 5 2" xfId="2251" xr:uid="{00000000-0005-0000-0000-0000DB4E0000}"/>
    <cellStyle name="Normal 42 5 2 2" xfId="4363" xr:uid="{00000000-0005-0000-0000-0000DC4E0000}"/>
    <cellStyle name="Normal 42 5 2 2 2" xfId="8589" xr:uid="{00000000-0005-0000-0000-0000DD4E0000}"/>
    <cellStyle name="Normal 42 5 2 2 2 2" xfId="17037" xr:uid="{00000000-0005-0000-0000-0000DE4E0000}"/>
    <cellStyle name="Normal 42 5 2 2 2 2 2" xfId="33977" xr:uid="{00000000-0005-0000-0000-0000DF4E0000}"/>
    <cellStyle name="Normal 42 5 2 2 2 3" xfId="25529" xr:uid="{00000000-0005-0000-0000-0000E04E0000}"/>
    <cellStyle name="Normal 42 5 2 2 3" xfId="12813" xr:uid="{00000000-0005-0000-0000-0000E14E0000}"/>
    <cellStyle name="Normal 42 5 2 2 3 2" xfId="29753" xr:uid="{00000000-0005-0000-0000-0000E24E0000}"/>
    <cellStyle name="Normal 42 5 2 2 4" xfId="21305" xr:uid="{00000000-0005-0000-0000-0000E34E0000}"/>
    <cellStyle name="Normal 42 5 2 3" xfId="6477" xr:uid="{00000000-0005-0000-0000-0000E44E0000}"/>
    <cellStyle name="Normal 42 5 2 3 2" xfId="14925" xr:uid="{00000000-0005-0000-0000-0000E54E0000}"/>
    <cellStyle name="Normal 42 5 2 3 2 2" xfId="31865" xr:uid="{00000000-0005-0000-0000-0000E64E0000}"/>
    <cellStyle name="Normal 42 5 2 3 3" xfId="23417" xr:uid="{00000000-0005-0000-0000-0000E74E0000}"/>
    <cellStyle name="Normal 42 5 2 4" xfId="10701" xr:uid="{00000000-0005-0000-0000-0000E84E0000}"/>
    <cellStyle name="Normal 42 5 2 4 2" xfId="27641" xr:uid="{00000000-0005-0000-0000-0000E94E0000}"/>
    <cellStyle name="Normal 42 5 2 5" xfId="19193" xr:uid="{00000000-0005-0000-0000-0000EA4E0000}"/>
    <cellStyle name="Normal 42 5 3" xfId="3307" xr:uid="{00000000-0005-0000-0000-0000EB4E0000}"/>
    <cellStyle name="Normal 42 5 3 2" xfId="7533" xr:uid="{00000000-0005-0000-0000-0000EC4E0000}"/>
    <cellStyle name="Normal 42 5 3 2 2" xfId="15981" xr:uid="{00000000-0005-0000-0000-0000ED4E0000}"/>
    <cellStyle name="Normal 42 5 3 2 2 2" xfId="32921" xr:uid="{00000000-0005-0000-0000-0000EE4E0000}"/>
    <cellStyle name="Normal 42 5 3 2 3" xfId="24473" xr:uid="{00000000-0005-0000-0000-0000EF4E0000}"/>
    <cellStyle name="Normal 42 5 3 3" xfId="11757" xr:uid="{00000000-0005-0000-0000-0000F04E0000}"/>
    <cellStyle name="Normal 42 5 3 3 2" xfId="28697" xr:uid="{00000000-0005-0000-0000-0000F14E0000}"/>
    <cellStyle name="Normal 42 5 3 4" xfId="20249" xr:uid="{00000000-0005-0000-0000-0000F24E0000}"/>
    <cellStyle name="Normal 42 5 4" xfId="5421" xr:uid="{00000000-0005-0000-0000-0000F34E0000}"/>
    <cellStyle name="Normal 42 5 4 2" xfId="13869" xr:uid="{00000000-0005-0000-0000-0000F44E0000}"/>
    <cellStyle name="Normal 42 5 4 2 2" xfId="30809" xr:uid="{00000000-0005-0000-0000-0000F54E0000}"/>
    <cellStyle name="Normal 42 5 4 3" xfId="22361" xr:uid="{00000000-0005-0000-0000-0000F64E0000}"/>
    <cellStyle name="Normal 42 5 5" xfId="9645" xr:uid="{00000000-0005-0000-0000-0000F74E0000}"/>
    <cellStyle name="Normal 42 5 5 2" xfId="26585" xr:uid="{00000000-0005-0000-0000-0000F84E0000}"/>
    <cellStyle name="Normal 42 5 6" xfId="18137" xr:uid="{00000000-0005-0000-0000-0000F94E0000}"/>
    <cellStyle name="Normal 42 6" xfId="1371" xr:uid="{00000000-0005-0000-0000-0000FA4E0000}"/>
    <cellStyle name="Normal 42 6 2" xfId="2427" xr:uid="{00000000-0005-0000-0000-0000FB4E0000}"/>
    <cellStyle name="Normal 42 6 2 2" xfId="4539" xr:uid="{00000000-0005-0000-0000-0000FC4E0000}"/>
    <cellStyle name="Normal 42 6 2 2 2" xfId="8765" xr:uid="{00000000-0005-0000-0000-0000FD4E0000}"/>
    <cellStyle name="Normal 42 6 2 2 2 2" xfId="17213" xr:uid="{00000000-0005-0000-0000-0000FE4E0000}"/>
    <cellStyle name="Normal 42 6 2 2 2 2 2" xfId="34153" xr:uid="{00000000-0005-0000-0000-0000FF4E0000}"/>
    <cellStyle name="Normal 42 6 2 2 2 3" xfId="25705" xr:uid="{00000000-0005-0000-0000-0000004F0000}"/>
    <cellStyle name="Normal 42 6 2 2 3" xfId="12989" xr:uid="{00000000-0005-0000-0000-0000014F0000}"/>
    <cellStyle name="Normal 42 6 2 2 3 2" xfId="29929" xr:uid="{00000000-0005-0000-0000-0000024F0000}"/>
    <cellStyle name="Normal 42 6 2 2 4" xfId="21481" xr:uid="{00000000-0005-0000-0000-0000034F0000}"/>
    <cellStyle name="Normal 42 6 2 3" xfId="6653" xr:uid="{00000000-0005-0000-0000-0000044F0000}"/>
    <cellStyle name="Normal 42 6 2 3 2" xfId="15101" xr:uid="{00000000-0005-0000-0000-0000054F0000}"/>
    <cellStyle name="Normal 42 6 2 3 2 2" xfId="32041" xr:uid="{00000000-0005-0000-0000-0000064F0000}"/>
    <cellStyle name="Normal 42 6 2 3 3" xfId="23593" xr:uid="{00000000-0005-0000-0000-0000074F0000}"/>
    <cellStyle name="Normal 42 6 2 4" xfId="10877" xr:uid="{00000000-0005-0000-0000-0000084F0000}"/>
    <cellStyle name="Normal 42 6 2 4 2" xfId="27817" xr:uid="{00000000-0005-0000-0000-0000094F0000}"/>
    <cellStyle name="Normal 42 6 2 5" xfId="19369" xr:uid="{00000000-0005-0000-0000-00000A4F0000}"/>
    <cellStyle name="Normal 42 6 3" xfId="3483" xr:uid="{00000000-0005-0000-0000-00000B4F0000}"/>
    <cellStyle name="Normal 42 6 3 2" xfId="7709" xr:uid="{00000000-0005-0000-0000-00000C4F0000}"/>
    <cellStyle name="Normal 42 6 3 2 2" xfId="16157" xr:uid="{00000000-0005-0000-0000-00000D4F0000}"/>
    <cellStyle name="Normal 42 6 3 2 2 2" xfId="33097" xr:uid="{00000000-0005-0000-0000-00000E4F0000}"/>
    <cellStyle name="Normal 42 6 3 2 3" xfId="24649" xr:uid="{00000000-0005-0000-0000-00000F4F0000}"/>
    <cellStyle name="Normal 42 6 3 3" xfId="11933" xr:uid="{00000000-0005-0000-0000-0000104F0000}"/>
    <cellStyle name="Normal 42 6 3 3 2" xfId="28873" xr:uid="{00000000-0005-0000-0000-0000114F0000}"/>
    <cellStyle name="Normal 42 6 3 4" xfId="20425" xr:uid="{00000000-0005-0000-0000-0000124F0000}"/>
    <cellStyle name="Normal 42 6 4" xfId="5597" xr:uid="{00000000-0005-0000-0000-0000134F0000}"/>
    <cellStyle name="Normal 42 6 4 2" xfId="14045" xr:uid="{00000000-0005-0000-0000-0000144F0000}"/>
    <cellStyle name="Normal 42 6 4 2 2" xfId="30985" xr:uid="{00000000-0005-0000-0000-0000154F0000}"/>
    <cellStyle name="Normal 42 6 4 3" xfId="22537" xr:uid="{00000000-0005-0000-0000-0000164F0000}"/>
    <cellStyle name="Normal 42 6 5" xfId="9821" xr:uid="{00000000-0005-0000-0000-0000174F0000}"/>
    <cellStyle name="Normal 42 6 5 2" xfId="26761" xr:uid="{00000000-0005-0000-0000-0000184F0000}"/>
    <cellStyle name="Normal 42 6 6" xfId="18313" xr:uid="{00000000-0005-0000-0000-0000194F0000}"/>
    <cellStyle name="Normal 42 7" xfId="1547" xr:uid="{00000000-0005-0000-0000-00001A4F0000}"/>
    <cellStyle name="Normal 42 7 2" xfId="3659" xr:uid="{00000000-0005-0000-0000-00001B4F0000}"/>
    <cellStyle name="Normal 42 7 2 2" xfId="7885" xr:uid="{00000000-0005-0000-0000-00001C4F0000}"/>
    <cellStyle name="Normal 42 7 2 2 2" xfId="16333" xr:uid="{00000000-0005-0000-0000-00001D4F0000}"/>
    <cellStyle name="Normal 42 7 2 2 2 2" xfId="33273" xr:uid="{00000000-0005-0000-0000-00001E4F0000}"/>
    <cellStyle name="Normal 42 7 2 2 3" xfId="24825" xr:uid="{00000000-0005-0000-0000-00001F4F0000}"/>
    <cellStyle name="Normal 42 7 2 3" xfId="12109" xr:uid="{00000000-0005-0000-0000-0000204F0000}"/>
    <cellStyle name="Normal 42 7 2 3 2" xfId="29049" xr:uid="{00000000-0005-0000-0000-0000214F0000}"/>
    <cellStyle name="Normal 42 7 2 4" xfId="20601" xr:uid="{00000000-0005-0000-0000-0000224F0000}"/>
    <cellStyle name="Normal 42 7 3" xfId="5773" xr:uid="{00000000-0005-0000-0000-0000234F0000}"/>
    <cellStyle name="Normal 42 7 3 2" xfId="14221" xr:uid="{00000000-0005-0000-0000-0000244F0000}"/>
    <cellStyle name="Normal 42 7 3 2 2" xfId="31161" xr:uid="{00000000-0005-0000-0000-0000254F0000}"/>
    <cellStyle name="Normal 42 7 3 3" xfId="22713" xr:uid="{00000000-0005-0000-0000-0000264F0000}"/>
    <cellStyle name="Normal 42 7 4" xfId="9997" xr:uid="{00000000-0005-0000-0000-0000274F0000}"/>
    <cellStyle name="Normal 42 7 4 2" xfId="26937" xr:uid="{00000000-0005-0000-0000-0000284F0000}"/>
    <cellStyle name="Normal 42 7 5" xfId="18489" xr:uid="{00000000-0005-0000-0000-0000294F0000}"/>
    <cellStyle name="Normal 42 8" xfId="2603" xr:uid="{00000000-0005-0000-0000-00002A4F0000}"/>
    <cellStyle name="Normal 42 8 2" xfId="6829" xr:uid="{00000000-0005-0000-0000-00002B4F0000}"/>
    <cellStyle name="Normal 42 8 2 2" xfId="15277" xr:uid="{00000000-0005-0000-0000-00002C4F0000}"/>
    <cellStyle name="Normal 42 8 2 2 2" xfId="32217" xr:uid="{00000000-0005-0000-0000-00002D4F0000}"/>
    <cellStyle name="Normal 42 8 2 3" xfId="23769" xr:uid="{00000000-0005-0000-0000-00002E4F0000}"/>
    <cellStyle name="Normal 42 8 3" xfId="11053" xr:uid="{00000000-0005-0000-0000-00002F4F0000}"/>
    <cellStyle name="Normal 42 8 3 2" xfId="27993" xr:uid="{00000000-0005-0000-0000-0000304F0000}"/>
    <cellStyle name="Normal 42 8 4" xfId="19545" xr:uid="{00000000-0005-0000-0000-0000314F0000}"/>
    <cellStyle name="Normal 42 9" xfId="4716" xr:uid="{00000000-0005-0000-0000-0000324F0000}"/>
    <cellStyle name="Normal 42 9 2" xfId="13165" xr:uid="{00000000-0005-0000-0000-0000334F0000}"/>
    <cellStyle name="Normal 42 9 2 2" xfId="30105" xr:uid="{00000000-0005-0000-0000-0000344F0000}"/>
    <cellStyle name="Normal 42 9 3" xfId="21657" xr:uid="{00000000-0005-0000-0000-0000354F0000}"/>
    <cellStyle name="Normal 43" xfId="364" xr:uid="{00000000-0005-0000-0000-0000364F0000}"/>
    <cellStyle name="Normal 43 10" xfId="17435" xr:uid="{00000000-0005-0000-0000-0000374F0000}"/>
    <cellStyle name="Normal 43 2" xfId="663" xr:uid="{00000000-0005-0000-0000-0000384F0000}"/>
    <cellStyle name="Normal 43 2 2" xfId="1015" xr:uid="{00000000-0005-0000-0000-0000394F0000}"/>
    <cellStyle name="Normal 43 2 2 2" xfId="2077" xr:uid="{00000000-0005-0000-0000-00003A4F0000}"/>
    <cellStyle name="Normal 43 2 2 2 2" xfId="4189" xr:uid="{00000000-0005-0000-0000-00003B4F0000}"/>
    <cellStyle name="Normal 43 2 2 2 2 2" xfId="8415" xr:uid="{00000000-0005-0000-0000-00003C4F0000}"/>
    <cellStyle name="Normal 43 2 2 2 2 2 2" xfId="16863" xr:uid="{00000000-0005-0000-0000-00003D4F0000}"/>
    <cellStyle name="Normal 43 2 2 2 2 2 2 2" xfId="33803" xr:uid="{00000000-0005-0000-0000-00003E4F0000}"/>
    <cellStyle name="Normal 43 2 2 2 2 2 3" xfId="25355" xr:uid="{00000000-0005-0000-0000-00003F4F0000}"/>
    <cellStyle name="Normal 43 2 2 2 2 3" xfId="12639" xr:uid="{00000000-0005-0000-0000-0000404F0000}"/>
    <cellStyle name="Normal 43 2 2 2 2 3 2" xfId="29579" xr:uid="{00000000-0005-0000-0000-0000414F0000}"/>
    <cellStyle name="Normal 43 2 2 2 2 4" xfId="21131" xr:uid="{00000000-0005-0000-0000-0000424F0000}"/>
    <cellStyle name="Normal 43 2 2 2 3" xfId="6303" xr:uid="{00000000-0005-0000-0000-0000434F0000}"/>
    <cellStyle name="Normal 43 2 2 2 3 2" xfId="14751" xr:uid="{00000000-0005-0000-0000-0000444F0000}"/>
    <cellStyle name="Normal 43 2 2 2 3 2 2" xfId="31691" xr:uid="{00000000-0005-0000-0000-0000454F0000}"/>
    <cellStyle name="Normal 43 2 2 2 3 3" xfId="23243" xr:uid="{00000000-0005-0000-0000-0000464F0000}"/>
    <cellStyle name="Normal 43 2 2 2 4" xfId="10527" xr:uid="{00000000-0005-0000-0000-0000474F0000}"/>
    <cellStyle name="Normal 43 2 2 2 4 2" xfId="27467" xr:uid="{00000000-0005-0000-0000-0000484F0000}"/>
    <cellStyle name="Normal 43 2 2 2 5" xfId="19019" xr:uid="{00000000-0005-0000-0000-0000494F0000}"/>
    <cellStyle name="Normal 43 2 2 3" xfId="3133" xr:uid="{00000000-0005-0000-0000-00004A4F0000}"/>
    <cellStyle name="Normal 43 2 2 3 2" xfId="7359" xr:uid="{00000000-0005-0000-0000-00004B4F0000}"/>
    <cellStyle name="Normal 43 2 2 3 2 2" xfId="15807" xr:uid="{00000000-0005-0000-0000-00004C4F0000}"/>
    <cellStyle name="Normal 43 2 2 3 2 2 2" xfId="32747" xr:uid="{00000000-0005-0000-0000-00004D4F0000}"/>
    <cellStyle name="Normal 43 2 2 3 2 3" xfId="24299" xr:uid="{00000000-0005-0000-0000-00004E4F0000}"/>
    <cellStyle name="Normal 43 2 2 3 3" xfId="11583" xr:uid="{00000000-0005-0000-0000-00004F4F0000}"/>
    <cellStyle name="Normal 43 2 2 3 3 2" xfId="28523" xr:uid="{00000000-0005-0000-0000-0000504F0000}"/>
    <cellStyle name="Normal 43 2 2 3 4" xfId="20075" xr:uid="{00000000-0005-0000-0000-0000514F0000}"/>
    <cellStyle name="Normal 43 2 2 4" xfId="5247" xr:uid="{00000000-0005-0000-0000-0000524F0000}"/>
    <cellStyle name="Normal 43 2 2 4 2" xfId="13695" xr:uid="{00000000-0005-0000-0000-0000534F0000}"/>
    <cellStyle name="Normal 43 2 2 4 2 2" xfId="30635" xr:uid="{00000000-0005-0000-0000-0000544F0000}"/>
    <cellStyle name="Normal 43 2 2 4 3" xfId="22187" xr:uid="{00000000-0005-0000-0000-0000554F0000}"/>
    <cellStyle name="Normal 43 2 2 5" xfId="9471" xr:uid="{00000000-0005-0000-0000-0000564F0000}"/>
    <cellStyle name="Normal 43 2 2 5 2" xfId="26411" xr:uid="{00000000-0005-0000-0000-0000574F0000}"/>
    <cellStyle name="Normal 43 2 2 6" xfId="17963" xr:uid="{00000000-0005-0000-0000-0000584F0000}"/>
    <cellStyle name="Normal 43 2 3" xfId="1725" xr:uid="{00000000-0005-0000-0000-0000594F0000}"/>
    <cellStyle name="Normal 43 2 3 2" xfId="3837" xr:uid="{00000000-0005-0000-0000-00005A4F0000}"/>
    <cellStyle name="Normal 43 2 3 2 2" xfId="8063" xr:uid="{00000000-0005-0000-0000-00005B4F0000}"/>
    <cellStyle name="Normal 43 2 3 2 2 2" xfId="16511" xr:uid="{00000000-0005-0000-0000-00005C4F0000}"/>
    <cellStyle name="Normal 43 2 3 2 2 2 2" xfId="33451" xr:uid="{00000000-0005-0000-0000-00005D4F0000}"/>
    <cellStyle name="Normal 43 2 3 2 2 3" xfId="25003" xr:uid="{00000000-0005-0000-0000-00005E4F0000}"/>
    <cellStyle name="Normal 43 2 3 2 3" xfId="12287" xr:uid="{00000000-0005-0000-0000-00005F4F0000}"/>
    <cellStyle name="Normal 43 2 3 2 3 2" xfId="29227" xr:uid="{00000000-0005-0000-0000-0000604F0000}"/>
    <cellStyle name="Normal 43 2 3 2 4" xfId="20779" xr:uid="{00000000-0005-0000-0000-0000614F0000}"/>
    <cellStyle name="Normal 43 2 3 3" xfId="5951" xr:uid="{00000000-0005-0000-0000-0000624F0000}"/>
    <cellStyle name="Normal 43 2 3 3 2" xfId="14399" xr:uid="{00000000-0005-0000-0000-0000634F0000}"/>
    <cellStyle name="Normal 43 2 3 3 2 2" xfId="31339" xr:uid="{00000000-0005-0000-0000-0000644F0000}"/>
    <cellStyle name="Normal 43 2 3 3 3" xfId="22891" xr:uid="{00000000-0005-0000-0000-0000654F0000}"/>
    <cellStyle name="Normal 43 2 3 4" xfId="10175" xr:uid="{00000000-0005-0000-0000-0000664F0000}"/>
    <cellStyle name="Normal 43 2 3 4 2" xfId="27115" xr:uid="{00000000-0005-0000-0000-0000674F0000}"/>
    <cellStyle name="Normal 43 2 3 5" xfId="18667" xr:uid="{00000000-0005-0000-0000-0000684F0000}"/>
    <cellStyle name="Normal 43 2 4" xfId="2781" xr:uid="{00000000-0005-0000-0000-0000694F0000}"/>
    <cellStyle name="Normal 43 2 4 2" xfId="7007" xr:uid="{00000000-0005-0000-0000-00006A4F0000}"/>
    <cellStyle name="Normal 43 2 4 2 2" xfId="15455" xr:uid="{00000000-0005-0000-0000-00006B4F0000}"/>
    <cellStyle name="Normal 43 2 4 2 2 2" xfId="32395" xr:uid="{00000000-0005-0000-0000-00006C4F0000}"/>
    <cellStyle name="Normal 43 2 4 2 3" xfId="23947" xr:uid="{00000000-0005-0000-0000-00006D4F0000}"/>
    <cellStyle name="Normal 43 2 4 3" xfId="11231" xr:uid="{00000000-0005-0000-0000-00006E4F0000}"/>
    <cellStyle name="Normal 43 2 4 3 2" xfId="28171" xr:uid="{00000000-0005-0000-0000-00006F4F0000}"/>
    <cellStyle name="Normal 43 2 4 4" xfId="19723" xr:uid="{00000000-0005-0000-0000-0000704F0000}"/>
    <cellStyle name="Normal 43 2 5" xfId="4895" xr:uid="{00000000-0005-0000-0000-0000714F0000}"/>
    <cellStyle name="Normal 43 2 5 2" xfId="13343" xr:uid="{00000000-0005-0000-0000-0000724F0000}"/>
    <cellStyle name="Normal 43 2 5 2 2" xfId="30283" xr:uid="{00000000-0005-0000-0000-0000734F0000}"/>
    <cellStyle name="Normal 43 2 5 3" xfId="21835" xr:uid="{00000000-0005-0000-0000-0000744F0000}"/>
    <cellStyle name="Normal 43 2 6" xfId="9119" xr:uid="{00000000-0005-0000-0000-0000754F0000}"/>
    <cellStyle name="Normal 43 2 6 2" xfId="26059" xr:uid="{00000000-0005-0000-0000-0000764F0000}"/>
    <cellStyle name="Normal 43 2 7" xfId="17611" xr:uid="{00000000-0005-0000-0000-0000774F0000}"/>
    <cellStyle name="Normal 43 3" xfId="839" xr:uid="{00000000-0005-0000-0000-0000784F0000}"/>
    <cellStyle name="Normal 43 3 2" xfId="1901" xr:uid="{00000000-0005-0000-0000-0000794F0000}"/>
    <cellStyle name="Normal 43 3 2 2" xfId="4013" xr:uid="{00000000-0005-0000-0000-00007A4F0000}"/>
    <cellStyle name="Normal 43 3 2 2 2" xfId="8239" xr:uid="{00000000-0005-0000-0000-00007B4F0000}"/>
    <cellStyle name="Normal 43 3 2 2 2 2" xfId="16687" xr:uid="{00000000-0005-0000-0000-00007C4F0000}"/>
    <cellStyle name="Normal 43 3 2 2 2 2 2" xfId="33627" xr:uid="{00000000-0005-0000-0000-00007D4F0000}"/>
    <cellStyle name="Normal 43 3 2 2 2 3" xfId="25179" xr:uid="{00000000-0005-0000-0000-00007E4F0000}"/>
    <cellStyle name="Normal 43 3 2 2 3" xfId="12463" xr:uid="{00000000-0005-0000-0000-00007F4F0000}"/>
    <cellStyle name="Normal 43 3 2 2 3 2" xfId="29403" xr:uid="{00000000-0005-0000-0000-0000804F0000}"/>
    <cellStyle name="Normal 43 3 2 2 4" xfId="20955" xr:uid="{00000000-0005-0000-0000-0000814F0000}"/>
    <cellStyle name="Normal 43 3 2 3" xfId="6127" xr:uid="{00000000-0005-0000-0000-0000824F0000}"/>
    <cellStyle name="Normal 43 3 2 3 2" xfId="14575" xr:uid="{00000000-0005-0000-0000-0000834F0000}"/>
    <cellStyle name="Normal 43 3 2 3 2 2" xfId="31515" xr:uid="{00000000-0005-0000-0000-0000844F0000}"/>
    <cellStyle name="Normal 43 3 2 3 3" xfId="23067" xr:uid="{00000000-0005-0000-0000-0000854F0000}"/>
    <cellStyle name="Normal 43 3 2 4" xfId="10351" xr:uid="{00000000-0005-0000-0000-0000864F0000}"/>
    <cellStyle name="Normal 43 3 2 4 2" xfId="27291" xr:uid="{00000000-0005-0000-0000-0000874F0000}"/>
    <cellStyle name="Normal 43 3 2 5" xfId="18843" xr:uid="{00000000-0005-0000-0000-0000884F0000}"/>
    <cellStyle name="Normal 43 3 3" xfId="2957" xr:uid="{00000000-0005-0000-0000-0000894F0000}"/>
    <cellStyle name="Normal 43 3 3 2" xfId="7183" xr:uid="{00000000-0005-0000-0000-00008A4F0000}"/>
    <cellStyle name="Normal 43 3 3 2 2" xfId="15631" xr:uid="{00000000-0005-0000-0000-00008B4F0000}"/>
    <cellStyle name="Normal 43 3 3 2 2 2" xfId="32571" xr:uid="{00000000-0005-0000-0000-00008C4F0000}"/>
    <cellStyle name="Normal 43 3 3 2 3" xfId="24123" xr:uid="{00000000-0005-0000-0000-00008D4F0000}"/>
    <cellStyle name="Normal 43 3 3 3" xfId="11407" xr:uid="{00000000-0005-0000-0000-00008E4F0000}"/>
    <cellStyle name="Normal 43 3 3 3 2" xfId="28347" xr:uid="{00000000-0005-0000-0000-00008F4F0000}"/>
    <cellStyle name="Normal 43 3 3 4" xfId="19899" xr:uid="{00000000-0005-0000-0000-0000904F0000}"/>
    <cellStyle name="Normal 43 3 4" xfId="5071" xr:uid="{00000000-0005-0000-0000-0000914F0000}"/>
    <cellStyle name="Normal 43 3 4 2" xfId="13519" xr:uid="{00000000-0005-0000-0000-0000924F0000}"/>
    <cellStyle name="Normal 43 3 4 2 2" xfId="30459" xr:uid="{00000000-0005-0000-0000-0000934F0000}"/>
    <cellStyle name="Normal 43 3 4 3" xfId="22011" xr:uid="{00000000-0005-0000-0000-0000944F0000}"/>
    <cellStyle name="Normal 43 3 5" xfId="9295" xr:uid="{00000000-0005-0000-0000-0000954F0000}"/>
    <cellStyle name="Normal 43 3 5 2" xfId="26235" xr:uid="{00000000-0005-0000-0000-0000964F0000}"/>
    <cellStyle name="Normal 43 3 6" xfId="17787" xr:uid="{00000000-0005-0000-0000-0000974F0000}"/>
    <cellStyle name="Normal 43 4" xfId="1191" xr:uid="{00000000-0005-0000-0000-0000984F0000}"/>
    <cellStyle name="Normal 43 4 2" xfId="2253" xr:uid="{00000000-0005-0000-0000-0000994F0000}"/>
    <cellStyle name="Normal 43 4 2 2" xfId="4365" xr:uid="{00000000-0005-0000-0000-00009A4F0000}"/>
    <cellStyle name="Normal 43 4 2 2 2" xfId="8591" xr:uid="{00000000-0005-0000-0000-00009B4F0000}"/>
    <cellStyle name="Normal 43 4 2 2 2 2" xfId="17039" xr:uid="{00000000-0005-0000-0000-00009C4F0000}"/>
    <cellStyle name="Normal 43 4 2 2 2 2 2" xfId="33979" xr:uid="{00000000-0005-0000-0000-00009D4F0000}"/>
    <cellStyle name="Normal 43 4 2 2 2 3" xfId="25531" xr:uid="{00000000-0005-0000-0000-00009E4F0000}"/>
    <cellStyle name="Normal 43 4 2 2 3" xfId="12815" xr:uid="{00000000-0005-0000-0000-00009F4F0000}"/>
    <cellStyle name="Normal 43 4 2 2 3 2" xfId="29755" xr:uid="{00000000-0005-0000-0000-0000A04F0000}"/>
    <cellStyle name="Normal 43 4 2 2 4" xfId="21307" xr:uid="{00000000-0005-0000-0000-0000A14F0000}"/>
    <cellStyle name="Normal 43 4 2 3" xfId="6479" xr:uid="{00000000-0005-0000-0000-0000A24F0000}"/>
    <cellStyle name="Normal 43 4 2 3 2" xfId="14927" xr:uid="{00000000-0005-0000-0000-0000A34F0000}"/>
    <cellStyle name="Normal 43 4 2 3 2 2" xfId="31867" xr:uid="{00000000-0005-0000-0000-0000A44F0000}"/>
    <cellStyle name="Normal 43 4 2 3 3" xfId="23419" xr:uid="{00000000-0005-0000-0000-0000A54F0000}"/>
    <cellStyle name="Normal 43 4 2 4" xfId="10703" xr:uid="{00000000-0005-0000-0000-0000A64F0000}"/>
    <cellStyle name="Normal 43 4 2 4 2" xfId="27643" xr:uid="{00000000-0005-0000-0000-0000A74F0000}"/>
    <cellStyle name="Normal 43 4 2 5" xfId="19195" xr:uid="{00000000-0005-0000-0000-0000A84F0000}"/>
    <cellStyle name="Normal 43 4 3" xfId="3309" xr:uid="{00000000-0005-0000-0000-0000A94F0000}"/>
    <cellStyle name="Normal 43 4 3 2" xfId="7535" xr:uid="{00000000-0005-0000-0000-0000AA4F0000}"/>
    <cellStyle name="Normal 43 4 3 2 2" xfId="15983" xr:uid="{00000000-0005-0000-0000-0000AB4F0000}"/>
    <cellStyle name="Normal 43 4 3 2 2 2" xfId="32923" xr:uid="{00000000-0005-0000-0000-0000AC4F0000}"/>
    <cellStyle name="Normal 43 4 3 2 3" xfId="24475" xr:uid="{00000000-0005-0000-0000-0000AD4F0000}"/>
    <cellStyle name="Normal 43 4 3 3" xfId="11759" xr:uid="{00000000-0005-0000-0000-0000AE4F0000}"/>
    <cellStyle name="Normal 43 4 3 3 2" xfId="28699" xr:uid="{00000000-0005-0000-0000-0000AF4F0000}"/>
    <cellStyle name="Normal 43 4 3 4" xfId="20251" xr:uid="{00000000-0005-0000-0000-0000B04F0000}"/>
    <cellStyle name="Normal 43 4 4" xfId="5423" xr:uid="{00000000-0005-0000-0000-0000B14F0000}"/>
    <cellStyle name="Normal 43 4 4 2" xfId="13871" xr:uid="{00000000-0005-0000-0000-0000B24F0000}"/>
    <cellStyle name="Normal 43 4 4 2 2" xfId="30811" xr:uid="{00000000-0005-0000-0000-0000B34F0000}"/>
    <cellStyle name="Normal 43 4 4 3" xfId="22363" xr:uid="{00000000-0005-0000-0000-0000B44F0000}"/>
    <cellStyle name="Normal 43 4 5" xfId="9647" xr:uid="{00000000-0005-0000-0000-0000B54F0000}"/>
    <cellStyle name="Normal 43 4 5 2" xfId="26587" xr:uid="{00000000-0005-0000-0000-0000B64F0000}"/>
    <cellStyle name="Normal 43 4 6" xfId="18139" xr:uid="{00000000-0005-0000-0000-0000B74F0000}"/>
    <cellStyle name="Normal 43 5" xfId="1373" xr:uid="{00000000-0005-0000-0000-0000B84F0000}"/>
    <cellStyle name="Normal 43 5 2" xfId="2429" xr:uid="{00000000-0005-0000-0000-0000B94F0000}"/>
    <cellStyle name="Normal 43 5 2 2" xfId="4541" xr:uid="{00000000-0005-0000-0000-0000BA4F0000}"/>
    <cellStyle name="Normal 43 5 2 2 2" xfId="8767" xr:uid="{00000000-0005-0000-0000-0000BB4F0000}"/>
    <cellStyle name="Normal 43 5 2 2 2 2" xfId="17215" xr:uid="{00000000-0005-0000-0000-0000BC4F0000}"/>
    <cellStyle name="Normal 43 5 2 2 2 2 2" xfId="34155" xr:uid="{00000000-0005-0000-0000-0000BD4F0000}"/>
    <cellStyle name="Normal 43 5 2 2 2 3" xfId="25707" xr:uid="{00000000-0005-0000-0000-0000BE4F0000}"/>
    <cellStyle name="Normal 43 5 2 2 3" xfId="12991" xr:uid="{00000000-0005-0000-0000-0000BF4F0000}"/>
    <cellStyle name="Normal 43 5 2 2 3 2" xfId="29931" xr:uid="{00000000-0005-0000-0000-0000C04F0000}"/>
    <cellStyle name="Normal 43 5 2 2 4" xfId="21483" xr:uid="{00000000-0005-0000-0000-0000C14F0000}"/>
    <cellStyle name="Normal 43 5 2 3" xfId="6655" xr:uid="{00000000-0005-0000-0000-0000C24F0000}"/>
    <cellStyle name="Normal 43 5 2 3 2" xfId="15103" xr:uid="{00000000-0005-0000-0000-0000C34F0000}"/>
    <cellStyle name="Normal 43 5 2 3 2 2" xfId="32043" xr:uid="{00000000-0005-0000-0000-0000C44F0000}"/>
    <cellStyle name="Normal 43 5 2 3 3" xfId="23595" xr:uid="{00000000-0005-0000-0000-0000C54F0000}"/>
    <cellStyle name="Normal 43 5 2 4" xfId="10879" xr:uid="{00000000-0005-0000-0000-0000C64F0000}"/>
    <cellStyle name="Normal 43 5 2 4 2" xfId="27819" xr:uid="{00000000-0005-0000-0000-0000C74F0000}"/>
    <cellStyle name="Normal 43 5 2 5" xfId="19371" xr:uid="{00000000-0005-0000-0000-0000C84F0000}"/>
    <cellStyle name="Normal 43 5 3" xfId="3485" xr:uid="{00000000-0005-0000-0000-0000C94F0000}"/>
    <cellStyle name="Normal 43 5 3 2" xfId="7711" xr:uid="{00000000-0005-0000-0000-0000CA4F0000}"/>
    <cellStyle name="Normal 43 5 3 2 2" xfId="16159" xr:uid="{00000000-0005-0000-0000-0000CB4F0000}"/>
    <cellStyle name="Normal 43 5 3 2 2 2" xfId="33099" xr:uid="{00000000-0005-0000-0000-0000CC4F0000}"/>
    <cellStyle name="Normal 43 5 3 2 3" xfId="24651" xr:uid="{00000000-0005-0000-0000-0000CD4F0000}"/>
    <cellStyle name="Normal 43 5 3 3" xfId="11935" xr:uid="{00000000-0005-0000-0000-0000CE4F0000}"/>
    <cellStyle name="Normal 43 5 3 3 2" xfId="28875" xr:uid="{00000000-0005-0000-0000-0000CF4F0000}"/>
    <cellStyle name="Normal 43 5 3 4" xfId="20427" xr:uid="{00000000-0005-0000-0000-0000D04F0000}"/>
    <cellStyle name="Normal 43 5 4" xfId="5599" xr:uid="{00000000-0005-0000-0000-0000D14F0000}"/>
    <cellStyle name="Normal 43 5 4 2" xfId="14047" xr:uid="{00000000-0005-0000-0000-0000D24F0000}"/>
    <cellStyle name="Normal 43 5 4 2 2" xfId="30987" xr:uid="{00000000-0005-0000-0000-0000D34F0000}"/>
    <cellStyle name="Normal 43 5 4 3" xfId="22539" xr:uid="{00000000-0005-0000-0000-0000D44F0000}"/>
    <cellStyle name="Normal 43 5 5" xfId="9823" xr:uid="{00000000-0005-0000-0000-0000D54F0000}"/>
    <cellStyle name="Normal 43 5 5 2" xfId="26763" xr:uid="{00000000-0005-0000-0000-0000D64F0000}"/>
    <cellStyle name="Normal 43 5 6" xfId="18315" xr:uid="{00000000-0005-0000-0000-0000D74F0000}"/>
    <cellStyle name="Normal 43 6" xfId="1549" xr:uid="{00000000-0005-0000-0000-0000D84F0000}"/>
    <cellStyle name="Normal 43 6 2" xfId="3661" xr:uid="{00000000-0005-0000-0000-0000D94F0000}"/>
    <cellStyle name="Normal 43 6 2 2" xfId="7887" xr:uid="{00000000-0005-0000-0000-0000DA4F0000}"/>
    <cellStyle name="Normal 43 6 2 2 2" xfId="16335" xr:uid="{00000000-0005-0000-0000-0000DB4F0000}"/>
    <cellStyle name="Normal 43 6 2 2 2 2" xfId="33275" xr:uid="{00000000-0005-0000-0000-0000DC4F0000}"/>
    <cellStyle name="Normal 43 6 2 2 3" xfId="24827" xr:uid="{00000000-0005-0000-0000-0000DD4F0000}"/>
    <cellStyle name="Normal 43 6 2 3" xfId="12111" xr:uid="{00000000-0005-0000-0000-0000DE4F0000}"/>
    <cellStyle name="Normal 43 6 2 3 2" xfId="29051" xr:uid="{00000000-0005-0000-0000-0000DF4F0000}"/>
    <cellStyle name="Normal 43 6 2 4" xfId="20603" xr:uid="{00000000-0005-0000-0000-0000E04F0000}"/>
    <cellStyle name="Normal 43 6 3" xfId="5775" xr:uid="{00000000-0005-0000-0000-0000E14F0000}"/>
    <cellStyle name="Normal 43 6 3 2" xfId="14223" xr:uid="{00000000-0005-0000-0000-0000E24F0000}"/>
    <cellStyle name="Normal 43 6 3 2 2" xfId="31163" xr:uid="{00000000-0005-0000-0000-0000E34F0000}"/>
    <cellStyle name="Normal 43 6 3 3" xfId="22715" xr:uid="{00000000-0005-0000-0000-0000E44F0000}"/>
    <cellStyle name="Normal 43 6 4" xfId="9999" xr:uid="{00000000-0005-0000-0000-0000E54F0000}"/>
    <cellStyle name="Normal 43 6 4 2" xfId="26939" xr:uid="{00000000-0005-0000-0000-0000E64F0000}"/>
    <cellStyle name="Normal 43 6 5" xfId="18491" xr:uid="{00000000-0005-0000-0000-0000E74F0000}"/>
    <cellStyle name="Normal 43 7" xfId="2605" xr:uid="{00000000-0005-0000-0000-0000E84F0000}"/>
    <cellStyle name="Normal 43 7 2" xfId="6831" xr:uid="{00000000-0005-0000-0000-0000E94F0000}"/>
    <cellStyle name="Normal 43 7 2 2" xfId="15279" xr:uid="{00000000-0005-0000-0000-0000EA4F0000}"/>
    <cellStyle name="Normal 43 7 2 2 2" xfId="32219" xr:uid="{00000000-0005-0000-0000-0000EB4F0000}"/>
    <cellStyle name="Normal 43 7 2 3" xfId="23771" xr:uid="{00000000-0005-0000-0000-0000EC4F0000}"/>
    <cellStyle name="Normal 43 7 3" xfId="11055" xr:uid="{00000000-0005-0000-0000-0000ED4F0000}"/>
    <cellStyle name="Normal 43 7 3 2" xfId="27995" xr:uid="{00000000-0005-0000-0000-0000EE4F0000}"/>
    <cellStyle name="Normal 43 7 4" xfId="19547" xr:uid="{00000000-0005-0000-0000-0000EF4F0000}"/>
    <cellStyle name="Normal 43 8" xfId="4718" xr:uid="{00000000-0005-0000-0000-0000F04F0000}"/>
    <cellStyle name="Normal 43 8 2" xfId="13167" xr:uid="{00000000-0005-0000-0000-0000F14F0000}"/>
    <cellStyle name="Normal 43 8 2 2" xfId="30107" xr:uid="{00000000-0005-0000-0000-0000F24F0000}"/>
    <cellStyle name="Normal 43 8 3" xfId="21659" xr:uid="{00000000-0005-0000-0000-0000F34F0000}"/>
    <cellStyle name="Normal 43 9" xfId="8943" xr:uid="{00000000-0005-0000-0000-0000F44F0000}"/>
    <cellStyle name="Normal 43 9 2" xfId="25883" xr:uid="{00000000-0005-0000-0000-0000F54F0000}"/>
    <cellStyle name="Normal 44" xfId="365" xr:uid="{00000000-0005-0000-0000-0000F64F0000}"/>
    <cellStyle name="Normal 45" xfId="366" xr:uid="{00000000-0005-0000-0000-0000F74F0000}"/>
    <cellStyle name="Normal 46" xfId="367" xr:uid="{00000000-0005-0000-0000-0000F84F0000}"/>
    <cellStyle name="Normal 47" xfId="368" xr:uid="{00000000-0005-0000-0000-0000F94F0000}"/>
    <cellStyle name="Normal 47 10" xfId="17436" xr:uid="{00000000-0005-0000-0000-0000FA4F0000}"/>
    <cellStyle name="Normal 47 2" xfId="664" xr:uid="{00000000-0005-0000-0000-0000FB4F0000}"/>
    <cellStyle name="Normal 47 2 2" xfId="1016" xr:uid="{00000000-0005-0000-0000-0000FC4F0000}"/>
    <cellStyle name="Normal 47 2 2 2" xfId="2078" xr:uid="{00000000-0005-0000-0000-0000FD4F0000}"/>
    <cellStyle name="Normal 47 2 2 2 2" xfId="4190" xr:uid="{00000000-0005-0000-0000-0000FE4F0000}"/>
    <cellStyle name="Normal 47 2 2 2 2 2" xfId="8416" xr:uid="{00000000-0005-0000-0000-0000FF4F0000}"/>
    <cellStyle name="Normal 47 2 2 2 2 2 2" xfId="16864" xr:uid="{00000000-0005-0000-0000-000000500000}"/>
    <cellStyle name="Normal 47 2 2 2 2 2 2 2" xfId="33804" xr:uid="{00000000-0005-0000-0000-000001500000}"/>
    <cellStyle name="Normal 47 2 2 2 2 2 3" xfId="25356" xr:uid="{00000000-0005-0000-0000-000002500000}"/>
    <cellStyle name="Normal 47 2 2 2 2 3" xfId="12640" xr:uid="{00000000-0005-0000-0000-000003500000}"/>
    <cellStyle name="Normal 47 2 2 2 2 3 2" xfId="29580" xr:uid="{00000000-0005-0000-0000-000004500000}"/>
    <cellStyle name="Normal 47 2 2 2 2 4" xfId="21132" xr:uid="{00000000-0005-0000-0000-000005500000}"/>
    <cellStyle name="Normal 47 2 2 2 3" xfId="6304" xr:uid="{00000000-0005-0000-0000-000006500000}"/>
    <cellStyle name="Normal 47 2 2 2 3 2" xfId="14752" xr:uid="{00000000-0005-0000-0000-000007500000}"/>
    <cellStyle name="Normal 47 2 2 2 3 2 2" xfId="31692" xr:uid="{00000000-0005-0000-0000-000008500000}"/>
    <cellStyle name="Normal 47 2 2 2 3 3" xfId="23244" xr:uid="{00000000-0005-0000-0000-000009500000}"/>
    <cellStyle name="Normal 47 2 2 2 4" xfId="10528" xr:uid="{00000000-0005-0000-0000-00000A500000}"/>
    <cellStyle name="Normal 47 2 2 2 4 2" xfId="27468" xr:uid="{00000000-0005-0000-0000-00000B500000}"/>
    <cellStyle name="Normal 47 2 2 2 5" xfId="19020" xr:uid="{00000000-0005-0000-0000-00000C500000}"/>
    <cellStyle name="Normal 47 2 2 3" xfId="3134" xr:uid="{00000000-0005-0000-0000-00000D500000}"/>
    <cellStyle name="Normal 47 2 2 3 2" xfId="7360" xr:uid="{00000000-0005-0000-0000-00000E500000}"/>
    <cellStyle name="Normal 47 2 2 3 2 2" xfId="15808" xr:uid="{00000000-0005-0000-0000-00000F500000}"/>
    <cellStyle name="Normal 47 2 2 3 2 2 2" xfId="32748" xr:uid="{00000000-0005-0000-0000-000010500000}"/>
    <cellStyle name="Normal 47 2 2 3 2 3" xfId="24300" xr:uid="{00000000-0005-0000-0000-000011500000}"/>
    <cellStyle name="Normal 47 2 2 3 3" xfId="11584" xr:uid="{00000000-0005-0000-0000-000012500000}"/>
    <cellStyle name="Normal 47 2 2 3 3 2" xfId="28524" xr:uid="{00000000-0005-0000-0000-000013500000}"/>
    <cellStyle name="Normal 47 2 2 3 4" xfId="20076" xr:uid="{00000000-0005-0000-0000-000014500000}"/>
    <cellStyle name="Normal 47 2 2 4" xfId="5248" xr:uid="{00000000-0005-0000-0000-000015500000}"/>
    <cellStyle name="Normal 47 2 2 4 2" xfId="13696" xr:uid="{00000000-0005-0000-0000-000016500000}"/>
    <cellStyle name="Normal 47 2 2 4 2 2" xfId="30636" xr:uid="{00000000-0005-0000-0000-000017500000}"/>
    <cellStyle name="Normal 47 2 2 4 3" xfId="22188" xr:uid="{00000000-0005-0000-0000-000018500000}"/>
    <cellStyle name="Normal 47 2 2 5" xfId="9472" xr:uid="{00000000-0005-0000-0000-000019500000}"/>
    <cellStyle name="Normal 47 2 2 5 2" xfId="26412" xr:uid="{00000000-0005-0000-0000-00001A500000}"/>
    <cellStyle name="Normal 47 2 2 6" xfId="17964" xr:uid="{00000000-0005-0000-0000-00001B500000}"/>
    <cellStyle name="Normal 47 2 3" xfId="1726" xr:uid="{00000000-0005-0000-0000-00001C500000}"/>
    <cellStyle name="Normal 47 2 3 2" xfId="3838" xr:uid="{00000000-0005-0000-0000-00001D500000}"/>
    <cellStyle name="Normal 47 2 3 2 2" xfId="8064" xr:uid="{00000000-0005-0000-0000-00001E500000}"/>
    <cellStyle name="Normal 47 2 3 2 2 2" xfId="16512" xr:uid="{00000000-0005-0000-0000-00001F500000}"/>
    <cellStyle name="Normal 47 2 3 2 2 2 2" xfId="33452" xr:uid="{00000000-0005-0000-0000-000020500000}"/>
    <cellStyle name="Normal 47 2 3 2 2 3" xfId="25004" xr:uid="{00000000-0005-0000-0000-000021500000}"/>
    <cellStyle name="Normal 47 2 3 2 3" xfId="12288" xr:uid="{00000000-0005-0000-0000-000022500000}"/>
    <cellStyle name="Normal 47 2 3 2 3 2" xfId="29228" xr:uid="{00000000-0005-0000-0000-000023500000}"/>
    <cellStyle name="Normal 47 2 3 2 4" xfId="20780" xr:uid="{00000000-0005-0000-0000-000024500000}"/>
    <cellStyle name="Normal 47 2 3 3" xfId="5952" xr:uid="{00000000-0005-0000-0000-000025500000}"/>
    <cellStyle name="Normal 47 2 3 3 2" xfId="14400" xr:uid="{00000000-0005-0000-0000-000026500000}"/>
    <cellStyle name="Normal 47 2 3 3 2 2" xfId="31340" xr:uid="{00000000-0005-0000-0000-000027500000}"/>
    <cellStyle name="Normal 47 2 3 3 3" xfId="22892" xr:uid="{00000000-0005-0000-0000-000028500000}"/>
    <cellStyle name="Normal 47 2 3 4" xfId="10176" xr:uid="{00000000-0005-0000-0000-000029500000}"/>
    <cellStyle name="Normal 47 2 3 4 2" xfId="27116" xr:uid="{00000000-0005-0000-0000-00002A500000}"/>
    <cellStyle name="Normal 47 2 3 5" xfId="18668" xr:uid="{00000000-0005-0000-0000-00002B500000}"/>
    <cellStyle name="Normal 47 2 4" xfId="2782" xr:uid="{00000000-0005-0000-0000-00002C500000}"/>
    <cellStyle name="Normal 47 2 4 2" xfId="7008" xr:uid="{00000000-0005-0000-0000-00002D500000}"/>
    <cellStyle name="Normal 47 2 4 2 2" xfId="15456" xr:uid="{00000000-0005-0000-0000-00002E500000}"/>
    <cellStyle name="Normal 47 2 4 2 2 2" xfId="32396" xr:uid="{00000000-0005-0000-0000-00002F500000}"/>
    <cellStyle name="Normal 47 2 4 2 3" xfId="23948" xr:uid="{00000000-0005-0000-0000-000030500000}"/>
    <cellStyle name="Normal 47 2 4 3" xfId="11232" xr:uid="{00000000-0005-0000-0000-000031500000}"/>
    <cellStyle name="Normal 47 2 4 3 2" xfId="28172" xr:uid="{00000000-0005-0000-0000-000032500000}"/>
    <cellStyle name="Normal 47 2 4 4" xfId="19724" xr:uid="{00000000-0005-0000-0000-000033500000}"/>
    <cellStyle name="Normal 47 2 5" xfId="4896" xr:uid="{00000000-0005-0000-0000-000034500000}"/>
    <cellStyle name="Normal 47 2 5 2" xfId="13344" xr:uid="{00000000-0005-0000-0000-000035500000}"/>
    <cellStyle name="Normal 47 2 5 2 2" xfId="30284" xr:uid="{00000000-0005-0000-0000-000036500000}"/>
    <cellStyle name="Normal 47 2 5 3" xfId="21836" xr:uid="{00000000-0005-0000-0000-000037500000}"/>
    <cellStyle name="Normal 47 2 6" xfId="9120" xr:uid="{00000000-0005-0000-0000-000038500000}"/>
    <cellStyle name="Normal 47 2 6 2" xfId="26060" xr:uid="{00000000-0005-0000-0000-000039500000}"/>
    <cellStyle name="Normal 47 2 7" xfId="17612" xr:uid="{00000000-0005-0000-0000-00003A500000}"/>
    <cellStyle name="Normal 47 3" xfId="840" xr:uid="{00000000-0005-0000-0000-00003B500000}"/>
    <cellStyle name="Normal 47 3 2" xfId="1902" xr:uid="{00000000-0005-0000-0000-00003C500000}"/>
    <cellStyle name="Normal 47 3 2 2" xfId="4014" xr:uid="{00000000-0005-0000-0000-00003D500000}"/>
    <cellStyle name="Normal 47 3 2 2 2" xfId="8240" xr:uid="{00000000-0005-0000-0000-00003E500000}"/>
    <cellStyle name="Normal 47 3 2 2 2 2" xfId="16688" xr:uid="{00000000-0005-0000-0000-00003F500000}"/>
    <cellStyle name="Normal 47 3 2 2 2 2 2" xfId="33628" xr:uid="{00000000-0005-0000-0000-000040500000}"/>
    <cellStyle name="Normal 47 3 2 2 2 3" xfId="25180" xr:uid="{00000000-0005-0000-0000-000041500000}"/>
    <cellStyle name="Normal 47 3 2 2 3" xfId="12464" xr:uid="{00000000-0005-0000-0000-000042500000}"/>
    <cellStyle name="Normal 47 3 2 2 3 2" xfId="29404" xr:uid="{00000000-0005-0000-0000-000043500000}"/>
    <cellStyle name="Normal 47 3 2 2 4" xfId="20956" xr:uid="{00000000-0005-0000-0000-000044500000}"/>
    <cellStyle name="Normal 47 3 2 3" xfId="6128" xr:uid="{00000000-0005-0000-0000-000045500000}"/>
    <cellStyle name="Normal 47 3 2 3 2" xfId="14576" xr:uid="{00000000-0005-0000-0000-000046500000}"/>
    <cellStyle name="Normal 47 3 2 3 2 2" xfId="31516" xr:uid="{00000000-0005-0000-0000-000047500000}"/>
    <cellStyle name="Normal 47 3 2 3 3" xfId="23068" xr:uid="{00000000-0005-0000-0000-000048500000}"/>
    <cellStyle name="Normal 47 3 2 4" xfId="10352" xr:uid="{00000000-0005-0000-0000-000049500000}"/>
    <cellStyle name="Normal 47 3 2 4 2" xfId="27292" xr:uid="{00000000-0005-0000-0000-00004A500000}"/>
    <cellStyle name="Normal 47 3 2 5" xfId="18844" xr:uid="{00000000-0005-0000-0000-00004B500000}"/>
    <cellStyle name="Normal 47 3 3" xfId="2958" xr:uid="{00000000-0005-0000-0000-00004C500000}"/>
    <cellStyle name="Normal 47 3 3 2" xfId="7184" xr:uid="{00000000-0005-0000-0000-00004D500000}"/>
    <cellStyle name="Normal 47 3 3 2 2" xfId="15632" xr:uid="{00000000-0005-0000-0000-00004E500000}"/>
    <cellStyle name="Normal 47 3 3 2 2 2" xfId="32572" xr:uid="{00000000-0005-0000-0000-00004F500000}"/>
    <cellStyle name="Normal 47 3 3 2 3" xfId="24124" xr:uid="{00000000-0005-0000-0000-000050500000}"/>
    <cellStyle name="Normal 47 3 3 3" xfId="11408" xr:uid="{00000000-0005-0000-0000-000051500000}"/>
    <cellStyle name="Normal 47 3 3 3 2" xfId="28348" xr:uid="{00000000-0005-0000-0000-000052500000}"/>
    <cellStyle name="Normal 47 3 3 4" xfId="19900" xr:uid="{00000000-0005-0000-0000-000053500000}"/>
    <cellStyle name="Normal 47 3 4" xfId="5072" xr:uid="{00000000-0005-0000-0000-000054500000}"/>
    <cellStyle name="Normal 47 3 4 2" xfId="13520" xr:uid="{00000000-0005-0000-0000-000055500000}"/>
    <cellStyle name="Normal 47 3 4 2 2" xfId="30460" xr:uid="{00000000-0005-0000-0000-000056500000}"/>
    <cellStyle name="Normal 47 3 4 3" xfId="22012" xr:uid="{00000000-0005-0000-0000-000057500000}"/>
    <cellStyle name="Normal 47 3 5" xfId="9296" xr:uid="{00000000-0005-0000-0000-000058500000}"/>
    <cellStyle name="Normal 47 3 5 2" xfId="26236" xr:uid="{00000000-0005-0000-0000-000059500000}"/>
    <cellStyle name="Normal 47 3 6" xfId="17788" xr:uid="{00000000-0005-0000-0000-00005A500000}"/>
    <cellStyle name="Normal 47 4" xfId="1192" xr:uid="{00000000-0005-0000-0000-00005B500000}"/>
    <cellStyle name="Normal 47 4 2" xfId="2254" xr:uid="{00000000-0005-0000-0000-00005C500000}"/>
    <cellStyle name="Normal 47 4 2 2" xfId="4366" xr:uid="{00000000-0005-0000-0000-00005D500000}"/>
    <cellStyle name="Normal 47 4 2 2 2" xfId="8592" xr:uid="{00000000-0005-0000-0000-00005E500000}"/>
    <cellStyle name="Normal 47 4 2 2 2 2" xfId="17040" xr:uid="{00000000-0005-0000-0000-00005F500000}"/>
    <cellStyle name="Normal 47 4 2 2 2 2 2" xfId="33980" xr:uid="{00000000-0005-0000-0000-000060500000}"/>
    <cellStyle name="Normal 47 4 2 2 2 3" xfId="25532" xr:uid="{00000000-0005-0000-0000-000061500000}"/>
    <cellStyle name="Normal 47 4 2 2 3" xfId="12816" xr:uid="{00000000-0005-0000-0000-000062500000}"/>
    <cellStyle name="Normal 47 4 2 2 3 2" xfId="29756" xr:uid="{00000000-0005-0000-0000-000063500000}"/>
    <cellStyle name="Normal 47 4 2 2 4" xfId="21308" xr:uid="{00000000-0005-0000-0000-000064500000}"/>
    <cellStyle name="Normal 47 4 2 3" xfId="6480" xr:uid="{00000000-0005-0000-0000-000065500000}"/>
    <cellStyle name="Normal 47 4 2 3 2" xfId="14928" xr:uid="{00000000-0005-0000-0000-000066500000}"/>
    <cellStyle name="Normal 47 4 2 3 2 2" xfId="31868" xr:uid="{00000000-0005-0000-0000-000067500000}"/>
    <cellStyle name="Normal 47 4 2 3 3" xfId="23420" xr:uid="{00000000-0005-0000-0000-000068500000}"/>
    <cellStyle name="Normal 47 4 2 4" xfId="10704" xr:uid="{00000000-0005-0000-0000-000069500000}"/>
    <cellStyle name="Normal 47 4 2 4 2" xfId="27644" xr:uid="{00000000-0005-0000-0000-00006A500000}"/>
    <cellStyle name="Normal 47 4 2 5" xfId="19196" xr:uid="{00000000-0005-0000-0000-00006B500000}"/>
    <cellStyle name="Normal 47 4 3" xfId="3310" xr:uid="{00000000-0005-0000-0000-00006C500000}"/>
    <cellStyle name="Normal 47 4 3 2" xfId="7536" xr:uid="{00000000-0005-0000-0000-00006D500000}"/>
    <cellStyle name="Normal 47 4 3 2 2" xfId="15984" xr:uid="{00000000-0005-0000-0000-00006E500000}"/>
    <cellStyle name="Normal 47 4 3 2 2 2" xfId="32924" xr:uid="{00000000-0005-0000-0000-00006F500000}"/>
    <cellStyle name="Normal 47 4 3 2 3" xfId="24476" xr:uid="{00000000-0005-0000-0000-000070500000}"/>
    <cellStyle name="Normal 47 4 3 3" xfId="11760" xr:uid="{00000000-0005-0000-0000-000071500000}"/>
    <cellStyle name="Normal 47 4 3 3 2" xfId="28700" xr:uid="{00000000-0005-0000-0000-000072500000}"/>
    <cellStyle name="Normal 47 4 3 4" xfId="20252" xr:uid="{00000000-0005-0000-0000-000073500000}"/>
    <cellStyle name="Normal 47 4 4" xfId="5424" xr:uid="{00000000-0005-0000-0000-000074500000}"/>
    <cellStyle name="Normal 47 4 4 2" xfId="13872" xr:uid="{00000000-0005-0000-0000-000075500000}"/>
    <cellStyle name="Normal 47 4 4 2 2" xfId="30812" xr:uid="{00000000-0005-0000-0000-000076500000}"/>
    <cellStyle name="Normal 47 4 4 3" xfId="22364" xr:uid="{00000000-0005-0000-0000-000077500000}"/>
    <cellStyle name="Normal 47 4 5" xfId="9648" xr:uid="{00000000-0005-0000-0000-000078500000}"/>
    <cellStyle name="Normal 47 4 5 2" xfId="26588" xr:uid="{00000000-0005-0000-0000-000079500000}"/>
    <cellStyle name="Normal 47 4 6" xfId="18140" xr:uid="{00000000-0005-0000-0000-00007A500000}"/>
    <cellStyle name="Normal 47 5" xfId="1374" xr:uid="{00000000-0005-0000-0000-00007B500000}"/>
    <cellStyle name="Normal 47 5 2" xfId="2430" xr:uid="{00000000-0005-0000-0000-00007C500000}"/>
    <cellStyle name="Normal 47 5 2 2" xfId="4542" xr:uid="{00000000-0005-0000-0000-00007D500000}"/>
    <cellStyle name="Normal 47 5 2 2 2" xfId="8768" xr:uid="{00000000-0005-0000-0000-00007E500000}"/>
    <cellStyle name="Normal 47 5 2 2 2 2" xfId="17216" xr:uid="{00000000-0005-0000-0000-00007F500000}"/>
    <cellStyle name="Normal 47 5 2 2 2 2 2" xfId="34156" xr:uid="{00000000-0005-0000-0000-000080500000}"/>
    <cellStyle name="Normal 47 5 2 2 2 3" xfId="25708" xr:uid="{00000000-0005-0000-0000-000081500000}"/>
    <cellStyle name="Normal 47 5 2 2 3" xfId="12992" xr:uid="{00000000-0005-0000-0000-000082500000}"/>
    <cellStyle name="Normal 47 5 2 2 3 2" xfId="29932" xr:uid="{00000000-0005-0000-0000-000083500000}"/>
    <cellStyle name="Normal 47 5 2 2 4" xfId="21484" xr:uid="{00000000-0005-0000-0000-000084500000}"/>
    <cellStyle name="Normal 47 5 2 3" xfId="6656" xr:uid="{00000000-0005-0000-0000-000085500000}"/>
    <cellStyle name="Normal 47 5 2 3 2" xfId="15104" xr:uid="{00000000-0005-0000-0000-000086500000}"/>
    <cellStyle name="Normal 47 5 2 3 2 2" xfId="32044" xr:uid="{00000000-0005-0000-0000-000087500000}"/>
    <cellStyle name="Normal 47 5 2 3 3" xfId="23596" xr:uid="{00000000-0005-0000-0000-000088500000}"/>
    <cellStyle name="Normal 47 5 2 4" xfId="10880" xr:uid="{00000000-0005-0000-0000-000089500000}"/>
    <cellStyle name="Normal 47 5 2 4 2" xfId="27820" xr:uid="{00000000-0005-0000-0000-00008A500000}"/>
    <cellStyle name="Normal 47 5 2 5" xfId="19372" xr:uid="{00000000-0005-0000-0000-00008B500000}"/>
    <cellStyle name="Normal 47 5 3" xfId="3486" xr:uid="{00000000-0005-0000-0000-00008C500000}"/>
    <cellStyle name="Normal 47 5 3 2" xfId="7712" xr:uid="{00000000-0005-0000-0000-00008D500000}"/>
    <cellStyle name="Normal 47 5 3 2 2" xfId="16160" xr:uid="{00000000-0005-0000-0000-00008E500000}"/>
    <cellStyle name="Normal 47 5 3 2 2 2" xfId="33100" xr:uid="{00000000-0005-0000-0000-00008F500000}"/>
    <cellStyle name="Normal 47 5 3 2 3" xfId="24652" xr:uid="{00000000-0005-0000-0000-000090500000}"/>
    <cellStyle name="Normal 47 5 3 3" xfId="11936" xr:uid="{00000000-0005-0000-0000-000091500000}"/>
    <cellStyle name="Normal 47 5 3 3 2" xfId="28876" xr:uid="{00000000-0005-0000-0000-000092500000}"/>
    <cellStyle name="Normal 47 5 3 4" xfId="20428" xr:uid="{00000000-0005-0000-0000-000093500000}"/>
    <cellStyle name="Normal 47 5 4" xfId="5600" xr:uid="{00000000-0005-0000-0000-000094500000}"/>
    <cellStyle name="Normal 47 5 4 2" xfId="14048" xr:uid="{00000000-0005-0000-0000-000095500000}"/>
    <cellStyle name="Normal 47 5 4 2 2" xfId="30988" xr:uid="{00000000-0005-0000-0000-000096500000}"/>
    <cellStyle name="Normal 47 5 4 3" xfId="22540" xr:uid="{00000000-0005-0000-0000-000097500000}"/>
    <cellStyle name="Normal 47 5 5" xfId="9824" xr:uid="{00000000-0005-0000-0000-000098500000}"/>
    <cellStyle name="Normal 47 5 5 2" xfId="26764" xr:uid="{00000000-0005-0000-0000-000099500000}"/>
    <cellStyle name="Normal 47 5 6" xfId="18316" xr:uid="{00000000-0005-0000-0000-00009A500000}"/>
    <cellStyle name="Normal 47 6" xfId="1550" xr:uid="{00000000-0005-0000-0000-00009B500000}"/>
    <cellStyle name="Normal 47 6 2" xfId="3662" xr:uid="{00000000-0005-0000-0000-00009C500000}"/>
    <cellStyle name="Normal 47 6 2 2" xfId="7888" xr:uid="{00000000-0005-0000-0000-00009D500000}"/>
    <cellStyle name="Normal 47 6 2 2 2" xfId="16336" xr:uid="{00000000-0005-0000-0000-00009E500000}"/>
    <cellStyle name="Normal 47 6 2 2 2 2" xfId="33276" xr:uid="{00000000-0005-0000-0000-00009F500000}"/>
    <cellStyle name="Normal 47 6 2 2 3" xfId="24828" xr:uid="{00000000-0005-0000-0000-0000A0500000}"/>
    <cellStyle name="Normal 47 6 2 3" xfId="12112" xr:uid="{00000000-0005-0000-0000-0000A1500000}"/>
    <cellStyle name="Normal 47 6 2 3 2" xfId="29052" xr:uid="{00000000-0005-0000-0000-0000A2500000}"/>
    <cellStyle name="Normal 47 6 2 4" xfId="20604" xr:uid="{00000000-0005-0000-0000-0000A3500000}"/>
    <cellStyle name="Normal 47 6 3" xfId="5776" xr:uid="{00000000-0005-0000-0000-0000A4500000}"/>
    <cellStyle name="Normal 47 6 3 2" xfId="14224" xr:uid="{00000000-0005-0000-0000-0000A5500000}"/>
    <cellStyle name="Normal 47 6 3 2 2" xfId="31164" xr:uid="{00000000-0005-0000-0000-0000A6500000}"/>
    <cellStyle name="Normal 47 6 3 3" xfId="22716" xr:uid="{00000000-0005-0000-0000-0000A7500000}"/>
    <cellStyle name="Normal 47 6 4" xfId="10000" xr:uid="{00000000-0005-0000-0000-0000A8500000}"/>
    <cellStyle name="Normal 47 6 4 2" xfId="26940" xr:uid="{00000000-0005-0000-0000-0000A9500000}"/>
    <cellStyle name="Normal 47 6 5" xfId="18492" xr:uid="{00000000-0005-0000-0000-0000AA500000}"/>
    <cellStyle name="Normal 47 7" xfId="2606" xr:uid="{00000000-0005-0000-0000-0000AB500000}"/>
    <cellStyle name="Normal 47 7 2" xfId="6832" xr:uid="{00000000-0005-0000-0000-0000AC500000}"/>
    <cellStyle name="Normal 47 7 2 2" xfId="15280" xr:uid="{00000000-0005-0000-0000-0000AD500000}"/>
    <cellStyle name="Normal 47 7 2 2 2" xfId="32220" xr:uid="{00000000-0005-0000-0000-0000AE500000}"/>
    <cellStyle name="Normal 47 7 2 3" xfId="23772" xr:uid="{00000000-0005-0000-0000-0000AF500000}"/>
    <cellStyle name="Normal 47 7 3" xfId="11056" xr:uid="{00000000-0005-0000-0000-0000B0500000}"/>
    <cellStyle name="Normal 47 7 3 2" xfId="27996" xr:uid="{00000000-0005-0000-0000-0000B1500000}"/>
    <cellStyle name="Normal 47 7 4" xfId="19548" xr:uid="{00000000-0005-0000-0000-0000B2500000}"/>
    <cellStyle name="Normal 47 8" xfId="4719" xr:uid="{00000000-0005-0000-0000-0000B3500000}"/>
    <cellStyle name="Normal 47 8 2" xfId="13168" xr:uid="{00000000-0005-0000-0000-0000B4500000}"/>
    <cellStyle name="Normal 47 8 2 2" xfId="30108" xr:uid="{00000000-0005-0000-0000-0000B5500000}"/>
    <cellStyle name="Normal 47 8 3" xfId="21660" xr:uid="{00000000-0005-0000-0000-0000B6500000}"/>
    <cellStyle name="Normal 47 9" xfId="8944" xr:uid="{00000000-0005-0000-0000-0000B7500000}"/>
    <cellStyle name="Normal 47 9 2" xfId="25884" xr:uid="{00000000-0005-0000-0000-0000B8500000}"/>
    <cellStyle name="Normal 48" xfId="369" xr:uid="{00000000-0005-0000-0000-0000B9500000}"/>
    <cellStyle name="Normal 48 10" xfId="17437" xr:uid="{00000000-0005-0000-0000-0000BA500000}"/>
    <cellStyle name="Normal 48 2" xfId="665" xr:uid="{00000000-0005-0000-0000-0000BB500000}"/>
    <cellStyle name="Normal 48 2 2" xfId="1017" xr:uid="{00000000-0005-0000-0000-0000BC500000}"/>
    <cellStyle name="Normal 48 2 2 2" xfId="2079" xr:uid="{00000000-0005-0000-0000-0000BD500000}"/>
    <cellStyle name="Normal 48 2 2 2 2" xfId="4191" xr:uid="{00000000-0005-0000-0000-0000BE500000}"/>
    <cellStyle name="Normal 48 2 2 2 2 2" xfId="8417" xr:uid="{00000000-0005-0000-0000-0000BF500000}"/>
    <cellStyle name="Normal 48 2 2 2 2 2 2" xfId="16865" xr:uid="{00000000-0005-0000-0000-0000C0500000}"/>
    <cellStyle name="Normal 48 2 2 2 2 2 2 2" xfId="33805" xr:uid="{00000000-0005-0000-0000-0000C1500000}"/>
    <cellStyle name="Normal 48 2 2 2 2 2 3" xfId="25357" xr:uid="{00000000-0005-0000-0000-0000C2500000}"/>
    <cellStyle name="Normal 48 2 2 2 2 3" xfId="12641" xr:uid="{00000000-0005-0000-0000-0000C3500000}"/>
    <cellStyle name="Normal 48 2 2 2 2 3 2" xfId="29581" xr:uid="{00000000-0005-0000-0000-0000C4500000}"/>
    <cellStyle name="Normal 48 2 2 2 2 4" xfId="21133" xr:uid="{00000000-0005-0000-0000-0000C5500000}"/>
    <cellStyle name="Normal 48 2 2 2 3" xfId="6305" xr:uid="{00000000-0005-0000-0000-0000C6500000}"/>
    <cellStyle name="Normal 48 2 2 2 3 2" xfId="14753" xr:uid="{00000000-0005-0000-0000-0000C7500000}"/>
    <cellStyle name="Normal 48 2 2 2 3 2 2" xfId="31693" xr:uid="{00000000-0005-0000-0000-0000C8500000}"/>
    <cellStyle name="Normal 48 2 2 2 3 3" xfId="23245" xr:uid="{00000000-0005-0000-0000-0000C9500000}"/>
    <cellStyle name="Normal 48 2 2 2 4" xfId="10529" xr:uid="{00000000-0005-0000-0000-0000CA500000}"/>
    <cellStyle name="Normal 48 2 2 2 4 2" xfId="27469" xr:uid="{00000000-0005-0000-0000-0000CB500000}"/>
    <cellStyle name="Normal 48 2 2 2 5" xfId="19021" xr:uid="{00000000-0005-0000-0000-0000CC500000}"/>
    <cellStyle name="Normal 48 2 2 3" xfId="3135" xr:uid="{00000000-0005-0000-0000-0000CD500000}"/>
    <cellStyle name="Normal 48 2 2 3 2" xfId="7361" xr:uid="{00000000-0005-0000-0000-0000CE500000}"/>
    <cellStyle name="Normal 48 2 2 3 2 2" xfId="15809" xr:uid="{00000000-0005-0000-0000-0000CF500000}"/>
    <cellStyle name="Normal 48 2 2 3 2 2 2" xfId="32749" xr:uid="{00000000-0005-0000-0000-0000D0500000}"/>
    <cellStyle name="Normal 48 2 2 3 2 3" xfId="24301" xr:uid="{00000000-0005-0000-0000-0000D1500000}"/>
    <cellStyle name="Normal 48 2 2 3 3" xfId="11585" xr:uid="{00000000-0005-0000-0000-0000D2500000}"/>
    <cellStyle name="Normal 48 2 2 3 3 2" xfId="28525" xr:uid="{00000000-0005-0000-0000-0000D3500000}"/>
    <cellStyle name="Normal 48 2 2 3 4" xfId="20077" xr:uid="{00000000-0005-0000-0000-0000D4500000}"/>
    <cellStyle name="Normal 48 2 2 4" xfId="5249" xr:uid="{00000000-0005-0000-0000-0000D5500000}"/>
    <cellStyle name="Normal 48 2 2 4 2" xfId="13697" xr:uid="{00000000-0005-0000-0000-0000D6500000}"/>
    <cellStyle name="Normal 48 2 2 4 2 2" xfId="30637" xr:uid="{00000000-0005-0000-0000-0000D7500000}"/>
    <cellStyle name="Normal 48 2 2 4 3" xfId="22189" xr:uid="{00000000-0005-0000-0000-0000D8500000}"/>
    <cellStyle name="Normal 48 2 2 5" xfId="9473" xr:uid="{00000000-0005-0000-0000-0000D9500000}"/>
    <cellStyle name="Normal 48 2 2 5 2" xfId="26413" xr:uid="{00000000-0005-0000-0000-0000DA500000}"/>
    <cellStyle name="Normal 48 2 2 6" xfId="17965" xr:uid="{00000000-0005-0000-0000-0000DB500000}"/>
    <cellStyle name="Normal 48 2 3" xfId="1727" xr:uid="{00000000-0005-0000-0000-0000DC500000}"/>
    <cellStyle name="Normal 48 2 3 2" xfId="3839" xr:uid="{00000000-0005-0000-0000-0000DD500000}"/>
    <cellStyle name="Normal 48 2 3 2 2" xfId="8065" xr:uid="{00000000-0005-0000-0000-0000DE500000}"/>
    <cellStyle name="Normal 48 2 3 2 2 2" xfId="16513" xr:uid="{00000000-0005-0000-0000-0000DF500000}"/>
    <cellStyle name="Normal 48 2 3 2 2 2 2" xfId="33453" xr:uid="{00000000-0005-0000-0000-0000E0500000}"/>
    <cellStyle name="Normal 48 2 3 2 2 3" xfId="25005" xr:uid="{00000000-0005-0000-0000-0000E1500000}"/>
    <cellStyle name="Normal 48 2 3 2 3" xfId="12289" xr:uid="{00000000-0005-0000-0000-0000E2500000}"/>
    <cellStyle name="Normal 48 2 3 2 3 2" xfId="29229" xr:uid="{00000000-0005-0000-0000-0000E3500000}"/>
    <cellStyle name="Normal 48 2 3 2 4" xfId="20781" xr:uid="{00000000-0005-0000-0000-0000E4500000}"/>
    <cellStyle name="Normal 48 2 3 3" xfId="5953" xr:uid="{00000000-0005-0000-0000-0000E5500000}"/>
    <cellStyle name="Normal 48 2 3 3 2" xfId="14401" xr:uid="{00000000-0005-0000-0000-0000E6500000}"/>
    <cellStyle name="Normal 48 2 3 3 2 2" xfId="31341" xr:uid="{00000000-0005-0000-0000-0000E7500000}"/>
    <cellStyle name="Normal 48 2 3 3 3" xfId="22893" xr:uid="{00000000-0005-0000-0000-0000E8500000}"/>
    <cellStyle name="Normal 48 2 3 4" xfId="10177" xr:uid="{00000000-0005-0000-0000-0000E9500000}"/>
    <cellStyle name="Normal 48 2 3 4 2" xfId="27117" xr:uid="{00000000-0005-0000-0000-0000EA500000}"/>
    <cellStyle name="Normal 48 2 3 5" xfId="18669" xr:uid="{00000000-0005-0000-0000-0000EB500000}"/>
    <cellStyle name="Normal 48 2 4" xfId="2783" xr:uid="{00000000-0005-0000-0000-0000EC500000}"/>
    <cellStyle name="Normal 48 2 4 2" xfId="7009" xr:uid="{00000000-0005-0000-0000-0000ED500000}"/>
    <cellStyle name="Normal 48 2 4 2 2" xfId="15457" xr:uid="{00000000-0005-0000-0000-0000EE500000}"/>
    <cellStyle name="Normal 48 2 4 2 2 2" xfId="32397" xr:uid="{00000000-0005-0000-0000-0000EF500000}"/>
    <cellStyle name="Normal 48 2 4 2 3" xfId="23949" xr:uid="{00000000-0005-0000-0000-0000F0500000}"/>
    <cellStyle name="Normal 48 2 4 3" xfId="11233" xr:uid="{00000000-0005-0000-0000-0000F1500000}"/>
    <cellStyle name="Normal 48 2 4 3 2" xfId="28173" xr:uid="{00000000-0005-0000-0000-0000F2500000}"/>
    <cellStyle name="Normal 48 2 4 4" xfId="19725" xr:uid="{00000000-0005-0000-0000-0000F3500000}"/>
    <cellStyle name="Normal 48 2 5" xfId="4897" xr:uid="{00000000-0005-0000-0000-0000F4500000}"/>
    <cellStyle name="Normal 48 2 5 2" xfId="13345" xr:uid="{00000000-0005-0000-0000-0000F5500000}"/>
    <cellStyle name="Normal 48 2 5 2 2" xfId="30285" xr:uid="{00000000-0005-0000-0000-0000F6500000}"/>
    <cellStyle name="Normal 48 2 5 3" xfId="21837" xr:uid="{00000000-0005-0000-0000-0000F7500000}"/>
    <cellStyle name="Normal 48 2 6" xfId="9121" xr:uid="{00000000-0005-0000-0000-0000F8500000}"/>
    <cellStyle name="Normal 48 2 6 2" xfId="26061" xr:uid="{00000000-0005-0000-0000-0000F9500000}"/>
    <cellStyle name="Normal 48 2 7" xfId="17613" xr:uid="{00000000-0005-0000-0000-0000FA500000}"/>
    <cellStyle name="Normal 48 3" xfId="841" xr:uid="{00000000-0005-0000-0000-0000FB500000}"/>
    <cellStyle name="Normal 48 3 2" xfId="1903" xr:uid="{00000000-0005-0000-0000-0000FC500000}"/>
    <cellStyle name="Normal 48 3 2 2" xfId="4015" xr:uid="{00000000-0005-0000-0000-0000FD500000}"/>
    <cellStyle name="Normal 48 3 2 2 2" xfId="8241" xr:uid="{00000000-0005-0000-0000-0000FE500000}"/>
    <cellStyle name="Normal 48 3 2 2 2 2" xfId="16689" xr:uid="{00000000-0005-0000-0000-0000FF500000}"/>
    <cellStyle name="Normal 48 3 2 2 2 2 2" xfId="33629" xr:uid="{00000000-0005-0000-0000-000000510000}"/>
    <cellStyle name="Normal 48 3 2 2 2 3" xfId="25181" xr:uid="{00000000-0005-0000-0000-000001510000}"/>
    <cellStyle name="Normal 48 3 2 2 3" xfId="12465" xr:uid="{00000000-0005-0000-0000-000002510000}"/>
    <cellStyle name="Normal 48 3 2 2 3 2" xfId="29405" xr:uid="{00000000-0005-0000-0000-000003510000}"/>
    <cellStyle name="Normal 48 3 2 2 4" xfId="20957" xr:uid="{00000000-0005-0000-0000-000004510000}"/>
    <cellStyle name="Normal 48 3 2 3" xfId="6129" xr:uid="{00000000-0005-0000-0000-000005510000}"/>
    <cellStyle name="Normal 48 3 2 3 2" xfId="14577" xr:uid="{00000000-0005-0000-0000-000006510000}"/>
    <cellStyle name="Normal 48 3 2 3 2 2" xfId="31517" xr:uid="{00000000-0005-0000-0000-000007510000}"/>
    <cellStyle name="Normal 48 3 2 3 3" xfId="23069" xr:uid="{00000000-0005-0000-0000-000008510000}"/>
    <cellStyle name="Normal 48 3 2 4" xfId="10353" xr:uid="{00000000-0005-0000-0000-000009510000}"/>
    <cellStyle name="Normal 48 3 2 4 2" xfId="27293" xr:uid="{00000000-0005-0000-0000-00000A510000}"/>
    <cellStyle name="Normal 48 3 2 5" xfId="18845" xr:uid="{00000000-0005-0000-0000-00000B510000}"/>
    <cellStyle name="Normal 48 3 3" xfId="2959" xr:uid="{00000000-0005-0000-0000-00000C510000}"/>
    <cellStyle name="Normal 48 3 3 2" xfId="7185" xr:uid="{00000000-0005-0000-0000-00000D510000}"/>
    <cellStyle name="Normal 48 3 3 2 2" xfId="15633" xr:uid="{00000000-0005-0000-0000-00000E510000}"/>
    <cellStyle name="Normal 48 3 3 2 2 2" xfId="32573" xr:uid="{00000000-0005-0000-0000-00000F510000}"/>
    <cellStyle name="Normal 48 3 3 2 3" xfId="24125" xr:uid="{00000000-0005-0000-0000-000010510000}"/>
    <cellStyle name="Normal 48 3 3 3" xfId="11409" xr:uid="{00000000-0005-0000-0000-000011510000}"/>
    <cellStyle name="Normal 48 3 3 3 2" xfId="28349" xr:uid="{00000000-0005-0000-0000-000012510000}"/>
    <cellStyle name="Normal 48 3 3 4" xfId="19901" xr:uid="{00000000-0005-0000-0000-000013510000}"/>
    <cellStyle name="Normal 48 3 4" xfId="5073" xr:uid="{00000000-0005-0000-0000-000014510000}"/>
    <cellStyle name="Normal 48 3 4 2" xfId="13521" xr:uid="{00000000-0005-0000-0000-000015510000}"/>
    <cellStyle name="Normal 48 3 4 2 2" xfId="30461" xr:uid="{00000000-0005-0000-0000-000016510000}"/>
    <cellStyle name="Normal 48 3 4 3" xfId="22013" xr:uid="{00000000-0005-0000-0000-000017510000}"/>
    <cellStyle name="Normal 48 3 5" xfId="9297" xr:uid="{00000000-0005-0000-0000-000018510000}"/>
    <cellStyle name="Normal 48 3 5 2" xfId="26237" xr:uid="{00000000-0005-0000-0000-000019510000}"/>
    <cellStyle name="Normal 48 3 6" xfId="17789" xr:uid="{00000000-0005-0000-0000-00001A510000}"/>
    <cellStyle name="Normal 48 4" xfId="1193" xr:uid="{00000000-0005-0000-0000-00001B510000}"/>
    <cellStyle name="Normal 48 4 2" xfId="2255" xr:uid="{00000000-0005-0000-0000-00001C510000}"/>
    <cellStyle name="Normal 48 4 2 2" xfId="4367" xr:uid="{00000000-0005-0000-0000-00001D510000}"/>
    <cellStyle name="Normal 48 4 2 2 2" xfId="8593" xr:uid="{00000000-0005-0000-0000-00001E510000}"/>
    <cellStyle name="Normal 48 4 2 2 2 2" xfId="17041" xr:uid="{00000000-0005-0000-0000-00001F510000}"/>
    <cellStyle name="Normal 48 4 2 2 2 2 2" xfId="33981" xr:uid="{00000000-0005-0000-0000-000020510000}"/>
    <cellStyle name="Normal 48 4 2 2 2 3" xfId="25533" xr:uid="{00000000-0005-0000-0000-000021510000}"/>
    <cellStyle name="Normal 48 4 2 2 3" xfId="12817" xr:uid="{00000000-0005-0000-0000-000022510000}"/>
    <cellStyle name="Normal 48 4 2 2 3 2" xfId="29757" xr:uid="{00000000-0005-0000-0000-000023510000}"/>
    <cellStyle name="Normal 48 4 2 2 4" xfId="21309" xr:uid="{00000000-0005-0000-0000-000024510000}"/>
    <cellStyle name="Normal 48 4 2 3" xfId="6481" xr:uid="{00000000-0005-0000-0000-000025510000}"/>
    <cellStyle name="Normal 48 4 2 3 2" xfId="14929" xr:uid="{00000000-0005-0000-0000-000026510000}"/>
    <cellStyle name="Normal 48 4 2 3 2 2" xfId="31869" xr:uid="{00000000-0005-0000-0000-000027510000}"/>
    <cellStyle name="Normal 48 4 2 3 3" xfId="23421" xr:uid="{00000000-0005-0000-0000-000028510000}"/>
    <cellStyle name="Normal 48 4 2 4" xfId="10705" xr:uid="{00000000-0005-0000-0000-000029510000}"/>
    <cellStyle name="Normal 48 4 2 4 2" xfId="27645" xr:uid="{00000000-0005-0000-0000-00002A510000}"/>
    <cellStyle name="Normal 48 4 2 5" xfId="19197" xr:uid="{00000000-0005-0000-0000-00002B510000}"/>
    <cellStyle name="Normal 48 4 3" xfId="3311" xr:uid="{00000000-0005-0000-0000-00002C510000}"/>
    <cellStyle name="Normal 48 4 3 2" xfId="7537" xr:uid="{00000000-0005-0000-0000-00002D510000}"/>
    <cellStyle name="Normal 48 4 3 2 2" xfId="15985" xr:uid="{00000000-0005-0000-0000-00002E510000}"/>
    <cellStyle name="Normal 48 4 3 2 2 2" xfId="32925" xr:uid="{00000000-0005-0000-0000-00002F510000}"/>
    <cellStyle name="Normal 48 4 3 2 3" xfId="24477" xr:uid="{00000000-0005-0000-0000-000030510000}"/>
    <cellStyle name="Normal 48 4 3 3" xfId="11761" xr:uid="{00000000-0005-0000-0000-000031510000}"/>
    <cellStyle name="Normal 48 4 3 3 2" xfId="28701" xr:uid="{00000000-0005-0000-0000-000032510000}"/>
    <cellStyle name="Normal 48 4 3 4" xfId="20253" xr:uid="{00000000-0005-0000-0000-000033510000}"/>
    <cellStyle name="Normal 48 4 4" xfId="5425" xr:uid="{00000000-0005-0000-0000-000034510000}"/>
    <cellStyle name="Normal 48 4 4 2" xfId="13873" xr:uid="{00000000-0005-0000-0000-000035510000}"/>
    <cellStyle name="Normal 48 4 4 2 2" xfId="30813" xr:uid="{00000000-0005-0000-0000-000036510000}"/>
    <cellStyle name="Normal 48 4 4 3" xfId="22365" xr:uid="{00000000-0005-0000-0000-000037510000}"/>
    <cellStyle name="Normal 48 4 5" xfId="9649" xr:uid="{00000000-0005-0000-0000-000038510000}"/>
    <cellStyle name="Normal 48 4 5 2" xfId="26589" xr:uid="{00000000-0005-0000-0000-000039510000}"/>
    <cellStyle name="Normal 48 4 6" xfId="18141" xr:uid="{00000000-0005-0000-0000-00003A510000}"/>
    <cellStyle name="Normal 48 5" xfId="1375" xr:uid="{00000000-0005-0000-0000-00003B510000}"/>
    <cellStyle name="Normal 48 5 2" xfId="2431" xr:uid="{00000000-0005-0000-0000-00003C510000}"/>
    <cellStyle name="Normal 48 5 2 2" xfId="4543" xr:uid="{00000000-0005-0000-0000-00003D510000}"/>
    <cellStyle name="Normal 48 5 2 2 2" xfId="8769" xr:uid="{00000000-0005-0000-0000-00003E510000}"/>
    <cellStyle name="Normal 48 5 2 2 2 2" xfId="17217" xr:uid="{00000000-0005-0000-0000-00003F510000}"/>
    <cellStyle name="Normal 48 5 2 2 2 2 2" xfId="34157" xr:uid="{00000000-0005-0000-0000-000040510000}"/>
    <cellStyle name="Normal 48 5 2 2 2 3" xfId="25709" xr:uid="{00000000-0005-0000-0000-000041510000}"/>
    <cellStyle name="Normal 48 5 2 2 3" xfId="12993" xr:uid="{00000000-0005-0000-0000-000042510000}"/>
    <cellStyle name="Normal 48 5 2 2 3 2" xfId="29933" xr:uid="{00000000-0005-0000-0000-000043510000}"/>
    <cellStyle name="Normal 48 5 2 2 4" xfId="21485" xr:uid="{00000000-0005-0000-0000-000044510000}"/>
    <cellStyle name="Normal 48 5 2 3" xfId="6657" xr:uid="{00000000-0005-0000-0000-000045510000}"/>
    <cellStyle name="Normal 48 5 2 3 2" xfId="15105" xr:uid="{00000000-0005-0000-0000-000046510000}"/>
    <cellStyle name="Normal 48 5 2 3 2 2" xfId="32045" xr:uid="{00000000-0005-0000-0000-000047510000}"/>
    <cellStyle name="Normal 48 5 2 3 3" xfId="23597" xr:uid="{00000000-0005-0000-0000-000048510000}"/>
    <cellStyle name="Normal 48 5 2 4" xfId="10881" xr:uid="{00000000-0005-0000-0000-000049510000}"/>
    <cellStyle name="Normal 48 5 2 4 2" xfId="27821" xr:uid="{00000000-0005-0000-0000-00004A510000}"/>
    <cellStyle name="Normal 48 5 2 5" xfId="19373" xr:uid="{00000000-0005-0000-0000-00004B510000}"/>
    <cellStyle name="Normal 48 5 3" xfId="3487" xr:uid="{00000000-0005-0000-0000-00004C510000}"/>
    <cellStyle name="Normal 48 5 3 2" xfId="7713" xr:uid="{00000000-0005-0000-0000-00004D510000}"/>
    <cellStyle name="Normal 48 5 3 2 2" xfId="16161" xr:uid="{00000000-0005-0000-0000-00004E510000}"/>
    <cellStyle name="Normal 48 5 3 2 2 2" xfId="33101" xr:uid="{00000000-0005-0000-0000-00004F510000}"/>
    <cellStyle name="Normal 48 5 3 2 3" xfId="24653" xr:uid="{00000000-0005-0000-0000-000050510000}"/>
    <cellStyle name="Normal 48 5 3 3" xfId="11937" xr:uid="{00000000-0005-0000-0000-000051510000}"/>
    <cellStyle name="Normal 48 5 3 3 2" xfId="28877" xr:uid="{00000000-0005-0000-0000-000052510000}"/>
    <cellStyle name="Normal 48 5 3 4" xfId="20429" xr:uid="{00000000-0005-0000-0000-000053510000}"/>
    <cellStyle name="Normal 48 5 4" xfId="5601" xr:uid="{00000000-0005-0000-0000-000054510000}"/>
    <cellStyle name="Normal 48 5 4 2" xfId="14049" xr:uid="{00000000-0005-0000-0000-000055510000}"/>
    <cellStyle name="Normal 48 5 4 2 2" xfId="30989" xr:uid="{00000000-0005-0000-0000-000056510000}"/>
    <cellStyle name="Normal 48 5 4 3" xfId="22541" xr:uid="{00000000-0005-0000-0000-000057510000}"/>
    <cellStyle name="Normal 48 5 5" xfId="9825" xr:uid="{00000000-0005-0000-0000-000058510000}"/>
    <cellStyle name="Normal 48 5 5 2" xfId="26765" xr:uid="{00000000-0005-0000-0000-000059510000}"/>
    <cellStyle name="Normal 48 5 6" xfId="18317" xr:uid="{00000000-0005-0000-0000-00005A510000}"/>
    <cellStyle name="Normal 48 6" xfId="1551" xr:uid="{00000000-0005-0000-0000-00005B510000}"/>
    <cellStyle name="Normal 48 6 2" xfId="3663" xr:uid="{00000000-0005-0000-0000-00005C510000}"/>
    <cellStyle name="Normal 48 6 2 2" xfId="7889" xr:uid="{00000000-0005-0000-0000-00005D510000}"/>
    <cellStyle name="Normal 48 6 2 2 2" xfId="16337" xr:uid="{00000000-0005-0000-0000-00005E510000}"/>
    <cellStyle name="Normal 48 6 2 2 2 2" xfId="33277" xr:uid="{00000000-0005-0000-0000-00005F510000}"/>
    <cellStyle name="Normal 48 6 2 2 3" xfId="24829" xr:uid="{00000000-0005-0000-0000-000060510000}"/>
    <cellStyle name="Normal 48 6 2 3" xfId="12113" xr:uid="{00000000-0005-0000-0000-000061510000}"/>
    <cellStyle name="Normal 48 6 2 3 2" xfId="29053" xr:uid="{00000000-0005-0000-0000-000062510000}"/>
    <cellStyle name="Normal 48 6 2 4" xfId="20605" xr:uid="{00000000-0005-0000-0000-000063510000}"/>
    <cellStyle name="Normal 48 6 3" xfId="5777" xr:uid="{00000000-0005-0000-0000-000064510000}"/>
    <cellStyle name="Normal 48 6 3 2" xfId="14225" xr:uid="{00000000-0005-0000-0000-000065510000}"/>
    <cellStyle name="Normal 48 6 3 2 2" xfId="31165" xr:uid="{00000000-0005-0000-0000-000066510000}"/>
    <cellStyle name="Normal 48 6 3 3" xfId="22717" xr:uid="{00000000-0005-0000-0000-000067510000}"/>
    <cellStyle name="Normal 48 6 4" xfId="10001" xr:uid="{00000000-0005-0000-0000-000068510000}"/>
    <cellStyle name="Normal 48 6 4 2" xfId="26941" xr:uid="{00000000-0005-0000-0000-000069510000}"/>
    <cellStyle name="Normal 48 6 5" xfId="18493" xr:uid="{00000000-0005-0000-0000-00006A510000}"/>
    <cellStyle name="Normal 48 7" xfId="2607" xr:uid="{00000000-0005-0000-0000-00006B510000}"/>
    <cellStyle name="Normal 48 7 2" xfId="6833" xr:uid="{00000000-0005-0000-0000-00006C510000}"/>
    <cellStyle name="Normal 48 7 2 2" xfId="15281" xr:uid="{00000000-0005-0000-0000-00006D510000}"/>
    <cellStyle name="Normal 48 7 2 2 2" xfId="32221" xr:uid="{00000000-0005-0000-0000-00006E510000}"/>
    <cellStyle name="Normal 48 7 2 3" xfId="23773" xr:uid="{00000000-0005-0000-0000-00006F510000}"/>
    <cellStyle name="Normal 48 7 3" xfId="11057" xr:uid="{00000000-0005-0000-0000-000070510000}"/>
    <cellStyle name="Normal 48 7 3 2" xfId="27997" xr:uid="{00000000-0005-0000-0000-000071510000}"/>
    <cellStyle name="Normal 48 7 4" xfId="19549" xr:uid="{00000000-0005-0000-0000-000072510000}"/>
    <cellStyle name="Normal 48 8" xfId="4720" xr:uid="{00000000-0005-0000-0000-000073510000}"/>
    <cellStyle name="Normal 48 8 2" xfId="13169" xr:uid="{00000000-0005-0000-0000-000074510000}"/>
    <cellStyle name="Normal 48 8 2 2" xfId="30109" xr:uid="{00000000-0005-0000-0000-000075510000}"/>
    <cellStyle name="Normal 48 8 3" xfId="21661" xr:uid="{00000000-0005-0000-0000-000076510000}"/>
    <cellStyle name="Normal 48 9" xfId="8945" xr:uid="{00000000-0005-0000-0000-000077510000}"/>
    <cellStyle name="Normal 48 9 2" xfId="25885" xr:uid="{00000000-0005-0000-0000-000078510000}"/>
    <cellStyle name="Normal 49" xfId="1263" xr:uid="{00000000-0005-0000-0000-000079510000}"/>
    <cellStyle name="Normal 5" xfId="370" xr:uid="{00000000-0005-0000-0000-00007A510000}"/>
    <cellStyle name="Normal 5 10" xfId="1376" xr:uid="{00000000-0005-0000-0000-00007B510000}"/>
    <cellStyle name="Normal 5 10 2" xfId="2432" xr:uid="{00000000-0005-0000-0000-00007C510000}"/>
    <cellStyle name="Normal 5 10 2 2" xfId="4544" xr:uid="{00000000-0005-0000-0000-00007D510000}"/>
    <cellStyle name="Normal 5 10 2 2 2" xfId="8770" xr:uid="{00000000-0005-0000-0000-00007E510000}"/>
    <cellStyle name="Normal 5 10 2 2 2 2" xfId="17218" xr:uid="{00000000-0005-0000-0000-00007F510000}"/>
    <cellStyle name="Normal 5 10 2 2 2 2 2" xfId="34158" xr:uid="{00000000-0005-0000-0000-000080510000}"/>
    <cellStyle name="Normal 5 10 2 2 2 3" xfId="25710" xr:uid="{00000000-0005-0000-0000-000081510000}"/>
    <cellStyle name="Normal 5 10 2 2 3" xfId="12994" xr:uid="{00000000-0005-0000-0000-000082510000}"/>
    <cellStyle name="Normal 5 10 2 2 3 2" xfId="29934" xr:uid="{00000000-0005-0000-0000-000083510000}"/>
    <cellStyle name="Normal 5 10 2 2 4" xfId="21486" xr:uid="{00000000-0005-0000-0000-000084510000}"/>
    <cellStyle name="Normal 5 10 2 3" xfId="6658" xr:uid="{00000000-0005-0000-0000-000085510000}"/>
    <cellStyle name="Normal 5 10 2 3 2" xfId="15106" xr:uid="{00000000-0005-0000-0000-000086510000}"/>
    <cellStyle name="Normal 5 10 2 3 2 2" xfId="32046" xr:uid="{00000000-0005-0000-0000-000087510000}"/>
    <cellStyle name="Normal 5 10 2 3 3" xfId="23598" xr:uid="{00000000-0005-0000-0000-000088510000}"/>
    <cellStyle name="Normal 5 10 2 4" xfId="10882" xr:uid="{00000000-0005-0000-0000-000089510000}"/>
    <cellStyle name="Normal 5 10 2 4 2" xfId="27822" xr:uid="{00000000-0005-0000-0000-00008A510000}"/>
    <cellStyle name="Normal 5 10 2 5" xfId="19374" xr:uid="{00000000-0005-0000-0000-00008B510000}"/>
    <cellStyle name="Normal 5 10 3" xfId="3488" xr:uid="{00000000-0005-0000-0000-00008C510000}"/>
    <cellStyle name="Normal 5 10 3 2" xfId="7714" xr:uid="{00000000-0005-0000-0000-00008D510000}"/>
    <cellStyle name="Normal 5 10 3 2 2" xfId="16162" xr:uid="{00000000-0005-0000-0000-00008E510000}"/>
    <cellStyle name="Normal 5 10 3 2 2 2" xfId="33102" xr:uid="{00000000-0005-0000-0000-00008F510000}"/>
    <cellStyle name="Normal 5 10 3 2 3" xfId="24654" xr:uid="{00000000-0005-0000-0000-000090510000}"/>
    <cellStyle name="Normal 5 10 3 3" xfId="11938" xr:uid="{00000000-0005-0000-0000-000091510000}"/>
    <cellStyle name="Normal 5 10 3 3 2" xfId="28878" xr:uid="{00000000-0005-0000-0000-000092510000}"/>
    <cellStyle name="Normal 5 10 3 4" xfId="20430" xr:uid="{00000000-0005-0000-0000-000093510000}"/>
    <cellStyle name="Normal 5 10 4" xfId="5602" xr:uid="{00000000-0005-0000-0000-000094510000}"/>
    <cellStyle name="Normal 5 10 4 2" xfId="14050" xr:uid="{00000000-0005-0000-0000-000095510000}"/>
    <cellStyle name="Normal 5 10 4 2 2" xfId="30990" xr:uid="{00000000-0005-0000-0000-000096510000}"/>
    <cellStyle name="Normal 5 10 4 3" xfId="22542" xr:uid="{00000000-0005-0000-0000-000097510000}"/>
    <cellStyle name="Normal 5 10 5" xfId="9826" xr:uid="{00000000-0005-0000-0000-000098510000}"/>
    <cellStyle name="Normal 5 10 5 2" xfId="26766" xr:uid="{00000000-0005-0000-0000-000099510000}"/>
    <cellStyle name="Normal 5 10 6" xfId="18318" xr:uid="{00000000-0005-0000-0000-00009A510000}"/>
    <cellStyle name="Normal 5 11" xfId="1552" xr:uid="{00000000-0005-0000-0000-00009B510000}"/>
    <cellStyle name="Normal 5 11 2" xfId="3664" xr:uid="{00000000-0005-0000-0000-00009C510000}"/>
    <cellStyle name="Normal 5 11 2 2" xfId="7890" xr:uid="{00000000-0005-0000-0000-00009D510000}"/>
    <cellStyle name="Normal 5 11 2 2 2" xfId="16338" xr:uid="{00000000-0005-0000-0000-00009E510000}"/>
    <cellStyle name="Normal 5 11 2 2 2 2" xfId="33278" xr:uid="{00000000-0005-0000-0000-00009F510000}"/>
    <cellStyle name="Normal 5 11 2 2 3" xfId="24830" xr:uid="{00000000-0005-0000-0000-0000A0510000}"/>
    <cellStyle name="Normal 5 11 2 3" xfId="12114" xr:uid="{00000000-0005-0000-0000-0000A1510000}"/>
    <cellStyle name="Normal 5 11 2 3 2" xfId="29054" xr:uid="{00000000-0005-0000-0000-0000A2510000}"/>
    <cellStyle name="Normal 5 11 2 4" xfId="20606" xr:uid="{00000000-0005-0000-0000-0000A3510000}"/>
    <cellStyle name="Normal 5 11 3" xfId="5778" xr:uid="{00000000-0005-0000-0000-0000A4510000}"/>
    <cellStyle name="Normal 5 11 3 2" xfId="14226" xr:uid="{00000000-0005-0000-0000-0000A5510000}"/>
    <cellStyle name="Normal 5 11 3 2 2" xfId="31166" xr:uid="{00000000-0005-0000-0000-0000A6510000}"/>
    <cellStyle name="Normal 5 11 3 3" xfId="22718" xr:uid="{00000000-0005-0000-0000-0000A7510000}"/>
    <cellStyle name="Normal 5 11 4" xfId="10002" xr:uid="{00000000-0005-0000-0000-0000A8510000}"/>
    <cellStyle name="Normal 5 11 4 2" xfId="26942" xr:uid="{00000000-0005-0000-0000-0000A9510000}"/>
    <cellStyle name="Normal 5 11 5" xfId="18494" xr:uid="{00000000-0005-0000-0000-0000AA510000}"/>
    <cellStyle name="Normal 5 12" xfId="2608" xr:uid="{00000000-0005-0000-0000-0000AB510000}"/>
    <cellStyle name="Normal 5 12 2" xfId="6834" xr:uid="{00000000-0005-0000-0000-0000AC510000}"/>
    <cellStyle name="Normal 5 12 2 2" xfId="15282" xr:uid="{00000000-0005-0000-0000-0000AD510000}"/>
    <cellStyle name="Normal 5 12 2 2 2" xfId="32222" xr:uid="{00000000-0005-0000-0000-0000AE510000}"/>
    <cellStyle name="Normal 5 12 2 3" xfId="23774" xr:uid="{00000000-0005-0000-0000-0000AF510000}"/>
    <cellStyle name="Normal 5 12 3" xfId="11058" xr:uid="{00000000-0005-0000-0000-0000B0510000}"/>
    <cellStyle name="Normal 5 12 3 2" xfId="27998" xr:uid="{00000000-0005-0000-0000-0000B1510000}"/>
    <cellStyle name="Normal 5 12 4" xfId="19550" xr:uid="{00000000-0005-0000-0000-0000B2510000}"/>
    <cellStyle name="Normal 5 13" xfId="4721" xr:uid="{00000000-0005-0000-0000-0000B3510000}"/>
    <cellStyle name="Normal 5 13 2" xfId="13170" xr:uid="{00000000-0005-0000-0000-0000B4510000}"/>
    <cellStyle name="Normal 5 13 2 2" xfId="30110" xr:uid="{00000000-0005-0000-0000-0000B5510000}"/>
    <cellStyle name="Normal 5 13 3" xfId="21662" xr:uid="{00000000-0005-0000-0000-0000B6510000}"/>
    <cellStyle name="Normal 5 14" xfId="8946" xr:uid="{00000000-0005-0000-0000-0000B7510000}"/>
    <cellStyle name="Normal 5 14 2" xfId="25886" xr:uid="{00000000-0005-0000-0000-0000B8510000}"/>
    <cellStyle name="Normal 5 15" xfId="17438" xr:uid="{00000000-0005-0000-0000-0000B9510000}"/>
    <cellStyle name="Normal 5 2" xfId="371" xr:uid="{00000000-0005-0000-0000-0000BA510000}"/>
    <cellStyle name="Normal 5 2 10" xfId="4722" xr:uid="{00000000-0005-0000-0000-0000BB510000}"/>
    <cellStyle name="Normal 5 2 10 2" xfId="13171" xr:uid="{00000000-0005-0000-0000-0000BC510000}"/>
    <cellStyle name="Normal 5 2 10 2 2" xfId="30111" xr:uid="{00000000-0005-0000-0000-0000BD510000}"/>
    <cellStyle name="Normal 5 2 10 3" xfId="21663" xr:uid="{00000000-0005-0000-0000-0000BE510000}"/>
    <cellStyle name="Normal 5 2 11" xfId="8947" xr:uid="{00000000-0005-0000-0000-0000BF510000}"/>
    <cellStyle name="Normal 5 2 11 2" xfId="25887" xr:uid="{00000000-0005-0000-0000-0000C0510000}"/>
    <cellStyle name="Normal 5 2 12" xfId="17439" xr:uid="{00000000-0005-0000-0000-0000C1510000}"/>
    <cellStyle name="Normal 5 2 2" xfId="372" xr:uid="{00000000-0005-0000-0000-0000C2510000}"/>
    <cellStyle name="Normal 5 2 2 10" xfId="17440" xr:uid="{00000000-0005-0000-0000-0000C3510000}"/>
    <cellStyle name="Normal 5 2 2 2" xfId="668" xr:uid="{00000000-0005-0000-0000-0000C4510000}"/>
    <cellStyle name="Normal 5 2 2 2 2" xfId="1020" xr:uid="{00000000-0005-0000-0000-0000C5510000}"/>
    <cellStyle name="Normal 5 2 2 2 2 2" xfId="2082" xr:uid="{00000000-0005-0000-0000-0000C6510000}"/>
    <cellStyle name="Normal 5 2 2 2 2 2 2" xfId="4194" xr:uid="{00000000-0005-0000-0000-0000C7510000}"/>
    <cellStyle name="Normal 5 2 2 2 2 2 2 2" xfId="8420" xr:uid="{00000000-0005-0000-0000-0000C8510000}"/>
    <cellStyle name="Normal 5 2 2 2 2 2 2 2 2" xfId="16868" xr:uid="{00000000-0005-0000-0000-0000C9510000}"/>
    <cellStyle name="Normal 5 2 2 2 2 2 2 2 2 2" xfId="33808" xr:uid="{00000000-0005-0000-0000-0000CA510000}"/>
    <cellStyle name="Normal 5 2 2 2 2 2 2 2 3" xfId="25360" xr:uid="{00000000-0005-0000-0000-0000CB510000}"/>
    <cellStyle name="Normal 5 2 2 2 2 2 2 3" xfId="12644" xr:uid="{00000000-0005-0000-0000-0000CC510000}"/>
    <cellStyle name="Normal 5 2 2 2 2 2 2 3 2" xfId="29584" xr:uid="{00000000-0005-0000-0000-0000CD510000}"/>
    <cellStyle name="Normal 5 2 2 2 2 2 2 4" xfId="21136" xr:uid="{00000000-0005-0000-0000-0000CE510000}"/>
    <cellStyle name="Normal 5 2 2 2 2 2 3" xfId="6308" xr:uid="{00000000-0005-0000-0000-0000CF510000}"/>
    <cellStyle name="Normal 5 2 2 2 2 2 3 2" xfId="14756" xr:uid="{00000000-0005-0000-0000-0000D0510000}"/>
    <cellStyle name="Normal 5 2 2 2 2 2 3 2 2" xfId="31696" xr:uid="{00000000-0005-0000-0000-0000D1510000}"/>
    <cellStyle name="Normal 5 2 2 2 2 2 3 3" xfId="23248" xr:uid="{00000000-0005-0000-0000-0000D2510000}"/>
    <cellStyle name="Normal 5 2 2 2 2 2 4" xfId="10532" xr:uid="{00000000-0005-0000-0000-0000D3510000}"/>
    <cellStyle name="Normal 5 2 2 2 2 2 4 2" xfId="27472" xr:uid="{00000000-0005-0000-0000-0000D4510000}"/>
    <cellStyle name="Normal 5 2 2 2 2 2 5" xfId="19024" xr:uid="{00000000-0005-0000-0000-0000D5510000}"/>
    <cellStyle name="Normal 5 2 2 2 2 3" xfId="3138" xr:uid="{00000000-0005-0000-0000-0000D6510000}"/>
    <cellStyle name="Normal 5 2 2 2 2 3 2" xfId="7364" xr:uid="{00000000-0005-0000-0000-0000D7510000}"/>
    <cellStyle name="Normal 5 2 2 2 2 3 2 2" xfId="15812" xr:uid="{00000000-0005-0000-0000-0000D8510000}"/>
    <cellStyle name="Normal 5 2 2 2 2 3 2 2 2" xfId="32752" xr:uid="{00000000-0005-0000-0000-0000D9510000}"/>
    <cellStyle name="Normal 5 2 2 2 2 3 2 3" xfId="24304" xr:uid="{00000000-0005-0000-0000-0000DA510000}"/>
    <cellStyle name="Normal 5 2 2 2 2 3 3" xfId="11588" xr:uid="{00000000-0005-0000-0000-0000DB510000}"/>
    <cellStyle name="Normal 5 2 2 2 2 3 3 2" xfId="28528" xr:uid="{00000000-0005-0000-0000-0000DC510000}"/>
    <cellStyle name="Normal 5 2 2 2 2 3 4" xfId="20080" xr:uid="{00000000-0005-0000-0000-0000DD510000}"/>
    <cellStyle name="Normal 5 2 2 2 2 4" xfId="5252" xr:uid="{00000000-0005-0000-0000-0000DE510000}"/>
    <cellStyle name="Normal 5 2 2 2 2 4 2" xfId="13700" xr:uid="{00000000-0005-0000-0000-0000DF510000}"/>
    <cellStyle name="Normal 5 2 2 2 2 4 2 2" xfId="30640" xr:uid="{00000000-0005-0000-0000-0000E0510000}"/>
    <cellStyle name="Normal 5 2 2 2 2 4 3" xfId="22192" xr:uid="{00000000-0005-0000-0000-0000E1510000}"/>
    <cellStyle name="Normal 5 2 2 2 2 5" xfId="9476" xr:uid="{00000000-0005-0000-0000-0000E2510000}"/>
    <cellStyle name="Normal 5 2 2 2 2 5 2" xfId="26416" xr:uid="{00000000-0005-0000-0000-0000E3510000}"/>
    <cellStyle name="Normal 5 2 2 2 2 6" xfId="17968" xr:uid="{00000000-0005-0000-0000-0000E4510000}"/>
    <cellStyle name="Normal 5 2 2 2 3" xfId="1730" xr:uid="{00000000-0005-0000-0000-0000E5510000}"/>
    <cellStyle name="Normal 5 2 2 2 3 2" xfId="3842" xr:uid="{00000000-0005-0000-0000-0000E6510000}"/>
    <cellStyle name="Normal 5 2 2 2 3 2 2" xfId="8068" xr:uid="{00000000-0005-0000-0000-0000E7510000}"/>
    <cellStyle name="Normal 5 2 2 2 3 2 2 2" xfId="16516" xr:uid="{00000000-0005-0000-0000-0000E8510000}"/>
    <cellStyle name="Normal 5 2 2 2 3 2 2 2 2" xfId="33456" xr:uid="{00000000-0005-0000-0000-0000E9510000}"/>
    <cellStyle name="Normal 5 2 2 2 3 2 2 3" xfId="25008" xr:uid="{00000000-0005-0000-0000-0000EA510000}"/>
    <cellStyle name="Normal 5 2 2 2 3 2 3" xfId="12292" xr:uid="{00000000-0005-0000-0000-0000EB510000}"/>
    <cellStyle name="Normal 5 2 2 2 3 2 3 2" xfId="29232" xr:uid="{00000000-0005-0000-0000-0000EC510000}"/>
    <cellStyle name="Normal 5 2 2 2 3 2 4" xfId="20784" xr:uid="{00000000-0005-0000-0000-0000ED510000}"/>
    <cellStyle name="Normal 5 2 2 2 3 3" xfId="5956" xr:uid="{00000000-0005-0000-0000-0000EE510000}"/>
    <cellStyle name="Normal 5 2 2 2 3 3 2" xfId="14404" xr:uid="{00000000-0005-0000-0000-0000EF510000}"/>
    <cellStyle name="Normal 5 2 2 2 3 3 2 2" xfId="31344" xr:uid="{00000000-0005-0000-0000-0000F0510000}"/>
    <cellStyle name="Normal 5 2 2 2 3 3 3" xfId="22896" xr:uid="{00000000-0005-0000-0000-0000F1510000}"/>
    <cellStyle name="Normal 5 2 2 2 3 4" xfId="10180" xr:uid="{00000000-0005-0000-0000-0000F2510000}"/>
    <cellStyle name="Normal 5 2 2 2 3 4 2" xfId="27120" xr:uid="{00000000-0005-0000-0000-0000F3510000}"/>
    <cellStyle name="Normal 5 2 2 2 3 5" xfId="18672" xr:uid="{00000000-0005-0000-0000-0000F4510000}"/>
    <cellStyle name="Normal 5 2 2 2 4" xfId="2786" xr:uid="{00000000-0005-0000-0000-0000F5510000}"/>
    <cellStyle name="Normal 5 2 2 2 4 2" xfId="7012" xr:uid="{00000000-0005-0000-0000-0000F6510000}"/>
    <cellStyle name="Normal 5 2 2 2 4 2 2" xfId="15460" xr:uid="{00000000-0005-0000-0000-0000F7510000}"/>
    <cellStyle name="Normal 5 2 2 2 4 2 2 2" xfId="32400" xr:uid="{00000000-0005-0000-0000-0000F8510000}"/>
    <cellStyle name="Normal 5 2 2 2 4 2 3" xfId="23952" xr:uid="{00000000-0005-0000-0000-0000F9510000}"/>
    <cellStyle name="Normal 5 2 2 2 4 3" xfId="11236" xr:uid="{00000000-0005-0000-0000-0000FA510000}"/>
    <cellStyle name="Normal 5 2 2 2 4 3 2" xfId="28176" xr:uid="{00000000-0005-0000-0000-0000FB510000}"/>
    <cellStyle name="Normal 5 2 2 2 4 4" xfId="19728" xr:uid="{00000000-0005-0000-0000-0000FC510000}"/>
    <cellStyle name="Normal 5 2 2 2 5" xfId="4900" xr:uid="{00000000-0005-0000-0000-0000FD510000}"/>
    <cellStyle name="Normal 5 2 2 2 5 2" xfId="13348" xr:uid="{00000000-0005-0000-0000-0000FE510000}"/>
    <cellStyle name="Normal 5 2 2 2 5 2 2" xfId="30288" xr:uid="{00000000-0005-0000-0000-0000FF510000}"/>
    <cellStyle name="Normal 5 2 2 2 5 3" xfId="21840" xr:uid="{00000000-0005-0000-0000-000000520000}"/>
    <cellStyle name="Normal 5 2 2 2 6" xfId="9124" xr:uid="{00000000-0005-0000-0000-000001520000}"/>
    <cellStyle name="Normal 5 2 2 2 6 2" xfId="26064" xr:uid="{00000000-0005-0000-0000-000002520000}"/>
    <cellStyle name="Normal 5 2 2 2 7" xfId="17616" xr:uid="{00000000-0005-0000-0000-000003520000}"/>
    <cellStyle name="Normal 5 2 2 3" xfId="844" xr:uid="{00000000-0005-0000-0000-000004520000}"/>
    <cellStyle name="Normal 5 2 2 3 2" xfId="1906" xr:uid="{00000000-0005-0000-0000-000005520000}"/>
    <cellStyle name="Normal 5 2 2 3 2 2" xfId="4018" xr:uid="{00000000-0005-0000-0000-000006520000}"/>
    <cellStyle name="Normal 5 2 2 3 2 2 2" xfId="8244" xr:uid="{00000000-0005-0000-0000-000007520000}"/>
    <cellStyle name="Normal 5 2 2 3 2 2 2 2" xfId="16692" xr:uid="{00000000-0005-0000-0000-000008520000}"/>
    <cellStyle name="Normal 5 2 2 3 2 2 2 2 2" xfId="33632" xr:uid="{00000000-0005-0000-0000-000009520000}"/>
    <cellStyle name="Normal 5 2 2 3 2 2 2 3" xfId="25184" xr:uid="{00000000-0005-0000-0000-00000A520000}"/>
    <cellStyle name="Normal 5 2 2 3 2 2 3" xfId="12468" xr:uid="{00000000-0005-0000-0000-00000B520000}"/>
    <cellStyle name="Normal 5 2 2 3 2 2 3 2" xfId="29408" xr:uid="{00000000-0005-0000-0000-00000C520000}"/>
    <cellStyle name="Normal 5 2 2 3 2 2 4" xfId="20960" xr:uid="{00000000-0005-0000-0000-00000D520000}"/>
    <cellStyle name="Normal 5 2 2 3 2 3" xfId="6132" xr:uid="{00000000-0005-0000-0000-00000E520000}"/>
    <cellStyle name="Normal 5 2 2 3 2 3 2" xfId="14580" xr:uid="{00000000-0005-0000-0000-00000F520000}"/>
    <cellStyle name="Normal 5 2 2 3 2 3 2 2" xfId="31520" xr:uid="{00000000-0005-0000-0000-000010520000}"/>
    <cellStyle name="Normal 5 2 2 3 2 3 3" xfId="23072" xr:uid="{00000000-0005-0000-0000-000011520000}"/>
    <cellStyle name="Normal 5 2 2 3 2 4" xfId="10356" xr:uid="{00000000-0005-0000-0000-000012520000}"/>
    <cellStyle name="Normal 5 2 2 3 2 4 2" xfId="27296" xr:uid="{00000000-0005-0000-0000-000013520000}"/>
    <cellStyle name="Normal 5 2 2 3 2 5" xfId="18848" xr:uid="{00000000-0005-0000-0000-000014520000}"/>
    <cellStyle name="Normal 5 2 2 3 3" xfId="2962" xr:uid="{00000000-0005-0000-0000-000015520000}"/>
    <cellStyle name="Normal 5 2 2 3 3 2" xfId="7188" xr:uid="{00000000-0005-0000-0000-000016520000}"/>
    <cellStyle name="Normal 5 2 2 3 3 2 2" xfId="15636" xr:uid="{00000000-0005-0000-0000-000017520000}"/>
    <cellStyle name="Normal 5 2 2 3 3 2 2 2" xfId="32576" xr:uid="{00000000-0005-0000-0000-000018520000}"/>
    <cellStyle name="Normal 5 2 2 3 3 2 3" xfId="24128" xr:uid="{00000000-0005-0000-0000-000019520000}"/>
    <cellStyle name="Normal 5 2 2 3 3 3" xfId="11412" xr:uid="{00000000-0005-0000-0000-00001A520000}"/>
    <cellStyle name="Normal 5 2 2 3 3 3 2" xfId="28352" xr:uid="{00000000-0005-0000-0000-00001B520000}"/>
    <cellStyle name="Normal 5 2 2 3 3 4" xfId="19904" xr:uid="{00000000-0005-0000-0000-00001C520000}"/>
    <cellStyle name="Normal 5 2 2 3 4" xfId="5076" xr:uid="{00000000-0005-0000-0000-00001D520000}"/>
    <cellStyle name="Normal 5 2 2 3 4 2" xfId="13524" xr:uid="{00000000-0005-0000-0000-00001E520000}"/>
    <cellStyle name="Normal 5 2 2 3 4 2 2" xfId="30464" xr:uid="{00000000-0005-0000-0000-00001F520000}"/>
    <cellStyle name="Normal 5 2 2 3 4 3" xfId="22016" xr:uid="{00000000-0005-0000-0000-000020520000}"/>
    <cellStyle name="Normal 5 2 2 3 5" xfId="9300" xr:uid="{00000000-0005-0000-0000-000021520000}"/>
    <cellStyle name="Normal 5 2 2 3 5 2" xfId="26240" xr:uid="{00000000-0005-0000-0000-000022520000}"/>
    <cellStyle name="Normal 5 2 2 3 6" xfId="17792" xr:uid="{00000000-0005-0000-0000-000023520000}"/>
    <cellStyle name="Normal 5 2 2 4" xfId="1196" xr:uid="{00000000-0005-0000-0000-000024520000}"/>
    <cellStyle name="Normal 5 2 2 4 2" xfId="2258" xr:uid="{00000000-0005-0000-0000-000025520000}"/>
    <cellStyle name="Normal 5 2 2 4 2 2" xfId="4370" xr:uid="{00000000-0005-0000-0000-000026520000}"/>
    <cellStyle name="Normal 5 2 2 4 2 2 2" xfId="8596" xr:uid="{00000000-0005-0000-0000-000027520000}"/>
    <cellStyle name="Normal 5 2 2 4 2 2 2 2" xfId="17044" xr:uid="{00000000-0005-0000-0000-000028520000}"/>
    <cellStyle name="Normal 5 2 2 4 2 2 2 2 2" xfId="33984" xr:uid="{00000000-0005-0000-0000-000029520000}"/>
    <cellStyle name="Normal 5 2 2 4 2 2 2 3" xfId="25536" xr:uid="{00000000-0005-0000-0000-00002A520000}"/>
    <cellStyle name="Normal 5 2 2 4 2 2 3" xfId="12820" xr:uid="{00000000-0005-0000-0000-00002B520000}"/>
    <cellStyle name="Normal 5 2 2 4 2 2 3 2" xfId="29760" xr:uid="{00000000-0005-0000-0000-00002C520000}"/>
    <cellStyle name="Normal 5 2 2 4 2 2 4" xfId="21312" xr:uid="{00000000-0005-0000-0000-00002D520000}"/>
    <cellStyle name="Normal 5 2 2 4 2 3" xfId="6484" xr:uid="{00000000-0005-0000-0000-00002E520000}"/>
    <cellStyle name="Normal 5 2 2 4 2 3 2" xfId="14932" xr:uid="{00000000-0005-0000-0000-00002F520000}"/>
    <cellStyle name="Normal 5 2 2 4 2 3 2 2" xfId="31872" xr:uid="{00000000-0005-0000-0000-000030520000}"/>
    <cellStyle name="Normal 5 2 2 4 2 3 3" xfId="23424" xr:uid="{00000000-0005-0000-0000-000031520000}"/>
    <cellStyle name="Normal 5 2 2 4 2 4" xfId="10708" xr:uid="{00000000-0005-0000-0000-000032520000}"/>
    <cellStyle name="Normal 5 2 2 4 2 4 2" xfId="27648" xr:uid="{00000000-0005-0000-0000-000033520000}"/>
    <cellStyle name="Normal 5 2 2 4 2 5" xfId="19200" xr:uid="{00000000-0005-0000-0000-000034520000}"/>
    <cellStyle name="Normal 5 2 2 4 3" xfId="3314" xr:uid="{00000000-0005-0000-0000-000035520000}"/>
    <cellStyle name="Normal 5 2 2 4 3 2" xfId="7540" xr:uid="{00000000-0005-0000-0000-000036520000}"/>
    <cellStyle name="Normal 5 2 2 4 3 2 2" xfId="15988" xr:uid="{00000000-0005-0000-0000-000037520000}"/>
    <cellStyle name="Normal 5 2 2 4 3 2 2 2" xfId="32928" xr:uid="{00000000-0005-0000-0000-000038520000}"/>
    <cellStyle name="Normal 5 2 2 4 3 2 3" xfId="24480" xr:uid="{00000000-0005-0000-0000-000039520000}"/>
    <cellStyle name="Normal 5 2 2 4 3 3" xfId="11764" xr:uid="{00000000-0005-0000-0000-00003A520000}"/>
    <cellStyle name="Normal 5 2 2 4 3 3 2" xfId="28704" xr:uid="{00000000-0005-0000-0000-00003B520000}"/>
    <cellStyle name="Normal 5 2 2 4 3 4" xfId="20256" xr:uid="{00000000-0005-0000-0000-00003C520000}"/>
    <cellStyle name="Normal 5 2 2 4 4" xfId="5428" xr:uid="{00000000-0005-0000-0000-00003D520000}"/>
    <cellStyle name="Normal 5 2 2 4 4 2" xfId="13876" xr:uid="{00000000-0005-0000-0000-00003E520000}"/>
    <cellStyle name="Normal 5 2 2 4 4 2 2" xfId="30816" xr:uid="{00000000-0005-0000-0000-00003F520000}"/>
    <cellStyle name="Normal 5 2 2 4 4 3" xfId="22368" xr:uid="{00000000-0005-0000-0000-000040520000}"/>
    <cellStyle name="Normal 5 2 2 4 5" xfId="9652" xr:uid="{00000000-0005-0000-0000-000041520000}"/>
    <cellStyle name="Normal 5 2 2 4 5 2" xfId="26592" xr:uid="{00000000-0005-0000-0000-000042520000}"/>
    <cellStyle name="Normal 5 2 2 4 6" xfId="18144" xr:uid="{00000000-0005-0000-0000-000043520000}"/>
    <cellStyle name="Normal 5 2 2 5" xfId="1378" xr:uid="{00000000-0005-0000-0000-000044520000}"/>
    <cellStyle name="Normal 5 2 2 5 2" xfId="2434" xr:uid="{00000000-0005-0000-0000-000045520000}"/>
    <cellStyle name="Normal 5 2 2 5 2 2" xfId="4546" xr:uid="{00000000-0005-0000-0000-000046520000}"/>
    <cellStyle name="Normal 5 2 2 5 2 2 2" xfId="8772" xr:uid="{00000000-0005-0000-0000-000047520000}"/>
    <cellStyle name="Normal 5 2 2 5 2 2 2 2" xfId="17220" xr:uid="{00000000-0005-0000-0000-000048520000}"/>
    <cellStyle name="Normal 5 2 2 5 2 2 2 2 2" xfId="34160" xr:uid="{00000000-0005-0000-0000-000049520000}"/>
    <cellStyle name="Normal 5 2 2 5 2 2 2 3" xfId="25712" xr:uid="{00000000-0005-0000-0000-00004A520000}"/>
    <cellStyle name="Normal 5 2 2 5 2 2 3" xfId="12996" xr:uid="{00000000-0005-0000-0000-00004B520000}"/>
    <cellStyle name="Normal 5 2 2 5 2 2 3 2" xfId="29936" xr:uid="{00000000-0005-0000-0000-00004C520000}"/>
    <cellStyle name="Normal 5 2 2 5 2 2 4" xfId="21488" xr:uid="{00000000-0005-0000-0000-00004D520000}"/>
    <cellStyle name="Normal 5 2 2 5 2 3" xfId="6660" xr:uid="{00000000-0005-0000-0000-00004E520000}"/>
    <cellStyle name="Normal 5 2 2 5 2 3 2" xfId="15108" xr:uid="{00000000-0005-0000-0000-00004F520000}"/>
    <cellStyle name="Normal 5 2 2 5 2 3 2 2" xfId="32048" xr:uid="{00000000-0005-0000-0000-000050520000}"/>
    <cellStyle name="Normal 5 2 2 5 2 3 3" xfId="23600" xr:uid="{00000000-0005-0000-0000-000051520000}"/>
    <cellStyle name="Normal 5 2 2 5 2 4" xfId="10884" xr:uid="{00000000-0005-0000-0000-000052520000}"/>
    <cellStyle name="Normal 5 2 2 5 2 4 2" xfId="27824" xr:uid="{00000000-0005-0000-0000-000053520000}"/>
    <cellStyle name="Normal 5 2 2 5 2 5" xfId="19376" xr:uid="{00000000-0005-0000-0000-000054520000}"/>
    <cellStyle name="Normal 5 2 2 5 3" xfId="3490" xr:uid="{00000000-0005-0000-0000-000055520000}"/>
    <cellStyle name="Normal 5 2 2 5 3 2" xfId="7716" xr:uid="{00000000-0005-0000-0000-000056520000}"/>
    <cellStyle name="Normal 5 2 2 5 3 2 2" xfId="16164" xr:uid="{00000000-0005-0000-0000-000057520000}"/>
    <cellStyle name="Normal 5 2 2 5 3 2 2 2" xfId="33104" xr:uid="{00000000-0005-0000-0000-000058520000}"/>
    <cellStyle name="Normal 5 2 2 5 3 2 3" xfId="24656" xr:uid="{00000000-0005-0000-0000-000059520000}"/>
    <cellStyle name="Normal 5 2 2 5 3 3" xfId="11940" xr:uid="{00000000-0005-0000-0000-00005A520000}"/>
    <cellStyle name="Normal 5 2 2 5 3 3 2" xfId="28880" xr:uid="{00000000-0005-0000-0000-00005B520000}"/>
    <cellStyle name="Normal 5 2 2 5 3 4" xfId="20432" xr:uid="{00000000-0005-0000-0000-00005C520000}"/>
    <cellStyle name="Normal 5 2 2 5 4" xfId="5604" xr:uid="{00000000-0005-0000-0000-00005D520000}"/>
    <cellStyle name="Normal 5 2 2 5 4 2" xfId="14052" xr:uid="{00000000-0005-0000-0000-00005E520000}"/>
    <cellStyle name="Normal 5 2 2 5 4 2 2" xfId="30992" xr:uid="{00000000-0005-0000-0000-00005F520000}"/>
    <cellStyle name="Normal 5 2 2 5 4 3" xfId="22544" xr:uid="{00000000-0005-0000-0000-000060520000}"/>
    <cellStyle name="Normal 5 2 2 5 5" xfId="9828" xr:uid="{00000000-0005-0000-0000-000061520000}"/>
    <cellStyle name="Normal 5 2 2 5 5 2" xfId="26768" xr:uid="{00000000-0005-0000-0000-000062520000}"/>
    <cellStyle name="Normal 5 2 2 5 6" xfId="18320" xr:uid="{00000000-0005-0000-0000-000063520000}"/>
    <cellStyle name="Normal 5 2 2 6" xfId="1554" xr:uid="{00000000-0005-0000-0000-000064520000}"/>
    <cellStyle name="Normal 5 2 2 6 2" xfId="3666" xr:uid="{00000000-0005-0000-0000-000065520000}"/>
    <cellStyle name="Normal 5 2 2 6 2 2" xfId="7892" xr:uid="{00000000-0005-0000-0000-000066520000}"/>
    <cellStyle name="Normal 5 2 2 6 2 2 2" xfId="16340" xr:uid="{00000000-0005-0000-0000-000067520000}"/>
    <cellStyle name="Normal 5 2 2 6 2 2 2 2" xfId="33280" xr:uid="{00000000-0005-0000-0000-000068520000}"/>
    <cellStyle name="Normal 5 2 2 6 2 2 3" xfId="24832" xr:uid="{00000000-0005-0000-0000-000069520000}"/>
    <cellStyle name="Normal 5 2 2 6 2 3" xfId="12116" xr:uid="{00000000-0005-0000-0000-00006A520000}"/>
    <cellStyle name="Normal 5 2 2 6 2 3 2" xfId="29056" xr:uid="{00000000-0005-0000-0000-00006B520000}"/>
    <cellStyle name="Normal 5 2 2 6 2 4" xfId="20608" xr:uid="{00000000-0005-0000-0000-00006C520000}"/>
    <cellStyle name="Normal 5 2 2 6 3" xfId="5780" xr:uid="{00000000-0005-0000-0000-00006D520000}"/>
    <cellStyle name="Normal 5 2 2 6 3 2" xfId="14228" xr:uid="{00000000-0005-0000-0000-00006E520000}"/>
    <cellStyle name="Normal 5 2 2 6 3 2 2" xfId="31168" xr:uid="{00000000-0005-0000-0000-00006F520000}"/>
    <cellStyle name="Normal 5 2 2 6 3 3" xfId="22720" xr:uid="{00000000-0005-0000-0000-000070520000}"/>
    <cellStyle name="Normal 5 2 2 6 4" xfId="10004" xr:uid="{00000000-0005-0000-0000-000071520000}"/>
    <cellStyle name="Normal 5 2 2 6 4 2" xfId="26944" xr:uid="{00000000-0005-0000-0000-000072520000}"/>
    <cellStyle name="Normal 5 2 2 6 5" xfId="18496" xr:uid="{00000000-0005-0000-0000-000073520000}"/>
    <cellStyle name="Normal 5 2 2 7" xfId="2610" xr:uid="{00000000-0005-0000-0000-000074520000}"/>
    <cellStyle name="Normal 5 2 2 7 2" xfId="6836" xr:uid="{00000000-0005-0000-0000-000075520000}"/>
    <cellStyle name="Normal 5 2 2 7 2 2" xfId="15284" xr:uid="{00000000-0005-0000-0000-000076520000}"/>
    <cellStyle name="Normal 5 2 2 7 2 2 2" xfId="32224" xr:uid="{00000000-0005-0000-0000-000077520000}"/>
    <cellStyle name="Normal 5 2 2 7 2 3" xfId="23776" xr:uid="{00000000-0005-0000-0000-000078520000}"/>
    <cellStyle name="Normal 5 2 2 7 3" xfId="11060" xr:uid="{00000000-0005-0000-0000-000079520000}"/>
    <cellStyle name="Normal 5 2 2 7 3 2" xfId="28000" xr:uid="{00000000-0005-0000-0000-00007A520000}"/>
    <cellStyle name="Normal 5 2 2 7 4" xfId="19552" xr:uid="{00000000-0005-0000-0000-00007B520000}"/>
    <cellStyle name="Normal 5 2 2 8" xfId="4723" xr:uid="{00000000-0005-0000-0000-00007C520000}"/>
    <cellStyle name="Normal 5 2 2 8 2" xfId="13172" xr:uid="{00000000-0005-0000-0000-00007D520000}"/>
    <cellStyle name="Normal 5 2 2 8 2 2" xfId="30112" xr:uid="{00000000-0005-0000-0000-00007E520000}"/>
    <cellStyle name="Normal 5 2 2 8 3" xfId="21664" xr:uid="{00000000-0005-0000-0000-00007F520000}"/>
    <cellStyle name="Normal 5 2 2 9" xfId="8948" xr:uid="{00000000-0005-0000-0000-000080520000}"/>
    <cellStyle name="Normal 5 2 2 9 2" xfId="25888" xr:uid="{00000000-0005-0000-0000-000081520000}"/>
    <cellStyle name="Normal 5 2 3" xfId="373" xr:uid="{00000000-0005-0000-0000-000082520000}"/>
    <cellStyle name="Normal 5 2 3 10" xfId="17441" xr:uid="{00000000-0005-0000-0000-000083520000}"/>
    <cellStyle name="Normal 5 2 3 2" xfId="669" xr:uid="{00000000-0005-0000-0000-000084520000}"/>
    <cellStyle name="Normal 5 2 3 2 2" xfId="1021" xr:uid="{00000000-0005-0000-0000-000085520000}"/>
    <cellStyle name="Normal 5 2 3 2 2 2" xfId="2083" xr:uid="{00000000-0005-0000-0000-000086520000}"/>
    <cellStyle name="Normal 5 2 3 2 2 2 2" xfId="4195" xr:uid="{00000000-0005-0000-0000-000087520000}"/>
    <cellStyle name="Normal 5 2 3 2 2 2 2 2" xfId="8421" xr:uid="{00000000-0005-0000-0000-000088520000}"/>
    <cellStyle name="Normal 5 2 3 2 2 2 2 2 2" xfId="16869" xr:uid="{00000000-0005-0000-0000-000089520000}"/>
    <cellStyle name="Normal 5 2 3 2 2 2 2 2 2 2" xfId="33809" xr:uid="{00000000-0005-0000-0000-00008A520000}"/>
    <cellStyle name="Normal 5 2 3 2 2 2 2 2 3" xfId="25361" xr:uid="{00000000-0005-0000-0000-00008B520000}"/>
    <cellStyle name="Normal 5 2 3 2 2 2 2 3" xfId="12645" xr:uid="{00000000-0005-0000-0000-00008C520000}"/>
    <cellStyle name="Normal 5 2 3 2 2 2 2 3 2" xfId="29585" xr:uid="{00000000-0005-0000-0000-00008D520000}"/>
    <cellStyle name="Normal 5 2 3 2 2 2 2 4" xfId="21137" xr:uid="{00000000-0005-0000-0000-00008E520000}"/>
    <cellStyle name="Normal 5 2 3 2 2 2 3" xfId="6309" xr:uid="{00000000-0005-0000-0000-00008F520000}"/>
    <cellStyle name="Normal 5 2 3 2 2 2 3 2" xfId="14757" xr:uid="{00000000-0005-0000-0000-000090520000}"/>
    <cellStyle name="Normal 5 2 3 2 2 2 3 2 2" xfId="31697" xr:uid="{00000000-0005-0000-0000-000091520000}"/>
    <cellStyle name="Normal 5 2 3 2 2 2 3 3" xfId="23249" xr:uid="{00000000-0005-0000-0000-000092520000}"/>
    <cellStyle name="Normal 5 2 3 2 2 2 4" xfId="10533" xr:uid="{00000000-0005-0000-0000-000093520000}"/>
    <cellStyle name="Normal 5 2 3 2 2 2 4 2" xfId="27473" xr:uid="{00000000-0005-0000-0000-000094520000}"/>
    <cellStyle name="Normal 5 2 3 2 2 2 5" xfId="19025" xr:uid="{00000000-0005-0000-0000-000095520000}"/>
    <cellStyle name="Normal 5 2 3 2 2 3" xfId="3139" xr:uid="{00000000-0005-0000-0000-000096520000}"/>
    <cellStyle name="Normal 5 2 3 2 2 3 2" xfId="7365" xr:uid="{00000000-0005-0000-0000-000097520000}"/>
    <cellStyle name="Normal 5 2 3 2 2 3 2 2" xfId="15813" xr:uid="{00000000-0005-0000-0000-000098520000}"/>
    <cellStyle name="Normal 5 2 3 2 2 3 2 2 2" xfId="32753" xr:uid="{00000000-0005-0000-0000-000099520000}"/>
    <cellStyle name="Normal 5 2 3 2 2 3 2 3" xfId="24305" xr:uid="{00000000-0005-0000-0000-00009A520000}"/>
    <cellStyle name="Normal 5 2 3 2 2 3 3" xfId="11589" xr:uid="{00000000-0005-0000-0000-00009B520000}"/>
    <cellStyle name="Normal 5 2 3 2 2 3 3 2" xfId="28529" xr:uid="{00000000-0005-0000-0000-00009C520000}"/>
    <cellStyle name="Normal 5 2 3 2 2 3 4" xfId="20081" xr:uid="{00000000-0005-0000-0000-00009D520000}"/>
    <cellStyle name="Normal 5 2 3 2 2 4" xfId="5253" xr:uid="{00000000-0005-0000-0000-00009E520000}"/>
    <cellStyle name="Normal 5 2 3 2 2 4 2" xfId="13701" xr:uid="{00000000-0005-0000-0000-00009F520000}"/>
    <cellStyle name="Normal 5 2 3 2 2 4 2 2" xfId="30641" xr:uid="{00000000-0005-0000-0000-0000A0520000}"/>
    <cellStyle name="Normal 5 2 3 2 2 4 3" xfId="22193" xr:uid="{00000000-0005-0000-0000-0000A1520000}"/>
    <cellStyle name="Normal 5 2 3 2 2 5" xfId="9477" xr:uid="{00000000-0005-0000-0000-0000A2520000}"/>
    <cellStyle name="Normal 5 2 3 2 2 5 2" xfId="26417" xr:uid="{00000000-0005-0000-0000-0000A3520000}"/>
    <cellStyle name="Normal 5 2 3 2 2 6" xfId="17969" xr:uid="{00000000-0005-0000-0000-0000A4520000}"/>
    <cellStyle name="Normal 5 2 3 2 3" xfId="1731" xr:uid="{00000000-0005-0000-0000-0000A5520000}"/>
    <cellStyle name="Normal 5 2 3 2 3 2" xfId="3843" xr:uid="{00000000-0005-0000-0000-0000A6520000}"/>
    <cellStyle name="Normal 5 2 3 2 3 2 2" xfId="8069" xr:uid="{00000000-0005-0000-0000-0000A7520000}"/>
    <cellStyle name="Normal 5 2 3 2 3 2 2 2" xfId="16517" xr:uid="{00000000-0005-0000-0000-0000A8520000}"/>
    <cellStyle name="Normal 5 2 3 2 3 2 2 2 2" xfId="33457" xr:uid="{00000000-0005-0000-0000-0000A9520000}"/>
    <cellStyle name="Normal 5 2 3 2 3 2 2 3" xfId="25009" xr:uid="{00000000-0005-0000-0000-0000AA520000}"/>
    <cellStyle name="Normal 5 2 3 2 3 2 3" xfId="12293" xr:uid="{00000000-0005-0000-0000-0000AB520000}"/>
    <cellStyle name="Normal 5 2 3 2 3 2 3 2" xfId="29233" xr:uid="{00000000-0005-0000-0000-0000AC520000}"/>
    <cellStyle name="Normal 5 2 3 2 3 2 4" xfId="20785" xr:uid="{00000000-0005-0000-0000-0000AD520000}"/>
    <cellStyle name="Normal 5 2 3 2 3 3" xfId="5957" xr:uid="{00000000-0005-0000-0000-0000AE520000}"/>
    <cellStyle name="Normal 5 2 3 2 3 3 2" xfId="14405" xr:uid="{00000000-0005-0000-0000-0000AF520000}"/>
    <cellStyle name="Normal 5 2 3 2 3 3 2 2" xfId="31345" xr:uid="{00000000-0005-0000-0000-0000B0520000}"/>
    <cellStyle name="Normal 5 2 3 2 3 3 3" xfId="22897" xr:uid="{00000000-0005-0000-0000-0000B1520000}"/>
    <cellStyle name="Normal 5 2 3 2 3 4" xfId="10181" xr:uid="{00000000-0005-0000-0000-0000B2520000}"/>
    <cellStyle name="Normal 5 2 3 2 3 4 2" xfId="27121" xr:uid="{00000000-0005-0000-0000-0000B3520000}"/>
    <cellStyle name="Normal 5 2 3 2 3 5" xfId="18673" xr:uid="{00000000-0005-0000-0000-0000B4520000}"/>
    <cellStyle name="Normal 5 2 3 2 4" xfId="2787" xr:uid="{00000000-0005-0000-0000-0000B5520000}"/>
    <cellStyle name="Normal 5 2 3 2 4 2" xfId="7013" xr:uid="{00000000-0005-0000-0000-0000B6520000}"/>
    <cellStyle name="Normal 5 2 3 2 4 2 2" xfId="15461" xr:uid="{00000000-0005-0000-0000-0000B7520000}"/>
    <cellStyle name="Normal 5 2 3 2 4 2 2 2" xfId="32401" xr:uid="{00000000-0005-0000-0000-0000B8520000}"/>
    <cellStyle name="Normal 5 2 3 2 4 2 3" xfId="23953" xr:uid="{00000000-0005-0000-0000-0000B9520000}"/>
    <cellStyle name="Normal 5 2 3 2 4 3" xfId="11237" xr:uid="{00000000-0005-0000-0000-0000BA520000}"/>
    <cellStyle name="Normal 5 2 3 2 4 3 2" xfId="28177" xr:uid="{00000000-0005-0000-0000-0000BB520000}"/>
    <cellStyle name="Normal 5 2 3 2 4 4" xfId="19729" xr:uid="{00000000-0005-0000-0000-0000BC520000}"/>
    <cellStyle name="Normal 5 2 3 2 5" xfId="4901" xr:uid="{00000000-0005-0000-0000-0000BD520000}"/>
    <cellStyle name="Normal 5 2 3 2 5 2" xfId="13349" xr:uid="{00000000-0005-0000-0000-0000BE520000}"/>
    <cellStyle name="Normal 5 2 3 2 5 2 2" xfId="30289" xr:uid="{00000000-0005-0000-0000-0000BF520000}"/>
    <cellStyle name="Normal 5 2 3 2 5 3" xfId="21841" xr:uid="{00000000-0005-0000-0000-0000C0520000}"/>
    <cellStyle name="Normal 5 2 3 2 6" xfId="9125" xr:uid="{00000000-0005-0000-0000-0000C1520000}"/>
    <cellStyle name="Normal 5 2 3 2 6 2" xfId="26065" xr:uid="{00000000-0005-0000-0000-0000C2520000}"/>
    <cellStyle name="Normal 5 2 3 2 7" xfId="17617" xr:uid="{00000000-0005-0000-0000-0000C3520000}"/>
    <cellStyle name="Normal 5 2 3 3" xfId="845" xr:uid="{00000000-0005-0000-0000-0000C4520000}"/>
    <cellStyle name="Normal 5 2 3 3 2" xfId="1907" xr:uid="{00000000-0005-0000-0000-0000C5520000}"/>
    <cellStyle name="Normal 5 2 3 3 2 2" xfId="4019" xr:uid="{00000000-0005-0000-0000-0000C6520000}"/>
    <cellStyle name="Normal 5 2 3 3 2 2 2" xfId="8245" xr:uid="{00000000-0005-0000-0000-0000C7520000}"/>
    <cellStyle name="Normal 5 2 3 3 2 2 2 2" xfId="16693" xr:uid="{00000000-0005-0000-0000-0000C8520000}"/>
    <cellStyle name="Normal 5 2 3 3 2 2 2 2 2" xfId="33633" xr:uid="{00000000-0005-0000-0000-0000C9520000}"/>
    <cellStyle name="Normal 5 2 3 3 2 2 2 3" xfId="25185" xr:uid="{00000000-0005-0000-0000-0000CA520000}"/>
    <cellStyle name="Normal 5 2 3 3 2 2 3" xfId="12469" xr:uid="{00000000-0005-0000-0000-0000CB520000}"/>
    <cellStyle name="Normal 5 2 3 3 2 2 3 2" xfId="29409" xr:uid="{00000000-0005-0000-0000-0000CC520000}"/>
    <cellStyle name="Normal 5 2 3 3 2 2 4" xfId="20961" xr:uid="{00000000-0005-0000-0000-0000CD520000}"/>
    <cellStyle name="Normal 5 2 3 3 2 3" xfId="6133" xr:uid="{00000000-0005-0000-0000-0000CE520000}"/>
    <cellStyle name="Normal 5 2 3 3 2 3 2" xfId="14581" xr:uid="{00000000-0005-0000-0000-0000CF520000}"/>
    <cellStyle name="Normal 5 2 3 3 2 3 2 2" xfId="31521" xr:uid="{00000000-0005-0000-0000-0000D0520000}"/>
    <cellStyle name="Normal 5 2 3 3 2 3 3" xfId="23073" xr:uid="{00000000-0005-0000-0000-0000D1520000}"/>
    <cellStyle name="Normal 5 2 3 3 2 4" xfId="10357" xr:uid="{00000000-0005-0000-0000-0000D2520000}"/>
    <cellStyle name="Normal 5 2 3 3 2 4 2" xfId="27297" xr:uid="{00000000-0005-0000-0000-0000D3520000}"/>
    <cellStyle name="Normal 5 2 3 3 2 5" xfId="18849" xr:uid="{00000000-0005-0000-0000-0000D4520000}"/>
    <cellStyle name="Normal 5 2 3 3 3" xfId="2963" xr:uid="{00000000-0005-0000-0000-0000D5520000}"/>
    <cellStyle name="Normal 5 2 3 3 3 2" xfId="7189" xr:uid="{00000000-0005-0000-0000-0000D6520000}"/>
    <cellStyle name="Normal 5 2 3 3 3 2 2" xfId="15637" xr:uid="{00000000-0005-0000-0000-0000D7520000}"/>
    <cellStyle name="Normal 5 2 3 3 3 2 2 2" xfId="32577" xr:uid="{00000000-0005-0000-0000-0000D8520000}"/>
    <cellStyle name="Normal 5 2 3 3 3 2 3" xfId="24129" xr:uid="{00000000-0005-0000-0000-0000D9520000}"/>
    <cellStyle name="Normal 5 2 3 3 3 3" xfId="11413" xr:uid="{00000000-0005-0000-0000-0000DA520000}"/>
    <cellStyle name="Normal 5 2 3 3 3 3 2" xfId="28353" xr:uid="{00000000-0005-0000-0000-0000DB520000}"/>
    <cellStyle name="Normal 5 2 3 3 3 4" xfId="19905" xr:uid="{00000000-0005-0000-0000-0000DC520000}"/>
    <cellStyle name="Normal 5 2 3 3 4" xfId="5077" xr:uid="{00000000-0005-0000-0000-0000DD520000}"/>
    <cellStyle name="Normal 5 2 3 3 4 2" xfId="13525" xr:uid="{00000000-0005-0000-0000-0000DE520000}"/>
    <cellStyle name="Normal 5 2 3 3 4 2 2" xfId="30465" xr:uid="{00000000-0005-0000-0000-0000DF520000}"/>
    <cellStyle name="Normal 5 2 3 3 4 3" xfId="22017" xr:uid="{00000000-0005-0000-0000-0000E0520000}"/>
    <cellStyle name="Normal 5 2 3 3 5" xfId="9301" xr:uid="{00000000-0005-0000-0000-0000E1520000}"/>
    <cellStyle name="Normal 5 2 3 3 5 2" xfId="26241" xr:uid="{00000000-0005-0000-0000-0000E2520000}"/>
    <cellStyle name="Normal 5 2 3 3 6" xfId="17793" xr:uid="{00000000-0005-0000-0000-0000E3520000}"/>
    <cellStyle name="Normal 5 2 3 4" xfId="1197" xr:uid="{00000000-0005-0000-0000-0000E4520000}"/>
    <cellStyle name="Normal 5 2 3 4 2" xfId="2259" xr:uid="{00000000-0005-0000-0000-0000E5520000}"/>
    <cellStyle name="Normal 5 2 3 4 2 2" xfId="4371" xr:uid="{00000000-0005-0000-0000-0000E6520000}"/>
    <cellStyle name="Normal 5 2 3 4 2 2 2" xfId="8597" xr:uid="{00000000-0005-0000-0000-0000E7520000}"/>
    <cellStyle name="Normal 5 2 3 4 2 2 2 2" xfId="17045" xr:uid="{00000000-0005-0000-0000-0000E8520000}"/>
    <cellStyle name="Normal 5 2 3 4 2 2 2 2 2" xfId="33985" xr:uid="{00000000-0005-0000-0000-0000E9520000}"/>
    <cellStyle name="Normal 5 2 3 4 2 2 2 3" xfId="25537" xr:uid="{00000000-0005-0000-0000-0000EA520000}"/>
    <cellStyle name="Normal 5 2 3 4 2 2 3" xfId="12821" xr:uid="{00000000-0005-0000-0000-0000EB520000}"/>
    <cellStyle name="Normal 5 2 3 4 2 2 3 2" xfId="29761" xr:uid="{00000000-0005-0000-0000-0000EC520000}"/>
    <cellStyle name="Normal 5 2 3 4 2 2 4" xfId="21313" xr:uid="{00000000-0005-0000-0000-0000ED520000}"/>
    <cellStyle name="Normal 5 2 3 4 2 3" xfId="6485" xr:uid="{00000000-0005-0000-0000-0000EE520000}"/>
    <cellStyle name="Normal 5 2 3 4 2 3 2" xfId="14933" xr:uid="{00000000-0005-0000-0000-0000EF520000}"/>
    <cellStyle name="Normal 5 2 3 4 2 3 2 2" xfId="31873" xr:uid="{00000000-0005-0000-0000-0000F0520000}"/>
    <cellStyle name="Normal 5 2 3 4 2 3 3" xfId="23425" xr:uid="{00000000-0005-0000-0000-0000F1520000}"/>
    <cellStyle name="Normal 5 2 3 4 2 4" xfId="10709" xr:uid="{00000000-0005-0000-0000-0000F2520000}"/>
    <cellStyle name="Normal 5 2 3 4 2 4 2" xfId="27649" xr:uid="{00000000-0005-0000-0000-0000F3520000}"/>
    <cellStyle name="Normal 5 2 3 4 2 5" xfId="19201" xr:uid="{00000000-0005-0000-0000-0000F4520000}"/>
    <cellStyle name="Normal 5 2 3 4 3" xfId="3315" xr:uid="{00000000-0005-0000-0000-0000F5520000}"/>
    <cellStyle name="Normal 5 2 3 4 3 2" xfId="7541" xr:uid="{00000000-0005-0000-0000-0000F6520000}"/>
    <cellStyle name="Normal 5 2 3 4 3 2 2" xfId="15989" xr:uid="{00000000-0005-0000-0000-0000F7520000}"/>
    <cellStyle name="Normal 5 2 3 4 3 2 2 2" xfId="32929" xr:uid="{00000000-0005-0000-0000-0000F8520000}"/>
    <cellStyle name="Normal 5 2 3 4 3 2 3" xfId="24481" xr:uid="{00000000-0005-0000-0000-0000F9520000}"/>
    <cellStyle name="Normal 5 2 3 4 3 3" xfId="11765" xr:uid="{00000000-0005-0000-0000-0000FA520000}"/>
    <cellStyle name="Normal 5 2 3 4 3 3 2" xfId="28705" xr:uid="{00000000-0005-0000-0000-0000FB520000}"/>
    <cellStyle name="Normal 5 2 3 4 3 4" xfId="20257" xr:uid="{00000000-0005-0000-0000-0000FC520000}"/>
    <cellStyle name="Normal 5 2 3 4 4" xfId="5429" xr:uid="{00000000-0005-0000-0000-0000FD520000}"/>
    <cellStyle name="Normal 5 2 3 4 4 2" xfId="13877" xr:uid="{00000000-0005-0000-0000-0000FE520000}"/>
    <cellStyle name="Normal 5 2 3 4 4 2 2" xfId="30817" xr:uid="{00000000-0005-0000-0000-0000FF520000}"/>
    <cellStyle name="Normal 5 2 3 4 4 3" xfId="22369" xr:uid="{00000000-0005-0000-0000-000000530000}"/>
    <cellStyle name="Normal 5 2 3 4 5" xfId="9653" xr:uid="{00000000-0005-0000-0000-000001530000}"/>
    <cellStyle name="Normal 5 2 3 4 5 2" xfId="26593" xr:uid="{00000000-0005-0000-0000-000002530000}"/>
    <cellStyle name="Normal 5 2 3 4 6" xfId="18145" xr:uid="{00000000-0005-0000-0000-000003530000}"/>
    <cellStyle name="Normal 5 2 3 5" xfId="1379" xr:uid="{00000000-0005-0000-0000-000004530000}"/>
    <cellStyle name="Normal 5 2 3 5 2" xfId="2435" xr:uid="{00000000-0005-0000-0000-000005530000}"/>
    <cellStyle name="Normal 5 2 3 5 2 2" xfId="4547" xr:uid="{00000000-0005-0000-0000-000006530000}"/>
    <cellStyle name="Normal 5 2 3 5 2 2 2" xfId="8773" xr:uid="{00000000-0005-0000-0000-000007530000}"/>
    <cellStyle name="Normal 5 2 3 5 2 2 2 2" xfId="17221" xr:uid="{00000000-0005-0000-0000-000008530000}"/>
    <cellStyle name="Normal 5 2 3 5 2 2 2 2 2" xfId="34161" xr:uid="{00000000-0005-0000-0000-000009530000}"/>
    <cellStyle name="Normal 5 2 3 5 2 2 2 3" xfId="25713" xr:uid="{00000000-0005-0000-0000-00000A530000}"/>
    <cellStyle name="Normal 5 2 3 5 2 2 3" xfId="12997" xr:uid="{00000000-0005-0000-0000-00000B530000}"/>
    <cellStyle name="Normal 5 2 3 5 2 2 3 2" xfId="29937" xr:uid="{00000000-0005-0000-0000-00000C530000}"/>
    <cellStyle name="Normal 5 2 3 5 2 2 4" xfId="21489" xr:uid="{00000000-0005-0000-0000-00000D530000}"/>
    <cellStyle name="Normal 5 2 3 5 2 3" xfId="6661" xr:uid="{00000000-0005-0000-0000-00000E530000}"/>
    <cellStyle name="Normal 5 2 3 5 2 3 2" xfId="15109" xr:uid="{00000000-0005-0000-0000-00000F530000}"/>
    <cellStyle name="Normal 5 2 3 5 2 3 2 2" xfId="32049" xr:uid="{00000000-0005-0000-0000-000010530000}"/>
    <cellStyle name="Normal 5 2 3 5 2 3 3" xfId="23601" xr:uid="{00000000-0005-0000-0000-000011530000}"/>
    <cellStyle name="Normal 5 2 3 5 2 4" xfId="10885" xr:uid="{00000000-0005-0000-0000-000012530000}"/>
    <cellStyle name="Normal 5 2 3 5 2 4 2" xfId="27825" xr:uid="{00000000-0005-0000-0000-000013530000}"/>
    <cellStyle name="Normal 5 2 3 5 2 5" xfId="19377" xr:uid="{00000000-0005-0000-0000-000014530000}"/>
    <cellStyle name="Normal 5 2 3 5 3" xfId="3491" xr:uid="{00000000-0005-0000-0000-000015530000}"/>
    <cellStyle name="Normal 5 2 3 5 3 2" xfId="7717" xr:uid="{00000000-0005-0000-0000-000016530000}"/>
    <cellStyle name="Normal 5 2 3 5 3 2 2" xfId="16165" xr:uid="{00000000-0005-0000-0000-000017530000}"/>
    <cellStyle name="Normal 5 2 3 5 3 2 2 2" xfId="33105" xr:uid="{00000000-0005-0000-0000-000018530000}"/>
    <cellStyle name="Normal 5 2 3 5 3 2 3" xfId="24657" xr:uid="{00000000-0005-0000-0000-000019530000}"/>
    <cellStyle name="Normal 5 2 3 5 3 3" xfId="11941" xr:uid="{00000000-0005-0000-0000-00001A530000}"/>
    <cellStyle name="Normal 5 2 3 5 3 3 2" xfId="28881" xr:uid="{00000000-0005-0000-0000-00001B530000}"/>
    <cellStyle name="Normal 5 2 3 5 3 4" xfId="20433" xr:uid="{00000000-0005-0000-0000-00001C530000}"/>
    <cellStyle name="Normal 5 2 3 5 4" xfId="5605" xr:uid="{00000000-0005-0000-0000-00001D530000}"/>
    <cellStyle name="Normal 5 2 3 5 4 2" xfId="14053" xr:uid="{00000000-0005-0000-0000-00001E530000}"/>
    <cellStyle name="Normal 5 2 3 5 4 2 2" xfId="30993" xr:uid="{00000000-0005-0000-0000-00001F530000}"/>
    <cellStyle name="Normal 5 2 3 5 4 3" xfId="22545" xr:uid="{00000000-0005-0000-0000-000020530000}"/>
    <cellStyle name="Normal 5 2 3 5 5" xfId="9829" xr:uid="{00000000-0005-0000-0000-000021530000}"/>
    <cellStyle name="Normal 5 2 3 5 5 2" xfId="26769" xr:uid="{00000000-0005-0000-0000-000022530000}"/>
    <cellStyle name="Normal 5 2 3 5 6" xfId="18321" xr:uid="{00000000-0005-0000-0000-000023530000}"/>
    <cellStyle name="Normal 5 2 3 6" xfId="1555" xr:uid="{00000000-0005-0000-0000-000024530000}"/>
    <cellStyle name="Normal 5 2 3 6 2" xfId="3667" xr:uid="{00000000-0005-0000-0000-000025530000}"/>
    <cellStyle name="Normal 5 2 3 6 2 2" xfId="7893" xr:uid="{00000000-0005-0000-0000-000026530000}"/>
    <cellStyle name="Normal 5 2 3 6 2 2 2" xfId="16341" xr:uid="{00000000-0005-0000-0000-000027530000}"/>
    <cellStyle name="Normal 5 2 3 6 2 2 2 2" xfId="33281" xr:uid="{00000000-0005-0000-0000-000028530000}"/>
    <cellStyle name="Normal 5 2 3 6 2 2 3" xfId="24833" xr:uid="{00000000-0005-0000-0000-000029530000}"/>
    <cellStyle name="Normal 5 2 3 6 2 3" xfId="12117" xr:uid="{00000000-0005-0000-0000-00002A530000}"/>
    <cellStyle name="Normal 5 2 3 6 2 3 2" xfId="29057" xr:uid="{00000000-0005-0000-0000-00002B530000}"/>
    <cellStyle name="Normal 5 2 3 6 2 4" xfId="20609" xr:uid="{00000000-0005-0000-0000-00002C530000}"/>
    <cellStyle name="Normal 5 2 3 6 3" xfId="5781" xr:uid="{00000000-0005-0000-0000-00002D530000}"/>
    <cellStyle name="Normal 5 2 3 6 3 2" xfId="14229" xr:uid="{00000000-0005-0000-0000-00002E530000}"/>
    <cellStyle name="Normal 5 2 3 6 3 2 2" xfId="31169" xr:uid="{00000000-0005-0000-0000-00002F530000}"/>
    <cellStyle name="Normal 5 2 3 6 3 3" xfId="22721" xr:uid="{00000000-0005-0000-0000-000030530000}"/>
    <cellStyle name="Normal 5 2 3 6 4" xfId="10005" xr:uid="{00000000-0005-0000-0000-000031530000}"/>
    <cellStyle name="Normal 5 2 3 6 4 2" xfId="26945" xr:uid="{00000000-0005-0000-0000-000032530000}"/>
    <cellStyle name="Normal 5 2 3 6 5" xfId="18497" xr:uid="{00000000-0005-0000-0000-000033530000}"/>
    <cellStyle name="Normal 5 2 3 7" xfId="2611" xr:uid="{00000000-0005-0000-0000-000034530000}"/>
    <cellStyle name="Normal 5 2 3 7 2" xfId="6837" xr:uid="{00000000-0005-0000-0000-000035530000}"/>
    <cellStyle name="Normal 5 2 3 7 2 2" xfId="15285" xr:uid="{00000000-0005-0000-0000-000036530000}"/>
    <cellStyle name="Normal 5 2 3 7 2 2 2" xfId="32225" xr:uid="{00000000-0005-0000-0000-000037530000}"/>
    <cellStyle name="Normal 5 2 3 7 2 3" xfId="23777" xr:uid="{00000000-0005-0000-0000-000038530000}"/>
    <cellStyle name="Normal 5 2 3 7 3" xfId="11061" xr:uid="{00000000-0005-0000-0000-000039530000}"/>
    <cellStyle name="Normal 5 2 3 7 3 2" xfId="28001" xr:uid="{00000000-0005-0000-0000-00003A530000}"/>
    <cellStyle name="Normal 5 2 3 7 4" xfId="19553" xr:uid="{00000000-0005-0000-0000-00003B530000}"/>
    <cellStyle name="Normal 5 2 3 8" xfId="4724" xr:uid="{00000000-0005-0000-0000-00003C530000}"/>
    <cellStyle name="Normal 5 2 3 8 2" xfId="13173" xr:uid="{00000000-0005-0000-0000-00003D530000}"/>
    <cellStyle name="Normal 5 2 3 8 2 2" xfId="30113" xr:uid="{00000000-0005-0000-0000-00003E530000}"/>
    <cellStyle name="Normal 5 2 3 8 3" xfId="21665" xr:uid="{00000000-0005-0000-0000-00003F530000}"/>
    <cellStyle name="Normal 5 2 3 9" xfId="8949" xr:uid="{00000000-0005-0000-0000-000040530000}"/>
    <cellStyle name="Normal 5 2 3 9 2" xfId="25889" xr:uid="{00000000-0005-0000-0000-000041530000}"/>
    <cellStyle name="Normal 5 2 4" xfId="667" xr:uid="{00000000-0005-0000-0000-000042530000}"/>
    <cellStyle name="Normal 5 2 4 2" xfId="1019" xr:uid="{00000000-0005-0000-0000-000043530000}"/>
    <cellStyle name="Normal 5 2 4 2 2" xfId="2081" xr:uid="{00000000-0005-0000-0000-000044530000}"/>
    <cellStyle name="Normal 5 2 4 2 2 2" xfId="4193" xr:uid="{00000000-0005-0000-0000-000045530000}"/>
    <cellStyle name="Normal 5 2 4 2 2 2 2" xfId="8419" xr:uid="{00000000-0005-0000-0000-000046530000}"/>
    <cellStyle name="Normal 5 2 4 2 2 2 2 2" xfId="16867" xr:uid="{00000000-0005-0000-0000-000047530000}"/>
    <cellStyle name="Normal 5 2 4 2 2 2 2 2 2" xfId="33807" xr:uid="{00000000-0005-0000-0000-000048530000}"/>
    <cellStyle name="Normal 5 2 4 2 2 2 2 3" xfId="25359" xr:uid="{00000000-0005-0000-0000-000049530000}"/>
    <cellStyle name="Normal 5 2 4 2 2 2 3" xfId="12643" xr:uid="{00000000-0005-0000-0000-00004A530000}"/>
    <cellStyle name="Normal 5 2 4 2 2 2 3 2" xfId="29583" xr:uid="{00000000-0005-0000-0000-00004B530000}"/>
    <cellStyle name="Normal 5 2 4 2 2 2 4" xfId="21135" xr:uid="{00000000-0005-0000-0000-00004C530000}"/>
    <cellStyle name="Normal 5 2 4 2 2 3" xfId="6307" xr:uid="{00000000-0005-0000-0000-00004D530000}"/>
    <cellStyle name="Normal 5 2 4 2 2 3 2" xfId="14755" xr:uid="{00000000-0005-0000-0000-00004E530000}"/>
    <cellStyle name="Normal 5 2 4 2 2 3 2 2" xfId="31695" xr:uid="{00000000-0005-0000-0000-00004F530000}"/>
    <cellStyle name="Normal 5 2 4 2 2 3 3" xfId="23247" xr:uid="{00000000-0005-0000-0000-000050530000}"/>
    <cellStyle name="Normal 5 2 4 2 2 4" xfId="10531" xr:uid="{00000000-0005-0000-0000-000051530000}"/>
    <cellStyle name="Normal 5 2 4 2 2 4 2" xfId="27471" xr:uid="{00000000-0005-0000-0000-000052530000}"/>
    <cellStyle name="Normal 5 2 4 2 2 5" xfId="19023" xr:uid="{00000000-0005-0000-0000-000053530000}"/>
    <cellStyle name="Normal 5 2 4 2 3" xfId="3137" xr:uid="{00000000-0005-0000-0000-000054530000}"/>
    <cellStyle name="Normal 5 2 4 2 3 2" xfId="7363" xr:uid="{00000000-0005-0000-0000-000055530000}"/>
    <cellStyle name="Normal 5 2 4 2 3 2 2" xfId="15811" xr:uid="{00000000-0005-0000-0000-000056530000}"/>
    <cellStyle name="Normal 5 2 4 2 3 2 2 2" xfId="32751" xr:uid="{00000000-0005-0000-0000-000057530000}"/>
    <cellStyle name="Normal 5 2 4 2 3 2 3" xfId="24303" xr:uid="{00000000-0005-0000-0000-000058530000}"/>
    <cellStyle name="Normal 5 2 4 2 3 3" xfId="11587" xr:uid="{00000000-0005-0000-0000-000059530000}"/>
    <cellStyle name="Normal 5 2 4 2 3 3 2" xfId="28527" xr:uid="{00000000-0005-0000-0000-00005A530000}"/>
    <cellStyle name="Normal 5 2 4 2 3 4" xfId="20079" xr:uid="{00000000-0005-0000-0000-00005B530000}"/>
    <cellStyle name="Normal 5 2 4 2 4" xfId="5251" xr:uid="{00000000-0005-0000-0000-00005C530000}"/>
    <cellStyle name="Normal 5 2 4 2 4 2" xfId="13699" xr:uid="{00000000-0005-0000-0000-00005D530000}"/>
    <cellStyle name="Normal 5 2 4 2 4 2 2" xfId="30639" xr:uid="{00000000-0005-0000-0000-00005E530000}"/>
    <cellStyle name="Normal 5 2 4 2 4 3" xfId="22191" xr:uid="{00000000-0005-0000-0000-00005F530000}"/>
    <cellStyle name="Normal 5 2 4 2 5" xfId="9475" xr:uid="{00000000-0005-0000-0000-000060530000}"/>
    <cellStyle name="Normal 5 2 4 2 5 2" xfId="26415" xr:uid="{00000000-0005-0000-0000-000061530000}"/>
    <cellStyle name="Normal 5 2 4 2 6" xfId="17967" xr:uid="{00000000-0005-0000-0000-000062530000}"/>
    <cellStyle name="Normal 5 2 4 3" xfId="1729" xr:uid="{00000000-0005-0000-0000-000063530000}"/>
    <cellStyle name="Normal 5 2 4 3 2" xfId="3841" xr:uid="{00000000-0005-0000-0000-000064530000}"/>
    <cellStyle name="Normal 5 2 4 3 2 2" xfId="8067" xr:uid="{00000000-0005-0000-0000-000065530000}"/>
    <cellStyle name="Normal 5 2 4 3 2 2 2" xfId="16515" xr:uid="{00000000-0005-0000-0000-000066530000}"/>
    <cellStyle name="Normal 5 2 4 3 2 2 2 2" xfId="33455" xr:uid="{00000000-0005-0000-0000-000067530000}"/>
    <cellStyle name="Normal 5 2 4 3 2 2 3" xfId="25007" xr:uid="{00000000-0005-0000-0000-000068530000}"/>
    <cellStyle name="Normal 5 2 4 3 2 3" xfId="12291" xr:uid="{00000000-0005-0000-0000-000069530000}"/>
    <cellStyle name="Normal 5 2 4 3 2 3 2" xfId="29231" xr:uid="{00000000-0005-0000-0000-00006A530000}"/>
    <cellStyle name="Normal 5 2 4 3 2 4" xfId="20783" xr:uid="{00000000-0005-0000-0000-00006B530000}"/>
    <cellStyle name="Normal 5 2 4 3 3" xfId="5955" xr:uid="{00000000-0005-0000-0000-00006C530000}"/>
    <cellStyle name="Normal 5 2 4 3 3 2" xfId="14403" xr:uid="{00000000-0005-0000-0000-00006D530000}"/>
    <cellStyle name="Normal 5 2 4 3 3 2 2" xfId="31343" xr:uid="{00000000-0005-0000-0000-00006E530000}"/>
    <cellStyle name="Normal 5 2 4 3 3 3" xfId="22895" xr:uid="{00000000-0005-0000-0000-00006F530000}"/>
    <cellStyle name="Normal 5 2 4 3 4" xfId="10179" xr:uid="{00000000-0005-0000-0000-000070530000}"/>
    <cellStyle name="Normal 5 2 4 3 4 2" xfId="27119" xr:uid="{00000000-0005-0000-0000-000071530000}"/>
    <cellStyle name="Normal 5 2 4 3 5" xfId="18671" xr:uid="{00000000-0005-0000-0000-000072530000}"/>
    <cellStyle name="Normal 5 2 4 4" xfId="2785" xr:uid="{00000000-0005-0000-0000-000073530000}"/>
    <cellStyle name="Normal 5 2 4 4 2" xfId="7011" xr:uid="{00000000-0005-0000-0000-000074530000}"/>
    <cellStyle name="Normal 5 2 4 4 2 2" xfId="15459" xr:uid="{00000000-0005-0000-0000-000075530000}"/>
    <cellStyle name="Normal 5 2 4 4 2 2 2" xfId="32399" xr:uid="{00000000-0005-0000-0000-000076530000}"/>
    <cellStyle name="Normal 5 2 4 4 2 3" xfId="23951" xr:uid="{00000000-0005-0000-0000-000077530000}"/>
    <cellStyle name="Normal 5 2 4 4 3" xfId="11235" xr:uid="{00000000-0005-0000-0000-000078530000}"/>
    <cellStyle name="Normal 5 2 4 4 3 2" xfId="28175" xr:uid="{00000000-0005-0000-0000-000079530000}"/>
    <cellStyle name="Normal 5 2 4 4 4" xfId="19727" xr:uid="{00000000-0005-0000-0000-00007A530000}"/>
    <cellStyle name="Normal 5 2 4 5" xfId="4899" xr:uid="{00000000-0005-0000-0000-00007B530000}"/>
    <cellStyle name="Normal 5 2 4 5 2" xfId="13347" xr:uid="{00000000-0005-0000-0000-00007C530000}"/>
    <cellStyle name="Normal 5 2 4 5 2 2" xfId="30287" xr:uid="{00000000-0005-0000-0000-00007D530000}"/>
    <cellStyle name="Normal 5 2 4 5 3" xfId="21839" xr:uid="{00000000-0005-0000-0000-00007E530000}"/>
    <cellStyle name="Normal 5 2 4 6" xfId="9123" xr:uid="{00000000-0005-0000-0000-00007F530000}"/>
    <cellStyle name="Normal 5 2 4 6 2" xfId="26063" xr:uid="{00000000-0005-0000-0000-000080530000}"/>
    <cellStyle name="Normal 5 2 4 7" xfId="17615" xr:uid="{00000000-0005-0000-0000-000081530000}"/>
    <cellStyle name="Normal 5 2 5" xfId="843" xr:uid="{00000000-0005-0000-0000-000082530000}"/>
    <cellStyle name="Normal 5 2 5 2" xfId="1905" xr:uid="{00000000-0005-0000-0000-000083530000}"/>
    <cellStyle name="Normal 5 2 5 2 2" xfId="4017" xr:uid="{00000000-0005-0000-0000-000084530000}"/>
    <cellStyle name="Normal 5 2 5 2 2 2" xfId="8243" xr:uid="{00000000-0005-0000-0000-000085530000}"/>
    <cellStyle name="Normal 5 2 5 2 2 2 2" xfId="16691" xr:uid="{00000000-0005-0000-0000-000086530000}"/>
    <cellStyle name="Normal 5 2 5 2 2 2 2 2" xfId="33631" xr:uid="{00000000-0005-0000-0000-000087530000}"/>
    <cellStyle name="Normal 5 2 5 2 2 2 3" xfId="25183" xr:uid="{00000000-0005-0000-0000-000088530000}"/>
    <cellStyle name="Normal 5 2 5 2 2 3" xfId="12467" xr:uid="{00000000-0005-0000-0000-000089530000}"/>
    <cellStyle name="Normal 5 2 5 2 2 3 2" xfId="29407" xr:uid="{00000000-0005-0000-0000-00008A530000}"/>
    <cellStyle name="Normal 5 2 5 2 2 4" xfId="20959" xr:uid="{00000000-0005-0000-0000-00008B530000}"/>
    <cellStyle name="Normal 5 2 5 2 3" xfId="6131" xr:uid="{00000000-0005-0000-0000-00008C530000}"/>
    <cellStyle name="Normal 5 2 5 2 3 2" xfId="14579" xr:uid="{00000000-0005-0000-0000-00008D530000}"/>
    <cellStyle name="Normal 5 2 5 2 3 2 2" xfId="31519" xr:uid="{00000000-0005-0000-0000-00008E530000}"/>
    <cellStyle name="Normal 5 2 5 2 3 3" xfId="23071" xr:uid="{00000000-0005-0000-0000-00008F530000}"/>
    <cellStyle name="Normal 5 2 5 2 4" xfId="10355" xr:uid="{00000000-0005-0000-0000-000090530000}"/>
    <cellStyle name="Normal 5 2 5 2 4 2" xfId="27295" xr:uid="{00000000-0005-0000-0000-000091530000}"/>
    <cellStyle name="Normal 5 2 5 2 5" xfId="18847" xr:uid="{00000000-0005-0000-0000-000092530000}"/>
    <cellStyle name="Normal 5 2 5 3" xfId="2961" xr:uid="{00000000-0005-0000-0000-000093530000}"/>
    <cellStyle name="Normal 5 2 5 3 2" xfId="7187" xr:uid="{00000000-0005-0000-0000-000094530000}"/>
    <cellStyle name="Normal 5 2 5 3 2 2" xfId="15635" xr:uid="{00000000-0005-0000-0000-000095530000}"/>
    <cellStyle name="Normal 5 2 5 3 2 2 2" xfId="32575" xr:uid="{00000000-0005-0000-0000-000096530000}"/>
    <cellStyle name="Normal 5 2 5 3 2 3" xfId="24127" xr:uid="{00000000-0005-0000-0000-000097530000}"/>
    <cellStyle name="Normal 5 2 5 3 3" xfId="11411" xr:uid="{00000000-0005-0000-0000-000098530000}"/>
    <cellStyle name="Normal 5 2 5 3 3 2" xfId="28351" xr:uid="{00000000-0005-0000-0000-000099530000}"/>
    <cellStyle name="Normal 5 2 5 3 4" xfId="19903" xr:uid="{00000000-0005-0000-0000-00009A530000}"/>
    <cellStyle name="Normal 5 2 5 4" xfId="5075" xr:uid="{00000000-0005-0000-0000-00009B530000}"/>
    <cellStyle name="Normal 5 2 5 4 2" xfId="13523" xr:uid="{00000000-0005-0000-0000-00009C530000}"/>
    <cellStyle name="Normal 5 2 5 4 2 2" xfId="30463" xr:uid="{00000000-0005-0000-0000-00009D530000}"/>
    <cellStyle name="Normal 5 2 5 4 3" xfId="22015" xr:uid="{00000000-0005-0000-0000-00009E530000}"/>
    <cellStyle name="Normal 5 2 5 5" xfId="9299" xr:uid="{00000000-0005-0000-0000-00009F530000}"/>
    <cellStyle name="Normal 5 2 5 5 2" xfId="26239" xr:uid="{00000000-0005-0000-0000-0000A0530000}"/>
    <cellStyle name="Normal 5 2 5 6" xfId="17791" xr:uid="{00000000-0005-0000-0000-0000A1530000}"/>
    <cellStyle name="Normal 5 2 6" xfId="1195" xr:uid="{00000000-0005-0000-0000-0000A2530000}"/>
    <cellStyle name="Normal 5 2 6 2" xfId="2257" xr:uid="{00000000-0005-0000-0000-0000A3530000}"/>
    <cellStyle name="Normal 5 2 6 2 2" xfId="4369" xr:uid="{00000000-0005-0000-0000-0000A4530000}"/>
    <cellStyle name="Normal 5 2 6 2 2 2" xfId="8595" xr:uid="{00000000-0005-0000-0000-0000A5530000}"/>
    <cellStyle name="Normal 5 2 6 2 2 2 2" xfId="17043" xr:uid="{00000000-0005-0000-0000-0000A6530000}"/>
    <cellStyle name="Normal 5 2 6 2 2 2 2 2" xfId="33983" xr:uid="{00000000-0005-0000-0000-0000A7530000}"/>
    <cellStyle name="Normal 5 2 6 2 2 2 3" xfId="25535" xr:uid="{00000000-0005-0000-0000-0000A8530000}"/>
    <cellStyle name="Normal 5 2 6 2 2 3" xfId="12819" xr:uid="{00000000-0005-0000-0000-0000A9530000}"/>
    <cellStyle name="Normal 5 2 6 2 2 3 2" xfId="29759" xr:uid="{00000000-0005-0000-0000-0000AA530000}"/>
    <cellStyle name="Normal 5 2 6 2 2 4" xfId="21311" xr:uid="{00000000-0005-0000-0000-0000AB530000}"/>
    <cellStyle name="Normal 5 2 6 2 3" xfId="6483" xr:uid="{00000000-0005-0000-0000-0000AC530000}"/>
    <cellStyle name="Normal 5 2 6 2 3 2" xfId="14931" xr:uid="{00000000-0005-0000-0000-0000AD530000}"/>
    <cellStyle name="Normal 5 2 6 2 3 2 2" xfId="31871" xr:uid="{00000000-0005-0000-0000-0000AE530000}"/>
    <cellStyle name="Normal 5 2 6 2 3 3" xfId="23423" xr:uid="{00000000-0005-0000-0000-0000AF530000}"/>
    <cellStyle name="Normal 5 2 6 2 4" xfId="10707" xr:uid="{00000000-0005-0000-0000-0000B0530000}"/>
    <cellStyle name="Normal 5 2 6 2 4 2" xfId="27647" xr:uid="{00000000-0005-0000-0000-0000B1530000}"/>
    <cellStyle name="Normal 5 2 6 2 5" xfId="19199" xr:uid="{00000000-0005-0000-0000-0000B2530000}"/>
    <cellStyle name="Normal 5 2 6 3" xfId="3313" xr:uid="{00000000-0005-0000-0000-0000B3530000}"/>
    <cellStyle name="Normal 5 2 6 3 2" xfId="7539" xr:uid="{00000000-0005-0000-0000-0000B4530000}"/>
    <cellStyle name="Normal 5 2 6 3 2 2" xfId="15987" xr:uid="{00000000-0005-0000-0000-0000B5530000}"/>
    <cellStyle name="Normal 5 2 6 3 2 2 2" xfId="32927" xr:uid="{00000000-0005-0000-0000-0000B6530000}"/>
    <cellStyle name="Normal 5 2 6 3 2 3" xfId="24479" xr:uid="{00000000-0005-0000-0000-0000B7530000}"/>
    <cellStyle name="Normal 5 2 6 3 3" xfId="11763" xr:uid="{00000000-0005-0000-0000-0000B8530000}"/>
    <cellStyle name="Normal 5 2 6 3 3 2" xfId="28703" xr:uid="{00000000-0005-0000-0000-0000B9530000}"/>
    <cellStyle name="Normal 5 2 6 3 4" xfId="20255" xr:uid="{00000000-0005-0000-0000-0000BA530000}"/>
    <cellStyle name="Normal 5 2 6 4" xfId="5427" xr:uid="{00000000-0005-0000-0000-0000BB530000}"/>
    <cellStyle name="Normal 5 2 6 4 2" xfId="13875" xr:uid="{00000000-0005-0000-0000-0000BC530000}"/>
    <cellStyle name="Normal 5 2 6 4 2 2" xfId="30815" xr:uid="{00000000-0005-0000-0000-0000BD530000}"/>
    <cellStyle name="Normal 5 2 6 4 3" xfId="22367" xr:uid="{00000000-0005-0000-0000-0000BE530000}"/>
    <cellStyle name="Normal 5 2 6 5" xfId="9651" xr:uid="{00000000-0005-0000-0000-0000BF530000}"/>
    <cellStyle name="Normal 5 2 6 5 2" xfId="26591" xr:uid="{00000000-0005-0000-0000-0000C0530000}"/>
    <cellStyle name="Normal 5 2 6 6" xfId="18143" xr:uid="{00000000-0005-0000-0000-0000C1530000}"/>
    <cellStyle name="Normal 5 2 7" xfId="1377" xr:uid="{00000000-0005-0000-0000-0000C2530000}"/>
    <cellStyle name="Normal 5 2 7 2" xfId="2433" xr:uid="{00000000-0005-0000-0000-0000C3530000}"/>
    <cellStyle name="Normal 5 2 7 2 2" xfId="4545" xr:uid="{00000000-0005-0000-0000-0000C4530000}"/>
    <cellStyle name="Normal 5 2 7 2 2 2" xfId="8771" xr:uid="{00000000-0005-0000-0000-0000C5530000}"/>
    <cellStyle name="Normal 5 2 7 2 2 2 2" xfId="17219" xr:uid="{00000000-0005-0000-0000-0000C6530000}"/>
    <cellStyle name="Normal 5 2 7 2 2 2 2 2" xfId="34159" xr:uid="{00000000-0005-0000-0000-0000C7530000}"/>
    <cellStyle name="Normal 5 2 7 2 2 2 3" xfId="25711" xr:uid="{00000000-0005-0000-0000-0000C8530000}"/>
    <cellStyle name="Normal 5 2 7 2 2 3" xfId="12995" xr:uid="{00000000-0005-0000-0000-0000C9530000}"/>
    <cellStyle name="Normal 5 2 7 2 2 3 2" xfId="29935" xr:uid="{00000000-0005-0000-0000-0000CA530000}"/>
    <cellStyle name="Normal 5 2 7 2 2 4" xfId="21487" xr:uid="{00000000-0005-0000-0000-0000CB530000}"/>
    <cellStyle name="Normal 5 2 7 2 3" xfId="6659" xr:uid="{00000000-0005-0000-0000-0000CC530000}"/>
    <cellStyle name="Normal 5 2 7 2 3 2" xfId="15107" xr:uid="{00000000-0005-0000-0000-0000CD530000}"/>
    <cellStyle name="Normal 5 2 7 2 3 2 2" xfId="32047" xr:uid="{00000000-0005-0000-0000-0000CE530000}"/>
    <cellStyle name="Normal 5 2 7 2 3 3" xfId="23599" xr:uid="{00000000-0005-0000-0000-0000CF530000}"/>
    <cellStyle name="Normal 5 2 7 2 4" xfId="10883" xr:uid="{00000000-0005-0000-0000-0000D0530000}"/>
    <cellStyle name="Normal 5 2 7 2 4 2" xfId="27823" xr:uid="{00000000-0005-0000-0000-0000D1530000}"/>
    <cellStyle name="Normal 5 2 7 2 5" xfId="19375" xr:uid="{00000000-0005-0000-0000-0000D2530000}"/>
    <cellStyle name="Normal 5 2 7 3" xfId="3489" xr:uid="{00000000-0005-0000-0000-0000D3530000}"/>
    <cellStyle name="Normal 5 2 7 3 2" xfId="7715" xr:uid="{00000000-0005-0000-0000-0000D4530000}"/>
    <cellStyle name="Normal 5 2 7 3 2 2" xfId="16163" xr:uid="{00000000-0005-0000-0000-0000D5530000}"/>
    <cellStyle name="Normal 5 2 7 3 2 2 2" xfId="33103" xr:uid="{00000000-0005-0000-0000-0000D6530000}"/>
    <cellStyle name="Normal 5 2 7 3 2 3" xfId="24655" xr:uid="{00000000-0005-0000-0000-0000D7530000}"/>
    <cellStyle name="Normal 5 2 7 3 3" xfId="11939" xr:uid="{00000000-0005-0000-0000-0000D8530000}"/>
    <cellStyle name="Normal 5 2 7 3 3 2" xfId="28879" xr:uid="{00000000-0005-0000-0000-0000D9530000}"/>
    <cellStyle name="Normal 5 2 7 3 4" xfId="20431" xr:uid="{00000000-0005-0000-0000-0000DA530000}"/>
    <cellStyle name="Normal 5 2 7 4" xfId="5603" xr:uid="{00000000-0005-0000-0000-0000DB530000}"/>
    <cellStyle name="Normal 5 2 7 4 2" xfId="14051" xr:uid="{00000000-0005-0000-0000-0000DC530000}"/>
    <cellStyle name="Normal 5 2 7 4 2 2" xfId="30991" xr:uid="{00000000-0005-0000-0000-0000DD530000}"/>
    <cellStyle name="Normal 5 2 7 4 3" xfId="22543" xr:uid="{00000000-0005-0000-0000-0000DE530000}"/>
    <cellStyle name="Normal 5 2 7 5" xfId="9827" xr:uid="{00000000-0005-0000-0000-0000DF530000}"/>
    <cellStyle name="Normal 5 2 7 5 2" xfId="26767" xr:uid="{00000000-0005-0000-0000-0000E0530000}"/>
    <cellStyle name="Normal 5 2 7 6" xfId="18319" xr:uid="{00000000-0005-0000-0000-0000E1530000}"/>
    <cellStyle name="Normal 5 2 8" xfId="1553" xr:uid="{00000000-0005-0000-0000-0000E2530000}"/>
    <cellStyle name="Normal 5 2 8 2" xfId="3665" xr:uid="{00000000-0005-0000-0000-0000E3530000}"/>
    <cellStyle name="Normal 5 2 8 2 2" xfId="7891" xr:uid="{00000000-0005-0000-0000-0000E4530000}"/>
    <cellStyle name="Normal 5 2 8 2 2 2" xfId="16339" xr:uid="{00000000-0005-0000-0000-0000E5530000}"/>
    <cellStyle name="Normal 5 2 8 2 2 2 2" xfId="33279" xr:uid="{00000000-0005-0000-0000-0000E6530000}"/>
    <cellStyle name="Normal 5 2 8 2 2 3" xfId="24831" xr:uid="{00000000-0005-0000-0000-0000E7530000}"/>
    <cellStyle name="Normal 5 2 8 2 3" xfId="12115" xr:uid="{00000000-0005-0000-0000-0000E8530000}"/>
    <cellStyle name="Normal 5 2 8 2 3 2" xfId="29055" xr:uid="{00000000-0005-0000-0000-0000E9530000}"/>
    <cellStyle name="Normal 5 2 8 2 4" xfId="20607" xr:uid="{00000000-0005-0000-0000-0000EA530000}"/>
    <cellStyle name="Normal 5 2 8 3" xfId="5779" xr:uid="{00000000-0005-0000-0000-0000EB530000}"/>
    <cellStyle name="Normal 5 2 8 3 2" xfId="14227" xr:uid="{00000000-0005-0000-0000-0000EC530000}"/>
    <cellStyle name="Normal 5 2 8 3 2 2" xfId="31167" xr:uid="{00000000-0005-0000-0000-0000ED530000}"/>
    <cellStyle name="Normal 5 2 8 3 3" xfId="22719" xr:uid="{00000000-0005-0000-0000-0000EE530000}"/>
    <cellStyle name="Normal 5 2 8 4" xfId="10003" xr:uid="{00000000-0005-0000-0000-0000EF530000}"/>
    <cellStyle name="Normal 5 2 8 4 2" xfId="26943" xr:uid="{00000000-0005-0000-0000-0000F0530000}"/>
    <cellStyle name="Normal 5 2 8 5" xfId="18495" xr:uid="{00000000-0005-0000-0000-0000F1530000}"/>
    <cellStyle name="Normal 5 2 9" xfId="2609" xr:uid="{00000000-0005-0000-0000-0000F2530000}"/>
    <cellStyle name="Normal 5 2 9 2" xfId="6835" xr:uid="{00000000-0005-0000-0000-0000F3530000}"/>
    <cellStyle name="Normal 5 2 9 2 2" xfId="15283" xr:uid="{00000000-0005-0000-0000-0000F4530000}"/>
    <cellStyle name="Normal 5 2 9 2 2 2" xfId="32223" xr:uid="{00000000-0005-0000-0000-0000F5530000}"/>
    <cellStyle name="Normal 5 2 9 2 3" xfId="23775" xr:uid="{00000000-0005-0000-0000-0000F6530000}"/>
    <cellStyle name="Normal 5 2 9 3" xfId="11059" xr:uid="{00000000-0005-0000-0000-0000F7530000}"/>
    <cellStyle name="Normal 5 2 9 3 2" xfId="27999" xr:uid="{00000000-0005-0000-0000-0000F8530000}"/>
    <cellStyle name="Normal 5 2 9 4" xfId="19551" xr:uid="{00000000-0005-0000-0000-0000F9530000}"/>
    <cellStyle name="Normal 5 3" xfId="374" xr:uid="{00000000-0005-0000-0000-0000FA530000}"/>
    <cellStyle name="Normal 5 3 10" xfId="4725" xr:uid="{00000000-0005-0000-0000-0000FB530000}"/>
    <cellStyle name="Normal 5 3 10 2" xfId="13174" xr:uid="{00000000-0005-0000-0000-0000FC530000}"/>
    <cellStyle name="Normal 5 3 10 2 2" xfId="30114" xr:uid="{00000000-0005-0000-0000-0000FD530000}"/>
    <cellStyle name="Normal 5 3 10 3" xfId="21666" xr:uid="{00000000-0005-0000-0000-0000FE530000}"/>
    <cellStyle name="Normal 5 3 11" xfId="8950" xr:uid="{00000000-0005-0000-0000-0000FF530000}"/>
    <cellStyle name="Normal 5 3 11 2" xfId="25890" xr:uid="{00000000-0005-0000-0000-000000540000}"/>
    <cellStyle name="Normal 5 3 12" xfId="17442" xr:uid="{00000000-0005-0000-0000-000001540000}"/>
    <cellStyle name="Normal 5 3 2" xfId="375" xr:uid="{00000000-0005-0000-0000-000002540000}"/>
    <cellStyle name="Normal 5 3 2 10" xfId="17443" xr:uid="{00000000-0005-0000-0000-000003540000}"/>
    <cellStyle name="Normal 5 3 2 2" xfId="671" xr:uid="{00000000-0005-0000-0000-000004540000}"/>
    <cellStyle name="Normal 5 3 2 2 2" xfId="1023" xr:uid="{00000000-0005-0000-0000-000005540000}"/>
    <cellStyle name="Normal 5 3 2 2 2 2" xfId="2085" xr:uid="{00000000-0005-0000-0000-000006540000}"/>
    <cellStyle name="Normal 5 3 2 2 2 2 2" xfId="4197" xr:uid="{00000000-0005-0000-0000-000007540000}"/>
    <cellStyle name="Normal 5 3 2 2 2 2 2 2" xfId="8423" xr:uid="{00000000-0005-0000-0000-000008540000}"/>
    <cellStyle name="Normal 5 3 2 2 2 2 2 2 2" xfId="16871" xr:uid="{00000000-0005-0000-0000-000009540000}"/>
    <cellStyle name="Normal 5 3 2 2 2 2 2 2 2 2" xfId="33811" xr:uid="{00000000-0005-0000-0000-00000A540000}"/>
    <cellStyle name="Normal 5 3 2 2 2 2 2 2 3" xfId="25363" xr:uid="{00000000-0005-0000-0000-00000B540000}"/>
    <cellStyle name="Normal 5 3 2 2 2 2 2 3" xfId="12647" xr:uid="{00000000-0005-0000-0000-00000C540000}"/>
    <cellStyle name="Normal 5 3 2 2 2 2 2 3 2" xfId="29587" xr:uid="{00000000-0005-0000-0000-00000D540000}"/>
    <cellStyle name="Normal 5 3 2 2 2 2 2 4" xfId="21139" xr:uid="{00000000-0005-0000-0000-00000E540000}"/>
    <cellStyle name="Normal 5 3 2 2 2 2 3" xfId="6311" xr:uid="{00000000-0005-0000-0000-00000F540000}"/>
    <cellStyle name="Normal 5 3 2 2 2 2 3 2" xfId="14759" xr:uid="{00000000-0005-0000-0000-000010540000}"/>
    <cellStyle name="Normal 5 3 2 2 2 2 3 2 2" xfId="31699" xr:uid="{00000000-0005-0000-0000-000011540000}"/>
    <cellStyle name="Normal 5 3 2 2 2 2 3 3" xfId="23251" xr:uid="{00000000-0005-0000-0000-000012540000}"/>
    <cellStyle name="Normal 5 3 2 2 2 2 4" xfId="10535" xr:uid="{00000000-0005-0000-0000-000013540000}"/>
    <cellStyle name="Normal 5 3 2 2 2 2 4 2" xfId="27475" xr:uid="{00000000-0005-0000-0000-000014540000}"/>
    <cellStyle name="Normal 5 3 2 2 2 2 5" xfId="19027" xr:uid="{00000000-0005-0000-0000-000015540000}"/>
    <cellStyle name="Normal 5 3 2 2 2 3" xfId="3141" xr:uid="{00000000-0005-0000-0000-000016540000}"/>
    <cellStyle name="Normal 5 3 2 2 2 3 2" xfId="7367" xr:uid="{00000000-0005-0000-0000-000017540000}"/>
    <cellStyle name="Normal 5 3 2 2 2 3 2 2" xfId="15815" xr:uid="{00000000-0005-0000-0000-000018540000}"/>
    <cellStyle name="Normal 5 3 2 2 2 3 2 2 2" xfId="32755" xr:uid="{00000000-0005-0000-0000-000019540000}"/>
    <cellStyle name="Normal 5 3 2 2 2 3 2 3" xfId="24307" xr:uid="{00000000-0005-0000-0000-00001A540000}"/>
    <cellStyle name="Normal 5 3 2 2 2 3 3" xfId="11591" xr:uid="{00000000-0005-0000-0000-00001B540000}"/>
    <cellStyle name="Normal 5 3 2 2 2 3 3 2" xfId="28531" xr:uid="{00000000-0005-0000-0000-00001C540000}"/>
    <cellStyle name="Normal 5 3 2 2 2 3 4" xfId="20083" xr:uid="{00000000-0005-0000-0000-00001D540000}"/>
    <cellStyle name="Normal 5 3 2 2 2 4" xfId="5255" xr:uid="{00000000-0005-0000-0000-00001E540000}"/>
    <cellStyle name="Normal 5 3 2 2 2 4 2" xfId="13703" xr:uid="{00000000-0005-0000-0000-00001F540000}"/>
    <cellStyle name="Normal 5 3 2 2 2 4 2 2" xfId="30643" xr:uid="{00000000-0005-0000-0000-000020540000}"/>
    <cellStyle name="Normal 5 3 2 2 2 4 3" xfId="22195" xr:uid="{00000000-0005-0000-0000-000021540000}"/>
    <cellStyle name="Normal 5 3 2 2 2 5" xfId="9479" xr:uid="{00000000-0005-0000-0000-000022540000}"/>
    <cellStyle name="Normal 5 3 2 2 2 5 2" xfId="26419" xr:uid="{00000000-0005-0000-0000-000023540000}"/>
    <cellStyle name="Normal 5 3 2 2 2 6" xfId="17971" xr:uid="{00000000-0005-0000-0000-000024540000}"/>
    <cellStyle name="Normal 5 3 2 2 3" xfId="1733" xr:uid="{00000000-0005-0000-0000-000025540000}"/>
    <cellStyle name="Normal 5 3 2 2 3 2" xfId="3845" xr:uid="{00000000-0005-0000-0000-000026540000}"/>
    <cellStyle name="Normal 5 3 2 2 3 2 2" xfId="8071" xr:uid="{00000000-0005-0000-0000-000027540000}"/>
    <cellStyle name="Normal 5 3 2 2 3 2 2 2" xfId="16519" xr:uid="{00000000-0005-0000-0000-000028540000}"/>
    <cellStyle name="Normal 5 3 2 2 3 2 2 2 2" xfId="33459" xr:uid="{00000000-0005-0000-0000-000029540000}"/>
    <cellStyle name="Normal 5 3 2 2 3 2 2 3" xfId="25011" xr:uid="{00000000-0005-0000-0000-00002A540000}"/>
    <cellStyle name="Normal 5 3 2 2 3 2 3" xfId="12295" xr:uid="{00000000-0005-0000-0000-00002B540000}"/>
    <cellStyle name="Normal 5 3 2 2 3 2 3 2" xfId="29235" xr:uid="{00000000-0005-0000-0000-00002C540000}"/>
    <cellStyle name="Normal 5 3 2 2 3 2 4" xfId="20787" xr:uid="{00000000-0005-0000-0000-00002D540000}"/>
    <cellStyle name="Normal 5 3 2 2 3 3" xfId="5959" xr:uid="{00000000-0005-0000-0000-00002E540000}"/>
    <cellStyle name="Normal 5 3 2 2 3 3 2" xfId="14407" xr:uid="{00000000-0005-0000-0000-00002F540000}"/>
    <cellStyle name="Normal 5 3 2 2 3 3 2 2" xfId="31347" xr:uid="{00000000-0005-0000-0000-000030540000}"/>
    <cellStyle name="Normal 5 3 2 2 3 3 3" xfId="22899" xr:uid="{00000000-0005-0000-0000-000031540000}"/>
    <cellStyle name="Normal 5 3 2 2 3 4" xfId="10183" xr:uid="{00000000-0005-0000-0000-000032540000}"/>
    <cellStyle name="Normal 5 3 2 2 3 4 2" xfId="27123" xr:uid="{00000000-0005-0000-0000-000033540000}"/>
    <cellStyle name="Normal 5 3 2 2 3 5" xfId="18675" xr:uid="{00000000-0005-0000-0000-000034540000}"/>
    <cellStyle name="Normal 5 3 2 2 4" xfId="2789" xr:uid="{00000000-0005-0000-0000-000035540000}"/>
    <cellStyle name="Normal 5 3 2 2 4 2" xfId="7015" xr:uid="{00000000-0005-0000-0000-000036540000}"/>
    <cellStyle name="Normal 5 3 2 2 4 2 2" xfId="15463" xr:uid="{00000000-0005-0000-0000-000037540000}"/>
    <cellStyle name="Normal 5 3 2 2 4 2 2 2" xfId="32403" xr:uid="{00000000-0005-0000-0000-000038540000}"/>
    <cellStyle name="Normal 5 3 2 2 4 2 3" xfId="23955" xr:uid="{00000000-0005-0000-0000-000039540000}"/>
    <cellStyle name="Normal 5 3 2 2 4 3" xfId="11239" xr:uid="{00000000-0005-0000-0000-00003A540000}"/>
    <cellStyle name="Normal 5 3 2 2 4 3 2" xfId="28179" xr:uid="{00000000-0005-0000-0000-00003B540000}"/>
    <cellStyle name="Normal 5 3 2 2 4 4" xfId="19731" xr:uid="{00000000-0005-0000-0000-00003C540000}"/>
    <cellStyle name="Normal 5 3 2 2 5" xfId="4903" xr:uid="{00000000-0005-0000-0000-00003D540000}"/>
    <cellStyle name="Normal 5 3 2 2 5 2" xfId="13351" xr:uid="{00000000-0005-0000-0000-00003E540000}"/>
    <cellStyle name="Normal 5 3 2 2 5 2 2" xfId="30291" xr:uid="{00000000-0005-0000-0000-00003F540000}"/>
    <cellStyle name="Normal 5 3 2 2 5 3" xfId="21843" xr:uid="{00000000-0005-0000-0000-000040540000}"/>
    <cellStyle name="Normal 5 3 2 2 6" xfId="9127" xr:uid="{00000000-0005-0000-0000-000041540000}"/>
    <cellStyle name="Normal 5 3 2 2 6 2" xfId="26067" xr:uid="{00000000-0005-0000-0000-000042540000}"/>
    <cellStyle name="Normal 5 3 2 2 7" xfId="17619" xr:uid="{00000000-0005-0000-0000-000043540000}"/>
    <cellStyle name="Normal 5 3 2 3" xfId="847" xr:uid="{00000000-0005-0000-0000-000044540000}"/>
    <cellStyle name="Normal 5 3 2 3 2" xfId="1909" xr:uid="{00000000-0005-0000-0000-000045540000}"/>
    <cellStyle name="Normal 5 3 2 3 2 2" xfId="4021" xr:uid="{00000000-0005-0000-0000-000046540000}"/>
    <cellStyle name="Normal 5 3 2 3 2 2 2" xfId="8247" xr:uid="{00000000-0005-0000-0000-000047540000}"/>
    <cellStyle name="Normal 5 3 2 3 2 2 2 2" xfId="16695" xr:uid="{00000000-0005-0000-0000-000048540000}"/>
    <cellStyle name="Normal 5 3 2 3 2 2 2 2 2" xfId="33635" xr:uid="{00000000-0005-0000-0000-000049540000}"/>
    <cellStyle name="Normal 5 3 2 3 2 2 2 3" xfId="25187" xr:uid="{00000000-0005-0000-0000-00004A540000}"/>
    <cellStyle name="Normal 5 3 2 3 2 2 3" xfId="12471" xr:uid="{00000000-0005-0000-0000-00004B540000}"/>
    <cellStyle name="Normal 5 3 2 3 2 2 3 2" xfId="29411" xr:uid="{00000000-0005-0000-0000-00004C540000}"/>
    <cellStyle name="Normal 5 3 2 3 2 2 4" xfId="20963" xr:uid="{00000000-0005-0000-0000-00004D540000}"/>
    <cellStyle name="Normal 5 3 2 3 2 3" xfId="6135" xr:uid="{00000000-0005-0000-0000-00004E540000}"/>
    <cellStyle name="Normal 5 3 2 3 2 3 2" xfId="14583" xr:uid="{00000000-0005-0000-0000-00004F540000}"/>
    <cellStyle name="Normal 5 3 2 3 2 3 2 2" xfId="31523" xr:uid="{00000000-0005-0000-0000-000050540000}"/>
    <cellStyle name="Normal 5 3 2 3 2 3 3" xfId="23075" xr:uid="{00000000-0005-0000-0000-000051540000}"/>
    <cellStyle name="Normal 5 3 2 3 2 4" xfId="10359" xr:uid="{00000000-0005-0000-0000-000052540000}"/>
    <cellStyle name="Normal 5 3 2 3 2 4 2" xfId="27299" xr:uid="{00000000-0005-0000-0000-000053540000}"/>
    <cellStyle name="Normal 5 3 2 3 2 5" xfId="18851" xr:uid="{00000000-0005-0000-0000-000054540000}"/>
    <cellStyle name="Normal 5 3 2 3 3" xfId="2965" xr:uid="{00000000-0005-0000-0000-000055540000}"/>
    <cellStyle name="Normal 5 3 2 3 3 2" xfId="7191" xr:uid="{00000000-0005-0000-0000-000056540000}"/>
    <cellStyle name="Normal 5 3 2 3 3 2 2" xfId="15639" xr:uid="{00000000-0005-0000-0000-000057540000}"/>
    <cellStyle name="Normal 5 3 2 3 3 2 2 2" xfId="32579" xr:uid="{00000000-0005-0000-0000-000058540000}"/>
    <cellStyle name="Normal 5 3 2 3 3 2 3" xfId="24131" xr:uid="{00000000-0005-0000-0000-000059540000}"/>
    <cellStyle name="Normal 5 3 2 3 3 3" xfId="11415" xr:uid="{00000000-0005-0000-0000-00005A540000}"/>
    <cellStyle name="Normal 5 3 2 3 3 3 2" xfId="28355" xr:uid="{00000000-0005-0000-0000-00005B540000}"/>
    <cellStyle name="Normal 5 3 2 3 3 4" xfId="19907" xr:uid="{00000000-0005-0000-0000-00005C540000}"/>
    <cellStyle name="Normal 5 3 2 3 4" xfId="5079" xr:uid="{00000000-0005-0000-0000-00005D540000}"/>
    <cellStyle name="Normal 5 3 2 3 4 2" xfId="13527" xr:uid="{00000000-0005-0000-0000-00005E540000}"/>
    <cellStyle name="Normal 5 3 2 3 4 2 2" xfId="30467" xr:uid="{00000000-0005-0000-0000-00005F540000}"/>
    <cellStyle name="Normal 5 3 2 3 4 3" xfId="22019" xr:uid="{00000000-0005-0000-0000-000060540000}"/>
    <cellStyle name="Normal 5 3 2 3 5" xfId="9303" xr:uid="{00000000-0005-0000-0000-000061540000}"/>
    <cellStyle name="Normal 5 3 2 3 5 2" xfId="26243" xr:uid="{00000000-0005-0000-0000-000062540000}"/>
    <cellStyle name="Normal 5 3 2 3 6" xfId="17795" xr:uid="{00000000-0005-0000-0000-000063540000}"/>
    <cellStyle name="Normal 5 3 2 4" xfId="1199" xr:uid="{00000000-0005-0000-0000-000064540000}"/>
    <cellStyle name="Normal 5 3 2 4 2" xfId="2261" xr:uid="{00000000-0005-0000-0000-000065540000}"/>
    <cellStyle name="Normal 5 3 2 4 2 2" xfId="4373" xr:uid="{00000000-0005-0000-0000-000066540000}"/>
    <cellStyle name="Normal 5 3 2 4 2 2 2" xfId="8599" xr:uid="{00000000-0005-0000-0000-000067540000}"/>
    <cellStyle name="Normal 5 3 2 4 2 2 2 2" xfId="17047" xr:uid="{00000000-0005-0000-0000-000068540000}"/>
    <cellStyle name="Normal 5 3 2 4 2 2 2 2 2" xfId="33987" xr:uid="{00000000-0005-0000-0000-000069540000}"/>
    <cellStyle name="Normal 5 3 2 4 2 2 2 3" xfId="25539" xr:uid="{00000000-0005-0000-0000-00006A540000}"/>
    <cellStyle name="Normal 5 3 2 4 2 2 3" xfId="12823" xr:uid="{00000000-0005-0000-0000-00006B540000}"/>
    <cellStyle name="Normal 5 3 2 4 2 2 3 2" xfId="29763" xr:uid="{00000000-0005-0000-0000-00006C540000}"/>
    <cellStyle name="Normal 5 3 2 4 2 2 4" xfId="21315" xr:uid="{00000000-0005-0000-0000-00006D540000}"/>
    <cellStyle name="Normal 5 3 2 4 2 3" xfId="6487" xr:uid="{00000000-0005-0000-0000-00006E540000}"/>
    <cellStyle name="Normal 5 3 2 4 2 3 2" xfId="14935" xr:uid="{00000000-0005-0000-0000-00006F540000}"/>
    <cellStyle name="Normal 5 3 2 4 2 3 2 2" xfId="31875" xr:uid="{00000000-0005-0000-0000-000070540000}"/>
    <cellStyle name="Normal 5 3 2 4 2 3 3" xfId="23427" xr:uid="{00000000-0005-0000-0000-000071540000}"/>
    <cellStyle name="Normal 5 3 2 4 2 4" xfId="10711" xr:uid="{00000000-0005-0000-0000-000072540000}"/>
    <cellStyle name="Normal 5 3 2 4 2 4 2" xfId="27651" xr:uid="{00000000-0005-0000-0000-000073540000}"/>
    <cellStyle name="Normal 5 3 2 4 2 5" xfId="19203" xr:uid="{00000000-0005-0000-0000-000074540000}"/>
    <cellStyle name="Normal 5 3 2 4 3" xfId="3317" xr:uid="{00000000-0005-0000-0000-000075540000}"/>
    <cellStyle name="Normal 5 3 2 4 3 2" xfId="7543" xr:uid="{00000000-0005-0000-0000-000076540000}"/>
    <cellStyle name="Normal 5 3 2 4 3 2 2" xfId="15991" xr:uid="{00000000-0005-0000-0000-000077540000}"/>
    <cellStyle name="Normal 5 3 2 4 3 2 2 2" xfId="32931" xr:uid="{00000000-0005-0000-0000-000078540000}"/>
    <cellStyle name="Normal 5 3 2 4 3 2 3" xfId="24483" xr:uid="{00000000-0005-0000-0000-000079540000}"/>
    <cellStyle name="Normal 5 3 2 4 3 3" xfId="11767" xr:uid="{00000000-0005-0000-0000-00007A540000}"/>
    <cellStyle name="Normal 5 3 2 4 3 3 2" xfId="28707" xr:uid="{00000000-0005-0000-0000-00007B540000}"/>
    <cellStyle name="Normal 5 3 2 4 3 4" xfId="20259" xr:uid="{00000000-0005-0000-0000-00007C540000}"/>
    <cellStyle name="Normal 5 3 2 4 4" xfId="5431" xr:uid="{00000000-0005-0000-0000-00007D540000}"/>
    <cellStyle name="Normal 5 3 2 4 4 2" xfId="13879" xr:uid="{00000000-0005-0000-0000-00007E540000}"/>
    <cellStyle name="Normal 5 3 2 4 4 2 2" xfId="30819" xr:uid="{00000000-0005-0000-0000-00007F540000}"/>
    <cellStyle name="Normal 5 3 2 4 4 3" xfId="22371" xr:uid="{00000000-0005-0000-0000-000080540000}"/>
    <cellStyle name="Normal 5 3 2 4 5" xfId="9655" xr:uid="{00000000-0005-0000-0000-000081540000}"/>
    <cellStyle name="Normal 5 3 2 4 5 2" xfId="26595" xr:uid="{00000000-0005-0000-0000-000082540000}"/>
    <cellStyle name="Normal 5 3 2 4 6" xfId="18147" xr:uid="{00000000-0005-0000-0000-000083540000}"/>
    <cellStyle name="Normal 5 3 2 5" xfId="1381" xr:uid="{00000000-0005-0000-0000-000084540000}"/>
    <cellStyle name="Normal 5 3 2 5 2" xfId="2437" xr:uid="{00000000-0005-0000-0000-000085540000}"/>
    <cellStyle name="Normal 5 3 2 5 2 2" xfId="4549" xr:uid="{00000000-0005-0000-0000-000086540000}"/>
    <cellStyle name="Normal 5 3 2 5 2 2 2" xfId="8775" xr:uid="{00000000-0005-0000-0000-000087540000}"/>
    <cellStyle name="Normal 5 3 2 5 2 2 2 2" xfId="17223" xr:uid="{00000000-0005-0000-0000-000088540000}"/>
    <cellStyle name="Normal 5 3 2 5 2 2 2 2 2" xfId="34163" xr:uid="{00000000-0005-0000-0000-000089540000}"/>
    <cellStyle name="Normal 5 3 2 5 2 2 2 3" xfId="25715" xr:uid="{00000000-0005-0000-0000-00008A540000}"/>
    <cellStyle name="Normal 5 3 2 5 2 2 3" xfId="12999" xr:uid="{00000000-0005-0000-0000-00008B540000}"/>
    <cellStyle name="Normal 5 3 2 5 2 2 3 2" xfId="29939" xr:uid="{00000000-0005-0000-0000-00008C540000}"/>
    <cellStyle name="Normal 5 3 2 5 2 2 4" xfId="21491" xr:uid="{00000000-0005-0000-0000-00008D540000}"/>
    <cellStyle name="Normal 5 3 2 5 2 3" xfId="6663" xr:uid="{00000000-0005-0000-0000-00008E540000}"/>
    <cellStyle name="Normal 5 3 2 5 2 3 2" xfId="15111" xr:uid="{00000000-0005-0000-0000-00008F540000}"/>
    <cellStyle name="Normal 5 3 2 5 2 3 2 2" xfId="32051" xr:uid="{00000000-0005-0000-0000-000090540000}"/>
    <cellStyle name="Normal 5 3 2 5 2 3 3" xfId="23603" xr:uid="{00000000-0005-0000-0000-000091540000}"/>
    <cellStyle name="Normal 5 3 2 5 2 4" xfId="10887" xr:uid="{00000000-0005-0000-0000-000092540000}"/>
    <cellStyle name="Normal 5 3 2 5 2 4 2" xfId="27827" xr:uid="{00000000-0005-0000-0000-000093540000}"/>
    <cellStyle name="Normal 5 3 2 5 2 5" xfId="19379" xr:uid="{00000000-0005-0000-0000-000094540000}"/>
    <cellStyle name="Normal 5 3 2 5 3" xfId="3493" xr:uid="{00000000-0005-0000-0000-000095540000}"/>
    <cellStyle name="Normal 5 3 2 5 3 2" xfId="7719" xr:uid="{00000000-0005-0000-0000-000096540000}"/>
    <cellStyle name="Normal 5 3 2 5 3 2 2" xfId="16167" xr:uid="{00000000-0005-0000-0000-000097540000}"/>
    <cellStyle name="Normal 5 3 2 5 3 2 2 2" xfId="33107" xr:uid="{00000000-0005-0000-0000-000098540000}"/>
    <cellStyle name="Normal 5 3 2 5 3 2 3" xfId="24659" xr:uid="{00000000-0005-0000-0000-000099540000}"/>
    <cellStyle name="Normal 5 3 2 5 3 3" xfId="11943" xr:uid="{00000000-0005-0000-0000-00009A540000}"/>
    <cellStyle name="Normal 5 3 2 5 3 3 2" xfId="28883" xr:uid="{00000000-0005-0000-0000-00009B540000}"/>
    <cellStyle name="Normal 5 3 2 5 3 4" xfId="20435" xr:uid="{00000000-0005-0000-0000-00009C540000}"/>
    <cellStyle name="Normal 5 3 2 5 4" xfId="5607" xr:uid="{00000000-0005-0000-0000-00009D540000}"/>
    <cellStyle name="Normal 5 3 2 5 4 2" xfId="14055" xr:uid="{00000000-0005-0000-0000-00009E540000}"/>
    <cellStyle name="Normal 5 3 2 5 4 2 2" xfId="30995" xr:uid="{00000000-0005-0000-0000-00009F540000}"/>
    <cellStyle name="Normal 5 3 2 5 4 3" xfId="22547" xr:uid="{00000000-0005-0000-0000-0000A0540000}"/>
    <cellStyle name="Normal 5 3 2 5 5" xfId="9831" xr:uid="{00000000-0005-0000-0000-0000A1540000}"/>
    <cellStyle name="Normal 5 3 2 5 5 2" xfId="26771" xr:uid="{00000000-0005-0000-0000-0000A2540000}"/>
    <cellStyle name="Normal 5 3 2 5 6" xfId="18323" xr:uid="{00000000-0005-0000-0000-0000A3540000}"/>
    <cellStyle name="Normal 5 3 2 6" xfId="1557" xr:uid="{00000000-0005-0000-0000-0000A4540000}"/>
    <cellStyle name="Normal 5 3 2 6 2" xfId="3669" xr:uid="{00000000-0005-0000-0000-0000A5540000}"/>
    <cellStyle name="Normal 5 3 2 6 2 2" xfId="7895" xr:uid="{00000000-0005-0000-0000-0000A6540000}"/>
    <cellStyle name="Normal 5 3 2 6 2 2 2" xfId="16343" xr:uid="{00000000-0005-0000-0000-0000A7540000}"/>
    <cellStyle name="Normal 5 3 2 6 2 2 2 2" xfId="33283" xr:uid="{00000000-0005-0000-0000-0000A8540000}"/>
    <cellStyle name="Normal 5 3 2 6 2 2 3" xfId="24835" xr:uid="{00000000-0005-0000-0000-0000A9540000}"/>
    <cellStyle name="Normal 5 3 2 6 2 3" xfId="12119" xr:uid="{00000000-0005-0000-0000-0000AA540000}"/>
    <cellStyle name="Normal 5 3 2 6 2 3 2" xfId="29059" xr:uid="{00000000-0005-0000-0000-0000AB540000}"/>
    <cellStyle name="Normal 5 3 2 6 2 4" xfId="20611" xr:uid="{00000000-0005-0000-0000-0000AC540000}"/>
    <cellStyle name="Normal 5 3 2 6 3" xfId="5783" xr:uid="{00000000-0005-0000-0000-0000AD540000}"/>
    <cellStyle name="Normal 5 3 2 6 3 2" xfId="14231" xr:uid="{00000000-0005-0000-0000-0000AE540000}"/>
    <cellStyle name="Normal 5 3 2 6 3 2 2" xfId="31171" xr:uid="{00000000-0005-0000-0000-0000AF540000}"/>
    <cellStyle name="Normal 5 3 2 6 3 3" xfId="22723" xr:uid="{00000000-0005-0000-0000-0000B0540000}"/>
    <cellStyle name="Normal 5 3 2 6 4" xfId="10007" xr:uid="{00000000-0005-0000-0000-0000B1540000}"/>
    <cellStyle name="Normal 5 3 2 6 4 2" xfId="26947" xr:uid="{00000000-0005-0000-0000-0000B2540000}"/>
    <cellStyle name="Normal 5 3 2 6 5" xfId="18499" xr:uid="{00000000-0005-0000-0000-0000B3540000}"/>
    <cellStyle name="Normal 5 3 2 7" xfId="2613" xr:uid="{00000000-0005-0000-0000-0000B4540000}"/>
    <cellStyle name="Normal 5 3 2 7 2" xfId="6839" xr:uid="{00000000-0005-0000-0000-0000B5540000}"/>
    <cellStyle name="Normal 5 3 2 7 2 2" xfId="15287" xr:uid="{00000000-0005-0000-0000-0000B6540000}"/>
    <cellStyle name="Normal 5 3 2 7 2 2 2" xfId="32227" xr:uid="{00000000-0005-0000-0000-0000B7540000}"/>
    <cellStyle name="Normal 5 3 2 7 2 3" xfId="23779" xr:uid="{00000000-0005-0000-0000-0000B8540000}"/>
    <cellStyle name="Normal 5 3 2 7 3" xfId="11063" xr:uid="{00000000-0005-0000-0000-0000B9540000}"/>
    <cellStyle name="Normal 5 3 2 7 3 2" xfId="28003" xr:uid="{00000000-0005-0000-0000-0000BA540000}"/>
    <cellStyle name="Normal 5 3 2 7 4" xfId="19555" xr:uid="{00000000-0005-0000-0000-0000BB540000}"/>
    <cellStyle name="Normal 5 3 2 8" xfId="4726" xr:uid="{00000000-0005-0000-0000-0000BC540000}"/>
    <cellStyle name="Normal 5 3 2 8 2" xfId="13175" xr:uid="{00000000-0005-0000-0000-0000BD540000}"/>
    <cellStyle name="Normal 5 3 2 8 2 2" xfId="30115" xr:uid="{00000000-0005-0000-0000-0000BE540000}"/>
    <cellStyle name="Normal 5 3 2 8 3" xfId="21667" xr:uid="{00000000-0005-0000-0000-0000BF540000}"/>
    <cellStyle name="Normal 5 3 2 9" xfId="8951" xr:uid="{00000000-0005-0000-0000-0000C0540000}"/>
    <cellStyle name="Normal 5 3 2 9 2" xfId="25891" xr:uid="{00000000-0005-0000-0000-0000C1540000}"/>
    <cellStyle name="Normal 5 3 3" xfId="376" xr:uid="{00000000-0005-0000-0000-0000C2540000}"/>
    <cellStyle name="Normal 5 3 3 10" xfId="17444" xr:uid="{00000000-0005-0000-0000-0000C3540000}"/>
    <cellStyle name="Normal 5 3 3 2" xfId="672" xr:uid="{00000000-0005-0000-0000-0000C4540000}"/>
    <cellStyle name="Normal 5 3 3 2 2" xfId="1024" xr:uid="{00000000-0005-0000-0000-0000C5540000}"/>
    <cellStyle name="Normal 5 3 3 2 2 2" xfId="2086" xr:uid="{00000000-0005-0000-0000-0000C6540000}"/>
    <cellStyle name="Normal 5 3 3 2 2 2 2" xfId="4198" xr:uid="{00000000-0005-0000-0000-0000C7540000}"/>
    <cellStyle name="Normal 5 3 3 2 2 2 2 2" xfId="8424" xr:uid="{00000000-0005-0000-0000-0000C8540000}"/>
    <cellStyle name="Normal 5 3 3 2 2 2 2 2 2" xfId="16872" xr:uid="{00000000-0005-0000-0000-0000C9540000}"/>
    <cellStyle name="Normal 5 3 3 2 2 2 2 2 2 2" xfId="33812" xr:uid="{00000000-0005-0000-0000-0000CA540000}"/>
    <cellStyle name="Normal 5 3 3 2 2 2 2 2 3" xfId="25364" xr:uid="{00000000-0005-0000-0000-0000CB540000}"/>
    <cellStyle name="Normal 5 3 3 2 2 2 2 3" xfId="12648" xr:uid="{00000000-0005-0000-0000-0000CC540000}"/>
    <cellStyle name="Normal 5 3 3 2 2 2 2 3 2" xfId="29588" xr:uid="{00000000-0005-0000-0000-0000CD540000}"/>
    <cellStyle name="Normal 5 3 3 2 2 2 2 4" xfId="21140" xr:uid="{00000000-0005-0000-0000-0000CE540000}"/>
    <cellStyle name="Normal 5 3 3 2 2 2 3" xfId="6312" xr:uid="{00000000-0005-0000-0000-0000CF540000}"/>
    <cellStyle name="Normal 5 3 3 2 2 2 3 2" xfId="14760" xr:uid="{00000000-0005-0000-0000-0000D0540000}"/>
    <cellStyle name="Normal 5 3 3 2 2 2 3 2 2" xfId="31700" xr:uid="{00000000-0005-0000-0000-0000D1540000}"/>
    <cellStyle name="Normal 5 3 3 2 2 2 3 3" xfId="23252" xr:uid="{00000000-0005-0000-0000-0000D2540000}"/>
    <cellStyle name="Normal 5 3 3 2 2 2 4" xfId="10536" xr:uid="{00000000-0005-0000-0000-0000D3540000}"/>
    <cellStyle name="Normal 5 3 3 2 2 2 4 2" xfId="27476" xr:uid="{00000000-0005-0000-0000-0000D4540000}"/>
    <cellStyle name="Normal 5 3 3 2 2 2 5" xfId="19028" xr:uid="{00000000-0005-0000-0000-0000D5540000}"/>
    <cellStyle name="Normal 5 3 3 2 2 3" xfId="3142" xr:uid="{00000000-0005-0000-0000-0000D6540000}"/>
    <cellStyle name="Normal 5 3 3 2 2 3 2" xfId="7368" xr:uid="{00000000-0005-0000-0000-0000D7540000}"/>
    <cellStyle name="Normal 5 3 3 2 2 3 2 2" xfId="15816" xr:uid="{00000000-0005-0000-0000-0000D8540000}"/>
    <cellStyle name="Normal 5 3 3 2 2 3 2 2 2" xfId="32756" xr:uid="{00000000-0005-0000-0000-0000D9540000}"/>
    <cellStyle name="Normal 5 3 3 2 2 3 2 3" xfId="24308" xr:uid="{00000000-0005-0000-0000-0000DA540000}"/>
    <cellStyle name="Normal 5 3 3 2 2 3 3" xfId="11592" xr:uid="{00000000-0005-0000-0000-0000DB540000}"/>
    <cellStyle name="Normal 5 3 3 2 2 3 3 2" xfId="28532" xr:uid="{00000000-0005-0000-0000-0000DC540000}"/>
    <cellStyle name="Normal 5 3 3 2 2 3 4" xfId="20084" xr:uid="{00000000-0005-0000-0000-0000DD540000}"/>
    <cellStyle name="Normal 5 3 3 2 2 4" xfId="5256" xr:uid="{00000000-0005-0000-0000-0000DE540000}"/>
    <cellStyle name="Normal 5 3 3 2 2 4 2" xfId="13704" xr:uid="{00000000-0005-0000-0000-0000DF540000}"/>
    <cellStyle name="Normal 5 3 3 2 2 4 2 2" xfId="30644" xr:uid="{00000000-0005-0000-0000-0000E0540000}"/>
    <cellStyle name="Normal 5 3 3 2 2 4 3" xfId="22196" xr:uid="{00000000-0005-0000-0000-0000E1540000}"/>
    <cellStyle name="Normal 5 3 3 2 2 5" xfId="9480" xr:uid="{00000000-0005-0000-0000-0000E2540000}"/>
    <cellStyle name="Normal 5 3 3 2 2 5 2" xfId="26420" xr:uid="{00000000-0005-0000-0000-0000E3540000}"/>
    <cellStyle name="Normal 5 3 3 2 2 6" xfId="17972" xr:uid="{00000000-0005-0000-0000-0000E4540000}"/>
    <cellStyle name="Normal 5 3 3 2 3" xfId="1734" xr:uid="{00000000-0005-0000-0000-0000E5540000}"/>
    <cellStyle name="Normal 5 3 3 2 3 2" xfId="3846" xr:uid="{00000000-0005-0000-0000-0000E6540000}"/>
    <cellStyle name="Normal 5 3 3 2 3 2 2" xfId="8072" xr:uid="{00000000-0005-0000-0000-0000E7540000}"/>
    <cellStyle name="Normal 5 3 3 2 3 2 2 2" xfId="16520" xr:uid="{00000000-0005-0000-0000-0000E8540000}"/>
    <cellStyle name="Normal 5 3 3 2 3 2 2 2 2" xfId="33460" xr:uid="{00000000-0005-0000-0000-0000E9540000}"/>
    <cellStyle name="Normal 5 3 3 2 3 2 2 3" xfId="25012" xr:uid="{00000000-0005-0000-0000-0000EA540000}"/>
    <cellStyle name="Normal 5 3 3 2 3 2 3" xfId="12296" xr:uid="{00000000-0005-0000-0000-0000EB540000}"/>
    <cellStyle name="Normal 5 3 3 2 3 2 3 2" xfId="29236" xr:uid="{00000000-0005-0000-0000-0000EC540000}"/>
    <cellStyle name="Normal 5 3 3 2 3 2 4" xfId="20788" xr:uid="{00000000-0005-0000-0000-0000ED540000}"/>
    <cellStyle name="Normal 5 3 3 2 3 3" xfId="5960" xr:uid="{00000000-0005-0000-0000-0000EE540000}"/>
    <cellStyle name="Normal 5 3 3 2 3 3 2" xfId="14408" xr:uid="{00000000-0005-0000-0000-0000EF540000}"/>
    <cellStyle name="Normal 5 3 3 2 3 3 2 2" xfId="31348" xr:uid="{00000000-0005-0000-0000-0000F0540000}"/>
    <cellStyle name="Normal 5 3 3 2 3 3 3" xfId="22900" xr:uid="{00000000-0005-0000-0000-0000F1540000}"/>
    <cellStyle name="Normal 5 3 3 2 3 4" xfId="10184" xr:uid="{00000000-0005-0000-0000-0000F2540000}"/>
    <cellStyle name="Normal 5 3 3 2 3 4 2" xfId="27124" xr:uid="{00000000-0005-0000-0000-0000F3540000}"/>
    <cellStyle name="Normal 5 3 3 2 3 5" xfId="18676" xr:uid="{00000000-0005-0000-0000-0000F4540000}"/>
    <cellStyle name="Normal 5 3 3 2 4" xfId="2790" xr:uid="{00000000-0005-0000-0000-0000F5540000}"/>
    <cellStyle name="Normal 5 3 3 2 4 2" xfId="7016" xr:uid="{00000000-0005-0000-0000-0000F6540000}"/>
    <cellStyle name="Normal 5 3 3 2 4 2 2" xfId="15464" xr:uid="{00000000-0005-0000-0000-0000F7540000}"/>
    <cellStyle name="Normal 5 3 3 2 4 2 2 2" xfId="32404" xr:uid="{00000000-0005-0000-0000-0000F8540000}"/>
    <cellStyle name="Normal 5 3 3 2 4 2 3" xfId="23956" xr:uid="{00000000-0005-0000-0000-0000F9540000}"/>
    <cellStyle name="Normal 5 3 3 2 4 3" xfId="11240" xr:uid="{00000000-0005-0000-0000-0000FA540000}"/>
    <cellStyle name="Normal 5 3 3 2 4 3 2" xfId="28180" xr:uid="{00000000-0005-0000-0000-0000FB540000}"/>
    <cellStyle name="Normal 5 3 3 2 4 4" xfId="19732" xr:uid="{00000000-0005-0000-0000-0000FC540000}"/>
    <cellStyle name="Normal 5 3 3 2 5" xfId="4904" xr:uid="{00000000-0005-0000-0000-0000FD540000}"/>
    <cellStyle name="Normal 5 3 3 2 5 2" xfId="13352" xr:uid="{00000000-0005-0000-0000-0000FE540000}"/>
    <cellStyle name="Normal 5 3 3 2 5 2 2" xfId="30292" xr:uid="{00000000-0005-0000-0000-0000FF540000}"/>
    <cellStyle name="Normal 5 3 3 2 5 3" xfId="21844" xr:uid="{00000000-0005-0000-0000-000000550000}"/>
    <cellStyle name="Normal 5 3 3 2 6" xfId="9128" xr:uid="{00000000-0005-0000-0000-000001550000}"/>
    <cellStyle name="Normal 5 3 3 2 6 2" xfId="26068" xr:uid="{00000000-0005-0000-0000-000002550000}"/>
    <cellStyle name="Normal 5 3 3 2 7" xfId="17620" xr:uid="{00000000-0005-0000-0000-000003550000}"/>
    <cellStyle name="Normal 5 3 3 3" xfId="848" xr:uid="{00000000-0005-0000-0000-000004550000}"/>
    <cellStyle name="Normal 5 3 3 3 2" xfId="1910" xr:uid="{00000000-0005-0000-0000-000005550000}"/>
    <cellStyle name="Normal 5 3 3 3 2 2" xfId="4022" xr:uid="{00000000-0005-0000-0000-000006550000}"/>
    <cellStyle name="Normal 5 3 3 3 2 2 2" xfId="8248" xr:uid="{00000000-0005-0000-0000-000007550000}"/>
    <cellStyle name="Normal 5 3 3 3 2 2 2 2" xfId="16696" xr:uid="{00000000-0005-0000-0000-000008550000}"/>
    <cellStyle name="Normal 5 3 3 3 2 2 2 2 2" xfId="33636" xr:uid="{00000000-0005-0000-0000-000009550000}"/>
    <cellStyle name="Normal 5 3 3 3 2 2 2 3" xfId="25188" xr:uid="{00000000-0005-0000-0000-00000A550000}"/>
    <cellStyle name="Normal 5 3 3 3 2 2 3" xfId="12472" xr:uid="{00000000-0005-0000-0000-00000B550000}"/>
    <cellStyle name="Normal 5 3 3 3 2 2 3 2" xfId="29412" xr:uid="{00000000-0005-0000-0000-00000C550000}"/>
    <cellStyle name="Normal 5 3 3 3 2 2 4" xfId="20964" xr:uid="{00000000-0005-0000-0000-00000D550000}"/>
    <cellStyle name="Normal 5 3 3 3 2 3" xfId="6136" xr:uid="{00000000-0005-0000-0000-00000E550000}"/>
    <cellStyle name="Normal 5 3 3 3 2 3 2" xfId="14584" xr:uid="{00000000-0005-0000-0000-00000F550000}"/>
    <cellStyle name="Normal 5 3 3 3 2 3 2 2" xfId="31524" xr:uid="{00000000-0005-0000-0000-000010550000}"/>
    <cellStyle name="Normal 5 3 3 3 2 3 3" xfId="23076" xr:uid="{00000000-0005-0000-0000-000011550000}"/>
    <cellStyle name="Normal 5 3 3 3 2 4" xfId="10360" xr:uid="{00000000-0005-0000-0000-000012550000}"/>
    <cellStyle name="Normal 5 3 3 3 2 4 2" xfId="27300" xr:uid="{00000000-0005-0000-0000-000013550000}"/>
    <cellStyle name="Normal 5 3 3 3 2 5" xfId="18852" xr:uid="{00000000-0005-0000-0000-000014550000}"/>
    <cellStyle name="Normal 5 3 3 3 3" xfId="2966" xr:uid="{00000000-0005-0000-0000-000015550000}"/>
    <cellStyle name="Normal 5 3 3 3 3 2" xfId="7192" xr:uid="{00000000-0005-0000-0000-000016550000}"/>
    <cellStyle name="Normal 5 3 3 3 3 2 2" xfId="15640" xr:uid="{00000000-0005-0000-0000-000017550000}"/>
    <cellStyle name="Normal 5 3 3 3 3 2 2 2" xfId="32580" xr:uid="{00000000-0005-0000-0000-000018550000}"/>
    <cellStyle name="Normal 5 3 3 3 3 2 3" xfId="24132" xr:uid="{00000000-0005-0000-0000-000019550000}"/>
    <cellStyle name="Normal 5 3 3 3 3 3" xfId="11416" xr:uid="{00000000-0005-0000-0000-00001A550000}"/>
    <cellStyle name="Normal 5 3 3 3 3 3 2" xfId="28356" xr:uid="{00000000-0005-0000-0000-00001B550000}"/>
    <cellStyle name="Normal 5 3 3 3 3 4" xfId="19908" xr:uid="{00000000-0005-0000-0000-00001C550000}"/>
    <cellStyle name="Normal 5 3 3 3 4" xfId="5080" xr:uid="{00000000-0005-0000-0000-00001D550000}"/>
    <cellStyle name="Normal 5 3 3 3 4 2" xfId="13528" xr:uid="{00000000-0005-0000-0000-00001E550000}"/>
    <cellStyle name="Normal 5 3 3 3 4 2 2" xfId="30468" xr:uid="{00000000-0005-0000-0000-00001F550000}"/>
    <cellStyle name="Normal 5 3 3 3 4 3" xfId="22020" xr:uid="{00000000-0005-0000-0000-000020550000}"/>
    <cellStyle name="Normal 5 3 3 3 5" xfId="9304" xr:uid="{00000000-0005-0000-0000-000021550000}"/>
    <cellStyle name="Normal 5 3 3 3 5 2" xfId="26244" xr:uid="{00000000-0005-0000-0000-000022550000}"/>
    <cellStyle name="Normal 5 3 3 3 6" xfId="17796" xr:uid="{00000000-0005-0000-0000-000023550000}"/>
    <cellStyle name="Normal 5 3 3 4" xfId="1200" xr:uid="{00000000-0005-0000-0000-000024550000}"/>
    <cellStyle name="Normal 5 3 3 4 2" xfId="2262" xr:uid="{00000000-0005-0000-0000-000025550000}"/>
    <cellStyle name="Normal 5 3 3 4 2 2" xfId="4374" xr:uid="{00000000-0005-0000-0000-000026550000}"/>
    <cellStyle name="Normal 5 3 3 4 2 2 2" xfId="8600" xr:uid="{00000000-0005-0000-0000-000027550000}"/>
    <cellStyle name="Normal 5 3 3 4 2 2 2 2" xfId="17048" xr:uid="{00000000-0005-0000-0000-000028550000}"/>
    <cellStyle name="Normal 5 3 3 4 2 2 2 2 2" xfId="33988" xr:uid="{00000000-0005-0000-0000-000029550000}"/>
    <cellStyle name="Normal 5 3 3 4 2 2 2 3" xfId="25540" xr:uid="{00000000-0005-0000-0000-00002A550000}"/>
    <cellStyle name="Normal 5 3 3 4 2 2 3" xfId="12824" xr:uid="{00000000-0005-0000-0000-00002B550000}"/>
    <cellStyle name="Normal 5 3 3 4 2 2 3 2" xfId="29764" xr:uid="{00000000-0005-0000-0000-00002C550000}"/>
    <cellStyle name="Normal 5 3 3 4 2 2 4" xfId="21316" xr:uid="{00000000-0005-0000-0000-00002D550000}"/>
    <cellStyle name="Normal 5 3 3 4 2 3" xfId="6488" xr:uid="{00000000-0005-0000-0000-00002E550000}"/>
    <cellStyle name="Normal 5 3 3 4 2 3 2" xfId="14936" xr:uid="{00000000-0005-0000-0000-00002F550000}"/>
    <cellStyle name="Normal 5 3 3 4 2 3 2 2" xfId="31876" xr:uid="{00000000-0005-0000-0000-000030550000}"/>
    <cellStyle name="Normal 5 3 3 4 2 3 3" xfId="23428" xr:uid="{00000000-0005-0000-0000-000031550000}"/>
    <cellStyle name="Normal 5 3 3 4 2 4" xfId="10712" xr:uid="{00000000-0005-0000-0000-000032550000}"/>
    <cellStyle name="Normal 5 3 3 4 2 4 2" xfId="27652" xr:uid="{00000000-0005-0000-0000-000033550000}"/>
    <cellStyle name="Normal 5 3 3 4 2 5" xfId="19204" xr:uid="{00000000-0005-0000-0000-000034550000}"/>
    <cellStyle name="Normal 5 3 3 4 3" xfId="3318" xr:uid="{00000000-0005-0000-0000-000035550000}"/>
    <cellStyle name="Normal 5 3 3 4 3 2" xfId="7544" xr:uid="{00000000-0005-0000-0000-000036550000}"/>
    <cellStyle name="Normal 5 3 3 4 3 2 2" xfId="15992" xr:uid="{00000000-0005-0000-0000-000037550000}"/>
    <cellStyle name="Normal 5 3 3 4 3 2 2 2" xfId="32932" xr:uid="{00000000-0005-0000-0000-000038550000}"/>
    <cellStyle name="Normal 5 3 3 4 3 2 3" xfId="24484" xr:uid="{00000000-0005-0000-0000-000039550000}"/>
    <cellStyle name="Normal 5 3 3 4 3 3" xfId="11768" xr:uid="{00000000-0005-0000-0000-00003A550000}"/>
    <cellStyle name="Normal 5 3 3 4 3 3 2" xfId="28708" xr:uid="{00000000-0005-0000-0000-00003B550000}"/>
    <cellStyle name="Normal 5 3 3 4 3 4" xfId="20260" xr:uid="{00000000-0005-0000-0000-00003C550000}"/>
    <cellStyle name="Normal 5 3 3 4 4" xfId="5432" xr:uid="{00000000-0005-0000-0000-00003D550000}"/>
    <cellStyle name="Normal 5 3 3 4 4 2" xfId="13880" xr:uid="{00000000-0005-0000-0000-00003E550000}"/>
    <cellStyle name="Normal 5 3 3 4 4 2 2" xfId="30820" xr:uid="{00000000-0005-0000-0000-00003F550000}"/>
    <cellStyle name="Normal 5 3 3 4 4 3" xfId="22372" xr:uid="{00000000-0005-0000-0000-000040550000}"/>
    <cellStyle name="Normal 5 3 3 4 5" xfId="9656" xr:uid="{00000000-0005-0000-0000-000041550000}"/>
    <cellStyle name="Normal 5 3 3 4 5 2" xfId="26596" xr:uid="{00000000-0005-0000-0000-000042550000}"/>
    <cellStyle name="Normal 5 3 3 4 6" xfId="18148" xr:uid="{00000000-0005-0000-0000-000043550000}"/>
    <cellStyle name="Normal 5 3 3 5" xfId="1382" xr:uid="{00000000-0005-0000-0000-000044550000}"/>
    <cellStyle name="Normal 5 3 3 5 2" xfId="2438" xr:uid="{00000000-0005-0000-0000-000045550000}"/>
    <cellStyle name="Normal 5 3 3 5 2 2" xfId="4550" xr:uid="{00000000-0005-0000-0000-000046550000}"/>
    <cellStyle name="Normal 5 3 3 5 2 2 2" xfId="8776" xr:uid="{00000000-0005-0000-0000-000047550000}"/>
    <cellStyle name="Normal 5 3 3 5 2 2 2 2" xfId="17224" xr:uid="{00000000-0005-0000-0000-000048550000}"/>
    <cellStyle name="Normal 5 3 3 5 2 2 2 2 2" xfId="34164" xr:uid="{00000000-0005-0000-0000-000049550000}"/>
    <cellStyle name="Normal 5 3 3 5 2 2 2 3" xfId="25716" xr:uid="{00000000-0005-0000-0000-00004A550000}"/>
    <cellStyle name="Normal 5 3 3 5 2 2 3" xfId="13000" xr:uid="{00000000-0005-0000-0000-00004B550000}"/>
    <cellStyle name="Normal 5 3 3 5 2 2 3 2" xfId="29940" xr:uid="{00000000-0005-0000-0000-00004C550000}"/>
    <cellStyle name="Normal 5 3 3 5 2 2 4" xfId="21492" xr:uid="{00000000-0005-0000-0000-00004D550000}"/>
    <cellStyle name="Normal 5 3 3 5 2 3" xfId="6664" xr:uid="{00000000-0005-0000-0000-00004E550000}"/>
    <cellStyle name="Normal 5 3 3 5 2 3 2" xfId="15112" xr:uid="{00000000-0005-0000-0000-00004F550000}"/>
    <cellStyle name="Normal 5 3 3 5 2 3 2 2" xfId="32052" xr:uid="{00000000-0005-0000-0000-000050550000}"/>
    <cellStyle name="Normal 5 3 3 5 2 3 3" xfId="23604" xr:uid="{00000000-0005-0000-0000-000051550000}"/>
    <cellStyle name="Normal 5 3 3 5 2 4" xfId="10888" xr:uid="{00000000-0005-0000-0000-000052550000}"/>
    <cellStyle name="Normal 5 3 3 5 2 4 2" xfId="27828" xr:uid="{00000000-0005-0000-0000-000053550000}"/>
    <cellStyle name="Normal 5 3 3 5 2 5" xfId="19380" xr:uid="{00000000-0005-0000-0000-000054550000}"/>
    <cellStyle name="Normal 5 3 3 5 3" xfId="3494" xr:uid="{00000000-0005-0000-0000-000055550000}"/>
    <cellStyle name="Normal 5 3 3 5 3 2" xfId="7720" xr:uid="{00000000-0005-0000-0000-000056550000}"/>
    <cellStyle name="Normal 5 3 3 5 3 2 2" xfId="16168" xr:uid="{00000000-0005-0000-0000-000057550000}"/>
    <cellStyle name="Normal 5 3 3 5 3 2 2 2" xfId="33108" xr:uid="{00000000-0005-0000-0000-000058550000}"/>
    <cellStyle name="Normal 5 3 3 5 3 2 3" xfId="24660" xr:uid="{00000000-0005-0000-0000-000059550000}"/>
    <cellStyle name="Normal 5 3 3 5 3 3" xfId="11944" xr:uid="{00000000-0005-0000-0000-00005A550000}"/>
    <cellStyle name="Normal 5 3 3 5 3 3 2" xfId="28884" xr:uid="{00000000-0005-0000-0000-00005B550000}"/>
    <cellStyle name="Normal 5 3 3 5 3 4" xfId="20436" xr:uid="{00000000-0005-0000-0000-00005C550000}"/>
    <cellStyle name="Normal 5 3 3 5 4" xfId="5608" xr:uid="{00000000-0005-0000-0000-00005D550000}"/>
    <cellStyle name="Normal 5 3 3 5 4 2" xfId="14056" xr:uid="{00000000-0005-0000-0000-00005E550000}"/>
    <cellStyle name="Normal 5 3 3 5 4 2 2" xfId="30996" xr:uid="{00000000-0005-0000-0000-00005F550000}"/>
    <cellStyle name="Normal 5 3 3 5 4 3" xfId="22548" xr:uid="{00000000-0005-0000-0000-000060550000}"/>
    <cellStyle name="Normal 5 3 3 5 5" xfId="9832" xr:uid="{00000000-0005-0000-0000-000061550000}"/>
    <cellStyle name="Normal 5 3 3 5 5 2" xfId="26772" xr:uid="{00000000-0005-0000-0000-000062550000}"/>
    <cellStyle name="Normal 5 3 3 5 6" xfId="18324" xr:uid="{00000000-0005-0000-0000-000063550000}"/>
    <cellStyle name="Normal 5 3 3 6" xfId="1558" xr:uid="{00000000-0005-0000-0000-000064550000}"/>
    <cellStyle name="Normal 5 3 3 6 2" xfId="3670" xr:uid="{00000000-0005-0000-0000-000065550000}"/>
    <cellStyle name="Normal 5 3 3 6 2 2" xfId="7896" xr:uid="{00000000-0005-0000-0000-000066550000}"/>
    <cellStyle name="Normal 5 3 3 6 2 2 2" xfId="16344" xr:uid="{00000000-0005-0000-0000-000067550000}"/>
    <cellStyle name="Normal 5 3 3 6 2 2 2 2" xfId="33284" xr:uid="{00000000-0005-0000-0000-000068550000}"/>
    <cellStyle name="Normal 5 3 3 6 2 2 3" xfId="24836" xr:uid="{00000000-0005-0000-0000-000069550000}"/>
    <cellStyle name="Normal 5 3 3 6 2 3" xfId="12120" xr:uid="{00000000-0005-0000-0000-00006A550000}"/>
    <cellStyle name="Normal 5 3 3 6 2 3 2" xfId="29060" xr:uid="{00000000-0005-0000-0000-00006B550000}"/>
    <cellStyle name="Normal 5 3 3 6 2 4" xfId="20612" xr:uid="{00000000-0005-0000-0000-00006C550000}"/>
    <cellStyle name="Normal 5 3 3 6 3" xfId="5784" xr:uid="{00000000-0005-0000-0000-00006D550000}"/>
    <cellStyle name="Normal 5 3 3 6 3 2" xfId="14232" xr:uid="{00000000-0005-0000-0000-00006E550000}"/>
    <cellStyle name="Normal 5 3 3 6 3 2 2" xfId="31172" xr:uid="{00000000-0005-0000-0000-00006F550000}"/>
    <cellStyle name="Normal 5 3 3 6 3 3" xfId="22724" xr:uid="{00000000-0005-0000-0000-000070550000}"/>
    <cellStyle name="Normal 5 3 3 6 4" xfId="10008" xr:uid="{00000000-0005-0000-0000-000071550000}"/>
    <cellStyle name="Normal 5 3 3 6 4 2" xfId="26948" xr:uid="{00000000-0005-0000-0000-000072550000}"/>
    <cellStyle name="Normal 5 3 3 6 5" xfId="18500" xr:uid="{00000000-0005-0000-0000-000073550000}"/>
    <cellStyle name="Normal 5 3 3 7" xfId="2614" xr:uid="{00000000-0005-0000-0000-000074550000}"/>
    <cellStyle name="Normal 5 3 3 7 2" xfId="6840" xr:uid="{00000000-0005-0000-0000-000075550000}"/>
    <cellStyle name="Normal 5 3 3 7 2 2" xfId="15288" xr:uid="{00000000-0005-0000-0000-000076550000}"/>
    <cellStyle name="Normal 5 3 3 7 2 2 2" xfId="32228" xr:uid="{00000000-0005-0000-0000-000077550000}"/>
    <cellStyle name="Normal 5 3 3 7 2 3" xfId="23780" xr:uid="{00000000-0005-0000-0000-000078550000}"/>
    <cellStyle name="Normal 5 3 3 7 3" xfId="11064" xr:uid="{00000000-0005-0000-0000-000079550000}"/>
    <cellStyle name="Normal 5 3 3 7 3 2" xfId="28004" xr:uid="{00000000-0005-0000-0000-00007A550000}"/>
    <cellStyle name="Normal 5 3 3 7 4" xfId="19556" xr:uid="{00000000-0005-0000-0000-00007B550000}"/>
    <cellStyle name="Normal 5 3 3 8" xfId="4727" xr:uid="{00000000-0005-0000-0000-00007C550000}"/>
    <cellStyle name="Normal 5 3 3 8 2" xfId="13176" xr:uid="{00000000-0005-0000-0000-00007D550000}"/>
    <cellStyle name="Normal 5 3 3 8 2 2" xfId="30116" xr:uid="{00000000-0005-0000-0000-00007E550000}"/>
    <cellStyle name="Normal 5 3 3 8 3" xfId="21668" xr:uid="{00000000-0005-0000-0000-00007F550000}"/>
    <cellStyle name="Normal 5 3 3 9" xfId="8952" xr:uid="{00000000-0005-0000-0000-000080550000}"/>
    <cellStyle name="Normal 5 3 3 9 2" xfId="25892" xr:uid="{00000000-0005-0000-0000-000081550000}"/>
    <cellStyle name="Normal 5 3 4" xfId="670" xr:uid="{00000000-0005-0000-0000-000082550000}"/>
    <cellStyle name="Normal 5 3 4 2" xfId="1022" xr:uid="{00000000-0005-0000-0000-000083550000}"/>
    <cellStyle name="Normal 5 3 4 2 2" xfId="2084" xr:uid="{00000000-0005-0000-0000-000084550000}"/>
    <cellStyle name="Normal 5 3 4 2 2 2" xfId="4196" xr:uid="{00000000-0005-0000-0000-000085550000}"/>
    <cellStyle name="Normal 5 3 4 2 2 2 2" xfId="8422" xr:uid="{00000000-0005-0000-0000-000086550000}"/>
    <cellStyle name="Normal 5 3 4 2 2 2 2 2" xfId="16870" xr:uid="{00000000-0005-0000-0000-000087550000}"/>
    <cellStyle name="Normal 5 3 4 2 2 2 2 2 2" xfId="33810" xr:uid="{00000000-0005-0000-0000-000088550000}"/>
    <cellStyle name="Normal 5 3 4 2 2 2 2 3" xfId="25362" xr:uid="{00000000-0005-0000-0000-000089550000}"/>
    <cellStyle name="Normal 5 3 4 2 2 2 3" xfId="12646" xr:uid="{00000000-0005-0000-0000-00008A550000}"/>
    <cellStyle name="Normal 5 3 4 2 2 2 3 2" xfId="29586" xr:uid="{00000000-0005-0000-0000-00008B550000}"/>
    <cellStyle name="Normal 5 3 4 2 2 2 4" xfId="21138" xr:uid="{00000000-0005-0000-0000-00008C550000}"/>
    <cellStyle name="Normal 5 3 4 2 2 3" xfId="6310" xr:uid="{00000000-0005-0000-0000-00008D550000}"/>
    <cellStyle name="Normal 5 3 4 2 2 3 2" xfId="14758" xr:uid="{00000000-0005-0000-0000-00008E550000}"/>
    <cellStyle name="Normal 5 3 4 2 2 3 2 2" xfId="31698" xr:uid="{00000000-0005-0000-0000-00008F550000}"/>
    <cellStyle name="Normal 5 3 4 2 2 3 3" xfId="23250" xr:uid="{00000000-0005-0000-0000-000090550000}"/>
    <cellStyle name="Normal 5 3 4 2 2 4" xfId="10534" xr:uid="{00000000-0005-0000-0000-000091550000}"/>
    <cellStyle name="Normal 5 3 4 2 2 4 2" xfId="27474" xr:uid="{00000000-0005-0000-0000-000092550000}"/>
    <cellStyle name="Normal 5 3 4 2 2 5" xfId="19026" xr:uid="{00000000-0005-0000-0000-000093550000}"/>
    <cellStyle name="Normal 5 3 4 2 3" xfId="3140" xr:uid="{00000000-0005-0000-0000-000094550000}"/>
    <cellStyle name="Normal 5 3 4 2 3 2" xfId="7366" xr:uid="{00000000-0005-0000-0000-000095550000}"/>
    <cellStyle name="Normal 5 3 4 2 3 2 2" xfId="15814" xr:uid="{00000000-0005-0000-0000-000096550000}"/>
    <cellStyle name="Normal 5 3 4 2 3 2 2 2" xfId="32754" xr:uid="{00000000-0005-0000-0000-000097550000}"/>
    <cellStyle name="Normal 5 3 4 2 3 2 3" xfId="24306" xr:uid="{00000000-0005-0000-0000-000098550000}"/>
    <cellStyle name="Normal 5 3 4 2 3 3" xfId="11590" xr:uid="{00000000-0005-0000-0000-000099550000}"/>
    <cellStyle name="Normal 5 3 4 2 3 3 2" xfId="28530" xr:uid="{00000000-0005-0000-0000-00009A550000}"/>
    <cellStyle name="Normal 5 3 4 2 3 4" xfId="20082" xr:uid="{00000000-0005-0000-0000-00009B550000}"/>
    <cellStyle name="Normal 5 3 4 2 4" xfId="5254" xr:uid="{00000000-0005-0000-0000-00009C550000}"/>
    <cellStyle name="Normal 5 3 4 2 4 2" xfId="13702" xr:uid="{00000000-0005-0000-0000-00009D550000}"/>
    <cellStyle name="Normal 5 3 4 2 4 2 2" xfId="30642" xr:uid="{00000000-0005-0000-0000-00009E550000}"/>
    <cellStyle name="Normal 5 3 4 2 4 3" xfId="22194" xr:uid="{00000000-0005-0000-0000-00009F550000}"/>
    <cellStyle name="Normal 5 3 4 2 5" xfId="9478" xr:uid="{00000000-0005-0000-0000-0000A0550000}"/>
    <cellStyle name="Normal 5 3 4 2 5 2" xfId="26418" xr:uid="{00000000-0005-0000-0000-0000A1550000}"/>
    <cellStyle name="Normal 5 3 4 2 6" xfId="17970" xr:uid="{00000000-0005-0000-0000-0000A2550000}"/>
    <cellStyle name="Normal 5 3 4 3" xfId="1732" xr:uid="{00000000-0005-0000-0000-0000A3550000}"/>
    <cellStyle name="Normal 5 3 4 3 2" xfId="3844" xr:uid="{00000000-0005-0000-0000-0000A4550000}"/>
    <cellStyle name="Normal 5 3 4 3 2 2" xfId="8070" xr:uid="{00000000-0005-0000-0000-0000A5550000}"/>
    <cellStyle name="Normal 5 3 4 3 2 2 2" xfId="16518" xr:uid="{00000000-0005-0000-0000-0000A6550000}"/>
    <cellStyle name="Normal 5 3 4 3 2 2 2 2" xfId="33458" xr:uid="{00000000-0005-0000-0000-0000A7550000}"/>
    <cellStyle name="Normal 5 3 4 3 2 2 3" xfId="25010" xr:uid="{00000000-0005-0000-0000-0000A8550000}"/>
    <cellStyle name="Normal 5 3 4 3 2 3" xfId="12294" xr:uid="{00000000-0005-0000-0000-0000A9550000}"/>
    <cellStyle name="Normal 5 3 4 3 2 3 2" xfId="29234" xr:uid="{00000000-0005-0000-0000-0000AA550000}"/>
    <cellStyle name="Normal 5 3 4 3 2 4" xfId="20786" xr:uid="{00000000-0005-0000-0000-0000AB550000}"/>
    <cellStyle name="Normal 5 3 4 3 3" xfId="5958" xr:uid="{00000000-0005-0000-0000-0000AC550000}"/>
    <cellStyle name="Normal 5 3 4 3 3 2" xfId="14406" xr:uid="{00000000-0005-0000-0000-0000AD550000}"/>
    <cellStyle name="Normal 5 3 4 3 3 2 2" xfId="31346" xr:uid="{00000000-0005-0000-0000-0000AE550000}"/>
    <cellStyle name="Normal 5 3 4 3 3 3" xfId="22898" xr:uid="{00000000-0005-0000-0000-0000AF550000}"/>
    <cellStyle name="Normal 5 3 4 3 4" xfId="10182" xr:uid="{00000000-0005-0000-0000-0000B0550000}"/>
    <cellStyle name="Normal 5 3 4 3 4 2" xfId="27122" xr:uid="{00000000-0005-0000-0000-0000B1550000}"/>
    <cellStyle name="Normal 5 3 4 3 5" xfId="18674" xr:uid="{00000000-0005-0000-0000-0000B2550000}"/>
    <cellStyle name="Normal 5 3 4 4" xfId="2788" xr:uid="{00000000-0005-0000-0000-0000B3550000}"/>
    <cellStyle name="Normal 5 3 4 4 2" xfId="7014" xr:uid="{00000000-0005-0000-0000-0000B4550000}"/>
    <cellStyle name="Normal 5 3 4 4 2 2" xfId="15462" xr:uid="{00000000-0005-0000-0000-0000B5550000}"/>
    <cellStyle name="Normal 5 3 4 4 2 2 2" xfId="32402" xr:uid="{00000000-0005-0000-0000-0000B6550000}"/>
    <cellStyle name="Normal 5 3 4 4 2 3" xfId="23954" xr:uid="{00000000-0005-0000-0000-0000B7550000}"/>
    <cellStyle name="Normal 5 3 4 4 3" xfId="11238" xr:uid="{00000000-0005-0000-0000-0000B8550000}"/>
    <cellStyle name="Normal 5 3 4 4 3 2" xfId="28178" xr:uid="{00000000-0005-0000-0000-0000B9550000}"/>
    <cellStyle name="Normal 5 3 4 4 4" xfId="19730" xr:uid="{00000000-0005-0000-0000-0000BA550000}"/>
    <cellStyle name="Normal 5 3 4 5" xfId="4902" xr:uid="{00000000-0005-0000-0000-0000BB550000}"/>
    <cellStyle name="Normal 5 3 4 5 2" xfId="13350" xr:uid="{00000000-0005-0000-0000-0000BC550000}"/>
    <cellStyle name="Normal 5 3 4 5 2 2" xfId="30290" xr:uid="{00000000-0005-0000-0000-0000BD550000}"/>
    <cellStyle name="Normal 5 3 4 5 3" xfId="21842" xr:uid="{00000000-0005-0000-0000-0000BE550000}"/>
    <cellStyle name="Normal 5 3 4 6" xfId="9126" xr:uid="{00000000-0005-0000-0000-0000BF550000}"/>
    <cellStyle name="Normal 5 3 4 6 2" xfId="26066" xr:uid="{00000000-0005-0000-0000-0000C0550000}"/>
    <cellStyle name="Normal 5 3 4 7" xfId="17618" xr:uid="{00000000-0005-0000-0000-0000C1550000}"/>
    <cellStyle name="Normal 5 3 5" xfId="846" xr:uid="{00000000-0005-0000-0000-0000C2550000}"/>
    <cellStyle name="Normal 5 3 5 2" xfId="1908" xr:uid="{00000000-0005-0000-0000-0000C3550000}"/>
    <cellStyle name="Normal 5 3 5 2 2" xfId="4020" xr:uid="{00000000-0005-0000-0000-0000C4550000}"/>
    <cellStyle name="Normal 5 3 5 2 2 2" xfId="8246" xr:uid="{00000000-0005-0000-0000-0000C5550000}"/>
    <cellStyle name="Normal 5 3 5 2 2 2 2" xfId="16694" xr:uid="{00000000-0005-0000-0000-0000C6550000}"/>
    <cellStyle name="Normal 5 3 5 2 2 2 2 2" xfId="33634" xr:uid="{00000000-0005-0000-0000-0000C7550000}"/>
    <cellStyle name="Normal 5 3 5 2 2 2 3" xfId="25186" xr:uid="{00000000-0005-0000-0000-0000C8550000}"/>
    <cellStyle name="Normal 5 3 5 2 2 3" xfId="12470" xr:uid="{00000000-0005-0000-0000-0000C9550000}"/>
    <cellStyle name="Normal 5 3 5 2 2 3 2" xfId="29410" xr:uid="{00000000-0005-0000-0000-0000CA550000}"/>
    <cellStyle name="Normal 5 3 5 2 2 4" xfId="20962" xr:uid="{00000000-0005-0000-0000-0000CB550000}"/>
    <cellStyle name="Normal 5 3 5 2 3" xfId="6134" xr:uid="{00000000-0005-0000-0000-0000CC550000}"/>
    <cellStyle name="Normal 5 3 5 2 3 2" xfId="14582" xr:uid="{00000000-0005-0000-0000-0000CD550000}"/>
    <cellStyle name="Normal 5 3 5 2 3 2 2" xfId="31522" xr:uid="{00000000-0005-0000-0000-0000CE550000}"/>
    <cellStyle name="Normal 5 3 5 2 3 3" xfId="23074" xr:uid="{00000000-0005-0000-0000-0000CF550000}"/>
    <cellStyle name="Normal 5 3 5 2 4" xfId="10358" xr:uid="{00000000-0005-0000-0000-0000D0550000}"/>
    <cellStyle name="Normal 5 3 5 2 4 2" xfId="27298" xr:uid="{00000000-0005-0000-0000-0000D1550000}"/>
    <cellStyle name="Normal 5 3 5 2 5" xfId="18850" xr:uid="{00000000-0005-0000-0000-0000D2550000}"/>
    <cellStyle name="Normal 5 3 5 3" xfId="2964" xr:uid="{00000000-0005-0000-0000-0000D3550000}"/>
    <cellStyle name="Normal 5 3 5 3 2" xfId="7190" xr:uid="{00000000-0005-0000-0000-0000D4550000}"/>
    <cellStyle name="Normal 5 3 5 3 2 2" xfId="15638" xr:uid="{00000000-0005-0000-0000-0000D5550000}"/>
    <cellStyle name="Normal 5 3 5 3 2 2 2" xfId="32578" xr:uid="{00000000-0005-0000-0000-0000D6550000}"/>
    <cellStyle name="Normal 5 3 5 3 2 3" xfId="24130" xr:uid="{00000000-0005-0000-0000-0000D7550000}"/>
    <cellStyle name="Normal 5 3 5 3 3" xfId="11414" xr:uid="{00000000-0005-0000-0000-0000D8550000}"/>
    <cellStyle name="Normal 5 3 5 3 3 2" xfId="28354" xr:uid="{00000000-0005-0000-0000-0000D9550000}"/>
    <cellStyle name="Normal 5 3 5 3 4" xfId="19906" xr:uid="{00000000-0005-0000-0000-0000DA550000}"/>
    <cellStyle name="Normal 5 3 5 4" xfId="5078" xr:uid="{00000000-0005-0000-0000-0000DB550000}"/>
    <cellStyle name="Normal 5 3 5 4 2" xfId="13526" xr:uid="{00000000-0005-0000-0000-0000DC550000}"/>
    <cellStyle name="Normal 5 3 5 4 2 2" xfId="30466" xr:uid="{00000000-0005-0000-0000-0000DD550000}"/>
    <cellStyle name="Normal 5 3 5 4 3" xfId="22018" xr:uid="{00000000-0005-0000-0000-0000DE550000}"/>
    <cellStyle name="Normal 5 3 5 5" xfId="9302" xr:uid="{00000000-0005-0000-0000-0000DF550000}"/>
    <cellStyle name="Normal 5 3 5 5 2" xfId="26242" xr:uid="{00000000-0005-0000-0000-0000E0550000}"/>
    <cellStyle name="Normal 5 3 5 6" xfId="17794" xr:uid="{00000000-0005-0000-0000-0000E1550000}"/>
    <cellStyle name="Normal 5 3 6" xfId="1198" xr:uid="{00000000-0005-0000-0000-0000E2550000}"/>
    <cellStyle name="Normal 5 3 6 2" xfId="2260" xr:uid="{00000000-0005-0000-0000-0000E3550000}"/>
    <cellStyle name="Normal 5 3 6 2 2" xfId="4372" xr:uid="{00000000-0005-0000-0000-0000E4550000}"/>
    <cellStyle name="Normal 5 3 6 2 2 2" xfId="8598" xr:uid="{00000000-0005-0000-0000-0000E5550000}"/>
    <cellStyle name="Normal 5 3 6 2 2 2 2" xfId="17046" xr:uid="{00000000-0005-0000-0000-0000E6550000}"/>
    <cellStyle name="Normal 5 3 6 2 2 2 2 2" xfId="33986" xr:uid="{00000000-0005-0000-0000-0000E7550000}"/>
    <cellStyle name="Normal 5 3 6 2 2 2 3" xfId="25538" xr:uid="{00000000-0005-0000-0000-0000E8550000}"/>
    <cellStyle name="Normal 5 3 6 2 2 3" xfId="12822" xr:uid="{00000000-0005-0000-0000-0000E9550000}"/>
    <cellStyle name="Normal 5 3 6 2 2 3 2" xfId="29762" xr:uid="{00000000-0005-0000-0000-0000EA550000}"/>
    <cellStyle name="Normal 5 3 6 2 2 4" xfId="21314" xr:uid="{00000000-0005-0000-0000-0000EB550000}"/>
    <cellStyle name="Normal 5 3 6 2 3" xfId="6486" xr:uid="{00000000-0005-0000-0000-0000EC550000}"/>
    <cellStyle name="Normal 5 3 6 2 3 2" xfId="14934" xr:uid="{00000000-0005-0000-0000-0000ED550000}"/>
    <cellStyle name="Normal 5 3 6 2 3 2 2" xfId="31874" xr:uid="{00000000-0005-0000-0000-0000EE550000}"/>
    <cellStyle name="Normal 5 3 6 2 3 3" xfId="23426" xr:uid="{00000000-0005-0000-0000-0000EF550000}"/>
    <cellStyle name="Normal 5 3 6 2 4" xfId="10710" xr:uid="{00000000-0005-0000-0000-0000F0550000}"/>
    <cellStyle name="Normal 5 3 6 2 4 2" xfId="27650" xr:uid="{00000000-0005-0000-0000-0000F1550000}"/>
    <cellStyle name="Normal 5 3 6 2 5" xfId="19202" xr:uid="{00000000-0005-0000-0000-0000F2550000}"/>
    <cellStyle name="Normal 5 3 6 3" xfId="3316" xr:uid="{00000000-0005-0000-0000-0000F3550000}"/>
    <cellStyle name="Normal 5 3 6 3 2" xfId="7542" xr:uid="{00000000-0005-0000-0000-0000F4550000}"/>
    <cellStyle name="Normal 5 3 6 3 2 2" xfId="15990" xr:uid="{00000000-0005-0000-0000-0000F5550000}"/>
    <cellStyle name="Normal 5 3 6 3 2 2 2" xfId="32930" xr:uid="{00000000-0005-0000-0000-0000F6550000}"/>
    <cellStyle name="Normal 5 3 6 3 2 3" xfId="24482" xr:uid="{00000000-0005-0000-0000-0000F7550000}"/>
    <cellStyle name="Normal 5 3 6 3 3" xfId="11766" xr:uid="{00000000-0005-0000-0000-0000F8550000}"/>
    <cellStyle name="Normal 5 3 6 3 3 2" xfId="28706" xr:uid="{00000000-0005-0000-0000-0000F9550000}"/>
    <cellStyle name="Normal 5 3 6 3 4" xfId="20258" xr:uid="{00000000-0005-0000-0000-0000FA550000}"/>
    <cellStyle name="Normal 5 3 6 4" xfId="5430" xr:uid="{00000000-0005-0000-0000-0000FB550000}"/>
    <cellStyle name="Normal 5 3 6 4 2" xfId="13878" xr:uid="{00000000-0005-0000-0000-0000FC550000}"/>
    <cellStyle name="Normal 5 3 6 4 2 2" xfId="30818" xr:uid="{00000000-0005-0000-0000-0000FD550000}"/>
    <cellStyle name="Normal 5 3 6 4 3" xfId="22370" xr:uid="{00000000-0005-0000-0000-0000FE550000}"/>
    <cellStyle name="Normal 5 3 6 5" xfId="9654" xr:uid="{00000000-0005-0000-0000-0000FF550000}"/>
    <cellStyle name="Normal 5 3 6 5 2" xfId="26594" xr:uid="{00000000-0005-0000-0000-000000560000}"/>
    <cellStyle name="Normal 5 3 6 6" xfId="18146" xr:uid="{00000000-0005-0000-0000-000001560000}"/>
    <cellStyle name="Normal 5 3 7" xfId="1380" xr:uid="{00000000-0005-0000-0000-000002560000}"/>
    <cellStyle name="Normal 5 3 7 2" xfId="2436" xr:uid="{00000000-0005-0000-0000-000003560000}"/>
    <cellStyle name="Normal 5 3 7 2 2" xfId="4548" xr:uid="{00000000-0005-0000-0000-000004560000}"/>
    <cellStyle name="Normal 5 3 7 2 2 2" xfId="8774" xr:uid="{00000000-0005-0000-0000-000005560000}"/>
    <cellStyle name="Normal 5 3 7 2 2 2 2" xfId="17222" xr:uid="{00000000-0005-0000-0000-000006560000}"/>
    <cellStyle name="Normal 5 3 7 2 2 2 2 2" xfId="34162" xr:uid="{00000000-0005-0000-0000-000007560000}"/>
    <cellStyle name="Normal 5 3 7 2 2 2 3" xfId="25714" xr:uid="{00000000-0005-0000-0000-000008560000}"/>
    <cellStyle name="Normal 5 3 7 2 2 3" xfId="12998" xr:uid="{00000000-0005-0000-0000-000009560000}"/>
    <cellStyle name="Normal 5 3 7 2 2 3 2" xfId="29938" xr:uid="{00000000-0005-0000-0000-00000A560000}"/>
    <cellStyle name="Normal 5 3 7 2 2 4" xfId="21490" xr:uid="{00000000-0005-0000-0000-00000B560000}"/>
    <cellStyle name="Normal 5 3 7 2 3" xfId="6662" xr:uid="{00000000-0005-0000-0000-00000C560000}"/>
    <cellStyle name="Normal 5 3 7 2 3 2" xfId="15110" xr:uid="{00000000-0005-0000-0000-00000D560000}"/>
    <cellStyle name="Normal 5 3 7 2 3 2 2" xfId="32050" xr:uid="{00000000-0005-0000-0000-00000E560000}"/>
    <cellStyle name="Normal 5 3 7 2 3 3" xfId="23602" xr:uid="{00000000-0005-0000-0000-00000F560000}"/>
    <cellStyle name="Normal 5 3 7 2 4" xfId="10886" xr:uid="{00000000-0005-0000-0000-000010560000}"/>
    <cellStyle name="Normal 5 3 7 2 4 2" xfId="27826" xr:uid="{00000000-0005-0000-0000-000011560000}"/>
    <cellStyle name="Normal 5 3 7 2 5" xfId="19378" xr:uid="{00000000-0005-0000-0000-000012560000}"/>
    <cellStyle name="Normal 5 3 7 3" xfId="3492" xr:uid="{00000000-0005-0000-0000-000013560000}"/>
    <cellStyle name="Normal 5 3 7 3 2" xfId="7718" xr:uid="{00000000-0005-0000-0000-000014560000}"/>
    <cellStyle name="Normal 5 3 7 3 2 2" xfId="16166" xr:uid="{00000000-0005-0000-0000-000015560000}"/>
    <cellStyle name="Normal 5 3 7 3 2 2 2" xfId="33106" xr:uid="{00000000-0005-0000-0000-000016560000}"/>
    <cellStyle name="Normal 5 3 7 3 2 3" xfId="24658" xr:uid="{00000000-0005-0000-0000-000017560000}"/>
    <cellStyle name="Normal 5 3 7 3 3" xfId="11942" xr:uid="{00000000-0005-0000-0000-000018560000}"/>
    <cellStyle name="Normal 5 3 7 3 3 2" xfId="28882" xr:uid="{00000000-0005-0000-0000-000019560000}"/>
    <cellStyle name="Normal 5 3 7 3 4" xfId="20434" xr:uid="{00000000-0005-0000-0000-00001A560000}"/>
    <cellStyle name="Normal 5 3 7 4" xfId="5606" xr:uid="{00000000-0005-0000-0000-00001B560000}"/>
    <cellStyle name="Normal 5 3 7 4 2" xfId="14054" xr:uid="{00000000-0005-0000-0000-00001C560000}"/>
    <cellStyle name="Normal 5 3 7 4 2 2" xfId="30994" xr:uid="{00000000-0005-0000-0000-00001D560000}"/>
    <cellStyle name="Normal 5 3 7 4 3" xfId="22546" xr:uid="{00000000-0005-0000-0000-00001E560000}"/>
    <cellStyle name="Normal 5 3 7 5" xfId="9830" xr:uid="{00000000-0005-0000-0000-00001F560000}"/>
    <cellStyle name="Normal 5 3 7 5 2" xfId="26770" xr:uid="{00000000-0005-0000-0000-000020560000}"/>
    <cellStyle name="Normal 5 3 7 6" xfId="18322" xr:uid="{00000000-0005-0000-0000-000021560000}"/>
    <cellStyle name="Normal 5 3 8" xfId="1556" xr:uid="{00000000-0005-0000-0000-000022560000}"/>
    <cellStyle name="Normal 5 3 8 2" xfId="3668" xr:uid="{00000000-0005-0000-0000-000023560000}"/>
    <cellStyle name="Normal 5 3 8 2 2" xfId="7894" xr:uid="{00000000-0005-0000-0000-000024560000}"/>
    <cellStyle name="Normal 5 3 8 2 2 2" xfId="16342" xr:uid="{00000000-0005-0000-0000-000025560000}"/>
    <cellStyle name="Normal 5 3 8 2 2 2 2" xfId="33282" xr:uid="{00000000-0005-0000-0000-000026560000}"/>
    <cellStyle name="Normal 5 3 8 2 2 3" xfId="24834" xr:uid="{00000000-0005-0000-0000-000027560000}"/>
    <cellStyle name="Normal 5 3 8 2 3" xfId="12118" xr:uid="{00000000-0005-0000-0000-000028560000}"/>
    <cellStyle name="Normal 5 3 8 2 3 2" xfId="29058" xr:uid="{00000000-0005-0000-0000-000029560000}"/>
    <cellStyle name="Normal 5 3 8 2 4" xfId="20610" xr:uid="{00000000-0005-0000-0000-00002A560000}"/>
    <cellStyle name="Normal 5 3 8 3" xfId="5782" xr:uid="{00000000-0005-0000-0000-00002B560000}"/>
    <cellStyle name="Normal 5 3 8 3 2" xfId="14230" xr:uid="{00000000-0005-0000-0000-00002C560000}"/>
    <cellStyle name="Normal 5 3 8 3 2 2" xfId="31170" xr:uid="{00000000-0005-0000-0000-00002D560000}"/>
    <cellStyle name="Normal 5 3 8 3 3" xfId="22722" xr:uid="{00000000-0005-0000-0000-00002E560000}"/>
    <cellStyle name="Normal 5 3 8 4" xfId="10006" xr:uid="{00000000-0005-0000-0000-00002F560000}"/>
    <cellStyle name="Normal 5 3 8 4 2" xfId="26946" xr:uid="{00000000-0005-0000-0000-000030560000}"/>
    <cellStyle name="Normal 5 3 8 5" xfId="18498" xr:uid="{00000000-0005-0000-0000-000031560000}"/>
    <cellStyle name="Normal 5 3 9" xfId="2612" xr:uid="{00000000-0005-0000-0000-000032560000}"/>
    <cellStyle name="Normal 5 3 9 2" xfId="6838" xr:uid="{00000000-0005-0000-0000-000033560000}"/>
    <cellStyle name="Normal 5 3 9 2 2" xfId="15286" xr:uid="{00000000-0005-0000-0000-000034560000}"/>
    <cellStyle name="Normal 5 3 9 2 2 2" xfId="32226" xr:uid="{00000000-0005-0000-0000-000035560000}"/>
    <cellStyle name="Normal 5 3 9 2 3" xfId="23778" xr:uid="{00000000-0005-0000-0000-000036560000}"/>
    <cellStyle name="Normal 5 3 9 3" xfId="11062" xr:uid="{00000000-0005-0000-0000-000037560000}"/>
    <cellStyle name="Normal 5 3 9 3 2" xfId="28002" xr:uid="{00000000-0005-0000-0000-000038560000}"/>
    <cellStyle name="Normal 5 3 9 4" xfId="19554" xr:uid="{00000000-0005-0000-0000-000039560000}"/>
    <cellStyle name="Normal 5 4" xfId="377" xr:uid="{00000000-0005-0000-0000-00003A560000}"/>
    <cellStyle name="Normal 5 5" xfId="378" xr:uid="{00000000-0005-0000-0000-00003B560000}"/>
    <cellStyle name="Normal 5 5 10" xfId="17445" xr:uid="{00000000-0005-0000-0000-00003C560000}"/>
    <cellStyle name="Normal 5 5 2" xfId="673" xr:uid="{00000000-0005-0000-0000-00003D560000}"/>
    <cellStyle name="Normal 5 5 2 2" xfId="1025" xr:uid="{00000000-0005-0000-0000-00003E560000}"/>
    <cellStyle name="Normal 5 5 2 2 2" xfId="2087" xr:uid="{00000000-0005-0000-0000-00003F560000}"/>
    <cellStyle name="Normal 5 5 2 2 2 2" xfId="4199" xr:uid="{00000000-0005-0000-0000-000040560000}"/>
    <cellStyle name="Normal 5 5 2 2 2 2 2" xfId="8425" xr:uid="{00000000-0005-0000-0000-000041560000}"/>
    <cellStyle name="Normal 5 5 2 2 2 2 2 2" xfId="16873" xr:uid="{00000000-0005-0000-0000-000042560000}"/>
    <cellStyle name="Normal 5 5 2 2 2 2 2 2 2" xfId="33813" xr:uid="{00000000-0005-0000-0000-000043560000}"/>
    <cellStyle name="Normal 5 5 2 2 2 2 2 3" xfId="25365" xr:uid="{00000000-0005-0000-0000-000044560000}"/>
    <cellStyle name="Normal 5 5 2 2 2 2 3" xfId="12649" xr:uid="{00000000-0005-0000-0000-000045560000}"/>
    <cellStyle name="Normal 5 5 2 2 2 2 3 2" xfId="29589" xr:uid="{00000000-0005-0000-0000-000046560000}"/>
    <cellStyle name="Normal 5 5 2 2 2 2 4" xfId="21141" xr:uid="{00000000-0005-0000-0000-000047560000}"/>
    <cellStyle name="Normal 5 5 2 2 2 3" xfId="6313" xr:uid="{00000000-0005-0000-0000-000048560000}"/>
    <cellStyle name="Normal 5 5 2 2 2 3 2" xfId="14761" xr:uid="{00000000-0005-0000-0000-000049560000}"/>
    <cellStyle name="Normal 5 5 2 2 2 3 2 2" xfId="31701" xr:uid="{00000000-0005-0000-0000-00004A560000}"/>
    <cellStyle name="Normal 5 5 2 2 2 3 3" xfId="23253" xr:uid="{00000000-0005-0000-0000-00004B560000}"/>
    <cellStyle name="Normal 5 5 2 2 2 4" xfId="10537" xr:uid="{00000000-0005-0000-0000-00004C560000}"/>
    <cellStyle name="Normal 5 5 2 2 2 4 2" xfId="27477" xr:uid="{00000000-0005-0000-0000-00004D560000}"/>
    <cellStyle name="Normal 5 5 2 2 2 5" xfId="19029" xr:uid="{00000000-0005-0000-0000-00004E560000}"/>
    <cellStyle name="Normal 5 5 2 2 3" xfId="3143" xr:uid="{00000000-0005-0000-0000-00004F560000}"/>
    <cellStyle name="Normal 5 5 2 2 3 2" xfId="7369" xr:uid="{00000000-0005-0000-0000-000050560000}"/>
    <cellStyle name="Normal 5 5 2 2 3 2 2" xfId="15817" xr:uid="{00000000-0005-0000-0000-000051560000}"/>
    <cellStyle name="Normal 5 5 2 2 3 2 2 2" xfId="32757" xr:uid="{00000000-0005-0000-0000-000052560000}"/>
    <cellStyle name="Normal 5 5 2 2 3 2 3" xfId="24309" xr:uid="{00000000-0005-0000-0000-000053560000}"/>
    <cellStyle name="Normal 5 5 2 2 3 3" xfId="11593" xr:uid="{00000000-0005-0000-0000-000054560000}"/>
    <cellStyle name="Normal 5 5 2 2 3 3 2" xfId="28533" xr:uid="{00000000-0005-0000-0000-000055560000}"/>
    <cellStyle name="Normal 5 5 2 2 3 4" xfId="20085" xr:uid="{00000000-0005-0000-0000-000056560000}"/>
    <cellStyle name="Normal 5 5 2 2 4" xfId="5257" xr:uid="{00000000-0005-0000-0000-000057560000}"/>
    <cellStyle name="Normal 5 5 2 2 4 2" xfId="13705" xr:uid="{00000000-0005-0000-0000-000058560000}"/>
    <cellStyle name="Normal 5 5 2 2 4 2 2" xfId="30645" xr:uid="{00000000-0005-0000-0000-000059560000}"/>
    <cellStyle name="Normal 5 5 2 2 4 3" xfId="22197" xr:uid="{00000000-0005-0000-0000-00005A560000}"/>
    <cellStyle name="Normal 5 5 2 2 5" xfId="9481" xr:uid="{00000000-0005-0000-0000-00005B560000}"/>
    <cellStyle name="Normal 5 5 2 2 5 2" xfId="26421" xr:uid="{00000000-0005-0000-0000-00005C560000}"/>
    <cellStyle name="Normal 5 5 2 2 6" xfId="17973" xr:uid="{00000000-0005-0000-0000-00005D560000}"/>
    <cellStyle name="Normal 5 5 2 3" xfId="1735" xr:uid="{00000000-0005-0000-0000-00005E560000}"/>
    <cellStyle name="Normal 5 5 2 3 2" xfId="3847" xr:uid="{00000000-0005-0000-0000-00005F560000}"/>
    <cellStyle name="Normal 5 5 2 3 2 2" xfId="8073" xr:uid="{00000000-0005-0000-0000-000060560000}"/>
    <cellStyle name="Normal 5 5 2 3 2 2 2" xfId="16521" xr:uid="{00000000-0005-0000-0000-000061560000}"/>
    <cellStyle name="Normal 5 5 2 3 2 2 2 2" xfId="33461" xr:uid="{00000000-0005-0000-0000-000062560000}"/>
    <cellStyle name="Normal 5 5 2 3 2 2 3" xfId="25013" xr:uid="{00000000-0005-0000-0000-000063560000}"/>
    <cellStyle name="Normal 5 5 2 3 2 3" xfId="12297" xr:uid="{00000000-0005-0000-0000-000064560000}"/>
    <cellStyle name="Normal 5 5 2 3 2 3 2" xfId="29237" xr:uid="{00000000-0005-0000-0000-000065560000}"/>
    <cellStyle name="Normal 5 5 2 3 2 4" xfId="20789" xr:uid="{00000000-0005-0000-0000-000066560000}"/>
    <cellStyle name="Normal 5 5 2 3 3" xfId="5961" xr:uid="{00000000-0005-0000-0000-000067560000}"/>
    <cellStyle name="Normal 5 5 2 3 3 2" xfId="14409" xr:uid="{00000000-0005-0000-0000-000068560000}"/>
    <cellStyle name="Normal 5 5 2 3 3 2 2" xfId="31349" xr:uid="{00000000-0005-0000-0000-000069560000}"/>
    <cellStyle name="Normal 5 5 2 3 3 3" xfId="22901" xr:uid="{00000000-0005-0000-0000-00006A560000}"/>
    <cellStyle name="Normal 5 5 2 3 4" xfId="10185" xr:uid="{00000000-0005-0000-0000-00006B560000}"/>
    <cellStyle name="Normal 5 5 2 3 4 2" xfId="27125" xr:uid="{00000000-0005-0000-0000-00006C560000}"/>
    <cellStyle name="Normal 5 5 2 3 5" xfId="18677" xr:uid="{00000000-0005-0000-0000-00006D560000}"/>
    <cellStyle name="Normal 5 5 2 4" xfId="2791" xr:uid="{00000000-0005-0000-0000-00006E560000}"/>
    <cellStyle name="Normal 5 5 2 4 2" xfId="7017" xr:uid="{00000000-0005-0000-0000-00006F560000}"/>
    <cellStyle name="Normal 5 5 2 4 2 2" xfId="15465" xr:uid="{00000000-0005-0000-0000-000070560000}"/>
    <cellStyle name="Normal 5 5 2 4 2 2 2" xfId="32405" xr:uid="{00000000-0005-0000-0000-000071560000}"/>
    <cellStyle name="Normal 5 5 2 4 2 3" xfId="23957" xr:uid="{00000000-0005-0000-0000-000072560000}"/>
    <cellStyle name="Normal 5 5 2 4 3" xfId="11241" xr:uid="{00000000-0005-0000-0000-000073560000}"/>
    <cellStyle name="Normal 5 5 2 4 3 2" xfId="28181" xr:uid="{00000000-0005-0000-0000-000074560000}"/>
    <cellStyle name="Normal 5 5 2 4 4" xfId="19733" xr:uid="{00000000-0005-0000-0000-000075560000}"/>
    <cellStyle name="Normal 5 5 2 5" xfId="4905" xr:uid="{00000000-0005-0000-0000-000076560000}"/>
    <cellStyle name="Normal 5 5 2 5 2" xfId="13353" xr:uid="{00000000-0005-0000-0000-000077560000}"/>
    <cellStyle name="Normal 5 5 2 5 2 2" xfId="30293" xr:uid="{00000000-0005-0000-0000-000078560000}"/>
    <cellStyle name="Normal 5 5 2 5 3" xfId="21845" xr:uid="{00000000-0005-0000-0000-000079560000}"/>
    <cellStyle name="Normal 5 5 2 6" xfId="9129" xr:uid="{00000000-0005-0000-0000-00007A560000}"/>
    <cellStyle name="Normal 5 5 2 6 2" xfId="26069" xr:uid="{00000000-0005-0000-0000-00007B560000}"/>
    <cellStyle name="Normal 5 5 2 7" xfId="17621" xr:uid="{00000000-0005-0000-0000-00007C560000}"/>
    <cellStyle name="Normal 5 5 3" xfId="849" xr:uid="{00000000-0005-0000-0000-00007D560000}"/>
    <cellStyle name="Normal 5 5 3 2" xfId="1911" xr:uid="{00000000-0005-0000-0000-00007E560000}"/>
    <cellStyle name="Normal 5 5 3 2 2" xfId="4023" xr:uid="{00000000-0005-0000-0000-00007F560000}"/>
    <cellStyle name="Normal 5 5 3 2 2 2" xfId="8249" xr:uid="{00000000-0005-0000-0000-000080560000}"/>
    <cellStyle name="Normal 5 5 3 2 2 2 2" xfId="16697" xr:uid="{00000000-0005-0000-0000-000081560000}"/>
    <cellStyle name="Normal 5 5 3 2 2 2 2 2" xfId="33637" xr:uid="{00000000-0005-0000-0000-000082560000}"/>
    <cellStyle name="Normal 5 5 3 2 2 2 3" xfId="25189" xr:uid="{00000000-0005-0000-0000-000083560000}"/>
    <cellStyle name="Normal 5 5 3 2 2 3" xfId="12473" xr:uid="{00000000-0005-0000-0000-000084560000}"/>
    <cellStyle name="Normal 5 5 3 2 2 3 2" xfId="29413" xr:uid="{00000000-0005-0000-0000-000085560000}"/>
    <cellStyle name="Normal 5 5 3 2 2 4" xfId="20965" xr:uid="{00000000-0005-0000-0000-000086560000}"/>
    <cellStyle name="Normal 5 5 3 2 3" xfId="6137" xr:uid="{00000000-0005-0000-0000-000087560000}"/>
    <cellStyle name="Normal 5 5 3 2 3 2" xfId="14585" xr:uid="{00000000-0005-0000-0000-000088560000}"/>
    <cellStyle name="Normal 5 5 3 2 3 2 2" xfId="31525" xr:uid="{00000000-0005-0000-0000-000089560000}"/>
    <cellStyle name="Normal 5 5 3 2 3 3" xfId="23077" xr:uid="{00000000-0005-0000-0000-00008A560000}"/>
    <cellStyle name="Normal 5 5 3 2 4" xfId="10361" xr:uid="{00000000-0005-0000-0000-00008B560000}"/>
    <cellStyle name="Normal 5 5 3 2 4 2" xfId="27301" xr:uid="{00000000-0005-0000-0000-00008C560000}"/>
    <cellStyle name="Normal 5 5 3 2 5" xfId="18853" xr:uid="{00000000-0005-0000-0000-00008D560000}"/>
    <cellStyle name="Normal 5 5 3 3" xfId="2967" xr:uid="{00000000-0005-0000-0000-00008E560000}"/>
    <cellStyle name="Normal 5 5 3 3 2" xfId="7193" xr:uid="{00000000-0005-0000-0000-00008F560000}"/>
    <cellStyle name="Normal 5 5 3 3 2 2" xfId="15641" xr:uid="{00000000-0005-0000-0000-000090560000}"/>
    <cellStyle name="Normal 5 5 3 3 2 2 2" xfId="32581" xr:uid="{00000000-0005-0000-0000-000091560000}"/>
    <cellStyle name="Normal 5 5 3 3 2 3" xfId="24133" xr:uid="{00000000-0005-0000-0000-000092560000}"/>
    <cellStyle name="Normal 5 5 3 3 3" xfId="11417" xr:uid="{00000000-0005-0000-0000-000093560000}"/>
    <cellStyle name="Normal 5 5 3 3 3 2" xfId="28357" xr:uid="{00000000-0005-0000-0000-000094560000}"/>
    <cellStyle name="Normal 5 5 3 3 4" xfId="19909" xr:uid="{00000000-0005-0000-0000-000095560000}"/>
    <cellStyle name="Normal 5 5 3 4" xfId="5081" xr:uid="{00000000-0005-0000-0000-000096560000}"/>
    <cellStyle name="Normal 5 5 3 4 2" xfId="13529" xr:uid="{00000000-0005-0000-0000-000097560000}"/>
    <cellStyle name="Normal 5 5 3 4 2 2" xfId="30469" xr:uid="{00000000-0005-0000-0000-000098560000}"/>
    <cellStyle name="Normal 5 5 3 4 3" xfId="22021" xr:uid="{00000000-0005-0000-0000-000099560000}"/>
    <cellStyle name="Normal 5 5 3 5" xfId="9305" xr:uid="{00000000-0005-0000-0000-00009A560000}"/>
    <cellStyle name="Normal 5 5 3 5 2" xfId="26245" xr:uid="{00000000-0005-0000-0000-00009B560000}"/>
    <cellStyle name="Normal 5 5 3 6" xfId="17797" xr:uid="{00000000-0005-0000-0000-00009C560000}"/>
    <cellStyle name="Normal 5 5 4" xfId="1201" xr:uid="{00000000-0005-0000-0000-00009D560000}"/>
    <cellStyle name="Normal 5 5 4 2" xfId="2263" xr:uid="{00000000-0005-0000-0000-00009E560000}"/>
    <cellStyle name="Normal 5 5 4 2 2" xfId="4375" xr:uid="{00000000-0005-0000-0000-00009F560000}"/>
    <cellStyle name="Normal 5 5 4 2 2 2" xfId="8601" xr:uid="{00000000-0005-0000-0000-0000A0560000}"/>
    <cellStyle name="Normal 5 5 4 2 2 2 2" xfId="17049" xr:uid="{00000000-0005-0000-0000-0000A1560000}"/>
    <cellStyle name="Normal 5 5 4 2 2 2 2 2" xfId="33989" xr:uid="{00000000-0005-0000-0000-0000A2560000}"/>
    <cellStyle name="Normal 5 5 4 2 2 2 3" xfId="25541" xr:uid="{00000000-0005-0000-0000-0000A3560000}"/>
    <cellStyle name="Normal 5 5 4 2 2 3" xfId="12825" xr:uid="{00000000-0005-0000-0000-0000A4560000}"/>
    <cellStyle name="Normal 5 5 4 2 2 3 2" xfId="29765" xr:uid="{00000000-0005-0000-0000-0000A5560000}"/>
    <cellStyle name="Normal 5 5 4 2 2 4" xfId="21317" xr:uid="{00000000-0005-0000-0000-0000A6560000}"/>
    <cellStyle name="Normal 5 5 4 2 3" xfId="6489" xr:uid="{00000000-0005-0000-0000-0000A7560000}"/>
    <cellStyle name="Normal 5 5 4 2 3 2" xfId="14937" xr:uid="{00000000-0005-0000-0000-0000A8560000}"/>
    <cellStyle name="Normal 5 5 4 2 3 2 2" xfId="31877" xr:uid="{00000000-0005-0000-0000-0000A9560000}"/>
    <cellStyle name="Normal 5 5 4 2 3 3" xfId="23429" xr:uid="{00000000-0005-0000-0000-0000AA560000}"/>
    <cellStyle name="Normal 5 5 4 2 4" xfId="10713" xr:uid="{00000000-0005-0000-0000-0000AB560000}"/>
    <cellStyle name="Normal 5 5 4 2 4 2" xfId="27653" xr:uid="{00000000-0005-0000-0000-0000AC560000}"/>
    <cellStyle name="Normal 5 5 4 2 5" xfId="19205" xr:uid="{00000000-0005-0000-0000-0000AD560000}"/>
    <cellStyle name="Normal 5 5 4 3" xfId="3319" xr:uid="{00000000-0005-0000-0000-0000AE560000}"/>
    <cellStyle name="Normal 5 5 4 3 2" xfId="7545" xr:uid="{00000000-0005-0000-0000-0000AF560000}"/>
    <cellStyle name="Normal 5 5 4 3 2 2" xfId="15993" xr:uid="{00000000-0005-0000-0000-0000B0560000}"/>
    <cellStyle name="Normal 5 5 4 3 2 2 2" xfId="32933" xr:uid="{00000000-0005-0000-0000-0000B1560000}"/>
    <cellStyle name="Normal 5 5 4 3 2 3" xfId="24485" xr:uid="{00000000-0005-0000-0000-0000B2560000}"/>
    <cellStyle name="Normal 5 5 4 3 3" xfId="11769" xr:uid="{00000000-0005-0000-0000-0000B3560000}"/>
    <cellStyle name="Normal 5 5 4 3 3 2" xfId="28709" xr:uid="{00000000-0005-0000-0000-0000B4560000}"/>
    <cellStyle name="Normal 5 5 4 3 4" xfId="20261" xr:uid="{00000000-0005-0000-0000-0000B5560000}"/>
    <cellStyle name="Normal 5 5 4 4" xfId="5433" xr:uid="{00000000-0005-0000-0000-0000B6560000}"/>
    <cellStyle name="Normal 5 5 4 4 2" xfId="13881" xr:uid="{00000000-0005-0000-0000-0000B7560000}"/>
    <cellStyle name="Normal 5 5 4 4 2 2" xfId="30821" xr:uid="{00000000-0005-0000-0000-0000B8560000}"/>
    <cellStyle name="Normal 5 5 4 4 3" xfId="22373" xr:uid="{00000000-0005-0000-0000-0000B9560000}"/>
    <cellStyle name="Normal 5 5 4 5" xfId="9657" xr:uid="{00000000-0005-0000-0000-0000BA560000}"/>
    <cellStyle name="Normal 5 5 4 5 2" xfId="26597" xr:uid="{00000000-0005-0000-0000-0000BB560000}"/>
    <cellStyle name="Normal 5 5 4 6" xfId="18149" xr:uid="{00000000-0005-0000-0000-0000BC560000}"/>
    <cellStyle name="Normal 5 5 5" xfId="1383" xr:uid="{00000000-0005-0000-0000-0000BD560000}"/>
    <cellStyle name="Normal 5 5 5 2" xfId="2439" xr:uid="{00000000-0005-0000-0000-0000BE560000}"/>
    <cellStyle name="Normal 5 5 5 2 2" xfId="4551" xr:uid="{00000000-0005-0000-0000-0000BF560000}"/>
    <cellStyle name="Normal 5 5 5 2 2 2" xfId="8777" xr:uid="{00000000-0005-0000-0000-0000C0560000}"/>
    <cellStyle name="Normal 5 5 5 2 2 2 2" xfId="17225" xr:uid="{00000000-0005-0000-0000-0000C1560000}"/>
    <cellStyle name="Normal 5 5 5 2 2 2 2 2" xfId="34165" xr:uid="{00000000-0005-0000-0000-0000C2560000}"/>
    <cellStyle name="Normal 5 5 5 2 2 2 3" xfId="25717" xr:uid="{00000000-0005-0000-0000-0000C3560000}"/>
    <cellStyle name="Normal 5 5 5 2 2 3" xfId="13001" xr:uid="{00000000-0005-0000-0000-0000C4560000}"/>
    <cellStyle name="Normal 5 5 5 2 2 3 2" xfId="29941" xr:uid="{00000000-0005-0000-0000-0000C5560000}"/>
    <cellStyle name="Normal 5 5 5 2 2 4" xfId="21493" xr:uid="{00000000-0005-0000-0000-0000C6560000}"/>
    <cellStyle name="Normal 5 5 5 2 3" xfId="6665" xr:uid="{00000000-0005-0000-0000-0000C7560000}"/>
    <cellStyle name="Normal 5 5 5 2 3 2" xfId="15113" xr:uid="{00000000-0005-0000-0000-0000C8560000}"/>
    <cellStyle name="Normal 5 5 5 2 3 2 2" xfId="32053" xr:uid="{00000000-0005-0000-0000-0000C9560000}"/>
    <cellStyle name="Normal 5 5 5 2 3 3" xfId="23605" xr:uid="{00000000-0005-0000-0000-0000CA560000}"/>
    <cellStyle name="Normal 5 5 5 2 4" xfId="10889" xr:uid="{00000000-0005-0000-0000-0000CB560000}"/>
    <cellStyle name="Normal 5 5 5 2 4 2" xfId="27829" xr:uid="{00000000-0005-0000-0000-0000CC560000}"/>
    <cellStyle name="Normal 5 5 5 2 5" xfId="19381" xr:uid="{00000000-0005-0000-0000-0000CD560000}"/>
    <cellStyle name="Normal 5 5 5 3" xfId="3495" xr:uid="{00000000-0005-0000-0000-0000CE560000}"/>
    <cellStyle name="Normal 5 5 5 3 2" xfId="7721" xr:uid="{00000000-0005-0000-0000-0000CF560000}"/>
    <cellStyle name="Normal 5 5 5 3 2 2" xfId="16169" xr:uid="{00000000-0005-0000-0000-0000D0560000}"/>
    <cellStyle name="Normal 5 5 5 3 2 2 2" xfId="33109" xr:uid="{00000000-0005-0000-0000-0000D1560000}"/>
    <cellStyle name="Normal 5 5 5 3 2 3" xfId="24661" xr:uid="{00000000-0005-0000-0000-0000D2560000}"/>
    <cellStyle name="Normal 5 5 5 3 3" xfId="11945" xr:uid="{00000000-0005-0000-0000-0000D3560000}"/>
    <cellStyle name="Normal 5 5 5 3 3 2" xfId="28885" xr:uid="{00000000-0005-0000-0000-0000D4560000}"/>
    <cellStyle name="Normal 5 5 5 3 4" xfId="20437" xr:uid="{00000000-0005-0000-0000-0000D5560000}"/>
    <cellStyle name="Normal 5 5 5 4" xfId="5609" xr:uid="{00000000-0005-0000-0000-0000D6560000}"/>
    <cellStyle name="Normal 5 5 5 4 2" xfId="14057" xr:uid="{00000000-0005-0000-0000-0000D7560000}"/>
    <cellStyle name="Normal 5 5 5 4 2 2" xfId="30997" xr:uid="{00000000-0005-0000-0000-0000D8560000}"/>
    <cellStyle name="Normal 5 5 5 4 3" xfId="22549" xr:uid="{00000000-0005-0000-0000-0000D9560000}"/>
    <cellStyle name="Normal 5 5 5 5" xfId="9833" xr:uid="{00000000-0005-0000-0000-0000DA560000}"/>
    <cellStyle name="Normal 5 5 5 5 2" xfId="26773" xr:uid="{00000000-0005-0000-0000-0000DB560000}"/>
    <cellStyle name="Normal 5 5 5 6" xfId="18325" xr:uid="{00000000-0005-0000-0000-0000DC560000}"/>
    <cellStyle name="Normal 5 5 6" xfId="1559" xr:uid="{00000000-0005-0000-0000-0000DD560000}"/>
    <cellStyle name="Normal 5 5 6 2" xfId="3671" xr:uid="{00000000-0005-0000-0000-0000DE560000}"/>
    <cellStyle name="Normal 5 5 6 2 2" xfId="7897" xr:uid="{00000000-0005-0000-0000-0000DF560000}"/>
    <cellStyle name="Normal 5 5 6 2 2 2" xfId="16345" xr:uid="{00000000-0005-0000-0000-0000E0560000}"/>
    <cellStyle name="Normal 5 5 6 2 2 2 2" xfId="33285" xr:uid="{00000000-0005-0000-0000-0000E1560000}"/>
    <cellStyle name="Normal 5 5 6 2 2 3" xfId="24837" xr:uid="{00000000-0005-0000-0000-0000E2560000}"/>
    <cellStyle name="Normal 5 5 6 2 3" xfId="12121" xr:uid="{00000000-0005-0000-0000-0000E3560000}"/>
    <cellStyle name="Normal 5 5 6 2 3 2" xfId="29061" xr:uid="{00000000-0005-0000-0000-0000E4560000}"/>
    <cellStyle name="Normal 5 5 6 2 4" xfId="20613" xr:uid="{00000000-0005-0000-0000-0000E5560000}"/>
    <cellStyle name="Normal 5 5 6 3" xfId="5785" xr:uid="{00000000-0005-0000-0000-0000E6560000}"/>
    <cellStyle name="Normal 5 5 6 3 2" xfId="14233" xr:uid="{00000000-0005-0000-0000-0000E7560000}"/>
    <cellStyle name="Normal 5 5 6 3 2 2" xfId="31173" xr:uid="{00000000-0005-0000-0000-0000E8560000}"/>
    <cellStyle name="Normal 5 5 6 3 3" xfId="22725" xr:uid="{00000000-0005-0000-0000-0000E9560000}"/>
    <cellStyle name="Normal 5 5 6 4" xfId="10009" xr:uid="{00000000-0005-0000-0000-0000EA560000}"/>
    <cellStyle name="Normal 5 5 6 4 2" xfId="26949" xr:uid="{00000000-0005-0000-0000-0000EB560000}"/>
    <cellStyle name="Normal 5 5 6 5" xfId="18501" xr:uid="{00000000-0005-0000-0000-0000EC560000}"/>
    <cellStyle name="Normal 5 5 7" xfId="2615" xr:uid="{00000000-0005-0000-0000-0000ED560000}"/>
    <cellStyle name="Normal 5 5 7 2" xfId="6841" xr:uid="{00000000-0005-0000-0000-0000EE560000}"/>
    <cellStyle name="Normal 5 5 7 2 2" xfId="15289" xr:uid="{00000000-0005-0000-0000-0000EF560000}"/>
    <cellStyle name="Normal 5 5 7 2 2 2" xfId="32229" xr:uid="{00000000-0005-0000-0000-0000F0560000}"/>
    <cellStyle name="Normal 5 5 7 2 3" xfId="23781" xr:uid="{00000000-0005-0000-0000-0000F1560000}"/>
    <cellStyle name="Normal 5 5 7 3" xfId="11065" xr:uid="{00000000-0005-0000-0000-0000F2560000}"/>
    <cellStyle name="Normal 5 5 7 3 2" xfId="28005" xr:uid="{00000000-0005-0000-0000-0000F3560000}"/>
    <cellStyle name="Normal 5 5 7 4" xfId="19557" xr:uid="{00000000-0005-0000-0000-0000F4560000}"/>
    <cellStyle name="Normal 5 5 8" xfId="4728" xr:uid="{00000000-0005-0000-0000-0000F5560000}"/>
    <cellStyle name="Normal 5 5 8 2" xfId="13177" xr:uid="{00000000-0005-0000-0000-0000F6560000}"/>
    <cellStyle name="Normal 5 5 8 2 2" xfId="30117" xr:uid="{00000000-0005-0000-0000-0000F7560000}"/>
    <cellStyle name="Normal 5 5 8 3" xfId="21669" xr:uid="{00000000-0005-0000-0000-0000F8560000}"/>
    <cellStyle name="Normal 5 5 9" xfId="8953" xr:uid="{00000000-0005-0000-0000-0000F9560000}"/>
    <cellStyle name="Normal 5 5 9 2" xfId="25893" xr:uid="{00000000-0005-0000-0000-0000FA560000}"/>
    <cellStyle name="Normal 5 6" xfId="379" xr:uid="{00000000-0005-0000-0000-0000FB560000}"/>
    <cellStyle name="Normal 5 6 10" xfId="17446" xr:uid="{00000000-0005-0000-0000-0000FC560000}"/>
    <cellStyle name="Normal 5 6 2" xfId="674" xr:uid="{00000000-0005-0000-0000-0000FD560000}"/>
    <cellStyle name="Normal 5 6 2 2" xfId="1026" xr:uid="{00000000-0005-0000-0000-0000FE560000}"/>
    <cellStyle name="Normal 5 6 2 2 2" xfId="2088" xr:uid="{00000000-0005-0000-0000-0000FF560000}"/>
    <cellStyle name="Normal 5 6 2 2 2 2" xfId="4200" xr:uid="{00000000-0005-0000-0000-000000570000}"/>
    <cellStyle name="Normal 5 6 2 2 2 2 2" xfId="8426" xr:uid="{00000000-0005-0000-0000-000001570000}"/>
    <cellStyle name="Normal 5 6 2 2 2 2 2 2" xfId="16874" xr:uid="{00000000-0005-0000-0000-000002570000}"/>
    <cellStyle name="Normal 5 6 2 2 2 2 2 2 2" xfId="33814" xr:uid="{00000000-0005-0000-0000-000003570000}"/>
    <cellStyle name="Normal 5 6 2 2 2 2 2 3" xfId="25366" xr:uid="{00000000-0005-0000-0000-000004570000}"/>
    <cellStyle name="Normal 5 6 2 2 2 2 3" xfId="12650" xr:uid="{00000000-0005-0000-0000-000005570000}"/>
    <cellStyle name="Normal 5 6 2 2 2 2 3 2" xfId="29590" xr:uid="{00000000-0005-0000-0000-000006570000}"/>
    <cellStyle name="Normal 5 6 2 2 2 2 4" xfId="21142" xr:uid="{00000000-0005-0000-0000-000007570000}"/>
    <cellStyle name="Normal 5 6 2 2 2 3" xfId="6314" xr:uid="{00000000-0005-0000-0000-000008570000}"/>
    <cellStyle name="Normal 5 6 2 2 2 3 2" xfId="14762" xr:uid="{00000000-0005-0000-0000-000009570000}"/>
    <cellStyle name="Normal 5 6 2 2 2 3 2 2" xfId="31702" xr:uid="{00000000-0005-0000-0000-00000A570000}"/>
    <cellStyle name="Normal 5 6 2 2 2 3 3" xfId="23254" xr:uid="{00000000-0005-0000-0000-00000B570000}"/>
    <cellStyle name="Normal 5 6 2 2 2 4" xfId="10538" xr:uid="{00000000-0005-0000-0000-00000C570000}"/>
    <cellStyle name="Normal 5 6 2 2 2 4 2" xfId="27478" xr:uid="{00000000-0005-0000-0000-00000D570000}"/>
    <cellStyle name="Normal 5 6 2 2 2 5" xfId="19030" xr:uid="{00000000-0005-0000-0000-00000E570000}"/>
    <cellStyle name="Normal 5 6 2 2 3" xfId="3144" xr:uid="{00000000-0005-0000-0000-00000F570000}"/>
    <cellStyle name="Normal 5 6 2 2 3 2" xfId="7370" xr:uid="{00000000-0005-0000-0000-000010570000}"/>
    <cellStyle name="Normal 5 6 2 2 3 2 2" xfId="15818" xr:uid="{00000000-0005-0000-0000-000011570000}"/>
    <cellStyle name="Normal 5 6 2 2 3 2 2 2" xfId="32758" xr:uid="{00000000-0005-0000-0000-000012570000}"/>
    <cellStyle name="Normal 5 6 2 2 3 2 3" xfId="24310" xr:uid="{00000000-0005-0000-0000-000013570000}"/>
    <cellStyle name="Normal 5 6 2 2 3 3" xfId="11594" xr:uid="{00000000-0005-0000-0000-000014570000}"/>
    <cellStyle name="Normal 5 6 2 2 3 3 2" xfId="28534" xr:uid="{00000000-0005-0000-0000-000015570000}"/>
    <cellStyle name="Normal 5 6 2 2 3 4" xfId="20086" xr:uid="{00000000-0005-0000-0000-000016570000}"/>
    <cellStyle name="Normal 5 6 2 2 4" xfId="5258" xr:uid="{00000000-0005-0000-0000-000017570000}"/>
    <cellStyle name="Normal 5 6 2 2 4 2" xfId="13706" xr:uid="{00000000-0005-0000-0000-000018570000}"/>
    <cellStyle name="Normal 5 6 2 2 4 2 2" xfId="30646" xr:uid="{00000000-0005-0000-0000-000019570000}"/>
    <cellStyle name="Normal 5 6 2 2 4 3" xfId="22198" xr:uid="{00000000-0005-0000-0000-00001A570000}"/>
    <cellStyle name="Normal 5 6 2 2 5" xfId="9482" xr:uid="{00000000-0005-0000-0000-00001B570000}"/>
    <cellStyle name="Normal 5 6 2 2 5 2" xfId="26422" xr:uid="{00000000-0005-0000-0000-00001C570000}"/>
    <cellStyle name="Normal 5 6 2 2 6" xfId="17974" xr:uid="{00000000-0005-0000-0000-00001D570000}"/>
    <cellStyle name="Normal 5 6 2 3" xfId="1736" xr:uid="{00000000-0005-0000-0000-00001E570000}"/>
    <cellStyle name="Normal 5 6 2 3 2" xfId="3848" xr:uid="{00000000-0005-0000-0000-00001F570000}"/>
    <cellStyle name="Normal 5 6 2 3 2 2" xfId="8074" xr:uid="{00000000-0005-0000-0000-000020570000}"/>
    <cellStyle name="Normal 5 6 2 3 2 2 2" xfId="16522" xr:uid="{00000000-0005-0000-0000-000021570000}"/>
    <cellStyle name="Normal 5 6 2 3 2 2 2 2" xfId="33462" xr:uid="{00000000-0005-0000-0000-000022570000}"/>
    <cellStyle name="Normal 5 6 2 3 2 2 3" xfId="25014" xr:uid="{00000000-0005-0000-0000-000023570000}"/>
    <cellStyle name="Normal 5 6 2 3 2 3" xfId="12298" xr:uid="{00000000-0005-0000-0000-000024570000}"/>
    <cellStyle name="Normal 5 6 2 3 2 3 2" xfId="29238" xr:uid="{00000000-0005-0000-0000-000025570000}"/>
    <cellStyle name="Normal 5 6 2 3 2 4" xfId="20790" xr:uid="{00000000-0005-0000-0000-000026570000}"/>
    <cellStyle name="Normal 5 6 2 3 3" xfId="5962" xr:uid="{00000000-0005-0000-0000-000027570000}"/>
    <cellStyle name="Normal 5 6 2 3 3 2" xfId="14410" xr:uid="{00000000-0005-0000-0000-000028570000}"/>
    <cellStyle name="Normal 5 6 2 3 3 2 2" xfId="31350" xr:uid="{00000000-0005-0000-0000-000029570000}"/>
    <cellStyle name="Normal 5 6 2 3 3 3" xfId="22902" xr:uid="{00000000-0005-0000-0000-00002A570000}"/>
    <cellStyle name="Normal 5 6 2 3 4" xfId="10186" xr:uid="{00000000-0005-0000-0000-00002B570000}"/>
    <cellStyle name="Normal 5 6 2 3 4 2" xfId="27126" xr:uid="{00000000-0005-0000-0000-00002C570000}"/>
    <cellStyle name="Normal 5 6 2 3 5" xfId="18678" xr:uid="{00000000-0005-0000-0000-00002D570000}"/>
    <cellStyle name="Normal 5 6 2 4" xfId="2792" xr:uid="{00000000-0005-0000-0000-00002E570000}"/>
    <cellStyle name="Normal 5 6 2 4 2" xfId="7018" xr:uid="{00000000-0005-0000-0000-00002F570000}"/>
    <cellStyle name="Normal 5 6 2 4 2 2" xfId="15466" xr:uid="{00000000-0005-0000-0000-000030570000}"/>
    <cellStyle name="Normal 5 6 2 4 2 2 2" xfId="32406" xr:uid="{00000000-0005-0000-0000-000031570000}"/>
    <cellStyle name="Normal 5 6 2 4 2 3" xfId="23958" xr:uid="{00000000-0005-0000-0000-000032570000}"/>
    <cellStyle name="Normal 5 6 2 4 3" xfId="11242" xr:uid="{00000000-0005-0000-0000-000033570000}"/>
    <cellStyle name="Normal 5 6 2 4 3 2" xfId="28182" xr:uid="{00000000-0005-0000-0000-000034570000}"/>
    <cellStyle name="Normal 5 6 2 4 4" xfId="19734" xr:uid="{00000000-0005-0000-0000-000035570000}"/>
    <cellStyle name="Normal 5 6 2 5" xfId="4906" xr:uid="{00000000-0005-0000-0000-000036570000}"/>
    <cellStyle name="Normal 5 6 2 5 2" xfId="13354" xr:uid="{00000000-0005-0000-0000-000037570000}"/>
    <cellStyle name="Normal 5 6 2 5 2 2" xfId="30294" xr:uid="{00000000-0005-0000-0000-000038570000}"/>
    <cellStyle name="Normal 5 6 2 5 3" xfId="21846" xr:uid="{00000000-0005-0000-0000-000039570000}"/>
    <cellStyle name="Normal 5 6 2 6" xfId="9130" xr:uid="{00000000-0005-0000-0000-00003A570000}"/>
    <cellStyle name="Normal 5 6 2 6 2" xfId="26070" xr:uid="{00000000-0005-0000-0000-00003B570000}"/>
    <cellStyle name="Normal 5 6 2 7" xfId="17622" xr:uid="{00000000-0005-0000-0000-00003C570000}"/>
    <cellStyle name="Normal 5 6 3" xfId="850" xr:uid="{00000000-0005-0000-0000-00003D570000}"/>
    <cellStyle name="Normal 5 6 3 2" xfId="1912" xr:uid="{00000000-0005-0000-0000-00003E570000}"/>
    <cellStyle name="Normal 5 6 3 2 2" xfId="4024" xr:uid="{00000000-0005-0000-0000-00003F570000}"/>
    <cellStyle name="Normal 5 6 3 2 2 2" xfId="8250" xr:uid="{00000000-0005-0000-0000-000040570000}"/>
    <cellStyle name="Normal 5 6 3 2 2 2 2" xfId="16698" xr:uid="{00000000-0005-0000-0000-000041570000}"/>
    <cellStyle name="Normal 5 6 3 2 2 2 2 2" xfId="33638" xr:uid="{00000000-0005-0000-0000-000042570000}"/>
    <cellStyle name="Normal 5 6 3 2 2 2 3" xfId="25190" xr:uid="{00000000-0005-0000-0000-000043570000}"/>
    <cellStyle name="Normal 5 6 3 2 2 3" xfId="12474" xr:uid="{00000000-0005-0000-0000-000044570000}"/>
    <cellStyle name="Normal 5 6 3 2 2 3 2" xfId="29414" xr:uid="{00000000-0005-0000-0000-000045570000}"/>
    <cellStyle name="Normal 5 6 3 2 2 4" xfId="20966" xr:uid="{00000000-0005-0000-0000-000046570000}"/>
    <cellStyle name="Normal 5 6 3 2 3" xfId="6138" xr:uid="{00000000-0005-0000-0000-000047570000}"/>
    <cellStyle name="Normal 5 6 3 2 3 2" xfId="14586" xr:uid="{00000000-0005-0000-0000-000048570000}"/>
    <cellStyle name="Normal 5 6 3 2 3 2 2" xfId="31526" xr:uid="{00000000-0005-0000-0000-000049570000}"/>
    <cellStyle name="Normal 5 6 3 2 3 3" xfId="23078" xr:uid="{00000000-0005-0000-0000-00004A570000}"/>
    <cellStyle name="Normal 5 6 3 2 4" xfId="10362" xr:uid="{00000000-0005-0000-0000-00004B570000}"/>
    <cellStyle name="Normal 5 6 3 2 4 2" xfId="27302" xr:uid="{00000000-0005-0000-0000-00004C570000}"/>
    <cellStyle name="Normal 5 6 3 2 5" xfId="18854" xr:uid="{00000000-0005-0000-0000-00004D570000}"/>
    <cellStyle name="Normal 5 6 3 3" xfId="2968" xr:uid="{00000000-0005-0000-0000-00004E570000}"/>
    <cellStyle name="Normal 5 6 3 3 2" xfId="7194" xr:uid="{00000000-0005-0000-0000-00004F570000}"/>
    <cellStyle name="Normal 5 6 3 3 2 2" xfId="15642" xr:uid="{00000000-0005-0000-0000-000050570000}"/>
    <cellStyle name="Normal 5 6 3 3 2 2 2" xfId="32582" xr:uid="{00000000-0005-0000-0000-000051570000}"/>
    <cellStyle name="Normal 5 6 3 3 2 3" xfId="24134" xr:uid="{00000000-0005-0000-0000-000052570000}"/>
    <cellStyle name="Normal 5 6 3 3 3" xfId="11418" xr:uid="{00000000-0005-0000-0000-000053570000}"/>
    <cellStyle name="Normal 5 6 3 3 3 2" xfId="28358" xr:uid="{00000000-0005-0000-0000-000054570000}"/>
    <cellStyle name="Normal 5 6 3 3 4" xfId="19910" xr:uid="{00000000-0005-0000-0000-000055570000}"/>
    <cellStyle name="Normal 5 6 3 4" xfId="5082" xr:uid="{00000000-0005-0000-0000-000056570000}"/>
    <cellStyle name="Normal 5 6 3 4 2" xfId="13530" xr:uid="{00000000-0005-0000-0000-000057570000}"/>
    <cellStyle name="Normal 5 6 3 4 2 2" xfId="30470" xr:uid="{00000000-0005-0000-0000-000058570000}"/>
    <cellStyle name="Normal 5 6 3 4 3" xfId="22022" xr:uid="{00000000-0005-0000-0000-000059570000}"/>
    <cellStyle name="Normal 5 6 3 5" xfId="9306" xr:uid="{00000000-0005-0000-0000-00005A570000}"/>
    <cellStyle name="Normal 5 6 3 5 2" xfId="26246" xr:uid="{00000000-0005-0000-0000-00005B570000}"/>
    <cellStyle name="Normal 5 6 3 6" xfId="17798" xr:uid="{00000000-0005-0000-0000-00005C570000}"/>
    <cellStyle name="Normal 5 6 4" xfId="1202" xr:uid="{00000000-0005-0000-0000-00005D570000}"/>
    <cellStyle name="Normal 5 6 4 2" xfId="2264" xr:uid="{00000000-0005-0000-0000-00005E570000}"/>
    <cellStyle name="Normal 5 6 4 2 2" xfId="4376" xr:uid="{00000000-0005-0000-0000-00005F570000}"/>
    <cellStyle name="Normal 5 6 4 2 2 2" xfId="8602" xr:uid="{00000000-0005-0000-0000-000060570000}"/>
    <cellStyle name="Normal 5 6 4 2 2 2 2" xfId="17050" xr:uid="{00000000-0005-0000-0000-000061570000}"/>
    <cellStyle name="Normal 5 6 4 2 2 2 2 2" xfId="33990" xr:uid="{00000000-0005-0000-0000-000062570000}"/>
    <cellStyle name="Normal 5 6 4 2 2 2 3" xfId="25542" xr:uid="{00000000-0005-0000-0000-000063570000}"/>
    <cellStyle name="Normal 5 6 4 2 2 3" xfId="12826" xr:uid="{00000000-0005-0000-0000-000064570000}"/>
    <cellStyle name="Normal 5 6 4 2 2 3 2" xfId="29766" xr:uid="{00000000-0005-0000-0000-000065570000}"/>
    <cellStyle name="Normal 5 6 4 2 2 4" xfId="21318" xr:uid="{00000000-0005-0000-0000-000066570000}"/>
    <cellStyle name="Normal 5 6 4 2 3" xfId="6490" xr:uid="{00000000-0005-0000-0000-000067570000}"/>
    <cellStyle name="Normal 5 6 4 2 3 2" xfId="14938" xr:uid="{00000000-0005-0000-0000-000068570000}"/>
    <cellStyle name="Normal 5 6 4 2 3 2 2" xfId="31878" xr:uid="{00000000-0005-0000-0000-000069570000}"/>
    <cellStyle name="Normal 5 6 4 2 3 3" xfId="23430" xr:uid="{00000000-0005-0000-0000-00006A570000}"/>
    <cellStyle name="Normal 5 6 4 2 4" xfId="10714" xr:uid="{00000000-0005-0000-0000-00006B570000}"/>
    <cellStyle name="Normal 5 6 4 2 4 2" xfId="27654" xr:uid="{00000000-0005-0000-0000-00006C570000}"/>
    <cellStyle name="Normal 5 6 4 2 5" xfId="19206" xr:uid="{00000000-0005-0000-0000-00006D570000}"/>
    <cellStyle name="Normal 5 6 4 3" xfId="3320" xr:uid="{00000000-0005-0000-0000-00006E570000}"/>
    <cellStyle name="Normal 5 6 4 3 2" xfId="7546" xr:uid="{00000000-0005-0000-0000-00006F570000}"/>
    <cellStyle name="Normal 5 6 4 3 2 2" xfId="15994" xr:uid="{00000000-0005-0000-0000-000070570000}"/>
    <cellStyle name="Normal 5 6 4 3 2 2 2" xfId="32934" xr:uid="{00000000-0005-0000-0000-000071570000}"/>
    <cellStyle name="Normal 5 6 4 3 2 3" xfId="24486" xr:uid="{00000000-0005-0000-0000-000072570000}"/>
    <cellStyle name="Normal 5 6 4 3 3" xfId="11770" xr:uid="{00000000-0005-0000-0000-000073570000}"/>
    <cellStyle name="Normal 5 6 4 3 3 2" xfId="28710" xr:uid="{00000000-0005-0000-0000-000074570000}"/>
    <cellStyle name="Normal 5 6 4 3 4" xfId="20262" xr:uid="{00000000-0005-0000-0000-000075570000}"/>
    <cellStyle name="Normal 5 6 4 4" xfId="5434" xr:uid="{00000000-0005-0000-0000-000076570000}"/>
    <cellStyle name="Normal 5 6 4 4 2" xfId="13882" xr:uid="{00000000-0005-0000-0000-000077570000}"/>
    <cellStyle name="Normal 5 6 4 4 2 2" xfId="30822" xr:uid="{00000000-0005-0000-0000-000078570000}"/>
    <cellStyle name="Normal 5 6 4 4 3" xfId="22374" xr:uid="{00000000-0005-0000-0000-000079570000}"/>
    <cellStyle name="Normal 5 6 4 5" xfId="9658" xr:uid="{00000000-0005-0000-0000-00007A570000}"/>
    <cellStyle name="Normal 5 6 4 5 2" xfId="26598" xr:uid="{00000000-0005-0000-0000-00007B570000}"/>
    <cellStyle name="Normal 5 6 4 6" xfId="18150" xr:uid="{00000000-0005-0000-0000-00007C570000}"/>
    <cellStyle name="Normal 5 6 5" xfId="1384" xr:uid="{00000000-0005-0000-0000-00007D570000}"/>
    <cellStyle name="Normal 5 6 5 2" xfId="2440" xr:uid="{00000000-0005-0000-0000-00007E570000}"/>
    <cellStyle name="Normal 5 6 5 2 2" xfId="4552" xr:uid="{00000000-0005-0000-0000-00007F570000}"/>
    <cellStyle name="Normal 5 6 5 2 2 2" xfId="8778" xr:uid="{00000000-0005-0000-0000-000080570000}"/>
    <cellStyle name="Normal 5 6 5 2 2 2 2" xfId="17226" xr:uid="{00000000-0005-0000-0000-000081570000}"/>
    <cellStyle name="Normal 5 6 5 2 2 2 2 2" xfId="34166" xr:uid="{00000000-0005-0000-0000-000082570000}"/>
    <cellStyle name="Normal 5 6 5 2 2 2 3" xfId="25718" xr:uid="{00000000-0005-0000-0000-000083570000}"/>
    <cellStyle name="Normal 5 6 5 2 2 3" xfId="13002" xr:uid="{00000000-0005-0000-0000-000084570000}"/>
    <cellStyle name="Normal 5 6 5 2 2 3 2" xfId="29942" xr:uid="{00000000-0005-0000-0000-000085570000}"/>
    <cellStyle name="Normal 5 6 5 2 2 4" xfId="21494" xr:uid="{00000000-0005-0000-0000-000086570000}"/>
    <cellStyle name="Normal 5 6 5 2 3" xfId="6666" xr:uid="{00000000-0005-0000-0000-000087570000}"/>
    <cellStyle name="Normal 5 6 5 2 3 2" xfId="15114" xr:uid="{00000000-0005-0000-0000-000088570000}"/>
    <cellStyle name="Normal 5 6 5 2 3 2 2" xfId="32054" xr:uid="{00000000-0005-0000-0000-000089570000}"/>
    <cellStyle name="Normal 5 6 5 2 3 3" xfId="23606" xr:uid="{00000000-0005-0000-0000-00008A570000}"/>
    <cellStyle name="Normal 5 6 5 2 4" xfId="10890" xr:uid="{00000000-0005-0000-0000-00008B570000}"/>
    <cellStyle name="Normal 5 6 5 2 4 2" xfId="27830" xr:uid="{00000000-0005-0000-0000-00008C570000}"/>
    <cellStyle name="Normal 5 6 5 2 5" xfId="19382" xr:uid="{00000000-0005-0000-0000-00008D570000}"/>
    <cellStyle name="Normal 5 6 5 3" xfId="3496" xr:uid="{00000000-0005-0000-0000-00008E570000}"/>
    <cellStyle name="Normal 5 6 5 3 2" xfId="7722" xr:uid="{00000000-0005-0000-0000-00008F570000}"/>
    <cellStyle name="Normal 5 6 5 3 2 2" xfId="16170" xr:uid="{00000000-0005-0000-0000-000090570000}"/>
    <cellStyle name="Normal 5 6 5 3 2 2 2" xfId="33110" xr:uid="{00000000-0005-0000-0000-000091570000}"/>
    <cellStyle name="Normal 5 6 5 3 2 3" xfId="24662" xr:uid="{00000000-0005-0000-0000-000092570000}"/>
    <cellStyle name="Normal 5 6 5 3 3" xfId="11946" xr:uid="{00000000-0005-0000-0000-000093570000}"/>
    <cellStyle name="Normal 5 6 5 3 3 2" xfId="28886" xr:uid="{00000000-0005-0000-0000-000094570000}"/>
    <cellStyle name="Normal 5 6 5 3 4" xfId="20438" xr:uid="{00000000-0005-0000-0000-000095570000}"/>
    <cellStyle name="Normal 5 6 5 4" xfId="5610" xr:uid="{00000000-0005-0000-0000-000096570000}"/>
    <cellStyle name="Normal 5 6 5 4 2" xfId="14058" xr:uid="{00000000-0005-0000-0000-000097570000}"/>
    <cellStyle name="Normal 5 6 5 4 2 2" xfId="30998" xr:uid="{00000000-0005-0000-0000-000098570000}"/>
    <cellStyle name="Normal 5 6 5 4 3" xfId="22550" xr:uid="{00000000-0005-0000-0000-000099570000}"/>
    <cellStyle name="Normal 5 6 5 5" xfId="9834" xr:uid="{00000000-0005-0000-0000-00009A570000}"/>
    <cellStyle name="Normal 5 6 5 5 2" xfId="26774" xr:uid="{00000000-0005-0000-0000-00009B570000}"/>
    <cellStyle name="Normal 5 6 5 6" xfId="18326" xr:uid="{00000000-0005-0000-0000-00009C570000}"/>
    <cellStyle name="Normal 5 6 6" xfId="1560" xr:uid="{00000000-0005-0000-0000-00009D570000}"/>
    <cellStyle name="Normal 5 6 6 2" xfId="3672" xr:uid="{00000000-0005-0000-0000-00009E570000}"/>
    <cellStyle name="Normal 5 6 6 2 2" xfId="7898" xr:uid="{00000000-0005-0000-0000-00009F570000}"/>
    <cellStyle name="Normal 5 6 6 2 2 2" xfId="16346" xr:uid="{00000000-0005-0000-0000-0000A0570000}"/>
    <cellStyle name="Normal 5 6 6 2 2 2 2" xfId="33286" xr:uid="{00000000-0005-0000-0000-0000A1570000}"/>
    <cellStyle name="Normal 5 6 6 2 2 3" xfId="24838" xr:uid="{00000000-0005-0000-0000-0000A2570000}"/>
    <cellStyle name="Normal 5 6 6 2 3" xfId="12122" xr:uid="{00000000-0005-0000-0000-0000A3570000}"/>
    <cellStyle name="Normal 5 6 6 2 3 2" xfId="29062" xr:uid="{00000000-0005-0000-0000-0000A4570000}"/>
    <cellStyle name="Normal 5 6 6 2 4" xfId="20614" xr:uid="{00000000-0005-0000-0000-0000A5570000}"/>
    <cellStyle name="Normal 5 6 6 3" xfId="5786" xr:uid="{00000000-0005-0000-0000-0000A6570000}"/>
    <cellStyle name="Normal 5 6 6 3 2" xfId="14234" xr:uid="{00000000-0005-0000-0000-0000A7570000}"/>
    <cellStyle name="Normal 5 6 6 3 2 2" xfId="31174" xr:uid="{00000000-0005-0000-0000-0000A8570000}"/>
    <cellStyle name="Normal 5 6 6 3 3" xfId="22726" xr:uid="{00000000-0005-0000-0000-0000A9570000}"/>
    <cellStyle name="Normal 5 6 6 4" xfId="10010" xr:uid="{00000000-0005-0000-0000-0000AA570000}"/>
    <cellStyle name="Normal 5 6 6 4 2" xfId="26950" xr:uid="{00000000-0005-0000-0000-0000AB570000}"/>
    <cellStyle name="Normal 5 6 6 5" xfId="18502" xr:uid="{00000000-0005-0000-0000-0000AC570000}"/>
    <cellStyle name="Normal 5 6 7" xfId="2616" xr:uid="{00000000-0005-0000-0000-0000AD570000}"/>
    <cellStyle name="Normal 5 6 7 2" xfId="6842" xr:uid="{00000000-0005-0000-0000-0000AE570000}"/>
    <cellStyle name="Normal 5 6 7 2 2" xfId="15290" xr:uid="{00000000-0005-0000-0000-0000AF570000}"/>
    <cellStyle name="Normal 5 6 7 2 2 2" xfId="32230" xr:uid="{00000000-0005-0000-0000-0000B0570000}"/>
    <cellStyle name="Normal 5 6 7 2 3" xfId="23782" xr:uid="{00000000-0005-0000-0000-0000B1570000}"/>
    <cellStyle name="Normal 5 6 7 3" xfId="11066" xr:uid="{00000000-0005-0000-0000-0000B2570000}"/>
    <cellStyle name="Normal 5 6 7 3 2" xfId="28006" xr:uid="{00000000-0005-0000-0000-0000B3570000}"/>
    <cellStyle name="Normal 5 6 7 4" xfId="19558" xr:uid="{00000000-0005-0000-0000-0000B4570000}"/>
    <cellStyle name="Normal 5 6 8" xfId="4729" xr:uid="{00000000-0005-0000-0000-0000B5570000}"/>
    <cellStyle name="Normal 5 6 8 2" xfId="13178" xr:uid="{00000000-0005-0000-0000-0000B6570000}"/>
    <cellStyle name="Normal 5 6 8 2 2" xfId="30118" xr:uid="{00000000-0005-0000-0000-0000B7570000}"/>
    <cellStyle name="Normal 5 6 8 3" xfId="21670" xr:uid="{00000000-0005-0000-0000-0000B8570000}"/>
    <cellStyle name="Normal 5 6 9" xfId="8954" xr:uid="{00000000-0005-0000-0000-0000B9570000}"/>
    <cellStyle name="Normal 5 6 9 2" xfId="25894" xr:uid="{00000000-0005-0000-0000-0000BA570000}"/>
    <cellStyle name="Normal 5 7" xfId="666" xr:uid="{00000000-0005-0000-0000-0000BB570000}"/>
    <cellStyle name="Normal 5 7 2" xfId="1018" xr:uid="{00000000-0005-0000-0000-0000BC570000}"/>
    <cellStyle name="Normal 5 7 2 2" xfId="2080" xr:uid="{00000000-0005-0000-0000-0000BD570000}"/>
    <cellStyle name="Normal 5 7 2 2 2" xfId="4192" xr:uid="{00000000-0005-0000-0000-0000BE570000}"/>
    <cellStyle name="Normal 5 7 2 2 2 2" xfId="8418" xr:uid="{00000000-0005-0000-0000-0000BF570000}"/>
    <cellStyle name="Normal 5 7 2 2 2 2 2" xfId="16866" xr:uid="{00000000-0005-0000-0000-0000C0570000}"/>
    <cellStyle name="Normal 5 7 2 2 2 2 2 2" xfId="33806" xr:uid="{00000000-0005-0000-0000-0000C1570000}"/>
    <cellStyle name="Normal 5 7 2 2 2 2 3" xfId="25358" xr:uid="{00000000-0005-0000-0000-0000C2570000}"/>
    <cellStyle name="Normal 5 7 2 2 2 3" xfId="12642" xr:uid="{00000000-0005-0000-0000-0000C3570000}"/>
    <cellStyle name="Normal 5 7 2 2 2 3 2" xfId="29582" xr:uid="{00000000-0005-0000-0000-0000C4570000}"/>
    <cellStyle name="Normal 5 7 2 2 2 4" xfId="21134" xr:uid="{00000000-0005-0000-0000-0000C5570000}"/>
    <cellStyle name="Normal 5 7 2 2 3" xfId="6306" xr:uid="{00000000-0005-0000-0000-0000C6570000}"/>
    <cellStyle name="Normal 5 7 2 2 3 2" xfId="14754" xr:uid="{00000000-0005-0000-0000-0000C7570000}"/>
    <cellStyle name="Normal 5 7 2 2 3 2 2" xfId="31694" xr:uid="{00000000-0005-0000-0000-0000C8570000}"/>
    <cellStyle name="Normal 5 7 2 2 3 3" xfId="23246" xr:uid="{00000000-0005-0000-0000-0000C9570000}"/>
    <cellStyle name="Normal 5 7 2 2 4" xfId="10530" xr:uid="{00000000-0005-0000-0000-0000CA570000}"/>
    <cellStyle name="Normal 5 7 2 2 4 2" xfId="27470" xr:uid="{00000000-0005-0000-0000-0000CB570000}"/>
    <cellStyle name="Normal 5 7 2 2 5" xfId="19022" xr:uid="{00000000-0005-0000-0000-0000CC570000}"/>
    <cellStyle name="Normal 5 7 2 3" xfId="3136" xr:uid="{00000000-0005-0000-0000-0000CD570000}"/>
    <cellStyle name="Normal 5 7 2 3 2" xfId="7362" xr:uid="{00000000-0005-0000-0000-0000CE570000}"/>
    <cellStyle name="Normal 5 7 2 3 2 2" xfId="15810" xr:uid="{00000000-0005-0000-0000-0000CF570000}"/>
    <cellStyle name="Normal 5 7 2 3 2 2 2" xfId="32750" xr:uid="{00000000-0005-0000-0000-0000D0570000}"/>
    <cellStyle name="Normal 5 7 2 3 2 3" xfId="24302" xr:uid="{00000000-0005-0000-0000-0000D1570000}"/>
    <cellStyle name="Normal 5 7 2 3 3" xfId="11586" xr:uid="{00000000-0005-0000-0000-0000D2570000}"/>
    <cellStyle name="Normal 5 7 2 3 3 2" xfId="28526" xr:uid="{00000000-0005-0000-0000-0000D3570000}"/>
    <cellStyle name="Normal 5 7 2 3 4" xfId="20078" xr:uid="{00000000-0005-0000-0000-0000D4570000}"/>
    <cellStyle name="Normal 5 7 2 4" xfId="5250" xr:uid="{00000000-0005-0000-0000-0000D5570000}"/>
    <cellStyle name="Normal 5 7 2 4 2" xfId="13698" xr:uid="{00000000-0005-0000-0000-0000D6570000}"/>
    <cellStyle name="Normal 5 7 2 4 2 2" xfId="30638" xr:uid="{00000000-0005-0000-0000-0000D7570000}"/>
    <cellStyle name="Normal 5 7 2 4 3" xfId="22190" xr:uid="{00000000-0005-0000-0000-0000D8570000}"/>
    <cellStyle name="Normal 5 7 2 5" xfId="9474" xr:uid="{00000000-0005-0000-0000-0000D9570000}"/>
    <cellStyle name="Normal 5 7 2 5 2" xfId="26414" xr:uid="{00000000-0005-0000-0000-0000DA570000}"/>
    <cellStyle name="Normal 5 7 2 6" xfId="17966" xr:uid="{00000000-0005-0000-0000-0000DB570000}"/>
    <cellStyle name="Normal 5 7 3" xfId="1728" xr:uid="{00000000-0005-0000-0000-0000DC570000}"/>
    <cellStyle name="Normal 5 7 3 2" xfId="3840" xr:uid="{00000000-0005-0000-0000-0000DD570000}"/>
    <cellStyle name="Normal 5 7 3 2 2" xfId="8066" xr:uid="{00000000-0005-0000-0000-0000DE570000}"/>
    <cellStyle name="Normal 5 7 3 2 2 2" xfId="16514" xr:uid="{00000000-0005-0000-0000-0000DF570000}"/>
    <cellStyle name="Normal 5 7 3 2 2 2 2" xfId="33454" xr:uid="{00000000-0005-0000-0000-0000E0570000}"/>
    <cellStyle name="Normal 5 7 3 2 2 3" xfId="25006" xr:uid="{00000000-0005-0000-0000-0000E1570000}"/>
    <cellStyle name="Normal 5 7 3 2 3" xfId="12290" xr:uid="{00000000-0005-0000-0000-0000E2570000}"/>
    <cellStyle name="Normal 5 7 3 2 3 2" xfId="29230" xr:uid="{00000000-0005-0000-0000-0000E3570000}"/>
    <cellStyle name="Normal 5 7 3 2 4" xfId="20782" xr:uid="{00000000-0005-0000-0000-0000E4570000}"/>
    <cellStyle name="Normal 5 7 3 3" xfId="5954" xr:uid="{00000000-0005-0000-0000-0000E5570000}"/>
    <cellStyle name="Normal 5 7 3 3 2" xfId="14402" xr:uid="{00000000-0005-0000-0000-0000E6570000}"/>
    <cellStyle name="Normal 5 7 3 3 2 2" xfId="31342" xr:uid="{00000000-0005-0000-0000-0000E7570000}"/>
    <cellStyle name="Normal 5 7 3 3 3" xfId="22894" xr:uid="{00000000-0005-0000-0000-0000E8570000}"/>
    <cellStyle name="Normal 5 7 3 4" xfId="10178" xr:uid="{00000000-0005-0000-0000-0000E9570000}"/>
    <cellStyle name="Normal 5 7 3 4 2" xfId="27118" xr:uid="{00000000-0005-0000-0000-0000EA570000}"/>
    <cellStyle name="Normal 5 7 3 5" xfId="18670" xr:uid="{00000000-0005-0000-0000-0000EB570000}"/>
    <cellStyle name="Normal 5 7 4" xfId="2784" xr:uid="{00000000-0005-0000-0000-0000EC570000}"/>
    <cellStyle name="Normal 5 7 4 2" xfId="7010" xr:uid="{00000000-0005-0000-0000-0000ED570000}"/>
    <cellStyle name="Normal 5 7 4 2 2" xfId="15458" xr:uid="{00000000-0005-0000-0000-0000EE570000}"/>
    <cellStyle name="Normal 5 7 4 2 2 2" xfId="32398" xr:uid="{00000000-0005-0000-0000-0000EF570000}"/>
    <cellStyle name="Normal 5 7 4 2 3" xfId="23950" xr:uid="{00000000-0005-0000-0000-0000F0570000}"/>
    <cellStyle name="Normal 5 7 4 3" xfId="11234" xr:uid="{00000000-0005-0000-0000-0000F1570000}"/>
    <cellStyle name="Normal 5 7 4 3 2" xfId="28174" xr:uid="{00000000-0005-0000-0000-0000F2570000}"/>
    <cellStyle name="Normal 5 7 4 4" xfId="19726" xr:uid="{00000000-0005-0000-0000-0000F3570000}"/>
    <cellStyle name="Normal 5 7 5" xfId="4898" xr:uid="{00000000-0005-0000-0000-0000F4570000}"/>
    <cellStyle name="Normal 5 7 5 2" xfId="13346" xr:uid="{00000000-0005-0000-0000-0000F5570000}"/>
    <cellStyle name="Normal 5 7 5 2 2" xfId="30286" xr:uid="{00000000-0005-0000-0000-0000F6570000}"/>
    <cellStyle name="Normal 5 7 5 3" xfId="21838" xr:uid="{00000000-0005-0000-0000-0000F7570000}"/>
    <cellStyle name="Normal 5 7 6" xfId="9122" xr:uid="{00000000-0005-0000-0000-0000F8570000}"/>
    <cellStyle name="Normal 5 7 6 2" xfId="26062" xr:uid="{00000000-0005-0000-0000-0000F9570000}"/>
    <cellStyle name="Normal 5 7 7" xfId="17614" xr:uid="{00000000-0005-0000-0000-0000FA570000}"/>
    <cellStyle name="Normal 5 8" xfId="842" xr:uid="{00000000-0005-0000-0000-0000FB570000}"/>
    <cellStyle name="Normal 5 8 2" xfId="1904" xr:uid="{00000000-0005-0000-0000-0000FC570000}"/>
    <cellStyle name="Normal 5 8 2 2" xfId="4016" xr:uid="{00000000-0005-0000-0000-0000FD570000}"/>
    <cellStyle name="Normal 5 8 2 2 2" xfId="8242" xr:uid="{00000000-0005-0000-0000-0000FE570000}"/>
    <cellStyle name="Normal 5 8 2 2 2 2" xfId="16690" xr:uid="{00000000-0005-0000-0000-0000FF570000}"/>
    <cellStyle name="Normal 5 8 2 2 2 2 2" xfId="33630" xr:uid="{00000000-0005-0000-0000-000000580000}"/>
    <cellStyle name="Normal 5 8 2 2 2 3" xfId="25182" xr:uid="{00000000-0005-0000-0000-000001580000}"/>
    <cellStyle name="Normal 5 8 2 2 3" xfId="12466" xr:uid="{00000000-0005-0000-0000-000002580000}"/>
    <cellStyle name="Normal 5 8 2 2 3 2" xfId="29406" xr:uid="{00000000-0005-0000-0000-000003580000}"/>
    <cellStyle name="Normal 5 8 2 2 4" xfId="20958" xr:uid="{00000000-0005-0000-0000-000004580000}"/>
    <cellStyle name="Normal 5 8 2 3" xfId="6130" xr:uid="{00000000-0005-0000-0000-000005580000}"/>
    <cellStyle name="Normal 5 8 2 3 2" xfId="14578" xr:uid="{00000000-0005-0000-0000-000006580000}"/>
    <cellStyle name="Normal 5 8 2 3 2 2" xfId="31518" xr:uid="{00000000-0005-0000-0000-000007580000}"/>
    <cellStyle name="Normal 5 8 2 3 3" xfId="23070" xr:uid="{00000000-0005-0000-0000-000008580000}"/>
    <cellStyle name="Normal 5 8 2 4" xfId="10354" xr:uid="{00000000-0005-0000-0000-000009580000}"/>
    <cellStyle name="Normal 5 8 2 4 2" xfId="27294" xr:uid="{00000000-0005-0000-0000-00000A580000}"/>
    <cellStyle name="Normal 5 8 2 5" xfId="18846" xr:uid="{00000000-0005-0000-0000-00000B580000}"/>
    <cellStyle name="Normal 5 8 3" xfId="2960" xr:uid="{00000000-0005-0000-0000-00000C580000}"/>
    <cellStyle name="Normal 5 8 3 2" xfId="7186" xr:uid="{00000000-0005-0000-0000-00000D580000}"/>
    <cellStyle name="Normal 5 8 3 2 2" xfId="15634" xr:uid="{00000000-0005-0000-0000-00000E580000}"/>
    <cellStyle name="Normal 5 8 3 2 2 2" xfId="32574" xr:uid="{00000000-0005-0000-0000-00000F580000}"/>
    <cellStyle name="Normal 5 8 3 2 3" xfId="24126" xr:uid="{00000000-0005-0000-0000-000010580000}"/>
    <cellStyle name="Normal 5 8 3 3" xfId="11410" xr:uid="{00000000-0005-0000-0000-000011580000}"/>
    <cellStyle name="Normal 5 8 3 3 2" xfId="28350" xr:uid="{00000000-0005-0000-0000-000012580000}"/>
    <cellStyle name="Normal 5 8 3 4" xfId="19902" xr:uid="{00000000-0005-0000-0000-000013580000}"/>
    <cellStyle name="Normal 5 8 4" xfId="5074" xr:uid="{00000000-0005-0000-0000-000014580000}"/>
    <cellStyle name="Normal 5 8 4 2" xfId="13522" xr:uid="{00000000-0005-0000-0000-000015580000}"/>
    <cellStyle name="Normal 5 8 4 2 2" xfId="30462" xr:uid="{00000000-0005-0000-0000-000016580000}"/>
    <cellStyle name="Normal 5 8 4 3" xfId="22014" xr:uid="{00000000-0005-0000-0000-000017580000}"/>
    <cellStyle name="Normal 5 8 5" xfId="9298" xr:uid="{00000000-0005-0000-0000-000018580000}"/>
    <cellStyle name="Normal 5 8 5 2" xfId="26238" xr:uid="{00000000-0005-0000-0000-000019580000}"/>
    <cellStyle name="Normal 5 8 6" xfId="17790" xr:uid="{00000000-0005-0000-0000-00001A580000}"/>
    <cellStyle name="Normal 5 9" xfId="1194" xr:uid="{00000000-0005-0000-0000-00001B580000}"/>
    <cellStyle name="Normal 5 9 2" xfId="2256" xr:uid="{00000000-0005-0000-0000-00001C580000}"/>
    <cellStyle name="Normal 5 9 2 2" xfId="4368" xr:uid="{00000000-0005-0000-0000-00001D580000}"/>
    <cellStyle name="Normal 5 9 2 2 2" xfId="8594" xr:uid="{00000000-0005-0000-0000-00001E580000}"/>
    <cellStyle name="Normal 5 9 2 2 2 2" xfId="17042" xr:uid="{00000000-0005-0000-0000-00001F580000}"/>
    <cellStyle name="Normal 5 9 2 2 2 2 2" xfId="33982" xr:uid="{00000000-0005-0000-0000-000020580000}"/>
    <cellStyle name="Normal 5 9 2 2 2 3" xfId="25534" xr:uid="{00000000-0005-0000-0000-000021580000}"/>
    <cellStyle name="Normal 5 9 2 2 3" xfId="12818" xr:uid="{00000000-0005-0000-0000-000022580000}"/>
    <cellStyle name="Normal 5 9 2 2 3 2" xfId="29758" xr:uid="{00000000-0005-0000-0000-000023580000}"/>
    <cellStyle name="Normal 5 9 2 2 4" xfId="21310" xr:uid="{00000000-0005-0000-0000-000024580000}"/>
    <cellStyle name="Normal 5 9 2 3" xfId="6482" xr:uid="{00000000-0005-0000-0000-000025580000}"/>
    <cellStyle name="Normal 5 9 2 3 2" xfId="14930" xr:uid="{00000000-0005-0000-0000-000026580000}"/>
    <cellStyle name="Normal 5 9 2 3 2 2" xfId="31870" xr:uid="{00000000-0005-0000-0000-000027580000}"/>
    <cellStyle name="Normal 5 9 2 3 3" xfId="23422" xr:uid="{00000000-0005-0000-0000-000028580000}"/>
    <cellStyle name="Normal 5 9 2 4" xfId="10706" xr:uid="{00000000-0005-0000-0000-000029580000}"/>
    <cellStyle name="Normal 5 9 2 4 2" xfId="27646" xr:uid="{00000000-0005-0000-0000-00002A580000}"/>
    <cellStyle name="Normal 5 9 2 5" xfId="19198" xr:uid="{00000000-0005-0000-0000-00002B580000}"/>
    <cellStyle name="Normal 5 9 3" xfId="3312" xr:uid="{00000000-0005-0000-0000-00002C580000}"/>
    <cellStyle name="Normal 5 9 3 2" xfId="7538" xr:uid="{00000000-0005-0000-0000-00002D580000}"/>
    <cellStyle name="Normal 5 9 3 2 2" xfId="15986" xr:uid="{00000000-0005-0000-0000-00002E580000}"/>
    <cellStyle name="Normal 5 9 3 2 2 2" xfId="32926" xr:uid="{00000000-0005-0000-0000-00002F580000}"/>
    <cellStyle name="Normal 5 9 3 2 3" xfId="24478" xr:uid="{00000000-0005-0000-0000-000030580000}"/>
    <cellStyle name="Normal 5 9 3 3" xfId="11762" xr:uid="{00000000-0005-0000-0000-000031580000}"/>
    <cellStyle name="Normal 5 9 3 3 2" xfId="28702" xr:uid="{00000000-0005-0000-0000-000032580000}"/>
    <cellStyle name="Normal 5 9 3 4" xfId="20254" xr:uid="{00000000-0005-0000-0000-000033580000}"/>
    <cellStyle name="Normal 5 9 4" xfId="5426" xr:uid="{00000000-0005-0000-0000-000034580000}"/>
    <cellStyle name="Normal 5 9 4 2" xfId="13874" xr:uid="{00000000-0005-0000-0000-000035580000}"/>
    <cellStyle name="Normal 5 9 4 2 2" xfId="30814" xr:uid="{00000000-0005-0000-0000-000036580000}"/>
    <cellStyle name="Normal 5 9 4 3" xfId="22366" xr:uid="{00000000-0005-0000-0000-000037580000}"/>
    <cellStyle name="Normal 5 9 5" xfId="9650" xr:uid="{00000000-0005-0000-0000-000038580000}"/>
    <cellStyle name="Normal 5 9 5 2" xfId="26590" xr:uid="{00000000-0005-0000-0000-000039580000}"/>
    <cellStyle name="Normal 5 9 6" xfId="18142" xr:uid="{00000000-0005-0000-0000-00003A580000}"/>
    <cellStyle name="Normal 50" xfId="1265" xr:uid="{00000000-0005-0000-0000-00003B580000}"/>
    <cellStyle name="Normal 51" xfId="1266" xr:uid="{00000000-0005-0000-0000-00003C580000}"/>
    <cellStyle name="Normal 52" xfId="1264" xr:uid="{00000000-0005-0000-0000-00003D580000}"/>
    <cellStyle name="Normal 53" xfId="1267" xr:uid="{00000000-0005-0000-0000-00003E580000}"/>
    <cellStyle name="Normal 54" xfId="1268" xr:uid="{00000000-0005-0000-0000-00003F580000}"/>
    <cellStyle name="Normal 55" xfId="4613" xr:uid="{00000000-0005-0000-0000-000040580000}"/>
    <cellStyle name="Normal 56" xfId="4790" xr:uid="{00000000-0005-0000-0000-000041580000}"/>
    <cellStyle name="Normal 57" xfId="34227" xr:uid="{00000000-0005-0000-0000-000042580000}"/>
    <cellStyle name="Normal 58" xfId="34230" xr:uid="{00000000-0005-0000-0000-000043580000}"/>
    <cellStyle name="Normal 59" xfId="34234" xr:uid="{00000000-0005-0000-0000-000044580000}"/>
    <cellStyle name="Normal 6" xfId="380" xr:uid="{00000000-0005-0000-0000-000045580000}"/>
    <cellStyle name="Normal 6 10" xfId="1385" xr:uid="{00000000-0005-0000-0000-000046580000}"/>
    <cellStyle name="Normal 6 10 2" xfId="2441" xr:uid="{00000000-0005-0000-0000-000047580000}"/>
    <cellStyle name="Normal 6 10 2 2" xfId="4553" xr:uid="{00000000-0005-0000-0000-000048580000}"/>
    <cellStyle name="Normal 6 10 2 2 2" xfId="8779" xr:uid="{00000000-0005-0000-0000-000049580000}"/>
    <cellStyle name="Normal 6 10 2 2 2 2" xfId="17227" xr:uid="{00000000-0005-0000-0000-00004A580000}"/>
    <cellStyle name="Normal 6 10 2 2 2 2 2" xfId="34167" xr:uid="{00000000-0005-0000-0000-00004B580000}"/>
    <cellStyle name="Normal 6 10 2 2 2 3" xfId="25719" xr:uid="{00000000-0005-0000-0000-00004C580000}"/>
    <cellStyle name="Normal 6 10 2 2 3" xfId="13003" xr:uid="{00000000-0005-0000-0000-00004D580000}"/>
    <cellStyle name="Normal 6 10 2 2 3 2" xfId="29943" xr:uid="{00000000-0005-0000-0000-00004E580000}"/>
    <cellStyle name="Normal 6 10 2 2 4" xfId="21495" xr:uid="{00000000-0005-0000-0000-00004F580000}"/>
    <cellStyle name="Normal 6 10 2 3" xfId="6667" xr:uid="{00000000-0005-0000-0000-000050580000}"/>
    <cellStyle name="Normal 6 10 2 3 2" xfId="15115" xr:uid="{00000000-0005-0000-0000-000051580000}"/>
    <cellStyle name="Normal 6 10 2 3 2 2" xfId="32055" xr:uid="{00000000-0005-0000-0000-000052580000}"/>
    <cellStyle name="Normal 6 10 2 3 3" xfId="23607" xr:uid="{00000000-0005-0000-0000-000053580000}"/>
    <cellStyle name="Normal 6 10 2 4" xfId="10891" xr:uid="{00000000-0005-0000-0000-000054580000}"/>
    <cellStyle name="Normal 6 10 2 4 2" xfId="27831" xr:uid="{00000000-0005-0000-0000-000055580000}"/>
    <cellStyle name="Normal 6 10 2 5" xfId="19383" xr:uid="{00000000-0005-0000-0000-000056580000}"/>
    <cellStyle name="Normal 6 10 3" xfId="3497" xr:uid="{00000000-0005-0000-0000-000057580000}"/>
    <cellStyle name="Normal 6 10 3 2" xfId="7723" xr:uid="{00000000-0005-0000-0000-000058580000}"/>
    <cellStyle name="Normal 6 10 3 2 2" xfId="16171" xr:uid="{00000000-0005-0000-0000-000059580000}"/>
    <cellStyle name="Normal 6 10 3 2 2 2" xfId="33111" xr:uid="{00000000-0005-0000-0000-00005A580000}"/>
    <cellStyle name="Normal 6 10 3 2 3" xfId="24663" xr:uid="{00000000-0005-0000-0000-00005B580000}"/>
    <cellStyle name="Normal 6 10 3 3" xfId="11947" xr:uid="{00000000-0005-0000-0000-00005C580000}"/>
    <cellStyle name="Normal 6 10 3 3 2" xfId="28887" xr:uid="{00000000-0005-0000-0000-00005D580000}"/>
    <cellStyle name="Normal 6 10 3 4" xfId="20439" xr:uid="{00000000-0005-0000-0000-00005E580000}"/>
    <cellStyle name="Normal 6 10 4" xfId="5611" xr:uid="{00000000-0005-0000-0000-00005F580000}"/>
    <cellStyle name="Normal 6 10 4 2" xfId="14059" xr:uid="{00000000-0005-0000-0000-000060580000}"/>
    <cellStyle name="Normal 6 10 4 2 2" xfId="30999" xr:uid="{00000000-0005-0000-0000-000061580000}"/>
    <cellStyle name="Normal 6 10 4 3" xfId="22551" xr:uid="{00000000-0005-0000-0000-000062580000}"/>
    <cellStyle name="Normal 6 10 5" xfId="9835" xr:uid="{00000000-0005-0000-0000-000063580000}"/>
    <cellStyle name="Normal 6 10 5 2" xfId="26775" xr:uid="{00000000-0005-0000-0000-000064580000}"/>
    <cellStyle name="Normal 6 10 6" xfId="18327" xr:uid="{00000000-0005-0000-0000-000065580000}"/>
    <cellStyle name="Normal 6 11" xfId="1561" xr:uid="{00000000-0005-0000-0000-000066580000}"/>
    <cellStyle name="Normal 6 11 2" xfId="3673" xr:uid="{00000000-0005-0000-0000-000067580000}"/>
    <cellStyle name="Normal 6 11 2 2" xfId="7899" xr:uid="{00000000-0005-0000-0000-000068580000}"/>
    <cellStyle name="Normal 6 11 2 2 2" xfId="16347" xr:uid="{00000000-0005-0000-0000-000069580000}"/>
    <cellStyle name="Normal 6 11 2 2 2 2" xfId="33287" xr:uid="{00000000-0005-0000-0000-00006A580000}"/>
    <cellStyle name="Normal 6 11 2 2 3" xfId="24839" xr:uid="{00000000-0005-0000-0000-00006B580000}"/>
    <cellStyle name="Normal 6 11 2 3" xfId="12123" xr:uid="{00000000-0005-0000-0000-00006C580000}"/>
    <cellStyle name="Normal 6 11 2 3 2" xfId="29063" xr:uid="{00000000-0005-0000-0000-00006D580000}"/>
    <cellStyle name="Normal 6 11 2 4" xfId="20615" xr:uid="{00000000-0005-0000-0000-00006E580000}"/>
    <cellStyle name="Normal 6 11 3" xfId="5787" xr:uid="{00000000-0005-0000-0000-00006F580000}"/>
    <cellStyle name="Normal 6 11 3 2" xfId="14235" xr:uid="{00000000-0005-0000-0000-000070580000}"/>
    <cellStyle name="Normal 6 11 3 2 2" xfId="31175" xr:uid="{00000000-0005-0000-0000-000071580000}"/>
    <cellStyle name="Normal 6 11 3 3" xfId="22727" xr:uid="{00000000-0005-0000-0000-000072580000}"/>
    <cellStyle name="Normal 6 11 4" xfId="10011" xr:uid="{00000000-0005-0000-0000-000073580000}"/>
    <cellStyle name="Normal 6 11 4 2" xfId="26951" xr:uid="{00000000-0005-0000-0000-000074580000}"/>
    <cellStyle name="Normal 6 11 5" xfId="18503" xr:uid="{00000000-0005-0000-0000-000075580000}"/>
    <cellStyle name="Normal 6 12" xfId="2617" xr:uid="{00000000-0005-0000-0000-000076580000}"/>
    <cellStyle name="Normal 6 12 2" xfId="6843" xr:uid="{00000000-0005-0000-0000-000077580000}"/>
    <cellStyle name="Normal 6 12 2 2" xfId="15291" xr:uid="{00000000-0005-0000-0000-000078580000}"/>
    <cellStyle name="Normal 6 12 2 2 2" xfId="32231" xr:uid="{00000000-0005-0000-0000-000079580000}"/>
    <cellStyle name="Normal 6 12 2 3" xfId="23783" xr:uid="{00000000-0005-0000-0000-00007A580000}"/>
    <cellStyle name="Normal 6 12 3" xfId="11067" xr:uid="{00000000-0005-0000-0000-00007B580000}"/>
    <cellStyle name="Normal 6 12 3 2" xfId="28007" xr:uid="{00000000-0005-0000-0000-00007C580000}"/>
    <cellStyle name="Normal 6 12 4" xfId="19559" xr:uid="{00000000-0005-0000-0000-00007D580000}"/>
    <cellStyle name="Normal 6 13" xfId="4730" xr:uid="{00000000-0005-0000-0000-00007E580000}"/>
    <cellStyle name="Normal 6 13 2" xfId="13179" xr:uid="{00000000-0005-0000-0000-00007F580000}"/>
    <cellStyle name="Normal 6 13 2 2" xfId="30119" xr:uid="{00000000-0005-0000-0000-000080580000}"/>
    <cellStyle name="Normal 6 13 3" xfId="21671" xr:uid="{00000000-0005-0000-0000-000081580000}"/>
    <cellStyle name="Normal 6 14" xfId="8955" xr:uid="{00000000-0005-0000-0000-000082580000}"/>
    <cellStyle name="Normal 6 14 2" xfId="25895" xr:uid="{00000000-0005-0000-0000-000083580000}"/>
    <cellStyle name="Normal 6 15" xfId="17447" xr:uid="{00000000-0005-0000-0000-000084580000}"/>
    <cellStyle name="Normal 6 2" xfId="381" xr:uid="{00000000-0005-0000-0000-000085580000}"/>
    <cellStyle name="Normal 6 2 10" xfId="4731" xr:uid="{00000000-0005-0000-0000-000086580000}"/>
    <cellStyle name="Normal 6 2 10 2" xfId="13180" xr:uid="{00000000-0005-0000-0000-000087580000}"/>
    <cellStyle name="Normal 6 2 10 2 2" xfId="30120" xr:uid="{00000000-0005-0000-0000-000088580000}"/>
    <cellStyle name="Normal 6 2 10 3" xfId="21672" xr:uid="{00000000-0005-0000-0000-000089580000}"/>
    <cellStyle name="Normal 6 2 11" xfId="8956" xr:uid="{00000000-0005-0000-0000-00008A580000}"/>
    <cellStyle name="Normal 6 2 11 2" xfId="25896" xr:uid="{00000000-0005-0000-0000-00008B580000}"/>
    <cellStyle name="Normal 6 2 12" xfId="17448" xr:uid="{00000000-0005-0000-0000-00008C580000}"/>
    <cellStyle name="Normal 6 2 2" xfId="382" xr:uid="{00000000-0005-0000-0000-00008D580000}"/>
    <cellStyle name="Normal 6 2 2 10" xfId="17449" xr:uid="{00000000-0005-0000-0000-00008E580000}"/>
    <cellStyle name="Normal 6 2 2 2" xfId="677" xr:uid="{00000000-0005-0000-0000-00008F580000}"/>
    <cellStyle name="Normal 6 2 2 2 2" xfId="1029" xr:uid="{00000000-0005-0000-0000-000090580000}"/>
    <cellStyle name="Normal 6 2 2 2 2 2" xfId="2091" xr:uid="{00000000-0005-0000-0000-000091580000}"/>
    <cellStyle name="Normal 6 2 2 2 2 2 2" xfId="4203" xr:uid="{00000000-0005-0000-0000-000092580000}"/>
    <cellStyle name="Normal 6 2 2 2 2 2 2 2" xfId="8429" xr:uid="{00000000-0005-0000-0000-000093580000}"/>
    <cellStyle name="Normal 6 2 2 2 2 2 2 2 2" xfId="16877" xr:uid="{00000000-0005-0000-0000-000094580000}"/>
    <cellStyle name="Normal 6 2 2 2 2 2 2 2 2 2" xfId="33817" xr:uid="{00000000-0005-0000-0000-000095580000}"/>
    <cellStyle name="Normal 6 2 2 2 2 2 2 2 3" xfId="25369" xr:uid="{00000000-0005-0000-0000-000096580000}"/>
    <cellStyle name="Normal 6 2 2 2 2 2 2 3" xfId="12653" xr:uid="{00000000-0005-0000-0000-000097580000}"/>
    <cellStyle name="Normal 6 2 2 2 2 2 2 3 2" xfId="29593" xr:uid="{00000000-0005-0000-0000-000098580000}"/>
    <cellStyle name="Normal 6 2 2 2 2 2 2 4" xfId="21145" xr:uid="{00000000-0005-0000-0000-000099580000}"/>
    <cellStyle name="Normal 6 2 2 2 2 2 3" xfId="6317" xr:uid="{00000000-0005-0000-0000-00009A580000}"/>
    <cellStyle name="Normal 6 2 2 2 2 2 3 2" xfId="14765" xr:uid="{00000000-0005-0000-0000-00009B580000}"/>
    <cellStyle name="Normal 6 2 2 2 2 2 3 2 2" xfId="31705" xr:uid="{00000000-0005-0000-0000-00009C580000}"/>
    <cellStyle name="Normal 6 2 2 2 2 2 3 3" xfId="23257" xr:uid="{00000000-0005-0000-0000-00009D580000}"/>
    <cellStyle name="Normal 6 2 2 2 2 2 4" xfId="10541" xr:uid="{00000000-0005-0000-0000-00009E580000}"/>
    <cellStyle name="Normal 6 2 2 2 2 2 4 2" xfId="27481" xr:uid="{00000000-0005-0000-0000-00009F580000}"/>
    <cellStyle name="Normal 6 2 2 2 2 2 5" xfId="19033" xr:uid="{00000000-0005-0000-0000-0000A0580000}"/>
    <cellStyle name="Normal 6 2 2 2 2 3" xfId="3147" xr:uid="{00000000-0005-0000-0000-0000A1580000}"/>
    <cellStyle name="Normal 6 2 2 2 2 3 2" xfId="7373" xr:uid="{00000000-0005-0000-0000-0000A2580000}"/>
    <cellStyle name="Normal 6 2 2 2 2 3 2 2" xfId="15821" xr:uid="{00000000-0005-0000-0000-0000A3580000}"/>
    <cellStyle name="Normal 6 2 2 2 2 3 2 2 2" xfId="32761" xr:uid="{00000000-0005-0000-0000-0000A4580000}"/>
    <cellStyle name="Normal 6 2 2 2 2 3 2 3" xfId="24313" xr:uid="{00000000-0005-0000-0000-0000A5580000}"/>
    <cellStyle name="Normal 6 2 2 2 2 3 3" xfId="11597" xr:uid="{00000000-0005-0000-0000-0000A6580000}"/>
    <cellStyle name="Normal 6 2 2 2 2 3 3 2" xfId="28537" xr:uid="{00000000-0005-0000-0000-0000A7580000}"/>
    <cellStyle name="Normal 6 2 2 2 2 3 4" xfId="20089" xr:uid="{00000000-0005-0000-0000-0000A8580000}"/>
    <cellStyle name="Normal 6 2 2 2 2 4" xfId="5261" xr:uid="{00000000-0005-0000-0000-0000A9580000}"/>
    <cellStyle name="Normal 6 2 2 2 2 4 2" xfId="13709" xr:uid="{00000000-0005-0000-0000-0000AA580000}"/>
    <cellStyle name="Normal 6 2 2 2 2 4 2 2" xfId="30649" xr:uid="{00000000-0005-0000-0000-0000AB580000}"/>
    <cellStyle name="Normal 6 2 2 2 2 4 3" xfId="22201" xr:uid="{00000000-0005-0000-0000-0000AC580000}"/>
    <cellStyle name="Normal 6 2 2 2 2 5" xfId="9485" xr:uid="{00000000-0005-0000-0000-0000AD580000}"/>
    <cellStyle name="Normal 6 2 2 2 2 5 2" xfId="26425" xr:uid="{00000000-0005-0000-0000-0000AE580000}"/>
    <cellStyle name="Normal 6 2 2 2 2 6" xfId="17977" xr:uid="{00000000-0005-0000-0000-0000AF580000}"/>
    <cellStyle name="Normal 6 2 2 2 3" xfId="1739" xr:uid="{00000000-0005-0000-0000-0000B0580000}"/>
    <cellStyle name="Normal 6 2 2 2 3 2" xfId="3851" xr:uid="{00000000-0005-0000-0000-0000B1580000}"/>
    <cellStyle name="Normal 6 2 2 2 3 2 2" xfId="8077" xr:uid="{00000000-0005-0000-0000-0000B2580000}"/>
    <cellStyle name="Normal 6 2 2 2 3 2 2 2" xfId="16525" xr:uid="{00000000-0005-0000-0000-0000B3580000}"/>
    <cellStyle name="Normal 6 2 2 2 3 2 2 2 2" xfId="33465" xr:uid="{00000000-0005-0000-0000-0000B4580000}"/>
    <cellStyle name="Normal 6 2 2 2 3 2 2 3" xfId="25017" xr:uid="{00000000-0005-0000-0000-0000B5580000}"/>
    <cellStyle name="Normal 6 2 2 2 3 2 3" xfId="12301" xr:uid="{00000000-0005-0000-0000-0000B6580000}"/>
    <cellStyle name="Normal 6 2 2 2 3 2 3 2" xfId="29241" xr:uid="{00000000-0005-0000-0000-0000B7580000}"/>
    <cellStyle name="Normal 6 2 2 2 3 2 4" xfId="20793" xr:uid="{00000000-0005-0000-0000-0000B8580000}"/>
    <cellStyle name="Normal 6 2 2 2 3 3" xfId="5965" xr:uid="{00000000-0005-0000-0000-0000B9580000}"/>
    <cellStyle name="Normal 6 2 2 2 3 3 2" xfId="14413" xr:uid="{00000000-0005-0000-0000-0000BA580000}"/>
    <cellStyle name="Normal 6 2 2 2 3 3 2 2" xfId="31353" xr:uid="{00000000-0005-0000-0000-0000BB580000}"/>
    <cellStyle name="Normal 6 2 2 2 3 3 3" xfId="22905" xr:uid="{00000000-0005-0000-0000-0000BC580000}"/>
    <cellStyle name="Normal 6 2 2 2 3 4" xfId="10189" xr:uid="{00000000-0005-0000-0000-0000BD580000}"/>
    <cellStyle name="Normal 6 2 2 2 3 4 2" xfId="27129" xr:uid="{00000000-0005-0000-0000-0000BE580000}"/>
    <cellStyle name="Normal 6 2 2 2 3 5" xfId="18681" xr:uid="{00000000-0005-0000-0000-0000BF580000}"/>
    <cellStyle name="Normal 6 2 2 2 4" xfId="2795" xr:uid="{00000000-0005-0000-0000-0000C0580000}"/>
    <cellStyle name="Normal 6 2 2 2 4 2" xfId="7021" xr:uid="{00000000-0005-0000-0000-0000C1580000}"/>
    <cellStyle name="Normal 6 2 2 2 4 2 2" xfId="15469" xr:uid="{00000000-0005-0000-0000-0000C2580000}"/>
    <cellStyle name="Normal 6 2 2 2 4 2 2 2" xfId="32409" xr:uid="{00000000-0005-0000-0000-0000C3580000}"/>
    <cellStyle name="Normal 6 2 2 2 4 2 3" xfId="23961" xr:uid="{00000000-0005-0000-0000-0000C4580000}"/>
    <cellStyle name="Normal 6 2 2 2 4 3" xfId="11245" xr:uid="{00000000-0005-0000-0000-0000C5580000}"/>
    <cellStyle name="Normal 6 2 2 2 4 3 2" xfId="28185" xr:uid="{00000000-0005-0000-0000-0000C6580000}"/>
    <cellStyle name="Normal 6 2 2 2 4 4" xfId="19737" xr:uid="{00000000-0005-0000-0000-0000C7580000}"/>
    <cellStyle name="Normal 6 2 2 2 5" xfId="4909" xr:uid="{00000000-0005-0000-0000-0000C8580000}"/>
    <cellStyle name="Normal 6 2 2 2 5 2" xfId="13357" xr:uid="{00000000-0005-0000-0000-0000C9580000}"/>
    <cellStyle name="Normal 6 2 2 2 5 2 2" xfId="30297" xr:uid="{00000000-0005-0000-0000-0000CA580000}"/>
    <cellStyle name="Normal 6 2 2 2 5 3" xfId="21849" xr:uid="{00000000-0005-0000-0000-0000CB580000}"/>
    <cellStyle name="Normal 6 2 2 2 6" xfId="9133" xr:uid="{00000000-0005-0000-0000-0000CC580000}"/>
    <cellStyle name="Normal 6 2 2 2 6 2" xfId="26073" xr:uid="{00000000-0005-0000-0000-0000CD580000}"/>
    <cellStyle name="Normal 6 2 2 2 7" xfId="17625" xr:uid="{00000000-0005-0000-0000-0000CE580000}"/>
    <cellStyle name="Normal 6 2 2 3" xfId="853" xr:uid="{00000000-0005-0000-0000-0000CF580000}"/>
    <cellStyle name="Normal 6 2 2 3 2" xfId="1915" xr:uid="{00000000-0005-0000-0000-0000D0580000}"/>
    <cellStyle name="Normal 6 2 2 3 2 2" xfId="4027" xr:uid="{00000000-0005-0000-0000-0000D1580000}"/>
    <cellStyle name="Normal 6 2 2 3 2 2 2" xfId="8253" xr:uid="{00000000-0005-0000-0000-0000D2580000}"/>
    <cellStyle name="Normal 6 2 2 3 2 2 2 2" xfId="16701" xr:uid="{00000000-0005-0000-0000-0000D3580000}"/>
    <cellStyle name="Normal 6 2 2 3 2 2 2 2 2" xfId="33641" xr:uid="{00000000-0005-0000-0000-0000D4580000}"/>
    <cellStyle name="Normal 6 2 2 3 2 2 2 3" xfId="25193" xr:uid="{00000000-0005-0000-0000-0000D5580000}"/>
    <cellStyle name="Normal 6 2 2 3 2 2 3" xfId="12477" xr:uid="{00000000-0005-0000-0000-0000D6580000}"/>
    <cellStyle name="Normal 6 2 2 3 2 2 3 2" xfId="29417" xr:uid="{00000000-0005-0000-0000-0000D7580000}"/>
    <cellStyle name="Normal 6 2 2 3 2 2 4" xfId="20969" xr:uid="{00000000-0005-0000-0000-0000D8580000}"/>
    <cellStyle name="Normal 6 2 2 3 2 3" xfId="6141" xr:uid="{00000000-0005-0000-0000-0000D9580000}"/>
    <cellStyle name="Normal 6 2 2 3 2 3 2" xfId="14589" xr:uid="{00000000-0005-0000-0000-0000DA580000}"/>
    <cellStyle name="Normal 6 2 2 3 2 3 2 2" xfId="31529" xr:uid="{00000000-0005-0000-0000-0000DB580000}"/>
    <cellStyle name="Normal 6 2 2 3 2 3 3" xfId="23081" xr:uid="{00000000-0005-0000-0000-0000DC580000}"/>
    <cellStyle name="Normal 6 2 2 3 2 4" xfId="10365" xr:uid="{00000000-0005-0000-0000-0000DD580000}"/>
    <cellStyle name="Normal 6 2 2 3 2 4 2" xfId="27305" xr:uid="{00000000-0005-0000-0000-0000DE580000}"/>
    <cellStyle name="Normal 6 2 2 3 2 5" xfId="18857" xr:uid="{00000000-0005-0000-0000-0000DF580000}"/>
    <cellStyle name="Normal 6 2 2 3 3" xfId="2971" xr:uid="{00000000-0005-0000-0000-0000E0580000}"/>
    <cellStyle name="Normal 6 2 2 3 3 2" xfId="7197" xr:uid="{00000000-0005-0000-0000-0000E1580000}"/>
    <cellStyle name="Normal 6 2 2 3 3 2 2" xfId="15645" xr:uid="{00000000-0005-0000-0000-0000E2580000}"/>
    <cellStyle name="Normal 6 2 2 3 3 2 2 2" xfId="32585" xr:uid="{00000000-0005-0000-0000-0000E3580000}"/>
    <cellStyle name="Normal 6 2 2 3 3 2 3" xfId="24137" xr:uid="{00000000-0005-0000-0000-0000E4580000}"/>
    <cellStyle name="Normal 6 2 2 3 3 3" xfId="11421" xr:uid="{00000000-0005-0000-0000-0000E5580000}"/>
    <cellStyle name="Normal 6 2 2 3 3 3 2" xfId="28361" xr:uid="{00000000-0005-0000-0000-0000E6580000}"/>
    <cellStyle name="Normal 6 2 2 3 3 4" xfId="19913" xr:uid="{00000000-0005-0000-0000-0000E7580000}"/>
    <cellStyle name="Normal 6 2 2 3 4" xfId="5085" xr:uid="{00000000-0005-0000-0000-0000E8580000}"/>
    <cellStyle name="Normal 6 2 2 3 4 2" xfId="13533" xr:uid="{00000000-0005-0000-0000-0000E9580000}"/>
    <cellStyle name="Normal 6 2 2 3 4 2 2" xfId="30473" xr:uid="{00000000-0005-0000-0000-0000EA580000}"/>
    <cellStyle name="Normal 6 2 2 3 4 3" xfId="22025" xr:uid="{00000000-0005-0000-0000-0000EB580000}"/>
    <cellStyle name="Normal 6 2 2 3 5" xfId="9309" xr:uid="{00000000-0005-0000-0000-0000EC580000}"/>
    <cellStyle name="Normal 6 2 2 3 5 2" xfId="26249" xr:uid="{00000000-0005-0000-0000-0000ED580000}"/>
    <cellStyle name="Normal 6 2 2 3 6" xfId="17801" xr:uid="{00000000-0005-0000-0000-0000EE580000}"/>
    <cellStyle name="Normal 6 2 2 4" xfId="1205" xr:uid="{00000000-0005-0000-0000-0000EF580000}"/>
    <cellStyle name="Normal 6 2 2 4 2" xfId="2267" xr:uid="{00000000-0005-0000-0000-0000F0580000}"/>
    <cellStyle name="Normal 6 2 2 4 2 2" xfId="4379" xr:uid="{00000000-0005-0000-0000-0000F1580000}"/>
    <cellStyle name="Normal 6 2 2 4 2 2 2" xfId="8605" xr:uid="{00000000-0005-0000-0000-0000F2580000}"/>
    <cellStyle name="Normal 6 2 2 4 2 2 2 2" xfId="17053" xr:uid="{00000000-0005-0000-0000-0000F3580000}"/>
    <cellStyle name="Normal 6 2 2 4 2 2 2 2 2" xfId="33993" xr:uid="{00000000-0005-0000-0000-0000F4580000}"/>
    <cellStyle name="Normal 6 2 2 4 2 2 2 3" xfId="25545" xr:uid="{00000000-0005-0000-0000-0000F5580000}"/>
    <cellStyle name="Normal 6 2 2 4 2 2 3" xfId="12829" xr:uid="{00000000-0005-0000-0000-0000F6580000}"/>
    <cellStyle name="Normal 6 2 2 4 2 2 3 2" xfId="29769" xr:uid="{00000000-0005-0000-0000-0000F7580000}"/>
    <cellStyle name="Normal 6 2 2 4 2 2 4" xfId="21321" xr:uid="{00000000-0005-0000-0000-0000F8580000}"/>
    <cellStyle name="Normal 6 2 2 4 2 3" xfId="6493" xr:uid="{00000000-0005-0000-0000-0000F9580000}"/>
    <cellStyle name="Normal 6 2 2 4 2 3 2" xfId="14941" xr:uid="{00000000-0005-0000-0000-0000FA580000}"/>
    <cellStyle name="Normal 6 2 2 4 2 3 2 2" xfId="31881" xr:uid="{00000000-0005-0000-0000-0000FB580000}"/>
    <cellStyle name="Normal 6 2 2 4 2 3 3" xfId="23433" xr:uid="{00000000-0005-0000-0000-0000FC580000}"/>
    <cellStyle name="Normal 6 2 2 4 2 4" xfId="10717" xr:uid="{00000000-0005-0000-0000-0000FD580000}"/>
    <cellStyle name="Normal 6 2 2 4 2 4 2" xfId="27657" xr:uid="{00000000-0005-0000-0000-0000FE580000}"/>
    <cellStyle name="Normal 6 2 2 4 2 5" xfId="19209" xr:uid="{00000000-0005-0000-0000-0000FF580000}"/>
    <cellStyle name="Normal 6 2 2 4 3" xfId="3323" xr:uid="{00000000-0005-0000-0000-000000590000}"/>
    <cellStyle name="Normal 6 2 2 4 3 2" xfId="7549" xr:uid="{00000000-0005-0000-0000-000001590000}"/>
    <cellStyle name="Normal 6 2 2 4 3 2 2" xfId="15997" xr:uid="{00000000-0005-0000-0000-000002590000}"/>
    <cellStyle name="Normal 6 2 2 4 3 2 2 2" xfId="32937" xr:uid="{00000000-0005-0000-0000-000003590000}"/>
    <cellStyle name="Normal 6 2 2 4 3 2 3" xfId="24489" xr:uid="{00000000-0005-0000-0000-000004590000}"/>
    <cellStyle name="Normal 6 2 2 4 3 3" xfId="11773" xr:uid="{00000000-0005-0000-0000-000005590000}"/>
    <cellStyle name="Normal 6 2 2 4 3 3 2" xfId="28713" xr:uid="{00000000-0005-0000-0000-000006590000}"/>
    <cellStyle name="Normal 6 2 2 4 3 4" xfId="20265" xr:uid="{00000000-0005-0000-0000-000007590000}"/>
    <cellStyle name="Normal 6 2 2 4 4" xfId="5437" xr:uid="{00000000-0005-0000-0000-000008590000}"/>
    <cellStyle name="Normal 6 2 2 4 4 2" xfId="13885" xr:uid="{00000000-0005-0000-0000-000009590000}"/>
    <cellStyle name="Normal 6 2 2 4 4 2 2" xfId="30825" xr:uid="{00000000-0005-0000-0000-00000A590000}"/>
    <cellStyle name="Normal 6 2 2 4 4 3" xfId="22377" xr:uid="{00000000-0005-0000-0000-00000B590000}"/>
    <cellStyle name="Normal 6 2 2 4 5" xfId="9661" xr:uid="{00000000-0005-0000-0000-00000C590000}"/>
    <cellStyle name="Normal 6 2 2 4 5 2" xfId="26601" xr:uid="{00000000-0005-0000-0000-00000D590000}"/>
    <cellStyle name="Normal 6 2 2 4 6" xfId="18153" xr:uid="{00000000-0005-0000-0000-00000E590000}"/>
    <cellStyle name="Normal 6 2 2 5" xfId="1387" xr:uid="{00000000-0005-0000-0000-00000F590000}"/>
    <cellStyle name="Normal 6 2 2 5 2" xfId="2443" xr:uid="{00000000-0005-0000-0000-000010590000}"/>
    <cellStyle name="Normal 6 2 2 5 2 2" xfId="4555" xr:uid="{00000000-0005-0000-0000-000011590000}"/>
    <cellStyle name="Normal 6 2 2 5 2 2 2" xfId="8781" xr:uid="{00000000-0005-0000-0000-000012590000}"/>
    <cellStyle name="Normal 6 2 2 5 2 2 2 2" xfId="17229" xr:uid="{00000000-0005-0000-0000-000013590000}"/>
    <cellStyle name="Normal 6 2 2 5 2 2 2 2 2" xfId="34169" xr:uid="{00000000-0005-0000-0000-000014590000}"/>
    <cellStyle name="Normal 6 2 2 5 2 2 2 3" xfId="25721" xr:uid="{00000000-0005-0000-0000-000015590000}"/>
    <cellStyle name="Normal 6 2 2 5 2 2 3" xfId="13005" xr:uid="{00000000-0005-0000-0000-000016590000}"/>
    <cellStyle name="Normal 6 2 2 5 2 2 3 2" xfId="29945" xr:uid="{00000000-0005-0000-0000-000017590000}"/>
    <cellStyle name="Normal 6 2 2 5 2 2 4" xfId="21497" xr:uid="{00000000-0005-0000-0000-000018590000}"/>
    <cellStyle name="Normal 6 2 2 5 2 3" xfId="6669" xr:uid="{00000000-0005-0000-0000-000019590000}"/>
    <cellStyle name="Normal 6 2 2 5 2 3 2" xfId="15117" xr:uid="{00000000-0005-0000-0000-00001A590000}"/>
    <cellStyle name="Normal 6 2 2 5 2 3 2 2" xfId="32057" xr:uid="{00000000-0005-0000-0000-00001B590000}"/>
    <cellStyle name="Normal 6 2 2 5 2 3 3" xfId="23609" xr:uid="{00000000-0005-0000-0000-00001C590000}"/>
    <cellStyle name="Normal 6 2 2 5 2 4" xfId="10893" xr:uid="{00000000-0005-0000-0000-00001D590000}"/>
    <cellStyle name="Normal 6 2 2 5 2 4 2" xfId="27833" xr:uid="{00000000-0005-0000-0000-00001E590000}"/>
    <cellStyle name="Normal 6 2 2 5 2 5" xfId="19385" xr:uid="{00000000-0005-0000-0000-00001F590000}"/>
    <cellStyle name="Normal 6 2 2 5 3" xfId="3499" xr:uid="{00000000-0005-0000-0000-000020590000}"/>
    <cellStyle name="Normal 6 2 2 5 3 2" xfId="7725" xr:uid="{00000000-0005-0000-0000-000021590000}"/>
    <cellStyle name="Normal 6 2 2 5 3 2 2" xfId="16173" xr:uid="{00000000-0005-0000-0000-000022590000}"/>
    <cellStyle name="Normal 6 2 2 5 3 2 2 2" xfId="33113" xr:uid="{00000000-0005-0000-0000-000023590000}"/>
    <cellStyle name="Normal 6 2 2 5 3 2 3" xfId="24665" xr:uid="{00000000-0005-0000-0000-000024590000}"/>
    <cellStyle name="Normal 6 2 2 5 3 3" xfId="11949" xr:uid="{00000000-0005-0000-0000-000025590000}"/>
    <cellStyle name="Normal 6 2 2 5 3 3 2" xfId="28889" xr:uid="{00000000-0005-0000-0000-000026590000}"/>
    <cellStyle name="Normal 6 2 2 5 3 4" xfId="20441" xr:uid="{00000000-0005-0000-0000-000027590000}"/>
    <cellStyle name="Normal 6 2 2 5 4" xfId="5613" xr:uid="{00000000-0005-0000-0000-000028590000}"/>
    <cellStyle name="Normal 6 2 2 5 4 2" xfId="14061" xr:uid="{00000000-0005-0000-0000-000029590000}"/>
    <cellStyle name="Normal 6 2 2 5 4 2 2" xfId="31001" xr:uid="{00000000-0005-0000-0000-00002A590000}"/>
    <cellStyle name="Normal 6 2 2 5 4 3" xfId="22553" xr:uid="{00000000-0005-0000-0000-00002B590000}"/>
    <cellStyle name="Normal 6 2 2 5 5" xfId="9837" xr:uid="{00000000-0005-0000-0000-00002C590000}"/>
    <cellStyle name="Normal 6 2 2 5 5 2" xfId="26777" xr:uid="{00000000-0005-0000-0000-00002D590000}"/>
    <cellStyle name="Normal 6 2 2 5 6" xfId="18329" xr:uid="{00000000-0005-0000-0000-00002E590000}"/>
    <cellStyle name="Normal 6 2 2 6" xfId="1563" xr:uid="{00000000-0005-0000-0000-00002F590000}"/>
    <cellStyle name="Normal 6 2 2 6 2" xfId="3675" xr:uid="{00000000-0005-0000-0000-000030590000}"/>
    <cellStyle name="Normal 6 2 2 6 2 2" xfId="7901" xr:uid="{00000000-0005-0000-0000-000031590000}"/>
    <cellStyle name="Normal 6 2 2 6 2 2 2" xfId="16349" xr:uid="{00000000-0005-0000-0000-000032590000}"/>
    <cellStyle name="Normal 6 2 2 6 2 2 2 2" xfId="33289" xr:uid="{00000000-0005-0000-0000-000033590000}"/>
    <cellStyle name="Normal 6 2 2 6 2 2 3" xfId="24841" xr:uid="{00000000-0005-0000-0000-000034590000}"/>
    <cellStyle name="Normal 6 2 2 6 2 3" xfId="12125" xr:uid="{00000000-0005-0000-0000-000035590000}"/>
    <cellStyle name="Normal 6 2 2 6 2 3 2" xfId="29065" xr:uid="{00000000-0005-0000-0000-000036590000}"/>
    <cellStyle name="Normal 6 2 2 6 2 4" xfId="20617" xr:uid="{00000000-0005-0000-0000-000037590000}"/>
    <cellStyle name="Normal 6 2 2 6 3" xfId="5789" xr:uid="{00000000-0005-0000-0000-000038590000}"/>
    <cellStyle name="Normal 6 2 2 6 3 2" xfId="14237" xr:uid="{00000000-0005-0000-0000-000039590000}"/>
    <cellStyle name="Normal 6 2 2 6 3 2 2" xfId="31177" xr:uid="{00000000-0005-0000-0000-00003A590000}"/>
    <cellStyle name="Normal 6 2 2 6 3 3" xfId="22729" xr:uid="{00000000-0005-0000-0000-00003B590000}"/>
    <cellStyle name="Normal 6 2 2 6 4" xfId="10013" xr:uid="{00000000-0005-0000-0000-00003C590000}"/>
    <cellStyle name="Normal 6 2 2 6 4 2" xfId="26953" xr:uid="{00000000-0005-0000-0000-00003D590000}"/>
    <cellStyle name="Normal 6 2 2 6 5" xfId="18505" xr:uid="{00000000-0005-0000-0000-00003E590000}"/>
    <cellStyle name="Normal 6 2 2 7" xfId="2619" xr:uid="{00000000-0005-0000-0000-00003F590000}"/>
    <cellStyle name="Normal 6 2 2 7 2" xfId="6845" xr:uid="{00000000-0005-0000-0000-000040590000}"/>
    <cellStyle name="Normal 6 2 2 7 2 2" xfId="15293" xr:uid="{00000000-0005-0000-0000-000041590000}"/>
    <cellStyle name="Normal 6 2 2 7 2 2 2" xfId="32233" xr:uid="{00000000-0005-0000-0000-000042590000}"/>
    <cellStyle name="Normal 6 2 2 7 2 3" xfId="23785" xr:uid="{00000000-0005-0000-0000-000043590000}"/>
    <cellStyle name="Normal 6 2 2 7 3" xfId="11069" xr:uid="{00000000-0005-0000-0000-000044590000}"/>
    <cellStyle name="Normal 6 2 2 7 3 2" xfId="28009" xr:uid="{00000000-0005-0000-0000-000045590000}"/>
    <cellStyle name="Normal 6 2 2 7 4" xfId="19561" xr:uid="{00000000-0005-0000-0000-000046590000}"/>
    <cellStyle name="Normal 6 2 2 8" xfId="4732" xr:uid="{00000000-0005-0000-0000-000047590000}"/>
    <cellStyle name="Normal 6 2 2 8 2" xfId="13181" xr:uid="{00000000-0005-0000-0000-000048590000}"/>
    <cellStyle name="Normal 6 2 2 8 2 2" xfId="30121" xr:uid="{00000000-0005-0000-0000-000049590000}"/>
    <cellStyle name="Normal 6 2 2 8 3" xfId="21673" xr:uid="{00000000-0005-0000-0000-00004A590000}"/>
    <cellStyle name="Normal 6 2 2 9" xfId="8957" xr:uid="{00000000-0005-0000-0000-00004B590000}"/>
    <cellStyle name="Normal 6 2 2 9 2" xfId="25897" xr:uid="{00000000-0005-0000-0000-00004C590000}"/>
    <cellStyle name="Normal 6 2 3" xfId="383" xr:uid="{00000000-0005-0000-0000-00004D590000}"/>
    <cellStyle name="Normal 6 2 3 10" xfId="17450" xr:uid="{00000000-0005-0000-0000-00004E590000}"/>
    <cellStyle name="Normal 6 2 3 2" xfId="678" xr:uid="{00000000-0005-0000-0000-00004F590000}"/>
    <cellStyle name="Normal 6 2 3 2 2" xfId="1030" xr:uid="{00000000-0005-0000-0000-000050590000}"/>
    <cellStyle name="Normal 6 2 3 2 2 2" xfId="2092" xr:uid="{00000000-0005-0000-0000-000051590000}"/>
    <cellStyle name="Normal 6 2 3 2 2 2 2" xfId="4204" xr:uid="{00000000-0005-0000-0000-000052590000}"/>
    <cellStyle name="Normal 6 2 3 2 2 2 2 2" xfId="8430" xr:uid="{00000000-0005-0000-0000-000053590000}"/>
    <cellStyle name="Normal 6 2 3 2 2 2 2 2 2" xfId="16878" xr:uid="{00000000-0005-0000-0000-000054590000}"/>
    <cellStyle name="Normal 6 2 3 2 2 2 2 2 2 2" xfId="33818" xr:uid="{00000000-0005-0000-0000-000055590000}"/>
    <cellStyle name="Normal 6 2 3 2 2 2 2 2 3" xfId="25370" xr:uid="{00000000-0005-0000-0000-000056590000}"/>
    <cellStyle name="Normal 6 2 3 2 2 2 2 3" xfId="12654" xr:uid="{00000000-0005-0000-0000-000057590000}"/>
    <cellStyle name="Normal 6 2 3 2 2 2 2 3 2" xfId="29594" xr:uid="{00000000-0005-0000-0000-000058590000}"/>
    <cellStyle name="Normal 6 2 3 2 2 2 2 4" xfId="21146" xr:uid="{00000000-0005-0000-0000-000059590000}"/>
    <cellStyle name="Normal 6 2 3 2 2 2 3" xfId="6318" xr:uid="{00000000-0005-0000-0000-00005A590000}"/>
    <cellStyle name="Normal 6 2 3 2 2 2 3 2" xfId="14766" xr:uid="{00000000-0005-0000-0000-00005B590000}"/>
    <cellStyle name="Normal 6 2 3 2 2 2 3 2 2" xfId="31706" xr:uid="{00000000-0005-0000-0000-00005C590000}"/>
    <cellStyle name="Normal 6 2 3 2 2 2 3 3" xfId="23258" xr:uid="{00000000-0005-0000-0000-00005D590000}"/>
    <cellStyle name="Normal 6 2 3 2 2 2 4" xfId="10542" xr:uid="{00000000-0005-0000-0000-00005E590000}"/>
    <cellStyle name="Normal 6 2 3 2 2 2 4 2" xfId="27482" xr:uid="{00000000-0005-0000-0000-00005F590000}"/>
    <cellStyle name="Normal 6 2 3 2 2 2 5" xfId="19034" xr:uid="{00000000-0005-0000-0000-000060590000}"/>
    <cellStyle name="Normal 6 2 3 2 2 3" xfId="3148" xr:uid="{00000000-0005-0000-0000-000061590000}"/>
    <cellStyle name="Normal 6 2 3 2 2 3 2" xfId="7374" xr:uid="{00000000-0005-0000-0000-000062590000}"/>
    <cellStyle name="Normal 6 2 3 2 2 3 2 2" xfId="15822" xr:uid="{00000000-0005-0000-0000-000063590000}"/>
    <cellStyle name="Normal 6 2 3 2 2 3 2 2 2" xfId="32762" xr:uid="{00000000-0005-0000-0000-000064590000}"/>
    <cellStyle name="Normal 6 2 3 2 2 3 2 3" xfId="24314" xr:uid="{00000000-0005-0000-0000-000065590000}"/>
    <cellStyle name="Normal 6 2 3 2 2 3 3" xfId="11598" xr:uid="{00000000-0005-0000-0000-000066590000}"/>
    <cellStyle name="Normal 6 2 3 2 2 3 3 2" xfId="28538" xr:uid="{00000000-0005-0000-0000-000067590000}"/>
    <cellStyle name="Normal 6 2 3 2 2 3 4" xfId="20090" xr:uid="{00000000-0005-0000-0000-000068590000}"/>
    <cellStyle name="Normal 6 2 3 2 2 4" xfId="5262" xr:uid="{00000000-0005-0000-0000-000069590000}"/>
    <cellStyle name="Normal 6 2 3 2 2 4 2" xfId="13710" xr:uid="{00000000-0005-0000-0000-00006A590000}"/>
    <cellStyle name="Normal 6 2 3 2 2 4 2 2" xfId="30650" xr:uid="{00000000-0005-0000-0000-00006B590000}"/>
    <cellStyle name="Normal 6 2 3 2 2 4 3" xfId="22202" xr:uid="{00000000-0005-0000-0000-00006C590000}"/>
    <cellStyle name="Normal 6 2 3 2 2 5" xfId="9486" xr:uid="{00000000-0005-0000-0000-00006D590000}"/>
    <cellStyle name="Normal 6 2 3 2 2 5 2" xfId="26426" xr:uid="{00000000-0005-0000-0000-00006E590000}"/>
    <cellStyle name="Normal 6 2 3 2 2 6" xfId="17978" xr:uid="{00000000-0005-0000-0000-00006F590000}"/>
    <cellStyle name="Normal 6 2 3 2 3" xfId="1740" xr:uid="{00000000-0005-0000-0000-000070590000}"/>
    <cellStyle name="Normal 6 2 3 2 3 2" xfId="3852" xr:uid="{00000000-0005-0000-0000-000071590000}"/>
    <cellStyle name="Normal 6 2 3 2 3 2 2" xfId="8078" xr:uid="{00000000-0005-0000-0000-000072590000}"/>
    <cellStyle name="Normal 6 2 3 2 3 2 2 2" xfId="16526" xr:uid="{00000000-0005-0000-0000-000073590000}"/>
    <cellStyle name="Normal 6 2 3 2 3 2 2 2 2" xfId="33466" xr:uid="{00000000-0005-0000-0000-000074590000}"/>
    <cellStyle name="Normal 6 2 3 2 3 2 2 3" xfId="25018" xr:uid="{00000000-0005-0000-0000-000075590000}"/>
    <cellStyle name="Normal 6 2 3 2 3 2 3" xfId="12302" xr:uid="{00000000-0005-0000-0000-000076590000}"/>
    <cellStyle name="Normal 6 2 3 2 3 2 3 2" xfId="29242" xr:uid="{00000000-0005-0000-0000-000077590000}"/>
    <cellStyle name="Normal 6 2 3 2 3 2 4" xfId="20794" xr:uid="{00000000-0005-0000-0000-000078590000}"/>
    <cellStyle name="Normal 6 2 3 2 3 3" xfId="5966" xr:uid="{00000000-0005-0000-0000-000079590000}"/>
    <cellStyle name="Normal 6 2 3 2 3 3 2" xfId="14414" xr:uid="{00000000-0005-0000-0000-00007A590000}"/>
    <cellStyle name="Normal 6 2 3 2 3 3 2 2" xfId="31354" xr:uid="{00000000-0005-0000-0000-00007B590000}"/>
    <cellStyle name="Normal 6 2 3 2 3 3 3" xfId="22906" xr:uid="{00000000-0005-0000-0000-00007C590000}"/>
    <cellStyle name="Normal 6 2 3 2 3 4" xfId="10190" xr:uid="{00000000-0005-0000-0000-00007D590000}"/>
    <cellStyle name="Normal 6 2 3 2 3 4 2" xfId="27130" xr:uid="{00000000-0005-0000-0000-00007E590000}"/>
    <cellStyle name="Normal 6 2 3 2 3 5" xfId="18682" xr:uid="{00000000-0005-0000-0000-00007F590000}"/>
    <cellStyle name="Normal 6 2 3 2 4" xfId="2796" xr:uid="{00000000-0005-0000-0000-000080590000}"/>
    <cellStyle name="Normal 6 2 3 2 4 2" xfId="7022" xr:uid="{00000000-0005-0000-0000-000081590000}"/>
    <cellStyle name="Normal 6 2 3 2 4 2 2" xfId="15470" xr:uid="{00000000-0005-0000-0000-000082590000}"/>
    <cellStyle name="Normal 6 2 3 2 4 2 2 2" xfId="32410" xr:uid="{00000000-0005-0000-0000-000083590000}"/>
    <cellStyle name="Normal 6 2 3 2 4 2 3" xfId="23962" xr:uid="{00000000-0005-0000-0000-000084590000}"/>
    <cellStyle name="Normal 6 2 3 2 4 3" xfId="11246" xr:uid="{00000000-0005-0000-0000-000085590000}"/>
    <cellStyle name="Normal 6 2 3 2 4 3 2" xfId="28186" xr:uid="{00000000-0005-0000-0000-000086590000}"/>
    <cellStyle name="Normal 6 2 3 2 4 4" xfId="19738" xr:uid="{00000000-0005-0000-0000-000087590000}"/>
    <cellStyle name="Normal 6 2 3 2 5" xfId="4910" xr:uid="{00000000-0005-0000-0000-000088590000}"/>
    <cellStyle name="Normal 6 2 3 2 5 2" xfId="13358" xr:uid="{00000000-0005-0000-0000-000089590000}"/>
    <cellStyle name="Normal 6 2 3 2 5 2 2" xfId="30298" xr:uid="{00000000-0005-0000-0000-00008A590000}"/>
    <cellStyle name="Normal 6 2 3 2 5 3" xfId="21850" xr:uid="{00000000-0005-0000-0000-00008B590000}"/>
    <cellStyle name="Normal 6 2 3 2 6" xfId="9134" xr:uid="{00000000-0005-0000-0000-00008C590000}"/>
    <cellStyle name="Normal 6 2 3 2 6 2" xfId="26074" xr:uid="{00000000-0005-0000-0000-00008D590000}"/>
    <cellStyle name="Normal 6 2 3 2 7" xfId="17626" xr:uid="{00000000-0005-0000-0000-00008E590000}"/>
    <cellStyle name="Normal 6 2 3 3" xfId="854" xr:uid="{00000000-0005-0000-0000-00008F590000}"/>
    <cellStyle name="Normal 6 2 3 3 2" xfId="1916" xr:uid="{00000000-0005-0000-0000-000090590000}"/>
    <cellStyle name="Normal 6 2 3 3 2 2" xfId="4028" xr:uid="{00000000-0005-0000-0000-000091590000}"/>
    <cellStyle name="Normal 6 2 3 3 2 2 2" xfId="8254" xr:uid="{00000000-0005-0000-0000-000092590000}"/>
    <cellStyle name="Normal 6 2 3 3 2 2 2 2" xfId="16702" xr:uid="{00000000-0005-0000-0000-000093590000}"/>
    <cellStyle name="Normal 6 2 3 3 2 2 2 2 2" xfId="33642" xr:uid="{00000000-0005-0000-0000-000094590000}"/>
    <cellStyle name="Normal 6 2 3 3 2 2 2 3" xfId="25194" xr:uid="{00000000-0005-0000-0000-000095590000}"/>
    <cellStyle name="Normal 6 2 3 3 2 2 3" xfId="12478" xr:uid="{00000000-0005-0000-0000-000096590000}"/>
    <cellStyle name="Normal 6 2 3 3 2 2 3 2" xfId="29418" xr:uid="{00000000-0005-0000-0000-000097590000}"/>
    <cellStyle name="Normal 6 2 3 3 2 2 4" xfId="20970" xr:uid="{00000000-0005-0000-0000-000098590000}"/>
    <cellStyle name="Normal 6 2 3 3 2 3" xfId="6142" xr:uid="{00000000-0005-0000-0000-000099590000}"/>
    <cellStyle name="Normal 6 2 3 3 2 3 2" xfId="14590" xr:uid="{00000000-0005-0000-0000-00009A590000}"/>
    <cellStyle name="Normal 6 2 3 3 2 3 2 2" xfId="31530" xr:uid="{00000000-0005-0000-0000-00009B590000}"/>
    <cellStyle name="Normal 6 2 3 3 2 3 3" xfId="23082" xr:uid="{00000000-0005-0000-0000-00009C590000}"/>
    <cellStyle name="Normal 6 2 3 3 2 4" xfId="10366" xr:uid="{00000000-0005-0000-0000-00009D590000}"/>
    <cellStyle name="Normal 6 2 3 3 2 4 2" xfId="27306" xr:uid="{00000000-0005-0000-0000-00009E590000}"/>
    <cellStyle name="Normal 6 2 3 3 2 5" xfId="18858" xr:uid="{00000000-0005-0000-0000-00009F590000}"/>
    <cellStyle name="Normal 6 2 3 3 3" xfId="2972" xr:uid="{00000000-0005-0000-0000-0000A0590000}"/>
    <cellStyle name="Normal 6 2 3 3 3 2" xfId="7198" xr:uid="{00000000-0005-0000-0000-0000A1590000}"/>
    <cellStyle name="Normal 6 2 3 3 3 2 2" xfId="15646" xr:uid="{00000000-0005-0000-0000-0000A2590000}"/>
    <cellStyle name="Normal 6 2 3 3 3 2 2 2" xfId="32586" xr:uid="{00000000-0005-0000-0000-0000A3590000}"/>
    <cellStyle name="Normal 6 2 3 3 3 2 3" xfId="24138" xr:uid="{00000000-0005-0000-0000-0000A4590000}"/>
    <cellStyle name="Normal 6 2 3 3 3 3" xfId="11422" xr:uid="{00000000-0005-0000-0000-0000A5590000}"/>
    <cellStyle name="Normal 6 2 3 3 3 3 2" xfId="28362" xr:uid="{00000000-0005-0000-0000-0000A6590000}"/>
    <cellStyle name="Normal 6 2 3 3 3 4" xfId="19914" xr:uid="{00000000-0005-0000-0000-0000A7590000}"/>
    <cellStyle name="Normal 6 2 3 3 4" xfId="5086" xr:uid="{00000000-0005-0000-0000-0000A8590000}"/>
    <cellStyle name="Normal 6 2 3 3 4 2" xfId="13534" xr:uid="{00000000-0005-0000-0000-0000A9590000}"/>
    <cellStyle name="Normal 6 2 3 3 4 2 2" xfId="30474" xr:uid="{00000000-0005-0000-0000-0000AA590000}"/>
    <cellStyle name="Normal 6 2 3 3 4 3" xfId="22026" xr:uid="{00000000-0005-0000-0000-0000AB590000}"/>
    <cellStyle name="Normal 6 2 3 3 5" xfId="9310" xr:uid="{00000000-0005-0000-0000-0000AC590000}"/>
    <cellStyle name="Normal 6 2 3 3 5 2" xfId="26250" xr:uid="{00000000-0005-0000-0000-0000AD590000}"/>
    <cellStyle name="Normal 6 2 3 3 6" xfId="17802" xr:uid="{00000000-0005-0000-0000-0000AE590000}"/>
    <cellStyle name="Normal 6 2 3 4" xfId="1206" xr:uid="{00000000-0005-0000-0000-0000AF590000}"/>
    <cellStyle name="Normal 6 2 3 4 2" xfId="2268" xr:uid="{00000000-0005-0000-0000-0000B0590000}"/>
    <cellStyle name="Normal 6 2 3 4 2 2" xfId="4380" xr:uid="{00000000-0005-0000-0000-0000B1590000}"/>
    <cellStyle name="Normal 6 2 3 4 2 2 2" xfId="8606" xr:uid="{00000000-0005-0000-0000-0000B2590000}"/>
    <cellStyle name="Normal 6 2 3 4 2 2 2 2" xfId="17054" xr:uid="{00000000-0005-0000-0000-0000B3590000}"/>
    <cellStyle name="Normal 6 2 3 4 2 2 2 2 2" xfId="33994" xr:uid="{00000000-0005-0000-0000-0000B4590000}"/>
    <cellStyle name="Normal 6 2 3 4 2 2 2 3" xfId="25546" xr:uid="{00000000-0005-0000-0000-0000B5590000}"/>
    <cellStyle name="Normal 6 2 3 4 2 2 3" xfId="12830" xr:uid="{00000000-0005-0000-0000-0000B6590000}"/>
    <cellStyle name="Normal 6 2 3 4 2 2 3 2" xfId="29770" xr:uid="{00000000-0005-0000-0000-0000B7590000}"/>
    <cellStyle name="Normal 6 2 3 4 2 2 4" xfId="21322" xr:uid="{00000000-0005-0000-0000-0000B8590000}"/>
    <cellStyle name="Normal 6 2 3 4 2 3" xfId="6494" xr:uid="{00000000-0005-0000-0000-0000B9590000}"/>
    <cellStyle name="Normal 6 2 3 4 2 3 2" xfId="14942" xr:uid="{00000000-0005-0000-0000-0000BA590000}"/>
    <cellStyle name="Normal 6 2 3 4 2 3 2 2" xfId="31882" xr:uid="{00000000-0005-0000-0000-0000BB590000}"/>
    <cellStyle name="Normal 6 2 3 4 2 3 3" xfId="23434" xr:uid="{00000000-0005-0000-0000-0000BC590000}"/>
    <cellStyle name="Normal 6 2 3 4 2 4" xfId="10718" xr:uid="{00000000-0005-0000-0000-0000BD590000}"/>
    <cellStyle name="Normal 6 2 3 4 2 4 2" xfId="27658" xr:uid="{00000000-0005-0000-0000-0000BE590000}"/>
    <cellStyle name="Normal 6 2 3 4 2 5" xfId="19210" xr:uid="{00000000-0005-0000-0000-0000BF590000}"/>
    <cellStyle name="Normal 6 2 3 4 3" xfId="3324" xr:uid="{00000000-0005-0000-0000-0000C0590000}"/>
    <cellStyle name="Normal 6 2 3 4 3 2" xfId="7550" xr:uid="{00000000-0005-0000-0000-0000C1590000}"/>
    <cellStyle name="Normal 6 2 3 4 3 2 2" xfId="15998" xr:uid="{00000000-0005-0000-0000-0000C2590000}"/>
    <cellStyle name="Normal 6 2 3 4 3 2 2 2" xfId="32938" xr:uid="{00000000-0005-0000-0000-0000C3590000}"/>
    <cellStyle name="Normal 6 2 3 4 3 2 3" xfId="24490" xr:uid="{00000000-0005-0000-0000-0000C4590000}"/>
    <cellStyle name="Normal 6 2 3 4 3 3" xfId="11774" xr:uid="{00000000-0005-0000-0000-0000C5590000}"/>
    <cellStyle name="Normal 6 2 3 4 3 3 2" xfId="28714" xr:uid="{00000000-0005-0000-0000-0000C6590000}"/>
    <cellStyle name="Normal 6 2 3 4 3 4" xfId="20266" xr:uid="{00000000-0005-0000-0000-0000C7590000}"/>
    <cellStyle name="Normal 6 2 3 4 4" xfId="5438" xr:uid="{00000000-0005-0000-0000-0000C8590000}"/>
    <cellStyle name="Normal 6 2 3 4 4 2" xfId="13886" xr:uid="{00000000-0005-0000-0000-0000C9590000}"/>
    <cellStyle name="Normal 6 2 3 4 4 2 2" xfId="30826" xr:uid="{00000000-0005-0000-0000-0000CA590000}"/>
    <cellStyle name="Normal 6 2 3 4 4 3" xfId="22378" xr:uid="{00000000-0005-0000-0000-0000CB590000}"/>
    <cellStyle name="Normal 6 2 3 4 5" xfId="9662" xr:uid="{00000000-0005-0000-0000-0000CC590000}"/>
    <cellStyle name="Normal 6 2 3 4 5 2" xfId="26602" xr:uid="{00000000-0005-0000-0000-0000CD590000}"/>
    <cellStyle name="Normal 6 2 3 4 6" xfId="18154" xr:uid="{00000000-0005-0000-0000-0000CE590000}"/>
    <cellStyle name="Normal 6 2 3 5" xfId="1388" xr:uid="{00000000-0005-0000-0000-0000CF590000}"/>
    <cellStyle name="Normal 6 2 3 5 2" xfId="2444" xr:uid="{00000000-0005-0000-0000-0000D0590000}"/>
    <cellStyle name="Normal 6 2 3 5 2 2" xfId="4556" xr:uid="{00000000-0005-0000-0000-0000D1590000}"/>
    <cellStyle name="Normal 6 2 3 5 2 2 2" xfId="8782" xr:uid="{00000000-0005-0000-0000-0000D2590000}"/>
    <cellStyle name="Normal 6 2 3 5 2 2 2 2" xfId="17230" xr:uid="{00000000-0005-0000-0000-0000D3590000}"/>
    <cellStyle name="Normal 6 2 3 5 2 2 2 2 2" xfId="34170" xr:uid="{00000000-0005-0000-0000-0000D4590000}"/>
    <cellStyle name="Normal 6 2 3 5 2 2 2 3" xfId="25722" xr:uid="{00000000-0005-0000-0000-0000D5590000}"/>
    <cellStyle name="Normal 6 2 3 5 2 2 3" xfId="13006" xr:uid="{00000000-0005-0000-0000-0000D6590000}"/>
    <cellStyle name="Normal 6 2 3 5 2 2 3 2" xfId="29946" xr:uid="{00000000-0005-0000-0000-0000D7590000}"/>
    <cellStyle name="Normal 6 2 3 5 2 2 4" xfId="21498" xr:uid="{00000000-0005-0000-0000-0000D8590000}"/>
    <cellStyle name="Normal 6 2 3 5 2 3" xfId="6670" xr:uid="{00000000-0005-0000-0000-0000D9590000}"/>
    <cellStyle name="Normal 6 2 3 5 2 3 2" xfId="15118" xr:uid="{00000000-0005-0000-0000-0000DA590000}"/>
    <cellStyle name="Normal 6 2 3 5 2 3 2 2" xfId="32058" xr:uid="{00000000-0005-0000-0000-0000DB590000}"/>
    <cellStyle name="Normal 6 2 3 5 2 3 3" xfId="23610" xr:uid="{00000000-0005-0000-0000-0000DC590000}"/>
    <cellStyle name="Normal 6 2 3 5 2 4" xfId="10894" xr:uid="{00000000-0005-0000-0000-0000DD590000}"/>
    <cellStyle name="Normal 6 2 3 5 2 4 2" xfId="27834" xr:uid="{00000000-0005-0000-0000-0000DE590000}"/>
    <cellStyle name="Normal 6 2 3 5 2 5" xfId="19386" xr:uid="{00000000-0005-0000-0000-0000DF590000}"/>
    <cellStyle name="Normal 6 2 3 5 3" xfId="3500" xr:uid="{00000000-0005-0000-0000-0000E0590000}"/>
    <cellStyle name="Normal 6 2 3 5 3 2" xfId="7726" xr:uid="{00000000-0005-0000-0000-0000E1590000}"/>
    <cellStyle name="Normal 6 2 3 5 3 2 2" xfId="16174" xr:uid="{00000000-0005-0000-0000-0000E2590000}"/>
    <cellStyle name="Normal 6 2 3 5 3 2 2 2" xfId="33114" xr:uid="{00000000-0005-0000-0000-0000E3590000}"/>
    <cellStyle name="Normal 6 2 3 5 3 2 3" xfId="24666" xr:uid="{00000000-0005-0000-0000-0000E4590000}"/>
    <cellStyle name="Normal 6 2 3 5 3 3" xfId="11950" xr:uid="{00000000-0005-0000-0000-0000E5590000}"/>
    <cellStyle name="Normal 6 2 3 5 3 3 2" xfId="28890" xr:uid="{00000000-0005-0000-0000-0000E6590000}"/>
    <cellStyle name="Normal 6 2 3 5 3 4" xfId="20442" xr:uid="{00000000-0005-0000-0000-0000E7590000}"/>
    <cellStyle name="Normal 6 2 3 5 4" xfId="5614" xr:uid="{00000000-0005-0000-0000-0000E8590000}"/>
    <cellStyle name="Normal 6 2 3 5 4 2" xfId="14062" xr:uid="{00000000-0005-0000-0000-0000E9590000}"/>
    <cellStyle name="Normal 6 2 3 5 4 2 2" xfId="31002" xr:uid="{00000000-0005-0000-0000-0000EA590000}"/>
    <cellStyle name="Normal 6 2 3 5 4 3" xfId="22554" xr:uid="{00000000-0005-0000-0000-0000EB590000}"/>
    <cellStyle name="Normal 6 2 3 5 5" xfId="9838" xr:uid="{00000000-0005-0000-0000-0000EC590000}"/>
    <cellStyle name="Normal 6 2 3 5 5 2" xfId="26778" xr:uid="{00000000-0005-0000-0000-0000ED590000}"/>
    <cellStyle name="Normal 6 2 3 5 6" xfId="18330" xr:uid="{00000000-0005-0000-0000-0000EE590000}"/>
    <cellStyle name="Normal 6 2 3 6" xfId="1564" xr:uid="{00000000-0005-0000-0000-0000EF590000}"/>
    <cellStyle name="Normal 6 2 3 6 2" xfId="3676" xr:uid="{00000000-0005-0000-0000-0000F0590000}"/>
    <cellStyle name="Normal 6 2 3 6 2 2" xfId="7902" xr:uid="{00000000-0005-0000-0000-0000F1590000}"/>
    <cellStyle name="Normal 6 2 3 6 2 2 2" xfId="16350" xr:uid="{00000000-0005-0000-0000-0000F2590000}"/>
    <cellStyle name="Normal 6 2 3 6 2 2 2 2" xfId="33290" xr:uid="{00000000-0005-0000-0000-0000F3590000}"/>
    <cellStyle name="Normal 6 2 3 6 2 2 3" xfId="24842" xr:uid="{00000000-0005-0000-0000-0000F4590000}"/>
    <cellStyle name="Normal 6 2 3 6 2 3" xfId="12126" xr:uid="{00000000-0005-0000-0000-0000F5590000}"/>
    <cellStyle name="Normal 6 2 3 6 2 3 2" xfId="29066" xr:uid="{00000000-0005-0000-0000-0000F6590000}"/>
    <cellStyle name="Normal 6 2 3 6 2 4" xfId="20618" xr:uid="{00000000-0005-0000-0000-0000F7590000}"/>
    <cellStyle name="Normal 6 2 3 6 3" xfId="5790" xr:uid="{00000000-0005-0000-0000-0000F8590000}"/>
    <cellStyle name="Normal 6 2 3 6 3 2" xfId="14238" xr:uid="{00000000-0005-0000-0000-0000F9590000}"/>
    <cellStyle name="Normal 6 2 3 6 3 2 2" xfId="31178" xr:uid="{00000000-0005-0000-0000-0000FA590000}"/>
    <cellStyle name="Normal 6 2 3 6 3 3" xfId="22730" xr:uid="{00000000-0005-0000-0000-0000FB590000}"/>
    <cellStyle name="Normal 6 2 3 6 4" xfId="10014" xr:uid="{00000000-0005-0000-0000-0000FC590000}"/>
    <cellStyle name="Normal 6 2 3 6 4 2" xfId="26954" xr:uid="{00000000-0005-0000-0000-0000FD590000}"/>
    <cellStyle name="Normal 6 2 3 6 5" xfId="18506" xr:uid="{00000000-0005-0000-0000-0000FE590000}"/>
    <cellStyle name="Normal 6 2 3 7" xfId="2620" xr:uid="{00000000-0005-0000-0000-0000FF590000}"/>
    <cellStyle name="Normal 6 2 3 7 2" xfId="6846" xr:uid="{00000000-0005-0000-0000-0000005A0000}"/>
    <cellStyle name="Normal 6 2 3 7 2 2" xfId="15294" xr:uid="{00000000-0005-0000-0000-0000015A0000}"/>
    <cellStyle name="Normal 6 2 3 7 2 2 2" xfId="32234" xr:uid="{00000000-0005-0000-0000-0000025A0000}"/>
    <cellStyle name="Normal 6 2 3 7 2 3" xfId="23786" xr:uid="{00000000-0005-0000-0000-0000035A0000}"/>
    <cellStyle name="Normal 6 2 3 7 3" xfId="11070" xr:uid="{00000000-0005-0000-0000-0000045A0000}"/>
    <cellStyle name="Normal 6 2 3 7 3 2" xfId="28010" xr:uid="{00000000-0005-0000-0000-0000055A0000}"/>
    <cellStyle name="Normal 6 2 3 7 4" xfId="19562" xr:uid="{00000000-0005-0000-0000-0000065A0000}"/>
    <cellStyle name="Normal 6 2 3 8" xfId="4733" xr:uid="{00000000-0005-0000-0000-0000075A0000}"/>
    <cellStyle name="Normal 6 2 3 8 2" xfId="13182" xr:uid="{00000000-0005-0000-0000-0000085A0000}"/>
    <cellStyle name="Normal 6 2 3 8 2 2" xfId="30122" xr:uid="{00000000-0005-0000-0000-0000095A0000}"/>
    <cellStyle name="Normal 6 2 3 8 3" xfId="21674" xr:uid="{00000000-0005-0000-0000-00000A5A0000}"/>
    <cellStyle name="Normal 6 2 3 9" xfId="8958" xr:uid="{00000000-0005-0000-0000-00000B5A0000}"/>
    <cellStyle name="Normal 6 2 3 9 2" xfId="25898" xr:uid="{00000000-0005-0000-0000-00000C5A0000}"/>
    <cellStyle name="Normal 6 2 4" xfId="676" xr:uid="{00000000-0005-0000-0000-00000D5A0000}"/>
    <cellStyle name="Normal 6 2 4 2" xfId="1028" xr:uid="{00000000-0005-0000-0000-00000E5A0000}"/>
    <cellStyle name="Normal 6 2 4 2 2" xfId="2090" xr:uid="{00000000-0005-0000-0000-00000F5A0000}"/>
    <cellStyle name="Normal 6 2 4 2 2 2" xfId="4202" xr:uid="{00000000-0005-0000-0000-0000105A0000}"/>
    <cellStyle name="Normal 6 2 4 2 2 2 2" xfId="8428" xr:uid="{00000000-0005-0000-0000-0000115A0000}"/>
    <cellStyle name="Normal 6 2 4 2 2 2 2 2" xfId="16876" xr:uid="{00000000-0005-0000-0000-0000125A0000}"/>
    <cellStyle name="Normal 6 2 4 2 2 2 2 2 2" xfId="33816" xr:uid="{00000000-0005-0000-0000-0000135A0000}"/>
    <cellStyle name="Normal 6 2 4 2 2 2 2 3" xfId="25368" xr:uid="{00000000-0005-0000-0000-0000145A0000}"/>
    <cellStyle name="Normal 6 2 4 2 2 2 3" xfId="12652" xr:uid="{00000000-0005-0000-0000-0000155A0000}"/>
    <cellStyle name="Normal 6 2 4 2 2 2 3 2" xfId="29592" xr:uid="{00000000-0005-0000-0000-0000165A0000}"/>
    <cellStyle name="Normal 6 2 4 2 2 2 4" xfId="21144" xr:uid="{00000000-0005-0000-0000-0000175A0000}"/>
    <cellStyle name="Normal 6 2 4 2 2 3" xfId="6316" xr:uid="{00000000-0005-0000-0000-0000185A0000}"/>
    <cellStyle name="Normal 6 2 4 2 2 3 2" xfId="14764" xr:uid="{00000000-0005-0000-0000-0000195A0000}"/>
    <cellStyle name="Normal 6 2 4 2 2 3 2 2" xfId="31704" xr:uid="{00000000-0005-0000-0000-00001A5A0000}"/>
    <cellStyle name="Normal 6 2 4 2 2 3 3" xfId="23256" xr:uid="{00000000-0005-0000-0000-00001B5A0000}"/>
    <cellStyle name="Normal 6 2 4 2 2 4" xfId="10540" xr:uid="{00000000-0005-0000-0000-00001C5A0000}"/>
    <cellStyle name="Normal 6 2 4 2 2 4 2" xfId="27480" xr:uid="{00000000-0005-0000-0000-00001D5A0000}"/>
    <cellStyle name="Normal 6 2 4 2 2 5" xfId="19032" xr:uid="{00000000-0005-0000-0000-00001E5A0000}"/>
    <cellStyle name="Normal 6 2 4 2 3" xfId="3146" xr:uid="{00000000-0005-0000-0000-00001F5A0000}"/>
    <cellStyle name="Normal 6 2 4 2 3 2" xfId="7372" xr:uid="{00000000-0005-0000-0000-0000205A0000}"/>
    <cellStyle name="Normal 6 2 4 2 3 2 2" xfId="15820" xr:uid="{00000000-0005-0000-0000-0000215A0000}"/>
    <cellStyle name="Normal 6 2 4 2 3 2 2 2" xfId="32760" xr:uid="{00000000-0005-0000-0000-0000225A0000}"/>
    <cellStyle name="Normal 6 2 4 2 3 2 3" xfId="24312" xr:uid="{00000000-0005-0000-0000-0000235A0000}"/>
    <cellStyle name="Normal 6 2 4 2 3 3" xfId="11596" xr:uid="{00000000-0005-0000-0000-0000245A0000}"/>
    <cellStyle name="Normal 6 2 4 2 3 3 2" xfId="28536" xr:uid="{00000000-0005-0000-0000-0000255A0000}"/>
    <cellStyle name="Normal 6 2 4 2 3 4" xfId="20088" xr:uid="{00000000-0005-0000-0000-0000265A0000}"/>
    <cellStyle name="Normal 6 2 4 2 4" xfId="5260" xr:uid="{00000000-0005-0000-0000-0000275A0000}"/>
    <cellStyle name="Normal 6 2 4 2 4 2" xfId="13708" xr:uid="{00000000-0005-0000-0000-0000285A0000}"/>
    <cellStyle name="Normal 6 2 4 2 4 2 2" xfId="30648" xr:uid="{00000000-0005-0000-0000-0000295A0000}"/>
    <cellStyle name="Normal 6 2 4 2 4 3" xfId="22200" xr:uid="{00000000-0005-0000-0000-00002A5A0000}"/>
    <cellStyle name="Normal 6 2 4 2 5" xfId="9484" xr:uid="{00000000-0005-0000-0000-00002B5A0000}"/>
    <cellStyle name="Normal 6 2 4 2 5 2" xfId="26424" xr:uid="{00000000-0005-0000-0000-00002C5A0000}"/>
    <cellStyle name="Normal 6 2 4 2 6" xfId="17976" xr:uid="{00000000-0005-0000-0000-00002D5A0000}"/>
    <cellStyle name="Normal 6 2 4 3" xfId="1738" xr:uid="{00000000-0005-0000-0000-00002E5A0000}"/>
    <cellStyle name="Normal 6 2 4 3 2" xfId="3850" xr:uid="{00000000-0005-0000-0000-00002F5A0000}"/>
    <cellStyle name="Normal 6 2 4 3 2 2" xfId="8076" xr:uid="{00000000-0005-0000-0000-0000305A0000}"/>
    <cellStyle name="Normal 6 2 4 3 2 2 2" xfId="16524" xr:uid="{00000000-0005-0000-0000-0000315A0000}"/>
    <cellStyle name="Normal 6 2 4 3 2 2 2 2" xfId="33464" xr:uid="{00000000-0005-0000-0000-0000325A0000}"/>
    <cellStyle name="Normal 6 2 4 3 2 2 3" xfId="25016" xr:uid="{00000000-0005-0000-0000-0000335A0000}"/>
    <cellStyle name="Normal 6 2 4 3 2 3" xfId="12300" xr:uid="{00000000-0005-0000-0000-0000345A0000}"/>
    <cellStyle name="Normal 6 2 4 3 2 3 2" xfId="29240" xr:uid="{00000000-0005-0000-0000-0000355A0000}"/>
    <cellStyle name="Normal 6 2 4 3 2 4" xfId="20792" xr:uid="{00000000-0005-0000-0000-0000365A0000}"/>
    <cellStyle name="Normal 6 2 4 3 3" xfId="5964" xr:uid="{00000000-0005-0000-0000-0000375A0000}"/>
    <cellStyle name="Normal 6 2 4 3 3 2" xfId="14412" xr:uid="{00000000-0005-0000-0000-0000385A0000}"/>
    <cellStyle name="Normal 6 2 4 3 3 2 2" xfId="31352" xr:uid="{00000000-0005-0000-0000-0000395A0000}"/>
    <cellStyle name="Normal 6 2 4 3 3 3" xfId="22904" xr:uid="{00000000-0005-0000-0000-00003A5A0000}"/>
    <cellStyle name="Normal 6 2 4 3 4" xfId="10188" xr:uid="{00000000-0005-0000-0000-00003B5A0000}"/>
    <cellStyle name="Normal 6 2 4 3 4 2" xfId="27128" xr:uid="{00000000-0005-0000-0000-00003C5A0000}"/>
    <cellStyle name="Normal 6 2 4 3 5" xfId="18680" xr:uid="{00000000-0005-0000-0000-00003D5A0000}"/>
    <cellStyle name="Normal 6 2 4 4" xfId="2794" xr:uid="{00000000-0005-0000-0000-00003E5A0000}"/>
    <cellStyle name="Normal 6 2 4 4 2" xfId="7020" xr:uid="{00000000-0005-0000-0000-00003F5A0000}"/>
    <cellStyle name="Normal 6 2 4 4 2 2" xfId="15468" xr:uid="{00000000-0005-0000-0000-0000405A0000}"/>
    <cellStyle name="Normal 6 2 4 4 2 2 2" xfId="32408" xr:uid="{00000000-0005-0000-0000-0000415A0000}"/>
    <cellStyle name="Normal 6 2 4 4 2 3" xfId="23960" xr:uid="{00000000-0005-0000-0000-0000425A0000}"/>
    <cellStyle name="Normal 6 2 4 4 3" xfId="11244" xr:uid="{00000000-0005-0000-0000-0000435A0000}"/>
    <cellStyle name="Normal 6 2 4 4 3 2" xfId="28184" xr:uid="{00000000-0005-0000-0000-0000445A0000}"/>
    <cellStyle name="Normal 6 2 4 4 4" xfId="19736" xr:uid="{00000000-0005-0000-0000-0000455A0000}"/>
    <cellStyle name="Normal 6 2 4 5" xfId="4908" xr:uid="{00000000-0005-0000-0000-0000465A0000}"/>
    <cellStyle name="Normal 6 2 4 5 2" xfId="13356" xr:uid="{00000000-0005-0000-0000-0000475A0000}"/>
    <cellStyle name="Normal 6 2 4 5 2 2" xfId="30296" xr:uid="{00000000-0005-0000-0000-0000485A0000}"/>
    <cellStyle name="Normal 6 2 4 5 3" xfId="21848" xr:uid="{00000000-0005-0000-0000-0000495A0000}"/>
    <cellStyle name="Normal 6 2 4 6" xfId="9132" xr:uid="{00000000-0005-0000-0000-00004A5A0000}"/>
    <cellStyle name="Normal 6 2 4 6 2" xfId="26072" xr:uid="{00000000-0005-0000-0000-00004B5A0000}"/>
    <cellStyle name="Normal 6 2 4 7" xfId="17624" xr:uid="{00000000-0005-0000-0000-00004C5A0000}"/>
    <cellStyle name="Normal 6 2 5" xfId="852" xr:uid="{00000000-0005-0000-0000-00004D5A0000}"/>
    <cellStyle name="Normal 6 2 5 2" xfId="1914" xr:uid="{00000000-0005-0000-0000-00004E5A0000}"/>
    <cellStyle name="Normal 6 2 5 2 2" xfId="4026" xr:uid="{00000000-0005-0000-0000-00004F5A0000}"/>
    <cellStyle name="Normal 6 2 5 2 2 2" xfId="8252" xr:uid="{00000000-0005-0000-0000-0000505A0000}"/>
    <cellStyle name="Normal 6 2 5 2 2 2 2" xfId="16700" xr:uid="{00000000-0005-0000-0000-0000515A0000}"/>
    <cellStyle name="Normal 6 2 5 2 2 2 2 2" xfId="33640" xr:uid="{00000000-0005-0000-0000-0000525A0000}"/>
    <cellStyle name="Normal 6 2 5 2 2 2 3" xfId="25192" xr:uid="{00000000-0005-0000-0000-0000535A0000}"/>
    <cellStyle name="Normal 6 2 5 2 2 3" xfId="12476" xr:uid="{00000000-0005-0000-0000-0000545A0000}"/>
    <cellStyle name="Normal 6 2 5 2 2 3 2" xfId="29416" xr:uid="{00000000-0005-0000-0000-0000555A0000}"/>
    <cellStyle name="Normal 6 2 5 2 2 4" xfId="20968" xr:uid="{00000000-0005-0000-0000-0000565A0000}"/>
    <cellStyle name="Normal 6 2 5 2 3" xfId="6140" xr:uid="{00000000-0005-0000-0000-0000575A0000}"/>
    <cellStyle name="Normal 6 2 5 2 3 2" xfId="14588" xr:uid="{00000000-0005-0000-0000-0000585A0000}"/>
    <cellStyle name="Normal 6 2 5 2 3 2 2" xfId="31528" xr:uid="{00000000-0005-0000-0000-0000595A0000}"/>
    <cellStyle name="Normal 6 2 5 2 3 3" xfId="23080" xr:uid="{00000000-0005-0000-0000-00005A5A0000}"/>
    <cellStyle name="Normal 6 2 5 2 4" xfId="10364" xr:uid="{00000000-0005-0000-0000-00005B5A0000}"/>
    <cellStyle name="Normal 6 2 5 2 4 2" xfId="27304" xr:uid="{00000000-0005-0000-0000-00005C5A0000}"/>
    <cellStyle name="Normal 6 2 5 2 5" xfId="18856" xr:uid="{00000000-0005-0000-0000-00005D5A0000}"/>
    <cellStyle name="Normal 6 2 5 3" xfId="2970" xr:uid="{00000000-0005-0000-0000-00005E5A0000}"/>
    <cellStyle name="Normal 6 2 5 3 2" xfId="7196" xr:uid="{00000000-0005-0000-0000-00005F5A0000}"/>
    <cellStyle name="Normal 6 2 5 3 2 2" xfId="15644" xr:uid="{00000000-0005-0000-0000-0000605A0000}"/>
    <cellStyle name="Normal 6 2 5 3 2 2 2" xfId="32584" xr:uid="{00000000-0005-0000-0000-0000615A0000}"/>
    <cellStyle name="Normal 6 2 5 3 2 3" xfId="24136" xr:uid="{00000000-0005-0000-0000-0000625A0000}"/>
    <cellStyle name="Normal 6 2 5 3 3" xfId="11420" xr:uid="{00000000-0005-0000-0000-0000635A0000}"/>
    <cellStyle name="Normal 6 2 5 3 3 2" xfId="28360" xr:uid="{00000000-0005-0000-0000-0000645A0000}"/>
    <cellStyle name="Normal 6 2 5 3 4" xfId="19912" xr:uid="{00000000-0005-0000-0000-0000655A0000}"/>
    <cellStyle name="Normal 6 2 5 4" xfId="5084" xr:uid="{00000000-0005-0000-0000-0000665A0000}"/>
    <cellStyle name="Normal 6 2 5 4 2" xfId="13532" xr:uid="{00000000-0005-0000-0000-0000675A0000}"/>
    <cellStyle name="Normal 6 2 5 4 2 2" xfId="30472" xr:uid="{00000000-0005-0000-0000-0000685A0000}"/>
    <cellStyle name="Normal 6 2 5 4 3" xfId="22024" xr:uid="{00000000-0005-0000-0000-0000695A0000}"/>
    <cellStyle name="Normal 6 2 5 5" xfId="9308" xr:uid="{00000000-0005-0000-0000-00006A5A0000}"/>
    <cellStyle name="Normal 6 2 5 5 2" xfId="26248" xr:uid="{00000000-0005-0000-0000-00006B5A0000}"/>
    <cellStyle name="Normal 6 2 5 6" xfId="17800" xr:uid="{00000000-0005-0000-0000-00006C5A0000}"/>
    <cellStyle name="Normal 6 2 6" xfId="1204" xr:uid="{00000000-0005-0000-0000-00006D5A0000}"/>
    <cellStyle name="Normal 6 2 6 2" xfId="2266" xr:uid="{00000000-0005-0000-0000-00006E5A0000}"/>
    <cellStyle name="Normal 6 2 6 2 2" xfId="4378" xr:uid="{00000000-0005-0000-0000-00006F5A0000}"/>
    <cellStyle name="Normal 6 2 6 2 2 2" xfId="8604" xr:uid="{00000000-0005-0000-0000-0000705A0000}"/>
    <cellStyle name="Normal 6 2 6 2 2 2 2" xfId="17052" xr:uid="{00000000-0005-0000-0000-0000715A0000}"/>
    <cellStyle name="Normal 6 2 6 2 2 2 2 2" xfId="33992" xr:uid="{00000000-0005-0000-0000-0000725A0000}"/>
    <cellStyle name="Normal 6 2 6 2 2 2 3" xfId="25544" xr:uid="{00000000-0005-0000-0000-0000735A0000}"/>
    <cellStyle name="Normal 6 2 6 2 2 3" xfId="12828" xr:uid="{00000000-0005-0000-0000-0000745A0000}"/>
    <cellStyle name="Normal 6 2 6 2 2 3 2" xfId="29768" xr:uid="{00000000-0005-0000-0000-0000755A0000}"/>
    <cellStyle name="Normal 6 2 6 2 2 4" xfId="21320" xr:uid="{00000000-0005-0000-0000-0000765A0000}"/>
    <cellStyle name="Normal 6 2 6 2 3" xfId="6492" xr:uid="{00000000-0005-0000-0000-0000775A0000}"/>
    <cellStyle name="Normal 6 2 6 2 3 2" xfId="14940" xr:uid="{00000000-0005-0000-0000-0000785A0000}"/>
    <cellStyle name="Normal 6 2 6 2 3 2 2" xfId="31880" xr:uid="{00000000-0005-0000-0000-0000795A0000}"/>
    <cellStyle name="Normal 6 2 6 2 3 3" xfId="23432" xr:uid="{00000000-0005-0000-0000-00007A5A0000}"/>
    <cellStyle name="Normal 6 2 6 2 4" xfId="10716" xr:uid="{00000000-0005-0000-0000-00007B5A0000}"/>
    <cellStyle name="Normal 6 2 6 2 4 2" xfId="27656" xr:uid="{00000000-0005-0000-0000-00007C5A0000}"/>
    <cellStyle name="Normal 6 2 6 2 5" xfId="19208" xr:uid="{00000000-0005-0000-0000-00007D5A0000}"/>
    <cellStyle name="Normal 6 2 6 3" xfId="3322" xr:uid="{00000000-0005-0000-0000-00007E5A0000}"/>
    <cellStyle name="Normal 6 2 6 3 2" xfId="7548" xr:uid="{00000000-0005-0000-0000-00007F5A0000}"/>
    <cellStyle name="Normal 6 2 6 3 2 2" xfId="15996" xr:uid="{00000000-0005-0000-0000-0000805A0000}"/>
    <cellStyle name="Normal 6 2 6 3 2 2 2" xfId="32936" xr:uid="{00000000-0005-0000-0000-0000815A0000}"/>
    <cellStyle name="Normal 6 2 6 3 2 3" xfId="24488" xr:uid="{00000000-0005-0000-0000-0000825A0000}"/>
    <cellStyle name="Normal 6 2 6 3 3" xfId="11772" xr:uid="{00000000-0005-0000-0000-0000835A0000}"/>
    <cellStyle name="Normal 6 2 6 3 3 2" xfId="28712" xr:uid="{00000000-0005-0000-0000-0000845A0000}"/>
    <cellStyle name="Normal 6 2 6 3 4" xfId="20264" xr:uid="{00000000-0005-0000-0000-0000855A0000}"/>
    <cellStyle name="Normal 6 2 6 4" xfId="5436" xr:uid="{00000000-0005-0000-0000-0000865A0000}"/>
    <cellStyle name="Normal 6 2 6 4 2" xfId="13884" xr:uid="{00000000-0005-0000-0000-0000875A0000}"/>
    <cellStyle name="Normal 6 2 6 4 2 2" xfId="30824" xr:uid="{00000000-0005-0000-0000-0000885A0000}"/>
    <cellStyle name="Normal 6 2 6 4 3" xfId="22376" xr:uid="{00000000-0005-0000-0000-0000895A0000}"/>
    <cellStyle name="Normal 6 2 6 5" xfId="9660" xr:uid="{00000000-0005-0000-0000-00008A5A0000}"/>
    <cellStyle name="Normal 6 2 6 5 2" xfId="26600" xr:uid="{00000000-0005-0000-0000-00008B5A0000}"/>
    <cellStyle name="Normal 6 2 6 6" xfId="18152" xr:uid="{00000000-0005-0000-0000-00008C5A0000}"/>
    <cellStyle name="Normal 6 2 7" xfId="1386" xr:uid="{00000000-0005-0000-0000-00008D5A0000}"/>
    <cellStyle name="Normal 6 2 7 2" xfId="2442" xr:uid="{00000000-0005-0000-0000-00008E5A0000}"/>
    <cellStyle name="Normal 6 2 7 2 2" xfId="4554" xr:uid="{00000000-0005-0000-0000-00008F5A0000}"/>
    <cellStyle name="Normal 6 2 7 2 2 2" xfId="8780" xr:uid="{00000000-0005-0000-0000-0000905A0000}"/>
    <cellStyle name="Normal 6 2 7 2 2 2 2" xfId="17228" xr:uid="{00000000-0005-0000-0000-0000915A0000}"/>
    <cellStyle name="Normal 6 2 7 2 2 2 2 2" xfId="34168" xr:uid="{00000000-0005-0000-0000-0000925A0000}"/>
    <cellStyle name="Normal 6 2 7 2 2 2 3" xfId="25720" xr:uid="{00000000-0005-0000-0000-0000935A0000}"/>
    <cellStyle name="Normal 6 2 7 2 2 3" xfId="13004" xr:uid="{00000000-0005-0000-0000-0000945A0000}"/>
    <cellStyle name="Normal 6 2 7 2 2 3 2" xfId="29944" xr:uid="{00000000-0005-0000-0000-0000955A0000}"/>
    <cellStyle name="Normal 6 2 7 2 2 4" xfId="21496" xr:uid="{00000000-0005-0000-0000-0000965A0000}"/>
    <cellStyle name="Normal 6 2 7 2 3" xfId="6668" xr:uid="{00000000-0005-0000-0000-0000975A0000}"/>
    <cellStyle name="Normal 6 2 7 2 3 2" xfId="15116" xr:uid="{00000000-0005-0000-0000-0000985A0000}"/>
    <cellStyle name="Normal 6 2 7 2 3 2 2" xfId="32056" xr:uid="{00000000-0005-0000-0000-0000995A0000}"/>
    <cellStyle name="Normal 6 2 7 2 3 3" xfId="23608" xr:uid="{00000000-0005-0000-0000-00009A5A0000}"/>
    <cellStyle name="Normal 6 2 7 2 4" xfId="10892" xr:uid="{00000000-0005-0000-0000-00009B5A0000}"/>
    <cellStyle name="Normal 6 2 7 2 4 2" xfId="27832" xr:uid="{00000000-0005-0000-0000-00009C5A0000}"/>
    <cellStyle name="Normal 6 2 7 2 5" xfId="19384" xr:uid="{00000000-0005-0000-0000-00009D5A0000}"/>
    <cellStyle name="Normal 6 2 7 3" xfId="3498" xr:uid="{00000000-0005-0000-0000-00009E5A0000}"/>
    <cellStyle name="Normal 6 2 7 3 2" xfId="7724" xr:uid="{00000000-0005-0000-0000-00009F5A0000}"/>
    <cellStyle name="Normal 6 2 7 3 2 2" xfId="16172" xr:uid="{00000000-0005-0000-0000-0000A05A0000}"/>
    <cellStyle name="Normal 6 2 7 3 2 2 2" xfId="33112" xr:uid="{00000000-0005-0000-0000-0000A15A0000}"/>
    <cellStyle name="Normal 6 2 7 3 2 3" xfId="24664" xr:uid="{00000000-0005-0000-0000-0000A25A0000}"/>
    <cellStyle name="Normal 6 2 7 3 3" xfId="11948" xr:uid="{00000000-0005-0000-0000-0000A35A0000}"/>
    <cellStyle name="Normal 6 2 7 3 3 2" xfId="28888" xr:uid="{00000000-0005-0000-0000-0000A45A0000}"/>
    <cellStyle name="Normal 6 2 7 3 4" xfId="20440" xr:uid="{00000000-0005-0000-0000-0000A55A0000}"/>
    <cellStyle name="Normal 6 2 7 4" xfId="5612" xr:uid="{00000000-0005-0000-0000-0000A65A0000}"/>
    <cellStyle name="Normal 6 2 7 4 2" xfId="14060" xr:uid="{00000000-0005-0000-0000-0000A75A0000}"/>
    <cellStyle name="Normal 6 2 7 4 2 2" xfId="31000" xr:uid="{00000000-0005-0000-0000-0000A85A0000}"/>
    <cellStyle name="Normal 6 2 7 4 3" xfId="22552" xr:uid="{00000000-0005-0000-0000-0000A95A0000}"/>
    <cellStyle name="Normal 6 2 7 5" xfId="9836" xr:uid="{00000000-0005-0000-0000-0000AA5A0000}"/>
    <cellStyle name="Normal 6 2 7 5 2" xfId="26776" xr:uid="{00000000-0005-0000-0000-0000AB5A0000}"/>
    <cellStyle name="Normal 6 2 7 6" xfId="18328" xr:uid="{00000000-0005-0000-0000-0000AC5A0000}"/>
    <cellStyle name="Normal 6 2 8" xfId="1562" xr:uid="{00000000-0005-0000-0000-0000AD5A0000}"/>
    <cellStyle name="Normal 6 2 8 2" xfId="3674" xr:uid="{00000000-0005-0000-0000-0000AE5A0000}"/>
    <cellStyle name="Normal 6 2 8 2 2" xfId="7900" xr:uid="{00000000-0005-0000-0000-0000AF5A0000}"/>
    <cellStyle name="Normal 6 2 8 2 2 2" xfId="16348" xr:uid="{00000000-0005-0000-0000-0000B05A0000}"/>
    <cellStyle name="Normal 6 2 8 2 2 2 2" xfId="33288" xr:uid="{00000000-0005-0000-0000-0000B15A0000}"/>
    <cellStyle name="Normal 6 2 8 2 2 3" xfId="24840" xr:uid="{00000000-0005-0000-0000-0000B25A0000}"/>
    <cellStyle name="Normal 6 2 8 2 3" xfId="12124" xr:uid="{00000000-0005-0000-0000-0000B35A0000}"/>
    <cellStyle name="Normal 6 2 8 2 3 2" xfId="29064" xr:uid="{00000000-0005-0000-0000-0000B45A0000}"/>
    <cellStyle name="Normal 6 2 8 2 4" xfId="20616" xr:uid="{00000000-0005-0000-0000-0000B55A0000}"/>
    <cellStyle name="Normal 6 2 8 3" xfId="5788" xr:uid="{00000000-0005-0000-0000-0000B65A0000}"/>
    <cellStyle name="Normal 6 2 8 3 2" xfId="14236" xr:uid="{00000000-0005-0000-0000-0000B75A0000}"/>
    <cellStyle name="Normal 6 2 8 3 2 2" xfId="31176" xr:uid="{00000000-0005-0000-0000-0000B85A0000}"/>
    <cellStyle name="Normal 6 2 8 3 3" xfId="22728" xr:uid="{00000000-0005-0000-0000-0000B95A0000}"/>
    <cellStyle name="Normal 6 2 8 4" xfId="10012" xr:uid="{00000000-0005-0000-0000-0000BA5A0000}"/>
    <cellStyle name="Normal 6 2 8 4 2" xfId="26952" xr:uid="{00000000-0005-0000-0000-0000BB5A0000}"/>
    <cellStyle name="Normal 6 2 8 5" xfId="18504" xr:uid="{00000000-0005-0000-0000-0000BC5A0000}"/>
    <cellStyle name="Normal 6 2 9" xfId="2618" xr:uid="{00000000-0005-0000-0000-0000BD5A0000}"/>
    <cellStyle name="Normal 6 2 9 2" xfId="6844" xr:uid="{00000000-0005-0000-0000-0000BE5A0000}"/>
    <cellStyle name="Normal 6 2 9 2 2" xfId="15292" xr:uid="{00000000-0005-0000-0000-0000BF5A0000}"/>
    <cellStyle name="Normal 6 2 9 2 2 2" xfId="32232" xr:uid="{00000000-0005-0000-0000-0000C05A0000}"/>
    <cellStyle name="Normal 6 2 9 2 3" xfId="23784" xr:uid="{00000000-0005-0000-0000-0000C15A0000}"/>
    <cellStyle name="Normal 6 2 9 3" xfId="11068" xr:uid="{00000000-0005-0000-0000-0000C25A0000}"/>
    <cellStyle name="Normal 6 2 9 3 2" xfId="28008" xr:uid="{00000000-0005-0000-0000-0000C35A0000}"/>
    <cellStyle name="Normal 6 2 9 4" xfId="19560" xr:uid="{00000000-0005-0000-0000-0000C45A0000}"/>
    <cellStyle name="Normal 6 3" xfId="384" xr:uid="{00000000-0005-0000-0000-0000C55A0000}"/>
    <cellStyle name="Normal 6 3 10" xfId="4734" xr:uid="{00000000-0005-0000-0000-0000C65A0000}"/>
    <cellStyle name="Normal 6 3 10 2" xfId="13183" xr:uid="{00000000-0005-0000-0000-0000C75A0000}"/>
    <cellStyle name="Normal 6 3 10 2 2" xfId="30123" xr:uid="{00000000-0005-0000-0000-0000C85A0000}"/>
    <cellStyle name="Normal 6 3 10 3" xfId="21675" xr:uid="{00000000-0005-0000-0000-0000C95A0000}"/>
    <cellStyle name="Normal 6 3 11" xfId="8959" xr:uid="{00000000-0005-0000-0000-0000CA5A0000}"/>
    <cellStyle name="Normal 6 3 11 2" xfId="25899" xr:uid="{00000000-0005-0000-0000-0000CB5A0000}"/>
    <cellStyle name="Normal 6 3 12" xfId="17451" xr:uid="{00000000-0005-0000-0000-0000CC5A0000}"/>
    <cellStyle name="Normal 6 3 2" xfId="385" xr:uid="{00000000-0005-0000-0000-0000CD5A0000}"/>
    <cellStyle name="Normal 6 3 2 10" xfId="17452" xr:uid="{00000000-0005-0000-0000-0000CE5A0000}"/>
    <cellStyle name="Normal 6 3 2 2" xfId="680" xr:uid="{00000000-0005-0000-0000-0000CF5A0000}"/>
    <cellStyle name="Normal 6 3 2 2 2" xfId="1032" xr:uid="{00000000-0005-0000-0000-0000D05A0000}"/>
    <cellStyle name="Normal 6 3 2 2 2 2" xfId="2094" xr:uid="{00000000-0005-0000-0000-0000D15A0000}"/>
    <cellStyle name="Normal 6 3 2 2 2 2 2" xfId="4206" xr:uid="{00000000-0005-0000-0000-0000D25A0000}"/>
    <cellStyle name="Normal 6 3 2 2 2 2 2 2" xfId="8432" xr:uid="{00000000-0005-0000-0000-0000D35A0000}"/>
    <cellStyle name="Normal 6 3 2 2 2 2 2 2 2" xfId="16880" xr:uid="{00000000-0005-0000-0000-0000D45A0000}"/>
    <cellStyle name="Normal 6 3 2 2 2 2 2 2 2 2" xfId="33820" xr:uid="{00000000-0005-0000-0000-0000D55A0000}"/>
    <cellStyle name="Normal 6 3 2 2 2 2 2 2 3" xfId="25372" xr:uid="{00000000-0005-0000-0000-0000D65A0000}"/>
    <cellStyle name="Normal 6 3 2 2 2 2 2 3" xfId="12656" xr:uid="{00000000-0005-0000-0000-0000D75A0000}"/>
    <cellStyle name="Normal 6 3 2 2 2 2 2 3 2" xfId="29596" xr:uid="{00000000-0005-0000-0000-0000D85A0000}"/>
    <cellStyle name="Normal 6 3 2 2 2 2 2 4" xfId="21148" xr:uid="{00000000-0005-0000-0000-0000D95A0000}"/>
    <cellStyle name="Normal 6 3 2 2 2 2 3" xfId="6320" xr:uid="{00000000-0005-0000-0000-0000DA5A0000}"/>
    <cellStyle name="Normal 6 3 2 2 2 2 3 2" xfId="14768" xr:uid="{00000000-0005-0000-0000-0000DB5A0000}"/>
    <cellStyle name="Normal 6 3 2 2 2 2 3 2 2" xfId="31708" xr:uid="{00000000-0005-0000-0000-0000DC5A0000}"/>
    <cellStyle name="Normal 6 3 2 2 2 2 3 3" xfId="23260" xr:uid="{00000000-0005-0000-0000-0000DD5A0000}"/>
    <cellStyle name="Normal 6 3 2 2 2 2 4" xfId="10544" xr:uid="{00000000-0005-0000-0000-0000DE5A0000}"/>
    <cellStyle name="Normal 6 3 2 2 2 2 4 2" xfId="27484" xr:uid="{00000000-0005-0000-0000-0000DF5A0000}"/>
    <cellStyle name="Normal 6 3 2 2 2 2 5" xfId="19036" xr:uid="{00000000-0005-0000-0000-0000E05A0000}"/>
    <cellStyle name="Normal 6 3 2 2 2 3" xfId="3150" xr:uid="{00000000-0005-0000-0000-0000E15A0000}"/>
    <cellStyle name="Normal 6 3 2 2 2 3 2" xfId="7376" xr:uid="{00000000-0005-0000-0000-0000E25A0000}"/>
    <cellStyle name="Normal 6 3 2 2 2 3 2 2" xfId="15824" xr:uid="{00000000-0005-0000-0000-0000E35A0000}"/>
    <cellStyle name="Normal 6 3 2 2 2 3 2 2 2" xfId="32764" xr:uid="{00000000-0005-0000-0000-0000E45A0000}"/>
    <cellStyle name="Normal 6 3 2 2 2 3 2 3" xfId="24316" xr:uid="{00000000-0005-0000-0000-0000E55A0000}"/>
    <cellStyle name="Normal 6 3 2 2 2 3 3" xfId="11600" xr:uid="{00000000-0005-0000-0000-0000E65A0000}"/>
    <cellStyle name="Normal 6 3 2 2 2 3 3 2" xfId="28540" xr:uid="{00000000-0005-0000-0000-0000E75A0000}"/>
    <cellStyle name="Normal 6 3 2 2 2 3 4" xfId="20092" xr:uid="{00000000-0005-0000-0000-0000E85A0000}"/>
    <cellStyle name="Normal 6 3 2 2 2 4" xfId="5264" xr:uid="{00000000-0005-0000-0000-0000E95A0000}"/>
    <cellStyle name="Normal 6 3 2 2 2 4 2" xfId="13712" xr:uid="{00000000-0005-0000-0000-0000EA5A0000}"/>
    <cellStyle name="Normal 6 3 2 2 2 4 2 2" xfId="30652" xr:uid="{00000000-0005-0000-0000-0000EB5A0000}"/>
    <cellStyle name="Normal 6 3 2 2 2 4 3" xfId="22204" xr:uid="{00000000-0005-0000-0000-0000EC5A0000}"/>
    <cellStyle name="Normal 6 3 2 2 2 5" xfId="9488" xr:uid="{00000000-0005-0000-0000-0000ED5A0000}"/>
    <cellStyle name="Normal 6 3 2 2 2 5 2" xfId="26428" xr:uid="{00000000-0005-0000-0000-0000EE5A0000}"/>
    <cellStyle name="Normal 6 3 2 2 2 6" xfId="17980" xr:uid="{00000000-0005-0000-0000-0000EF5A0000}"/>
    <cellStyle name="Normal 6 3 2 2 3" xfId="1742" xr:uid="{00000000-0005-0000-0000-0000F05A0000}"/>
    <cellStyle name="Normal 6 3 2 2 3 2" xfId="3854" xr:uid="{00000000-0005-0000-0000-0000F15A0000}"/>
    <cellStyle name="Normal 6 3 2 2 3 2 2" xfId="8080" xr:uid="{00000000-0005-0000-0000-0000F25A0000}"/>
    <cellStyle name="Normal 6 3 2 2 3 2 2 2" xfId="16528" xr:uid="{00000000-0005-0000-0000-0000F35A0000}"/>
    <cellStyle name="Normal 6 3 2 2 3 2 2 2 2" xfId="33468" xr:uid="{00000000-0005-0000-0000-0000F45A0000}"/>
    <cellStyle name="Normal 6 3 2 2 3 2 2 3" xfId="25020" xr:uid="{00000000-0005-0000-0000-0000F55A0000}"/>
    <cellStyle name="Normal 6 3 2 2 3 2 3" xfId="12304" xr:uid="{00000000-0005-0000-0000-0000F65A0000}"/>
    <cellStyle name="Normal 6 3 2 2 3 2 3 2" xfId="29244" xr:uid="{00000000-0005-0000-0000-0000F75A0000}"/>
    <cellStyle name="Normal 6 3 2 2 3 2 4" xfId="20796" xr:uid="{00000000-0005-0000-0000-0000F85A0000}"/>
    <cellStyle name="Normal 6 3 2 2 3 3" xfId="5968" xr:uid="{00000000-0005-0000-0000-0000F95A0000}"/>
    <cellStyle name="Normal 6 3 2 2 3 3 2" xfId="14416" xr:uid="{00000000-0005-0000-0000-0000FA5A0000}"/>
    <cellStyle name="Normal 6 3 2 2 3 3 2 2" xfId="31356" xr:uid="{00000000-0005-0000-0000-0000FB5A0000}"/>
    <cellStyle name="Normal 6 3 2 2 3 3 3" xfId="22908" xr:uid="{00000000-0005-0000-0000-0000FC5A0000}"/>
    <cellStyle name="Normal 6 3 2 2 3 4" xfId="10192" xr:uid="{00000000-0005-0000-0000-0000FD5A0000}"/>
    <cellStyle name="Normal 6 3 2 2 3 4 2" xfId="27132" xr:uid="{00000000-0005-0000-0000-0000FE5A0000}"/>
    <cellStyle name="Normal 6 3 2 2 3 5" xfId="18684" xr:uid="{00000000-0005-0000-0000-0000FF5A0000}"/>
    <cellStyle name="Normal 6 3 2 2 4" xfId="2798" xr:uid="{00000000-0005-0000-0000-0000005B0000}"/>
    <cellStyle name="Normal 6 3 2 2 4 2" xfId="7024" xr:uid="{00000000-0005-0000-0000-0000015B0000}"/>
    <cellStyle name="Normal 6 3 2 2 4 2 2" xfId="15472" xr:uid="{00000000-0005-0000-0000-0000025B0000}"/>
    <cellStyle name="Normal 6 3 2 2 4 2 2 2" xfId="32412" xr:uid="{00000000-0005-0000-0000-0000035B0000}"/>
    <cellStyle name="Normal 6 3 2 2 4 2 3" xfId="23964" xr:uid="{00000000-0005-0000-0000-0000045B0000}"/>
    <cellStyle name="Normal 6 3 2 2 4 3" xfId="11248" xr:uid="{00000000-0005-0000-0000-0000055B0000}"/>
    <cellStyle name="Normal 6 3 2 2 4 3 2" xfId="28188" xr:uid="{00000000-0005-0000-0000-0000065B0000}"/>
    <cellStyle name="Normal 6 3 2 2 4 4" xfId="19740" xr:uid="{00000000-0005-0000-0000-0000075B0000}"/>
    <cellStyle name="Normal 6 3 2 2 5" xfId="4912" xr:uid="{00000000-0005-0000-0000-0000085B0000}"/>
    <cellStyle name="Normal 6 3 2 2 5 2" xfId="13360" xr:uid="{00000000-0005-0000-0000-0000095B0000}"/>
    <cellStyle name="Normal 6 3 2 2 5 2 2" xfId="30300" xr:uid="{00000000-0005-0000-0000-00000A5B0000}"/>
    <cellStyle name="Normal 6 3 2 2 5 3" xfId="21852" xr:uid="{00000000-0005-0000-0000-00000B5B0000}"/>
    <cellStyle name="Normal 6 3 2 2 6" xfId="9136" xr:uid="{00000000-0005-0000-0000-00000C5B0000}"/>
    <cellStyle name="Normal 6 3 2 2 6 2" xfId="26076" xr:uid="{00000000-0005-0000-0000-00000D5B0000}"/>
    <cellStyle name="Normal 6 3 2 2 7" xfId="17628" xr:uid="{00000000-0005-0000-0000-00000E5B0000}"/>
    <cellStyle name="Normal 6 3 2 3" xfId="856" xr:uid="{00000000-0005-0000-0000-00000F5B0000}"/>
    <cellStyle name="Normal 6 3 2 3 2" xfId="1918" xr:uid="{00000000-0005-0000-0000-0000105B0000}"/>
    <cellStyle name="Normal 6 3 2 3 2 2" xfId="4030" xr:uid="{00000000-0005-0000-0000-0000115B0000}"/>
    <cellStyle name="Normal 6 3 2 3 2 2 2" xfId="8256" xr:uid="{00000000-0005-0000-0000-0000125B0000}"/>
    <cellStyle name="Normal 6 3 2 3 2 2 2 2" xfId="16704" xr:uid="{00000000-0005-0000-0000-0000135B0000}"/>
    <cellStyle name="Normal 6 3 2 3 2 2 2 2 2" xfId="33644" xr:uid="{00000000-0005-0000-0000-0000145B0000}"/>
    <cellStyle name="Normal 6 3 2 3 2 2 2 3" xfId="25196" xr:uid="{00000000-0005-0000-0000-0000155B0000}"/>
    <cellStyle name="Normal 6 3 2 3 2 2 3" xfId="12480" xr:uid="{00000000-0005-0000-0000-0000165B0000}"/>
    <cellStyle name="Normal 6 3 2 3 2 2 3 2" xfId="29420" xr:uid="{00000000-0005-0000-0000-0000175B0000}"/>
    <cellStyle name="Normal 6 3 2 3 2 2 4" xfId="20972" xr:uid="{00000000-0005-0000-0000-0000185B0000}"/>
    <cellStyle name="Normal 6 3 2 3 2 3" xfId="6144" xr:uid="{00000000-0005-0000-0000-0000195B0000}"/>
    <cellStyle name="Normal 6 3 2 3 2 3 2" xfId="14592" xr:uid="{00000000-0005-0000-0000-00001A5B0000}"/>
    <cellStyle name="Normal 6 3 2 3 2 3 2 2" xfId="31532" xr:uid="{00000000-0005-0000-0000-00001B5B0000}"/>
    <cellStyle name="Normal 6 3 2 3 2 3 3" xfId="23084" xr:uid="{00000000-0005-0000-0000-00001C5B0000}"/>
    <cellStyle name="Normal 6 3 2 3 2 4" xfId="10368" xr:uid="{00000000-0005-0000-0000-00001D5B0000}"/>
    <cellStyle name="Normal 6 3 2 3 2 4 2" xfId="27308" xr:uid="{00000000-0005-0000-0000-00001E5B0000}"/>
    <cellStyle name="Normal 6 3 2 3 2 5" xfId="18860" xr:uid="{00000000-0005-0000-0000-00001F5B0000}"/>
    <cellStyle name="Normal 6 3 2 3 3" xfId="2974" xr:uid="{00000000-0005-0000-0000-0000205B0000}"/>
    <cellStyle name="Normal 6 3 2 3 3 2" xfId="7200" xr:uid="{00000000-0005-0000-0000-0000215B0000}"/>
    <cellStyle name="Normal 6 3 2 3 3 2 2" xfId="15648" xr:uid="{00000000-0005-0000-0000-0000225B0000}"/>
    <cellStyle name="Normal 6 3 2 3 3 2 2 2" xfId="32588" xr:uid="{00000000-0005-0000-0000-0000235B0000}"/>
    <cellStyle name="Normal 6 3 2 3 3 2 3" xfId="24140" xr:uid="{00000000-0005-0000-0000-0000245B0000}"/>
    <cellStyle name="Normal 6 3 2 3 3 3" xfId="11424" xr:uid="{00000000-0005-0000-0000-0000255B0000}"/>
    <cellStyle name="Normal 6 3 2 3 3 3 2" xfId="28364" xr:uid="{00000000-0005-0000-0000-0000265B0000}"/>
    <cellStyle name="Normal 6 3 2 3 3 4" xfId="19916" xr:uid="{00000000-0005-0000-0000-0000275B0000}"/>
    <cellStyle name="Normal 6 3 2 3 4" xfId="5088" xr:uid="{00000000-0005-0000-0000-0000285B0000}"/>
    <cellStyle name="Normal 6 3 2 3 4 2" xfId="13536" xr:uid="{00000000-0005-0000-0000-0000295B0000}"/>
    <cellStyle name="Normal 6 3 2 3 4 2 2" xfId="30476" xr:uid="{00000000-0005-0000-0000-00002A5B0000}"/>
    <cellStyle name="Normal 6 3 2 3 4 3" xfId="22028" xr:uid="{00000000-0005-0000-0000-00002B5B0000}"/>
    <cellStyle name="Normal 6 3 2 3 5" xfId="9312" xr:uid="{00000000-0005-0000-0000-00002C5B0000}"/>
    <cellStyle name="Normal 6 3 2 3 5 2" xfId="26252" xr:uid="{00000000-0005-0000-0000-00002D5B0000}"/>
    <cellStyle name="Normal 6 3 2 3 6" xfId="17804" xr:uid="{00000000-0005-0000-0000-00002E5B0000}"/>
    <cellStyle name="Normal 6 3 2 4" xfId="1208" xr:uid="{00000000-0005-0000-0000-00002F5B0000}"/>
    <cellStyle name="Normal 6 3 2 4 2" xfId="2270" xr:uid="{00000000-0005-0000-0000-0000305B0000}"/>
    <cellStyle name="Normal 6 3 2 4 2 2" xfId="4382" xr:uid="{00000000-0005-0000-0000-0000315B0000}"/>
    <cellStyle name="Normal 6 3 2 4 2 2 2" xfId="8608" xr:uid="{00000000-0005-0000-0000-0000325B0000}"/>
    <cellStyle name="Normal 6 3 2 4 2 2 2 2" xfId="17056" xr:uid="{00000000-0005-0000-0000-0000335B0000}"/>
    <cellStyle name="Normal 6 3 2 4 2 2 2 2 2" xfId="33996" xr:uid="{00000000-0005-0000-0000-0000345B0000}"/>
    <cellStyle name="Normal 6 3 2 4 2 2 2 3" xfId="25548" xr:uid="{00000000-0005-0000-0000-0000355B0000}"/>
    <cellStyle name="Normal 6 3 2 4 2 2 3" xfId="12832" xr:uid="{00000000-0005-0000-0000-0000365B0000}"/>
    <cellStyle name="Normal 6 3 2 4 2 2 3 2" xfId="29772" xr:uid="{00000000-0005-0000-0000-0000375B0000}"/>
    <cellStyle name="Normal 6 3 2 4 2 2 4" xfId="21324" xr:uid="{00000000-0005-0000-0000-0000385B0000}"/>
    <cellStyle name="Normal 6 3 2 4 2 3" xfId="6496" xr:uid="{00000000-0005-0000-0000-0000395B0000}"/>
    <cellStyle name="Normal 6 3 2 4 2 3 2" xfId="14944" xr:uid="{00000000-0005-0000-0000-00003A5B0000}"/>
    <cellStyle name="Normal 6 3 2 4 2 3 2 2" xfId="31884" xr:uid="{00000000-0005-0000-0000-00003B5B0000}"/>
    <cellStyle name="Normal 6 3 2 4 2 3 3" xfId="23436" xr:uid="{00000000-0005-0000-0000-00003C5B0000}"/>
    <cellStyle name="Normal 6 3 2 4 2 4" xfId="10720" xr:uid="{00000000-0005-0000-0000-00003D5B0000}"/>
    <cellStyle name="Normal 6 3 2 4 2 4 2" xfId="27660" xr:uid="{00000000-0005-0000-0000-00003E5B0000}"/>
    <cellStyle name="Normal 6 3 2 4 2 5" xfId="19212" xr:uid="{00000000-0005-0000-0000-00003F5B0000}"/>
    <cellStyle name="Normal 6 3 2 4 3" xfId="3326" xr:uid="{00000000-0005-0000-0000-0000405B0000}"/>
    <cellStyle name="Normal 6 3 2 4 3 2" xfId="7552" xr:uid="{00000000-0005-0000-0000-0000415B0000}"/>
    <cellStyle name="Normal 6 3 2 4 3 2 2" xfId="16000" xr:uid="{00000000-0005-0000-0000-0000425B0000}"/>
    <cellStyle name="Normal 6 3 2 4 3 2 2 2" xfId="32940" xr:uid="{00000000-0005-0000-0000-0000435B0000}"/>
    <cellStyle name="Normal 6 3 2 4 3 2 3" xfId="24492" xr:uid="{00000000-0005-0000-0000-0000445B0000}"/>
    <cellStyle name="Normal 6 3 2 4 3 3" xfId="11776" xr:uid="{00000000-0005-0000-0000-0000455B0000}"/>
    <cellStyle name="Normal 6 3 2 4 3 3 2" xfId="28716" xr:uid="{00000000-0005-0000-0000-0000465B0000}"/>
    <cellStyle name="Normal 6 3 2 4 3 4" xfId="20268" xr:uid="{00000000-0005-0000-0000-0000475B0000}"/>
    <cellStyle name="Normal 6 3 2 4 4" xfId="5440" xr:uid="{00000000-0005-0000-0000-0000485B0000}"/>
    <cellStyle name="Normal 6 3 2 4 4 2" xfId="13888" xr:uid="{00000000-0005-0000-0000-0000495B0000}"/>
    <cellStyle name="Normal 6 3 2 4 4 2 2" xfId="30828" xr:uid="{00000000-0005-0000-0000-00004A5B0000}"/>
    <cellStyle name="Normal 6 3 2 4 4 3" xfId="22380" xr:uid="{00000000-0005-0000-0000-00004B5B0000}"/>
    <cellStyle name="Normal 6 3 2 4 5" xfId="9664" xr:uid="{00000000-0005-0000-0000-00004C5B0000}"/>
    <cellStyle name="Normal 6 3 2 4 5 2" xfId="26604" xr:uid="{00000000-0005-0000-0000-00004D5B0000}"/>
    <cellStyle name="Normal 6 3 2 4 6" xfId="18156" xr:uid="{00000000-0005-0000-0000-00004E5B0000}"/>
    <cellStyle name="Normal 6 3 2 5" xfId="1390" xr:uid="{00000000-0005-0000-0000-00004F5B0000}"/>
    <cellStyle name="Normal 6 3 2 5 2" xfId="2446" xr:uid="{00000000-0005-0000-0000-0000505B0000}"/>
    <cellStyle name="Normal 6 3 2 5 2 2" xfId="4558" xr:uid="{00000000-0005-0000-0000-0000515B0000}"/>
    <cellStyle name="Normal 6 3 2 5 2 2 2" xfId="8784" xr:uid="{00000000-0005-0000-0000-0000525B0000}"/>
    <cellStyle name="Normal 6 3 2 5 2 2 2 2" xfId="17232" xr:uid="{00000000-0005-0000-0000-0000535B0000}"/>
    <cellStyle name="Normal 6 3 2 5 2 2 2 2 2" xfId="34172" xr:uid="{00000000-0005-0000-0000-0000545B0000}"/>
    <cellStyle name="Normal 6 3 2 5 2 2 2 3" xfId="25724" xr:uid="{00000000-0005-0000-0000-0000555B0000}"/>
    <cellStyle name="Normal 6 3 2 5 2 2 3" xfId="13008" xr:uid="{00000000-0005-0000-0000-0000565B0000}"/>
    <cellStyle name="Normal 6 3 2 5 2 2 3 2" xfId="29948" xr:uid="{00000000-0005-0000-0000-0000575B0000}"/>
    <cellStyle name="Normal 6 3 2 5 2 2 4" xfId="21500" xr:uid="{00000000-0005-0000-0000-0000585B0000}"/>
    <cellStyle name="Normal 6 3 2 5 2 3" xfId="6672" xr:uid="{00000000-0005-0000-0000-0000595B0000}"/>
    <cellStyle name="Normal 6 3 2 5 2 3 2" xfId="15120" xr:uid="{00000000-0005-0000-0000-00005A5B0000}"/>
    <cellStyle name="Normal 6 3 2 5 2 3 2 2" xfId="32060" xr:uid="{00000000-0005-0000-0000-00005B5B0000}"/>
    <cellStyle name="Normal 6 3 2 5 2 3 3" xfId="23612" xr:uid="{00000000-0005-0000-0000-00005C5B0000}"/>
    <cellStyle name="Normal 6 3 2 5 2 4" xfId="10896" xr:uid="{00000000-0005-0000-0000-00005D5B0000}"/>
    <cellStyle name="Normal 6 3 2 5 2 4 2" xfId="27836" xr:uid="{00000000-0005-0000-0000-00005E5B0000}"/>
    <cellStyle name="Normal 6 3 2 5 2 5" xfId="19388" xr:uid="{00000000-0005-0000-0000-00005F5B0000}"/>
    <cellStyle name="Normal 6 3 2 5 3" xfId="3502" xr:uid="{00000000-0005-0000-0000-0000605B0000}"/>
    <cellStyle name="Normal 6 3 2 5 3 2" xfId="7728" xr:uid="{00000000-0005-0000-0000-0000615B0000}"/>
    <cellStyle name="Normal 6 3 2 5 3 2 2" xfId="16176" xr:uid="{00000000-0005-0000-0000-0000625B0000}"/>
    <cellStyle name="Normal 6 3 2 5 3 2 2 2" xfId="33116" xr:uid="{00000000-0005-0000-0000-0000635B0000}"/>
    <cellStyle name="Normal 6 3 2 5 3 2 3" xfId="24668" xr:uid="{00000000-0005-0000-0000-0000645B0000}"/>
    <cellStyle name="Normal 6 3 2 5 3 3" xfId="11952" xr:uid="{00000000-0005-0000-0000-0000655B0000}"/>
    <cellStyle name="Normal 6 3 2 5 3 3 2" xfId="28892" xr:uid="{00000000-0005-0000-0000-0000665B0000}"/>
    <cellStyle name="Normal 6 3 2 5 3 4" xfId="20444" xr:uid="{00000000-0005-0000-0000-0000675B0000}"/>
    <cellStyle name="Normal 6 3 2 5 4" xfId="5616" xr:uid="{00000000-0005-0000-0000-0000685B0000}"/>
    <cellStyle name="Normal 6 3 2 5 4 2" xfId="14064" xr:uid="{00000000-0005-0000-0000-0000695B0000}"/>
    <cellStyle name="Normal 6 3 2 5 4 2 2" xfId="31004" xr:uid="{00000000-0005-0000-0000-00006A5B0000}"/>
    <cellStyle name="Normal 6 3 2 5 4 3" xfId="22556" xr:uid="{00000000-0005-0000-0000-00006B5B0000}"/>
    <cellStyle name="Normal 6 3 2 5 5" xfId="9840" xr:uid="{00000000-0005-0000-0000-00006C5B0000}"/>
    <cellStyle name="Normal 6 3 2 5 5 2" xfId="26780" xr:uid="{00000000-0005-0000-0000-00006D5B0000}"/>
    <cellStyle name="Normal 6 3 2 5 6" xfId="18332" xr:uid="{00000000-0005-0000-0000-00006E5B0000}"/>
    <cellStyle name="Normal 6 3 2 6" xfId="1566" xr:uid="{00000000-0005-0000-0000-00006F5B0000}"/>
    <cellStyle name="Normal 6 3 2 6 2" xfId="3678" xr:uid="{00000000-0005-0000-0000-0000705B0000}"/>
    <cellStyle name="Normal 6 3 2 6 2 2" xfId="7904" xr:uid="{00000000-0005-0000-0000-0000715B0000}"/>
    <cellStyle name="Normal 6 3 2 6 2 2 2" xfId="16352" xr:uid="{00000000-0005-0000-0000-0000725B0000}"/>
    <cellStyle name="Normal 6 3 2 6 2 2 2 2" xfId="33292" xr:uid="{00000000-0005-0000-0000-0000735B0000}"/>
    <cellStyle name="Normal 6 3 2 6 2 2 3" xfId="24844" xr:uid="{00000000-0005-0000-0000-0000745B0000}"/>
    <cellStyle name="Normal 6 3 2 6 2 3" xfId="12128" xr:uid="{00000000-0005-0000-0000-0000755B0000}"/>
    <cellStyle name="Normal 6 3 2 6 2 3 2" xfId="29068" xr:uid="{00000000-0005-0000-0000-0000765B0000}"/>
    <cellStyle name="Normal 6 3 2 6 2 4" xfId="20620" xr:uid="{00000000-0005-0000-0000-0000775B0000}"/>
    <cellStyle name="Normal 6 3 2 6 3" xfId="5792" xr:uid="{00000000-0005-0000-0000-0000785B0000}"/>
    <cellStyle name="Normal 6 3 2 6 3 2" xfId="14240" xr:uid="{00000000-0005-0000-0000-0000795B0000}"/>
    <cellStyle name="Normal 6 3 2 6 3 2 2" xfId="31180" xr:uid="{00000000-0005-0000-0000-00007A5B0000}"/>
    <cellStyle name="Normal 6 3 2 6 3 3" xfId="22732" xr:uid="{00000000-0005-0000-0000-00007B5B0000}"/>
    <cellStyle name="Normal 6 3 2 6 4" xfId="10016" xr:uid="{00000000-0005-0000-0000-00007C5B0000}"/>
    <cellStyle name="Normal 6 3 2 6 4 2" xfId="26956" xr:uid="{00000000-0005-0000-0000-00007D5B0000}"/>
    <cellStyle name="Normal 6 3 2 6 5" xfId="18508" xr:uid="{00000000-0005-0000-0000-00007E5B0000}"/>
    <cellStyle name="Normal 6 3 2 7" xfId="2622" xr:uid="{00000000-0005-0000-0000-00007F5B0000}"/>
    <cellStyle name="Normal 6 3 2 7 2" xfId="6848" xr:uid="{00000000-0005-0000-0000-0000805B0000}"/>
    <cellStyle name="Normal 6 3 2 7 2 2" xfId="15296" xr:uid="{00000000-0005-0000-0000-0000815B0000}"/>
    <cellStyle name="Normal 6 3 2 7 2 2 2" xfId="32236" xr:uid="{00000000-0005-0000-0000-0000825B0000}"/>
    <cellStyle name="Normal 6 3 2 7 2 3" xfId="23788" xr:uid="{00000000-0005-0000-0000-0000835B0000}"/>
    <cellStyle name="Normal 6 3 2 7 3" xfId="11072" xr:uid="{00000000-0005-0000-0000-0000845B0000}"/>
    <cellStyle name="Normal 6 3 2 7 3 2" xfId="28012" xr:uid="{00000000-0005-0000-0000-0000855B0000}"/>
    <cellStyle name="Normal 6 3 2 7 4" xfId="19564" xr:uid="{00000000-0005-0000-0000-0000865B0000}"/>
    <cellStyle name="Normal 6 3 2 8" xfId="4735" xr:uid="{00000000-0005-0000-0000-0000875B0000}"/>
    <cellStyle name="Normal 6 3 2 8 2" xfId="13184" xr:uid="{00000000-0005-0000-0000-0000885B0000}"/>
    <cellStyle name="Normal 6 3 2 8 2 2" xfId="30124" xr:uid="{00000000-0005-0000-0000-0000895B0000}"/>
    <cellStyle name="Normal 6 3 2 8 3" xfId="21676" xr:uid="{00000000-0005-0000-0000-00008A5B0000}"/>
    <cellStyle name="Normal 6 3 2 9" xfId="8960" xr:uid="{00000000-0005-0000-0000-00008B5B0000}"/>
    <cellStyle name="Normal 6 3 2 9 2" xfId="25900" xr:uid="{00000000-0005-0000-0000-00008C5B0000}"/>
    <cellStyle name="Normal 6 3 3" xfId="386" xr:uid="{00000000-0005-0000-0000-00008D5B0000}"/>
    <cellStyle name="Normal 6 3 3 10" xfId="17453" xr:uid="{00000000-0005-0000-0000-00008E5B0000}"/>
    <cellStyle name="Normal 6 3 3 2" xfId="681" xr:uid="{00000000-0005-0000-0000-00008F5B0000}"/>
    <cellStyle name="Normal 6 3 3 2 2" xfId="1033" xr:uid="{00000000-0005-0000-0000-0000905B0000}"/>
    <cellStyle name="Normal 6 3 3 2 2 2" xfId="2095" xr:uid="{00000000-0005-0000-0000-0000915B0000}"/>
    <cellStyle name="Normal 6 3 3 2 2 2 2" xfId="4207" xr:uid="{00000000-0005-0000-0000-0000925B0000}"/>
    <cellStyle name="Normal 6 3 3 2 2 2 2 2" xfId="8433" xr:uid="{00000000-0005-0000-0000-0000935B0000}"/>
    <cellStyle name="Normal 6 3 3 2 2 2 2 2 2" xfId="16881" xr:uid="{00000000-0005-0000-0000-0000945B0000}"/>
    <cellStyle name="Normal 6 3 3 2 2 2 2 2 2 2" xfId="33821" xr:uid="{00000000-0005-0000-0000-0000955B0000}"/>
    <cellStyle name="Normal 6 3 3 2 2 2 2 2 3" xfId="25373" xr:uid="{00000000-0005-0000-0000-0000965B0000}"/>
    <cellStyle name="Normal 6 3 3 2 2 2 2 3" xfId="12657" xr:uid="{00000000-0005-0000-0000-0000975B0000}"/>
    <cellStyle name="Normal 6 3 3 2 2 2 2 3 2" xfId="29597" xr:uid="{00000000-0005-0000-0000-0000985B0000}"/>
    <cellStyle name="Normal 6 3 3 2 2 2 2 4" xfId="21149" xr:uid="{00000000-0005-0000-0000-0000995B0000}"/>
    <cellStyle name="Normal 6 3 3 2 2 2 3" xfId="6321" xr:uid="{00000000-0005-0000-0000-00009A5B0000}"/>
    <cellStyle name="Normal 6 3 3 2 2 2 3 2" xfId="14769" xr:uid="{00000000-0005-0000-0000-00009B5B0000}"/>
    <cellStyle name="Normal 6 3 3 2 2 2 3 2 2" xfId="31709" xr:uid="{00000000-0005-0000-0000-00009C5B0000}"/>
    <cellStyle name="Normal 6 3 3 2 2 2 3 3" xfId="23261" xr:uid="{00000000-0005-0000-0000-00009D5B0000}"/>
    <cellStyle name="Normal 6 3 3 2 2 2 4" xfId="10545" xr:uid="{00000000-0005-0000-0000-00009E5B0000}"/>
    <cellStyle name="Normal 6 3 3 2 2 2 4 2" xfId="27485" xr:uid="{00000000-0005-0000-0000-00009F5B0000}"/>
    <cellStyle name="Normal 6 3 3 2 2 2 5" xfId="19037" xr:uid="{00000000-0005-0000-0000-0000A05B0000}"/>
    <cellStyle name="Normal 6 3 3 2 2 3" xfId="3151" xr:uid="{00000000-0005-0000-0000-0000A15B0000}"/>
    <cellStyle name="Normal 6 3 3 2 2 3 2" xfId="7377" xr:uid="{00000000-0005-0000-0000-0000A25B0000}"/>
    <cellStyle name="Normal 6 3 3 2 2 3 2 2" xfId="15825" xr:uid="{00000000-0005-0000-0000-0000A35B0000}"/>
    <cellStyle name="Normal 6 3 3 2 2 3 2 2 2" xfId="32765" xr:uid="{00000000-0005-0000-0000-0000A45B0000}"/>
    <cellStyle name="Normal 6 3 3 2 2 3 2 3" xfId="24317" xr:uid="{00000000-0005-0000-0000-0000A55B0000}"/>
    <cellStyle name="Normal 6 3 3 2 2 3 3" xfId="11601" xr:uid="{00000000-0005-0000-0000-0000A65B0000}"/>
    <cellStyle name="Normal 6 3 3 2 2 3 3 2" xfId="28541" xr:uid="{00000000-0005-0000-0000-0000A75B0000}"/>
    <cellStyle name="Normal 6 3 3 2 2 3 4" xfId="20093" xr:uid="{00000000-0005-0000-0000-0000A85B0000}"/>
    <cellStyle name="Normal 6 3 3 2 2 4" xfId="5265" xr:uid="{00000000-0005-0000-0000-0000A95B0000}"/>
    <cellStyle name="Normal 6 3 3 2 2 4 2" xfId="13713" xr:uid="{00000000-0005-0000-0000-0000AA5B0000}"/>
    <cellStyle name="Normal 6 3 3 2 2 4 2 2" xfId="30653" xr:uid="{00000000-0005-0000-0000-0000AB5B0000}"/>
    <cellStyle name="Normal 6 3 3 2 2 4 3" xfId="22205" xr:uid="{00000000-0005-0000-0000-0000AC5B0000}"/>
    <cellStyle name="Normal 6 3 3 2 2 5" xfId="9489" xr:uid="{00000000-0005-0000-0000-0000AD5B0000}"/>
    <cellStyle name="Normal 6 3 3 2 2 5 2" xfId="26429" xr:uid="{00000000-0005-0000-0000-0000AE5B0000}"/>
    <cellStyle name="Normal 6 3 3 2 2 6" xfId="17981" xr:uid="{00000000-0005-0000-0000-0000AF5B0000}"/>
    <cellStyle name="Normal 6 3 3 2 3" xfId="1743" xr:uid="{00000000-0005-0000-0000-0000B05B0000}"/>
    <cellStyle name="Normal 6 3 3 2 3 2" xfId="3855" xr:uid="{00000000-0005-0000-0000-0000B15B0000}"/>
    <cellStyle name="Normal 6 3 3 2 3 2 2" xfId="8081" xr:uid="{00000000-0005-0000-0000-0000B25B0000}"/>
    <cellStyle name="Normal 6 3 3 2 3 2 2 2" xfId="16529" xr:uid="{00000000-0005-0000-0000-0000B35B0000}"/>
    <cellStyle name="Normal 6 3 3 2 3 2 2 2 2" xfId="33469" xr:uid="{00000000-0005-0000-0000-0000B45B0000}"/>
    <cellStyle name="Normal 6 3 3 2 3 2 2 3" xfId="25021" xr:uid="{00000000-0005-0000-0000-0000B55B0000}"/>
    <cellStyle name="Normal 6 3 3 2 3 2 3" xfId="12305" xr:uid="{00000000-0005-0000-0000-0000B65B0000}"/>
    <cellStyle name="Normal 6 3 3 2 3 2 3 2" xfId="29245" xr:uid="{00000000-0005-0000-0000-0000B75B0000}"/>
    <cellStyle name="Normal 6 3 3 2 3 2 4" xfId="20797" xr:uid="{00000000-0005-0000-0000-0000B85B0000}"/>
    <cellStyle name="Normal 6 3 3 2 3 3" xfId="5969" xr:uid="{00000000-0005-0000-0000-0000B95B0000}"/>
    <cellStyle name="Normal 6 3 3 2 3 3 2" xfId="14417" xr:uid="{00000000-0005-0000-0000-0000BA5B0000}"/>
    <cellStyle name="Normal 6 3 3 2 3 3 2 2" xfId="31357" xr:uid="{00000000-0005-0000-0000-0000BB5B0000}"/>
    <cellStyle name="Normal 6 3 3 2 3 3 3" xfId="22909" xr:uid="{00000000-0005-0000-0000-0000BC5B0000}"/>
    <cellStyle name="Normal 6 3 3 2 3 4" xfId="10193" xr:uid="{00000000-0005-0000-0000-0000BD5B0000}"/>
    <cellStyle name="Normal 6 3 3 2 3 4 2" xfId="27133" xr:uid="{00000000-0005-0000-0000-0000BE5B0000}"/>
    <cellStyle name="Normal 6 3 3 2 3 5" xfId="18685" xr:uid="{00000000-0005-0000-0000-0000BF5B0000}"/>
    <cellStyle name="Normal 6 3 3 2 4" xfId="2799" xr:uid="{00000000-0005-0000-0000-0000C05B0000}"/>
    <cellStyle name="Normal 6 3 3 2 4 2" xfId="7025" xr:uid="{00000000-0005-0000-0000-0000C15B0000}"/>
    <cellStyle name="Normal 6 3 3 2 4 2 2" xfId="15473" xr:uid="{00000000-0005-0000-0000-0000C25B0000}"/>
    <cellStyle name="Normal 6 3 3 2 4 2 2 2" xfId="32413" xr:uid="{00000000-0005-0000-0000-0000C35B0000}"/>
    <cellStyle name="Normal 6 3 3 2 4 2 3" xfId="23965" xr:uid="{00000000-0005-0000-0000-0000C45B0000}"/>
    <cellStyle name="Normal 6 3 3 2 4 3" xfId="11249" xr:uid="{00000000-0005-0000-0000-0000C55B0000}"/>
    <cellStyle name="Normal 6 3 3 2 4 3 2" xfId="28189" xr:uid="{00000000-0005-0000-0000-0000C65B0000}"/>
    <cellStyle name="Normal 6 3 3 2 4 4" xfId="19741" xr:uid="{00000000-0005-0000-0000-0000C75B0000}"/>
    <cellStyle name="Normal 6 3 3 2 5" xfId="4913" xr:uid="{00000000-0005-0000-0000-0000C85B0000}"/>
    <cellStyle name="Normal 6 3 3 2 5 2" xfId="13361" xr:uid="{00000000-0005-0000-0000-0000C95B0000}"/>
    <cellStyle name="Normal 6 3 3 2 5 2 2" xfId="30301" xr:uid="{00000000-0005-0000-0000-0000CA5B0000}"/>
    <cellStyle name="Normal 6 3 3 2 5 3" xfId="21853" xr:uid="{00000000-0005-0000-0000-0000CB5B0000}"/>
    <cellStyle name="Normal 6 3 3 2 6" xfId="9137" xr:uid="{00000000-0005-0000-0000-0000CC5B0000}"/>
    <cellStyle name="Normal 6 3 3 2 6 2" xfId="26077" xr:uid="{00000000-0005-0000-0000-0000CD5B0000}"/>
    <cellStyle name="Normal 6 3 3 2 7" xfId="17629" xr:uid="{00000000-0005-0000-0000-0000CE5B0000}"/>
    <cellStyle name="Normal 6 3 3 3" xfId="857" xr:uid="{00000000-0005-0000-0000-0000CF5B0000}"/>
    <cellStyle name="Normal 6 3 3 3 2" xfId="1919" xr:uid="{00000000-0005-0000-0000-0000D05B0000}"/>
    <cellStyle name="Normal 6 3 3 3 2 2" xfId="4031" xr:uid="{00000000-0005-0000-0000-0000D15B0000}"/>
    <cellStyle name="Normal 6 3 3 3 2 2 2" xfId="8257" xr:uid="{00000000-0005-0000-0000-0000D25B0000}"/>
    <cellStyle name="Normal 6 3 3 3 2 2 2 2" xfId="16705" xr:uid="{00000000-0005-0000-0000-0000D35B0000}"/>
    <cellStyle name="Normal 6 3 3 3 2 2 2 2 2" xfId="33645" xr:uid="{00000000-0005-0000-0000-0000D45B0000}"/>
    <cellStyle name="Normal 6 3 3 3 2 2 2 3" xfId="25197" xr:uid="{00000000-0005-0000-0000-0000D55B0000}"/>
    <cellStyle name="Normal 6 3 3 3 2 2 3" xfId="12481" xr:uid="{00000000-0005-0000-0000-0000D65B0000}"/>
    <cellStyle name="Normal 6 3 3 3 2 2 3 2" xfId="29421" xr:uid="{00000000-0005-0000-0000-0000D75B0000}"/>
    <cellStyle name="Normal 6 3 3 3 2 2 4" xfId="20973" xr:uid="{00000000-0005-0000-0000-0000D85B0000}"/>
    <cellStyle name="Normal 6 3 3 3 2 3" xfId="6145" xr:uid="{00000000-0005-0000-0000-0000D95B0000}"/>
    <cellStyle name="Normal 6 3 3 3 2 3 2" xfId="14593" xr:uid="{00000000-0005-0000-0000-0000DA5B0000}"/>
    <cellStyle name="Normal 6 3 3 3 2 3 2 2" xfId="31533" xr:uid="{00000000-0005-0000-0000-0000DB5B0000}"/>
    <cellStyle name="Normal 6 3 3 3 2 3 3" xfId="23085" xr:uid="{00000000-0005-0000-0000-0000DC5B0000}"/>
    <cellStyle name="Normal 6 3 3 3 2 4" xfId="10369" xr:uid="{00000000-0005-0000-0000-0000DD5B0000}"/>
    <cellStyle name="Normal 6 3 3 3 2 4 2" xfId="27309" xr:uid="{00000000-0005-0000-0000-0000DE5B0000}"/>
    <cellStyle name="Normal 6 3 3 3 2 5" xfId="18861" xr:uid="{00000000-0005-0000-0000-0000DF5B0000}"/>
    <cellStyle name="Normal 6 3 3 3 3" xfId="2975" xr:uid="{00000000-0005-0000-0000-0000E05B0000}"/>
    <cellStyle name="Normal 6 3 3 3 3 2" xfId="7201" xr:uid="{00000000-0005-0000-0000-0000E15B0000}"/>
    <cellStyle name="Normal 6 3 3 3 3 2 2" xfId="15649" xr:uid="{00000000-0005-0000-0000-0000E25B0000}"/>
    <cellStyle name="Normal 6 3 3 3 3 2 2 2" xfId="32589" xr:uid="{00000000-0005-0000-0000-0000E35B0000}"/>
    <cellStyle name="Normal 6 3 3 3 3 2 3" xfId="24141" xr:uid="{00000000-0005-0000-0000-0000E45B0000}"/>
    <cellStyle name="Normal 6 3 3 3 3 3" xfId="11425" xr:uid="{00000000-0005-0000-0000-0000E55B0000}"/>
    <cellStyle name="Normal 6 3 3 3 3 3 2" xfId="28365" xr:uid="{00000000-0005-0000-0000-0000E65B0000}"/>
    <cellStyle name="Normal 6 3 3 3 3 4" xfId="19917" xr:uid="{00000000-0005-0000-0000-0000E75B0000}"/>
    <cellStyle name="Normal 6 3 3 3 4" xfId="5089" xr:uid="{00000000-0005-0000-0000-0000E85B0000}"/>
    <cellStyle name="Normal 6 3 3 3 4 2" xfId="13537" xr:uid="{00000000-0005-0000-0000-0000E95B0000}"/>
    <cellStyle name="Normal 6 3 3 3 4 2 2" xfId="30477" xr:uid="{00000000-0005-0000-0000-0000EA5B0000}"/>
    <cellStyle name="Normal 6 3 3 3 4 3" xfId="22029" xr:uid="{00000000-0005-0000-0000-0000EB5B0000}"/>
    <cellStyle name="Normal 6 3 3 3 5" xfId="9313" xr:uid="{00000000-0005-0000-0000-0000EC5B0000}"/>
    <cellStyle name="Normal 6 3 3 3 5 2" xfId="26253" xr:uid="{00000000-0005-0000-0000-0000ED5B0000}"/>
    <cellStyle name="Normal 6 3 3 3 6" xfId="17805" xr:uid="{00000000-0005-0000-0000-0000EE5B0000}"/>
    <cellStyle name="Normal 6 3 3 4" xfId="1209" xr:uid="{00000000-0005-0000-0000-0000EF5B0000}"/>
    <cellStyle name="Normal 6 3 3 4 2" xfId="2271" xr:uid="{00000000-0005-0000-0000-0000F05B0000}"/>
    <cellStyle name="Normal 6 3 3 4 2 2" xfId="4383" xr:uid="{00000000-0005-0000-0000-0000F15B0000}"/>
    <cellStyle name="Normal 6 3 3 4 2 2 2" xfId="8609" xr:uid="{00000000-0005-0000-0000-0000F25B0000}"/>
    <cellStyle name="Normal 6 3 3 4 2 2 2 2" xfId="17057" xr:uid="{00000000-0005-0000-0000-0000F35B0000}"/>
    <cellStyle name="Normal 6 3 3 4 2 2 2 2 2" xfId="33997" xr:uid="{00000000-0005-0000-0000-0000F45B0000}"/>
    <cellStyle name="Normal 6 3 3 4 2 2 2 3" xfId="25549" xr:uid="{00000000-0005-0000-0000-0000F55B0000}"/>
    <cellStyle name="Normal 6 3 3 4 2 2 3" xfId="12833" xr:uid="{00000000-0005-0000-0000-0000F65B0000}"/>
    <cellStyle name="Normal 6 3 3 4 2 2 3 2" xfId="29773" xr:uid="{00000000-0005-0000-0000-0000F75B0000}"/>
    <cellStyle name="Normal 6 3 3 4 2 2 4" xfId="21325" xr:uid="{00000000-0005-0000-0000-0000F85B0000}"/>
    <cellStyle name="Normal 6 3 3 4 2 3" xfId="6497" xr:uid="{00000000-0005-0000-0000-0000F95B0000}"/>
    <cellStyle name="Normal 6 3 3 4 2 3 2" xfId="14945" xr:uid="{00000000-0005-0000-0000-0000FA5B0000}"/>
    <cellStyle name="Normal 6 3 3 4 2 3 2 2" xfId="31885" xr:uid="{00000000-0005-0000-0000-0000FB5B0000}"/>
    <cellStyle name="Normal 6 3 3 4 2 3 3" xfId="23437" xr:uid="{00000000-0005-0000-0000-0000FC5B0000}"/>
    <cellStyle name="Normal 6 3 3 4 2 4" xfId="10721" xr:uid="{00000000-0005-0000-0000-0000FD5B0000}"/>
    <cellStyle name="Normal 6 3 3 4 2 4 2" xfId="27661" xr:uid="{00000000-0005-0000-0000-0000FE5B0000}"/>
    <cellStyle name="Normal 6 3 3 4 2 5" xfId="19213" xr:uid="{00000000-0005-0000-0000-0000FF5B0000}"/>
    <cellStyle name="Normal 6 3 3 4 3" xfId="3327" xr:uid="{00000000-0005-0000-0000-0000005C0000}"/>
    <cellStyle name="Normal 6 3 3 4 3 2" xfId="7553" xr:uid="{00000000-0005-0000-0000-0000015C0000}"/>
    <cellStyle name="Normal 6 3 3 4 3 2 2" xfId="16001" xr:uid="{00000000-0005-0000-0000-0000025C0000}"/>
    <cellStyle name="Normal 6 3 3 4 3 2 2 2" xfId="32941" xr:uid="{00000000-0005-0000-0000-0000035C0000}"/>
    <cellStyle name="Normal 6 3 3 4 3 2 3" xfId="24493" xr:uid="{00000000-0005-0000-0000-0000045C0000}"/>
    <cellStyle name="Normal 6 3 3 4 3 3" xfId="11777" xr:uid="{00000000-0005-0000-0000-0000055C0000}"/>
    <cellStyle name="Normal 6 3 3 4 3 3 2" xfId="28717" xr:uid="{00000000-0005-0000-0000-0000065C0000}"/>
    <cellStyle name="Normal 6 3 3 4 3 4" xfId="20269" xr:uid="{00000000-0005-0000-0000-0000075C0000}"/>
    <cellStyle name="Normal 6 3 3 4 4" xfId="5441" xr:uid="{00000000-0005-0000-0000-0000085C0000}"/>
    <cellStyle name="Normal 6 3 3 4 4 2" xfId="13889" xr:uid="{00000000-0005-0000-0000-0000095C0000}"/>
    <cellStyle name="Normal 6 3 3 4 4 2 2" xfId="30829" xr:uid="{00000000-0005-0000-0000-00000A5C0000}"/>
    <cellStyle name="Normal 6 3 3 4 4 3" xfId="22381" xr:uid="{00000000-0005-0000-0000-00000B5C0000}"/>
    <cellStyle name="Normal 6 3 3 4 5" xfId="9665" xr:uid="{00000000-0005-0000-0000-00000C5C0000}"/>
    <cellStyle name="Normal 6 3 3 4 5 2" xfId="26605" xr:uid="{00000000-0005-0000-0000-00000D5C0000}"/>
    <cellStyle name="Normal 6 3 3 4 6" xfId="18157" xr:uid="{00000000-0005-0000-0000-00000E5C0000}"/>
    <cellStyle name="Normal 6 3 3 5" xfId="1391" xr:uid="{00000000-0005-0000-0000-00000F5C0000}"/>
    <cellStyle name="Normal 6 3 3 5 2" xfId="2447" xr:uid="{00000000-0005-0000-0000-0000105C0000}"/>
    <cellStyle name="Normal 6 3 3 5 2 2" xfId="4559" xr:uid="{00000000-0005-0000-0000-0000115C0000}"/>
    <cellStyle name="Normal 6 3 3 5 2 2 2" xfId="8785" xr:uid="{00000000-0005-0000-0000-0000125C0000}"/>
    <cellStyle name="Normal 6 3 3 5 2 2 2 2" xfId="17233" xr:uid="{00000000-0005-0000-0000-0000135C0000}"/>
    <cellStyle name="Normal 6 3 3 5 2 2 2 2 2" xfId="34173" xr:uid="{00000000-0005-0000-0000-0000145C0000}"/>
    <cellStyle name="Normal 6 3 3 5 2 2 2 3" xfId="25725" xr:uid="{00000000-0005-0000-0000-0000155C0000}"/>
    <cellStyle name="Normal 6 3 3 5 2 2 3" xfId="13009" xr:uid="{00000000-0005-0000-0000-0000165C0000}"/>
    <cellStyle name="Normal 6 3 3 5 2 2 3 2" xfId="29949" xr:uid="{00000000-0005-0000-0000-0000175C0000}"/>
    <cellStyle name="Normal 6 3 3 5 2 2 4" xfId="21501" xr:uid="{00000000-0005-0000-0000-0000185C0000}"/>
    <cellStyle name="Normal 6 3 3 5 2 3" xfId="6673" xr:uid="{00000000-0005-0000-0000-0000195C0000}"/>
    <cellStyle name="Normal 6 3 3 5 2 3 2" xfId="15121" xr:uid="{00000000-0005-0000-0000-00001A5C0000}"/>
    <cellStyle name="Normal 6 3 3 5 2 3 2 2" xfId="32061" xr:uid="{00000000-0005-0000-0000-00001B5C0000}"/>
    <cellStyle name="Normal 6 3 3 5 2 3 3" xfId="23613" xr:uid="{00000000-0005-0000-0000-00001C5C0000}"/>
    <cellStyle name="Normal 6 3 3 5 2 4" xfId="10897" xr:uid="{00000000-0005-0000-0000-00001D5C0000}"/>
    <cellStyle name="Normal 6 3 3 5 2 4 2" xfId="27837" xr:uid="{00000000-0005-0000-0000-00001E5C0000}"/>
    <cellStyle name="Normal 6 3 3 5 2 5" xfId="19389" xr:uid="{00000000-0005-0000-0000-00001F5C0000}"/>
    <cellStyle name="Normal 6 3 3 5 3" xfId="3503" xr:uid="{00000000-0005-0000-0000-0000205C0000}"/>
    <cellStyle name="Normal 6 3 3 5 3 2" xfId="7729" xr:uid="{00000000-0005-0000-0000-0000215C0000}"/>
    <cellStyle name="Normal 6 3 3 5 3 2 2" xfId="16177" xr:uid="{00000000-0005-0000-0000-0000225C0000}"/>
    <cellStyle name="Normal 6 3 3 5 3 2 2 2" xfId="33117" xr:uid="{00000000-0005-0000-0000-0000235C0000}"/>
    <cellStyle name="Normal 6 3 3 5 3 2 3" xfId="24669" xr:uid="{00000000-0005-0000-0000-0000245C0000}"/>
    <cellStyle name="Normal 6 3 3 5 3 3" xfId="11953" xr:uid="{00000000-0005-0000-0000-0000255C0000}"/>
    <cellStyle name="Normal 6 3 3 5 3 3 2" xfId="28893" xr:uid="{00000000-0005-0000-0000-0000265C0000}"/>
    <cellStyle name="Normal 6 3 3 5 3 4" xfId="20445" xr:uid="{00000000-0005-0000-0000-0000275C0000}"/>
    <cellStyle name="Normal 6 3 3 5 4" xfId="5617" xr:uid="{00000000-0005-0000-0000-0000285C0000}"/>
    <cellStyle name="Normal 6 3 3 5 4 2" xfId="14065" xr:uid="{00000000-0005-0000-0000-0000295C0000}"/>
    <cellStyle name="Normal 6 3 3 5 4 2 2" xfId="31005" xr:uid="{00000000-0005-0000-0000-00002A5C0000}"/>
    <cellStyle name="Normal 6 3 3 5 4 3" xfId="22557" xr:uid="{00000000-0005-0000-0000-00002B5C0000}"/>
    <cellStyle name="Normal 6 3 3 5 5" xfId="9841" xr:uid="{00000000-0005-0000-0000-00002C5C0000}"/>
    <cellStyle name="Normal 6 3 3 5 5 2" xfId="26781" xr:uid="{00000000-0005-0000-0000-00002D5C0000}"/>
    <cellStyle name="Normal 6 3 3 5 6" xfId="18333" xr:uid="{00000000-0005-0000-0000-00002E5C0000}"/>
    <cellStyle name="Normal 6 3 3 6" xfId="1567" xr:uid="{00000000-0005-0000-0000-00002F5C0000}"/>
    <cellStyle name="Normal 6 3 3 6 2" xfId="3679" xr:uid="{00000000-0005-0000-0000-0000305C0000}"/>
    <cellStyle name="Normal 6 3 3 6 2 2" xfId="7905" xr:uid="{00000000-0005-0000-0000-0000315C0000}"/>
    <cellStyle name="Normal 6 3 3 6 2 2 2" xfId="16353" xr:uid="{00000000-0005-0000-0000-0000325C0000}"/>
    <cellStyle name="Normal 6 3 3 6 2 2 2 2" xfId="33293" xr:uid="{00000000-0005-0000-0000-0000335C0000}"/>
    <cellStyle name="Normal 6 3 3 6 2 2 3" xfId="24845" xr:uid="{00000000-0005-0000-0000-0000345C0000}"/>
    <cellStyle name="Normal 6 3 3 6 2 3" xfId="12129" xr:uid="{00000000-0005-0000-0000-0000355C0000}"/>
    <cellStyle name="Normal 6 3 3 6 2 3 2" xfId="29069" xr:uid="{00000000-0005-0000-0000-0000365C0000}"/>
    <cellStyle name="Normal 6 3 3 6 2 4" xfId="20621" xr:uid="{00000000-0005-0000-0000-0000375C0000}"/>
    <cellStyle name="Normal 6 3 3 6 3" xfId="5793" xr:uid="{00000000-0005-0000-0000-0000385C0000}"/>
    <cellStyle name="Normal 6 3 3 6 3 2" xfId="14241" xr:uid="{00000000-0005-0000-0000-0000395C0000}"/>
    <cellStyle name="Normal 6 3 3 6 3 2 2" xfId="31181" xr:uid="{00000000-0005-0000-0000-00003A5C0000}"/>
    <cellStyle name="Normal 6 3 3 6 3 3" xfId="22733" xr:uid="{00000000-0005-0000-0000-00003B5C0000}"/>
    <cellStyle name="Normal 6 3 3 6 4" xfId="10017" xr:uid="{00000000-0005-0000-0000-00003C5C0000}"/>
    <cellStyle name="Normal 6 3 3 6 4 2" xfId="26957" xr:uid="{00000000-0005-0000-0000-00003D5C0000}"/>
    <cellStyle name="Normal 6 3 3 6 5" xfId="18509" xr:uid="{00000000-0005-0000-0000-00003E5C0000}"/>
    <cellStyle name="Normal 6 3 3 7" xfId="2623" xr:uid="{00000000-0005-0000-0000-00003F5C0000}"/>
    <cellStyle name="Normal 6 3 3 7 2" xfId="6849" xr:uid="{00000000-0005-0000-0000-0000405C0000}"/>
    <cellStyle name="Normal 6 3 3 7 2 2" xfId="15297" xr:uid="{00000000-0005-0000-0000-0000415C0000}"/>
    <cellStyle name="Normal 6 3 3 7 2 2 2" xfId="32237" xr:uid="{00000000-0005-0000-0000-0000425C0000}"/>
    <cellStyle name="Normal 6 3 3 7 2 3" xfId="23789" xr:uid="{00000000-0005-0000-0000-0000435C0000}"/>
    <cellStyle name="Normal 6 3 3 7 3" xfId="11073" xr:uid="{00000000-0005-0000-0000-0000445C0000}"/>
    <cellStyle name="Normal 6 3 3 7 3 2" xfId="28013" xr:uid="{00000000-0005-0000-0000-0000455C0000}"/>
    <cellStyle name="Normal 6 3 3 7 4" xfId="19565" xr:uid="{00000000-0005-0000-0000-0000465C0000}"/>
    <cellStyle name="Normal 6 3 3 8" xfId="4736" xr:uid="{00000000-0005-0000-0000-0000475C0000}"/>
    <cellStyle name="Normal 6 3 3 8 2" xfId="13185" xr:uid="{00000000-0005-0000-0000-0000485C0000}"/>
    <cellStyle name="Normal 6 3 3 8 2 2" xfId="30125" xr:uid="{00000000-0005-0000-0000-0000495C0000}"/>
    <cellStyle name="Normal 6 3 3 8 3" xfId="21677" xr:uid="{00000000-0005-0000-0000-00004A5C0000}"/>
    <cellStyle name="Normal 6 3 3 9" xfId="8961" xr:uid="{00000000-0005-0000-0000-00004B5C0000}"/>
    <cellStyle name="Normal 6 3 3 9 2" xfId="25901" xr:uid="{00000000-0005-0000-0000-00004C5C0000}"/>
    <cellStyle name="Normal 6 3 4" xfId="679" xr:uid="{00000000-0005-0000-0000-00004D5C0000}"/>
    <cellStyle name="Normal 6 3 4 2" xfId="1031" xr:uid="{00000000-0005-0000-0000-00004E5C0000}"/>
    <cellStyle name="Normal 6 3 4 2 2" xfId="2093" xr:uid="{00000000-0005-0000-0000-00004F5C0000}"/>
    <cellStyle name="Normal 6 3 4 2 2 2" xfId="4205" xr:uid="{00000000-0005-0000-0000-0000505C0000}"/>
    <cellStyle name="Normal 6 3 4 2 2 2 2" xfId="8431" xr:uid="{00000000-0005-0000-0000-0000515C0000}"/>
    <cellStyle name="Normal 6 3 4 2 2 2 2 2" xfId="16879" xr:uid="{00000000-0005-0000-0000-0000525C0000}"/>
    <cellStyle name="Normal 6 3 4 2 2 2 2 2 2" xfId="33819" xr:uid="{00000000-0005-0000-0000-0000535C0000}"/>
    <cellStyle name="Normal 6 3 4 2 2 2 2 3" xfId="25371" xr:uid="{00000000-0005-0000-0000-0000545C0000}"/>
    <cellStyle name="Normal 6 3 4 2 2 2 3" xfId="12655" xr:uid="{00000000-0005-0000-0000-0000555C0000}"/>
    <cellStyle name="Normal 6 3 4 2 2 2 3 2" xfId="29595" xr:uid="{00000000-0005-0000-0000-0000565C0000}"/>
    <cellStyle name="Normal 6 3 4 2 2 2 4" xfId="21147" xr:uid="{00000000-0005-0000-0000-0000575C0000}"/>
    <cellStyle name="Normal 6 3 4 2 2 3" xfId="6319" xr:uid="{00000000-0005-0000-0000-0000585C0000}"/>
    <cellStyle name="Normal 6 3 4 2 2 3 2" xfId="14767" xr:uid="{00000000-0005-0000-0000-0000595C0000}"/>
    <cellStyle name="Normal 6 3 4 2 2 3 2 2" xfId="31707" xr:uid="{00000000-0005-0000-0000-00005A5C0000}"/>
    <cellStyle name="Normal 6 3 4 2 2 3 3" xfId="23259" xr:uid="{00000000-0005-0000-0000-00005B5C0000}"/>
    <cellStyle name="Normal 6 3 4 2 2 4" xfId="10543" xr:uid="{00000000-0005-0000-0000-00005C5C0000}"/>
    <cellStyle name="Normal 6 3 4 2 2 4 2" xfId="27483" xr:uid="{00000000-0005-0000-0000-00005D5C0000}"/>
    <cellStyle name="Normal 6 3 4 2 2 5" xfId="19035" xr:uid="{00000000-0005-0000-0000-00005E5C0000}"/>
    <cellStyle name="Normal 6 3 4 2 3" xfId="3149" xr:uid="{00000000-0005-0000-0000-00005F5C0000}"/>
    <cellStyle name="Normal 6 3 4 2 3 2" xfId="7375" xr:uid="{00000000-0005-0000-0000-0000605C0000}"/>
    <cellStyle name="Normal 6 3 4 2 3 2 2" xfId="15823" xr:uid="{00000000-0005-0000-0000-0000615C0000}"/>
    <cellStyle name="Normal 6 3 4 2 3 2 2 2" xfId="32763" xr:uid="{00000000-0005-0000-0000-0000625C0000}"/>
    <cellStyle name="Normal 6 3 4 2 3 2 3" xfId="24315" xr:uid="{00000000-0005-0000-0000-0000635C0000}"/>
    <cellStyle name="Normal 6 3 4 2 3 3" xfId="11599" xr:uid="{00000000-0005-0000-0000-0000645C0000}"/>
    <cellStyle name="Normal 6 3 4 2 3 3 2" xfId="28539" xr:uid="{00000000-0005-0000-0000-0000655C0000}"/>
    <cellStyle name="Normal 6 3 4 2 3 4" xfId="20091" xr:uid="{00000000-0005-0000-0000-0000665C0000}"/>
    <cellStyle name="Normal 6 3 4 2 4" xfId="5263" xr:uid="{00000000-0005-0000-0000-0000675C0000}"/>
    <cellStyle name="Normal 6 3 4 2 4 2" xfId="13711" xr:uid="{00000000-0005-0000-0000-0000685C0000}"/>
    <cellStyle name="Normal 6 3 4 2 4 2 2" xfId="30651" xr:uid="{00000000-0005-0000-0000-0000695C0000}"/>
    <cellStyle name="Normal 6 3 4 2 4 3" xfId="22203" xr:uid="{00000000-0005-0000-0000-00006A5C0000}"/>
    <cellStyle name="Normal 6 3 4 2 5" xfId="9487" xr:uid="{00000000-0005-0000-0000-00006B5C0000}"/>
    <cellStyle name="Normal 6 3 4 2 5 2" xfId="26427" xr:uid="{00000000-0005-0000-0000-00006C5C0000}"/>
    <cellStyle name="Normal 6 3 4 2 6" xfId="17979" xr:uid="{00000000-0005-0000-0000-00006D5C0000}"/>
    <cellStyle name="Normal 6 3 4 3" xfId="1741" xr:uid="{00000000-0005-0000-0000-00006E5C0000}"/>
    <cellStyle name="Normal 6 3 4 3 2" xfId="3853" xr:uid="{00000000-0005-0000-0000-00006F5C0000}"/>
    <cellStyle name="Normal 6 3 4 3 2 2" xfId="8079" xr:uid="{00000000-0005-0000-0000-0000705C0000}"/>
    <cellStyle name="Normal 6 3 4 3 2 2 2" xfId="16527" xr:uid="{00000000-0005-0000-0000-0000715C0000}"/>
    <cellStyle name="Normal 6 3 4 3 2 2 2 2" xfId="33467" xr:uid="{00000000-0005-0000-0000-0000725C0000}"/>
    <cellStyle name="Normal 6 3 4 3 2 2 3" xfId="25019" xr:uid="{00000000-0005-0000-0000-0000735C0000}"/>
    <cellStyle name="Normal 6 3 4 3 2 3" xfId="12303" xr:uid="{00000000-0005-0000-0000-0000745C0000}"/>
    <cellStyle name="Normal 6 3 4 3 2 3 2" xfId="29243" xr:uid="{00000000-0005-0000-0000-0000755C0000}"/>
    <cellStyle name="Normal 6 3 4 3 2 4" xfId="20795" xr:uid="{00000000-0005-0000-0000-0000765C0000}"/>
    <cellStyle name="Normal 6 3 4 3 3" xfId="5967" xr:uid="{00000000-0005-0000-0000-0000775C0000}"/>
    <cellStyle name="Normal 6 3 4 3 3 2" xfId="14415" xr:uid="{00000000-0005-0000-0000-0000785C0000}"/>
    <cellStyle name="Normal 6 3 4 3 3 2 2" xfId="31355" xr:uid="{00000000-0005-0000-0000-0000795C0000}"/>
    <cellStyle name="Normal 6 3 4 3 3 3" xfId="22907" xr:uid="{00000000-0005-0000-0000-00007A5C0000}"/>
    <cellStyle name="Normal 6 3 4 3 4" xfId="10191" xr:uid="{00000000-0005-0000-0000-00007B5C0000}"/>
    <cellStyle name="Normal 6 3 4 3 4 2" xfId="27131" xr:uid="{00000000-0005-0000-0000-00007C5C0000}"/>
    <cellStyle name="Normal 6 3 4 3 5" xfId="18683" xr:uid="{00000000-0005-0000-0000-00007D5C0000}"/>
    <cellStyle name="Normal 6 3 4 4" xfId="2797" xr:uid="{00000000-0005-0000-0000-00007E5C0000}"/>
    <cellStyle name="Normal 6 3 4 4 2" xfId="7023" xr:uid="{00000000-0005-0000-0000-00007F5C0000}"/>
    <cellStyle name="Normal 6 3 4 4 2 2" xfId="15471" xr:uid="{00000000-0005-0000-0000-0000805C0000}"/>
    <cellStyle name="Normal 6 3 4 4 2 2 2" xfId="32411" xr:uid="{00000000-0005-0000-0000-0000815C0000}"/>
    <cellStyle name="Normal 6 3 4 4 2 3" xfId="23963" xr:uid="{00000000-0005-0000-0000-0000825C0000}"/>
    <cellStyle name="Normal 6 3 4 4 3" xfId="11247" xr:uid="{00000000-0005-0000-0000-0000835C0000}"/>
    <cellStyle name="Normal 6 3 4 4 3 2" xfId="28187" xr:uid="{00000000-0005-0000-0000-0000845C0000}"/>
    <cellStyle name="Normal 6 3 4 4 4" xfId="19739" xr:uid="{00000000-0005-0000-0000-0000855C0000}"/>
    <cellStyle name="Normal 6 3 4 5" xfId="4911" xr:uid="{00000000-0005-0000-0000-0000865C0000}"/>
    <cellStyle name="Normal 6 3 4 5 2" xfId="13359" xr:uid="{00000000-0005-0000-0000-0000875C0000}"/>
    <cellStyle name="Normal 6 3 4 5 2 2" xfId="30299" xr:uid="{00000000-0005-0000-0000-0000885C0000}"/>
    <cellStyle name="Normal 6 3 4 5 3" xfId="21851" xr:uid="{00000000-0005-0000-0000-0000895C0000}"/>
    <cellStyle name="Normal 6 3 4 6" xfId="9135" xr:uid="{00000000-0005-0000-0000-00008A5C0000}"/>
    <cellStyle name="Normal 6 3 4 6 2" xfId="26075" xr:uid="{00000000-0005-0000-0000-00008B5C0000}"/>
    <cellStyle name="Normal 6 3 4 7" xfId="17627" xr:uid="{00000000-0005-0000-0000-00008C5C0000}"/>
    <cellStyle name="Normal 6 3 5" xfId="855" xr:uid="{00000000-0005-0000-0000-00008D5C0000}"/>
    <cellStyle name="Normal 6 3 5 2" xfId="1917" xr:uid="{00000000-0005-0000-0000-00008E5C0000}"/>
    <cellStyle name="Normal 6 3 5 2 2" xfId="4029" xr:uid="{00000000-0005-0000-0000-00008F5C0000}"/>
    <cellStyle name="Normal 6 3 5 2 2 2" xfId="8255" xr:uid="{00000000-0005-0000-0000-0000905C0000}"/>
    <cellStyle name="Normal 6 3 5 2 2 2 2" xfId="16703" xr:uid="{00000000-0005-0000-0000-0000915C0000}"/>
    <cellStyle name="Normal 6 3 5 2 2 2 2 2" xfId="33643" xr:uid="{00000000-0005-0000-0000-0000925C0000}"/>
    <cellStyle name="Normal 6 3 5 2 2 2 3" xfId="25195" xr:uid="{00000000-0005-0000-0000-0000935C0000}"/>
    <cellStyle name="Normal 6 3 5 2 2 3" xfId="12479" xr:uid="{00000000-0005-0000-0000-0000945C0000}"/>
    <cellStyle name="Normal 6 3 5 2 2 3 2" xfId="29419" xr:uid="{00000000-0005-0000-0000-0000955C0000}"/>
    <cellStyle name="Normal 6 3 5 2 2 4" xfId="20971" xr:uid="{00000000-0005-0000-0000-0000965C0000}"/>
    <cellStyle name="Normal 6 3 5 2 3" xfId="6143" xr:uid="{00000000-0005-0000-0000-0000975C0000}"/>
    <cellStyle name="Normal 6 3 5 2 3 2" xfId="14591" xr:uid="{00000000-0005-0000-0000-0000985C0000}"/>
    <cellStyle name="Normal 6 3 5 2 3 2 2" xfId="31531" xr:uid="{00000000-0005-0000-0000-0000995C0000}"/>
    <cellStyle name="Normal 6 3 5 2 3 3" xfId="23083" xr:uid="{00000000-0005-0000-0000-00009A5C0000}"/>
    <cellStyle name="Normal 6 3 5 2 4" xfId="10367" xr:uid="{00000000-0005-0000-0000-00009B5C0000}"/>
    <cellStyle name="Normal 6 3 5 2 4 2" xfId="27307" xr:uid="{00000000-0005-0000-0000-00009C5C0000}"/>
    <cellStyle name="Normal 6 3 5 2 5" xfId="18859" xr:uid="{00000000-0005-0000-0000-00009D5C0000}"/>
    <cellStyle name="Normal 6 3 5 3" xfId="2973" xr:uid="{00000000-0005-0000-0000-00009E5C0000}"/>
    <cellStyle name="Normal 6 3 5 3 2" xfId="7199" xr:uid="{00000000-0005-0000-0000-00009F5C0000}"/>
    <cellStyle name="Normal 6 3 5 3 2 2" xfId="15647" xr:uid="{00000000-0005-0000-0000-0000A05C0000}"/>
    <cellStyle name="Normal 6 3 5 3 2 2 2" xfId="32587" xr:uid="{00000000-0005-0000-0000-0000A15C0000}"/>
    <cellStyle name="Normal 6 3 5 3 2 3" xfId="24139" xr:uid="{00000000-0005-0000-0000-0000A25C0000}"/>
    <cellStyle name="Normal 6 3 5 3 3" xfId="11423" xr:uid="{00000000-0005-0000-0000-0000A35C0000}"/>
    <cellStyle name="Normal 6 3 5 3 3 2" xfId="28363" xr:uid="{00000000-0005-0000-0000-0000A45C0000}"/>
    <cellStyle name="Normal 6 3 5 3 4" xfId="19915" xr:uid="{00000000-0005-0000-0000-0000A55C0000}"/>
    <cellStyle name="Normal 6 3 5 4" xfId="5087" xr:uid="{00000000-0005-0000-0000-0000A65C0000}"/>
    <cellStyle name="Normal 6 3 5 4 2" xfId="13535" xr:uid="{00000000-0005-0000-0000-0000A75C0000}"/>
    <cellStyle name="Normal 6 3 5 4 2 2" xfId="30475" xr:uid="{00000000-0005-0000-0000-0000A85C0000}"/>
    <cellStyle name="Normal 6 3 5 4 3" xfId="22027" xr:uid="{00000000-0005-0000-0000-0000A95C0000}"/>
    <cellStyle name="Normal 6 3 5 5" xfId="9311" xr:uid="{00000000-0005-0000-0000-0000AA5C0000}"/>
    <cellStyle name="Normal 6 3 5 5 2" xfId="26251" xr:uid="{00000000-0005-0000-0000-0000AB5C0000}"/>
    <cellStyle name="Normal 6 3 5 6" xfId="17803" xr:uid="{00000000-0005-0000-0000-0000AC5C0000}"/>
    <cellStyle name="Normal 6 3 6" xfId="1207" xr:uid="{00000000-0005-0000-0000-0000AD5C0000}"/>
    <cellStyle name="Normal 6 3 6 2" xfId="2269" xr:uid="{00000000-0005-0000-0000-0000AE5C0000}"/>
    <cellStyle name="Normal 6 3 6 2 2" xfId="4381" xr:uid="{00000000-0005-0000-0000-0000AF5C0000}"/>
    <cellStyle name="Normal 6 3 6 2 2 2" xfId="8607" xr:uid="{00000000-0005-0000-0000-0000B05C0000}"/>
    <cellStyle name="Normal 6 3 6 2 2 2 2" xfId="17055" xr:uid="{00000000-0005-0000-0000-0000B15C0000}"/>
    <cellStyle name="Normal 6 3 6 2 2 2 2 2" xfId="33995" xr:uid="{00000000-0005-0000-0000-0000B25C0000}"/>
    <cellStyle name="Normal 6 3 6 2 2 2 3" xfId="25547" xr:uid="{00000000-0005-0000-0000-0000B35C0000}"/>
    <cellStyle name="Normal 6 3 6 2 2 3" xfId="12831" xr:uid="{00000000-0005-0000-0000-0000B45C0000}"/>
    <cellStyle name="Normal 6 3 6 2 2 3 2" xfId="29771" xr:uid="{00000000-0005-0000-0000-0000B55C0000}"/>
    <cellStyle name="Normal 6 3 6 2 2 4" xfId="21323" xr:uid="{00000000-0005-0000-0000-0000B65C0000}"/>
    <cellStyle name="Normal 6 3 6 2 3" xfId="6495" xr:uid="{00000000-0005-0000-0000-0000B75C0000}"/>
    <cellStyle name="Normal 6 3 6 2 3 2" xfId="14943" xr:uid="{00000000-0005-0000-0000-0000B85C0000}"/>
    <cellStyle name="Normal 6 3 6 2 3 2 2" xfId="31883" xr:uid="{00000000-0005-0000-0000-0000B95C0000}"/>
    <cellStyle name="Normal 6 3 6 2 3 3" xfId="23435" xr:uid="{00000000-0005-0000-0000-0000BA5C0000}"/>
    <cellStyle name="Normal 6 3 6 2 4" xfId="10719" xr:uid="{00000000-0005-0000-0000-0000BB5C0000}"/>
    <cellStyle name="Normal 6 3 6 2 4 2" xfId="27659" xr:uid="{00000000-0005-0000-0000-0000BC5C0000}"/>
    <cellStyle name="Normal 6 3 6 2 5" xfId="19211" xr:uid="{00000000-0005-0000-0000-0000BD5C0000}"/>
    <cellStyle name="Normal 6 3 6 3" xfId="3325" xr:uid="{00000000-0005-0000-0000-0000BE5C0000}"/>
    <cellStyle name="Normal 6 3 6 3 2" xfId="7551" xr:uid="{00000000-0005-0000-0000-0000BF5C0000}"/>
    <cellStyle name="Normal 6 3 6 3 2 2" xfId="15999" xr:uid="{00000000-0005-0000-0000-0000C05C0000}"/>
    <cellStyle name="Normal 6 3 6 3 2 2 2" xfId="32939" xr:uid="{00000000-0005-0000-0000-0000C15C0000}"/>
    <cellStyle name="Normal 6 3 6 3 2 3" xfId="24491" xr:uid="{00000000-0005-0000-0000-0000C25C0000}"/>
    <cellStyle name="Normal 6 3 6 3 3" xfId="11775" xr:uid="{00000000-0005-0000-0000-0000C35C0000}"/>
    <cellStyle name="Normal 6 3 6 3 3 2" xfId="28715" xr:uid="{00000000-0005-0000-0000-0000C45C0000}"/>
    <cellStyle name="Normal 6 3 6 3 4" xfId="20267" xr:uid="{00000000-0005-0000-0000-0000C55C0000}"/>
    <cellStyle name="Normal 6 3 6 4" xfId="5439" xr:uid="{00000000-0005-0000-0000-0000C65C0000}"/>
    <cellStyle name="Normal 6 3 6 4 2" xfId="13887" xr:uid="{00000000-0005-0000-0000-0000C75C0000}"/>
    <cellStyle name="Normal 6 3 6 4 2 2" xfId="30827" xr:uid="{00000000-0005-0000-0000-0000C85C0000}"/>
    <cellStyle name="Normal 6 3 6 4 3" xfId="22379" xr:uid="{00000000-0005-0000-0000-0000C95C0000}"/>
    <cellStyle name="Normal 6 3 6 5" xfId="9663" xr:uid="{00000000-0005-0000-0000-0000CA5C0000}"/>
    <cellStyle name="Normal 6 3 6 5 2" xfId="26603" xr:uid="{00000000-0005-0000-0000-0000CB5C0000}"/>
    <cellStyle name="Normal 6 3 6 6" xfId="18155" xr:uid="{00000000-0005-0000-0000-0000CC5C0000}"/>
    <cellStyle name="Normal 6 3 7" xfId="1389" xr:uid="{00000000-0005-0000-0000-0000CD5C0000}"/>
    <cellStyle name="Normal 6 3 7 2" xfId="2445" xr:uid="{00000000-0005-0000-0000-0000CE5C0000}"/>
    <cellStyle name="Normal 6 3 7 2 2" xfId="4557" xr:uid="{00000000-0005-0000-0000-0000CF5C0000}"/>
    <cellStyle name="Normal 6 3 7 2 2 2" xfId="8783" xr:uid="{00000000-0005-0000-0000-0000D05C0000}"/>
    <cellStyle name="Normal 6 3 7 2 2 2 2" xfId="17231" xr:uid="{00000000-0005-0000-0000-0000D15C0000}"/>
    <cellStyle name="Normal 6 3 7 2 2 2 2 2" xfId="34171" xr:uid="{00000000-0005-0000-0000-0000D25C0000}"/>
    <cellStyle name="Normal 6 3 7 2 2 2 3" xfId="25723" xr:uid="{00000000-0005-0000-0000-0000D35C0000}"/>
    <cellStyle name="Normal 6 3 7 2 2 3" xfId="13007" xr:uid="{00000000-0005-0000-0000-0000D45C0000}"/>
    <cellStyle name="Normal 6 3 7 2 2 3 2" xfId="29947" xr:uid="{00000000-0005-0000-0000-0000D55C0000}"/>
    <cellStyle name="Normal 6 3 7 2 2 4" xfId="21499" xr:uid="{00000000-0005-0000-0000-0000D65C0000}"/>
    <cellStyle name="Normal 6 3 7 2 3" xfId="6671" xr:uid="{00000000-0005-0000-0000-0000D75C0000}"/>
    <cellStyle name="Normal 6 3 7 2 3 2" xfId="15119" xr:uid="{00000000-0005-0000-0000-0000D85C0000}"/>
    <cellStyle name="Normal 6 3 7 2 3 2 2" xfId="32059" xr:uid="{00000000-0005-0000-0000-0000D95C0000}"/>
    <cellStyle name="Normal 6 3 7 2 3 3" xfId="23611" xr:uid="{00000000-0005-0000-0000-0000DA5C0000}"/>
    <cellStyle name="Normal 6 3 7 2 4" xfId="10895" xr:uid="{00000000-0005-0000-0000-0000DB5C0000}"/>
    <cellStyle name="Normal 6 3 7 2 4 2" xfId="27835" xr:uid="{00000000-0005-0000-0000-0000DC5C0000}"/>
    <cellStyle name="Normal 6 3 7 2 5" xfId="19387" xr:uid="{00000000-0005-0000-0000-0000DD5C0000}"/>
    <cellStyle name="Normal 6 3 7 3" xfId="3501" xr:uid="{00000000-0005-0000-0000-0000DE5C0000}"/>
    <cellStyle name="Normal 6 3 7 3 2" xfId="7727" xr:uid="{00000000-0005-0000-0000-0000DF5C0000}"/>
    <cellStyle name="Normal 6 3 7 3 2 2" xfId="16175" xr:uid="{00000000-0005-0000-0000-0000E05C0000}"/>
    <cellStyle name="Normal 6 3 7 3 2 2 2" xfId="33115" xr:uid="{00000000-0005-0000-0000-0000E15C0000}"/>
    <cellStyle name="Normal 6 3 7 3 2 3" xfId="24667" xr:uid="{00000000-0005-0000-0000-0000E25C0000}"/>
    <cellStyle name="Normal 6 3 7 3 3" xfId="11951" xr:uid="{00000000-0005-0000-0000-0000E35C0000}"/>
    <cellStyle name="Normal 6 3 7 3 3 2" xfId="28891" xr:uid="{00000000-0005-0000-0000-0000E45C0000}"/>
    <cellStyle name="Normal 6 3 7 3 4" xfId="20443" xr:uid="{00000000-0005-0000-0000-0000E55C0000}"/>
    <cellStyle name="Normal 6 3 7 4" xfId="5615" xr:uid="{00000000-0005-0000-0000-0000E65C0000}"/>
    <cellStyle name="Normal 6 3 7 4 2" xfId="14063" xr:uid="{00000000-0005-0000-0000-0000E75C0000}"/>
    <cellStyle name="Normal 6 3 7 4 2 2" xfId="31003" xr:uid="{00000000-0005-0000-0000-0000E85C0000}"/>
    <cellStyle name="Normal 6 3 7 4 3" xfId="22555" xr:uid="{00000000-0005-0000-0000-0000E95C0000}"/>
    <cellStyle name="Normal 6 3 7 5" xfId="9839" xr:uid="{00000000-0005-0000-0000-0000EA5C0000}"/>
    <cellStyle name="Normal 6 3 7 5 2" xfId="26779" xr:uid="{00000000-0005-0000-0000-0000EB5C0000}"/>
    <cellStyle name="Normal 6 3 7 6" xfId="18331" xr:uid="{00000000-0005-0000-0000-0000EC5C0000}"/>
    <cellStyle name="Normal 6 3 8" xfId="1565" xr:uid="{00000000-0005-0000-0000-0000ED5C0000}"/>
    <cellStyle name="Normal 6 3 8 2" xfId="3677" xr:uid="{00000000-0005-0000-0000-0000EE5C0000}"/>
    <cellStyle name="Normal 6 3 8 2 2" xfId="7903" xr:uid="{00000000-0005-0000-0000-0000EF5C0000}"/>
    <cellStyle name="Normal 6 3 8 2 2 2" xfId="16351" xr:uid="{00000000-0005-0000-0000-0000F05C0000}"/>
    <cellStyle name="Normal 6 3 8 2 2 2 2" xfId="33291" xr:uid="{00000000-0005-0000-0000-0000F15C0000}"/>
    <cellStyle name="Normal 6 3 8 2 2 3" xfId="24843" xr:uid="{00000000-0005-0000-0000-0000F25C0000}"/>
    <cellStyle name="Normal 6 3 8 2 3" xfId="12127" xr:uid="{00000000-0005-0000-0000-0000F35C0000}"/>
    <cellStyle name="Normal 6 3 8 2 3 2" xfId="29067" xr:uid="{00000000-0005-0000-0000-0000F45C0000}"/>
    <cellStyle name="Normal 6 3 8 2 4" xfId="20619" xr:uid="{00000000-0005-0000-0000-0000F55C0000}"/>
    <cellStyle name="Normal 6 3 8 3" xfId="5791" xr:uid="{00000000-0005-0000-0000-0000F65C0000}"/>
    <cellStyle name="Normal 6 3 8 3 2" xfId="14239" xr:uid="{00000000-0005-0000-0000-0000F75C0000}"/>
    <cellStyle name="Normal 6 3 8 3 2 2" xfId="31179" xr:uid="{00000000-0005-0000-0000-0000F85C0000}"/>
    <cellStyle name="Normal 6 3 8 3 3" xfId="22731" xr:uid="{00000000-0005-0000-0000-0000F95C0000}"/>
    <cellStyle name="Normal 6 3 8 4" xfId="10015" xr:uid="{00000000-0005-0000-0000-0000FA5C0000}"/>
    <cellStyle name="Normal 6 3 8 4 2" xfId="26955" xr:uid="{00000000-0005-0000-0000-0000FB5C0000}"/>
    <cellStyle name="Normal 6 3 8 5" xfId="18507" xr:uid="{00000000-0005-0000-0000-0000FC5C0000}"/>
    <cellStyle name="Normal 6 3 9" xfId="2621" xr:uid="{00000000-0005-0000-0000-0000FD5C0000}"/>
    <cellStyle name="Normal 6 3 9 2" xfId="6847" xr:uid="{00000000-0005-0000-0000-0000FE5C0000}"/>
    <cellStyle name="Normal 6 3 9 2 2" xfId="15295" xr:uid="{00000000-0005-0000-0000-0000FF5C0000}"/>
    <cellStyle name="Normal 6 3 9 2 2 2" xfId="32235" xr:uid="{00000000-0005-0000-0000-0000005D0000}"/>
    <cellStyle name="Normal 6 3 9 2 3" xfId="23787" xr:uid="{00000000-0005-0000-0000-0000015D0000}"/>
    <cellStyle name="Normal 6 3 9 3" xfId="11071" xr:uid="{00000000-0005-0000-0000-0000025D0000}"/>
    <cellStyle name="Normal 6 3 9 3 2" xfId="28011" xr:uid="{00000000-0005-0000-0000-0000035D0000}"/>
    <cellStyle name="Normal 6 3 9 4" xfId="19563" xr:uid="{00000000-0005-0000-0000-0000045D0000}"/>
    <cellStyle name="Normal 6 4" xfId="387" xr:uid="{00000000-0005-0000-0000-0000055D0000}"/>
    <cellStyle name="Normal 6 5" xfId="388" xr:uid="{00000000-0005-0000-0000-0000065D0000}"/>
    <cellStyle name="Normal 6 5 10" xfId="17454" xr:uid="{00000000-0005-0000-0000-0000075D0000}"/>
    <cellStyle name="Normal 6 5 2" xfId="682" xr:uid="{00000000-0005-0000-0000-0000085D0000}"/>
    <cellStyle name="Normal 6 5 2 2" xfId="1034" xr:uid="{00000000-0005-0000-0000-0000095D0000}"/>
    <cellStyle name="Normal 6 5 2 2 2" xfId="2096" xr:uid="{00000000-0005-0000-0000-00000A5D0000}"/>
    <cellStyle name="Normal 6 5 2 2 2 2" xfId="4208" xr:uid="{00000000-0005-0000-0000-00000B5D0000}"/>
    <cellStyle name="Normal 6 5 2 2 2 2 2" xfId="8434" xr:uid="{00000000-0005-0000-0000-00000C5D0000}"/>
    <cellStyle name="Normal 6 5 2 2 2 2 2 2" xfId="16882" xr:uid="{00000000-0005-0000-0000-00000D5D0000}"/>
    <cellStyle name="Normal 6 5 2 2 2 2 2 2 2" xfId="33822" xr:uid="{00000000-0005-0000-0000-00000E5D0000}"/>
    <cellStyle name="Normal 6 5 2 2 2 2 2 3" xfId="25374" xr:uid="{00000000-0005-0000-0000-00000F5D0000}"/>
    <cellStyle name="Normal 6 5 2 2 2 2 3" xfId="12658" xr:uid="{00000000-0005-0000-0000-0000105D0000}"/>
    <cellStyle name="Normal 6 5 2 2 2 2 3 2" xfId="29598" xr:uid="{00000000-0005-0000-0000-0000115D0000}"/>
    <cellStyle name="Normal 6 5 2 2 2 2 4" xfId="21150" xr:uid="{00000000-0005-0000-0000-0000125D0000}"/>
    <cellStyle name="Normal 6 5 2 2 2 3" xfId="6322" xr:uid="{00000000-0005-0000-0000-0000135D0000}"/>
    <cellStyle name="Normal 6 5 2 2 2 3 2" xfId="14770" xr:uid="{00000000-0005-0000-0000-0000145D0000}"/>
    <cellStyle name="Normal 6 5 2 2 2 3 2 2" xfId="31710" xr:uid="{00000000-0005-0000-0000-0000155D0000}"/>
    <cellStyle name="Normal 6 5 2 2 2 3 3" xfId="23262" xr:uid="{00000000-0005-0000-0000-0000165D0000}"/>
    <cellStyle name="Normal 6 5 2 2 2 4" xfId="10546" xr:uid="{00000000-0005-0000-0000-0000175D0000}"/>
    <cellStyle name="Normal 6 5 2 2 2 4 2" xfId="27486" xr:uid="{00000000-0005-0000-0000-0000185D0000}"/>
    <cellStyle name="Normal 6 5 2 2 2 5" xfId="19038" xr:uid="{00000000-0005-0000-0000-0000195D0000}"/>
    <cellStyle name="Normal 6 5 2 2 3" xfId="3152" xr:uid="{00000000-0005-0000-0000-00001A5D0000}"/>
    <cellStyle name="Normal 6 5 2 2 3 2" xfId="7378" xr:uid="{00000000-0005-0000-0000-00001B5D0000}"/>
    <cellStyle name="Normal 6 5 2 2 3 2 2" xfId="15826" xr:uid="{00000000-0005-0000-0000-00001C5D0000}"/>
    <cellStyle name="Normal 6 5 2 2 3 2 2 2" xfId="32766" xr:uid="{00000000-0005-0000-0000-00001D5D0000}"/>
    <cellStyle name="Normal 6 5 2 2 3 2 3" xfId="24318" xr:uid="{00000000-0005-0000-0000-00001E5D0000}"/>
    <cellStyle name="Normal 6 5 2 2 3 3" xfId="11602" xr:uid="{00000000-0005-0000-0000-00001F5D0000}"/>
    <cellStyle name="Normal 6 5 2 2 3 3 2" xfId="28542" xr:uid="{00000000-0005-0000-0000-0000205D0000}"/>
    <cellStyle name="Normal 6 5 2 2 3 4" xfId="20094" xr:uid="{00000000-0005-0000-0000-0000215D0000}"/>
    <cellStyle name="Normal 6 5 2 2 4" xfId="5266" xr:uid="{00000000-0005-0000-0000-0000225D0000}"/>
    <cellStyle name="Normal 6 5 2 2 4 2" xfId="13714" xr:uid="{00000000-0005-0000-0000-0000235D0000}"/>
    <cellStyle name="Normal 6 5 2 2 4 2 2" xfId="30654" xr:uid="{00000000-0005-0000-0000-0000245D0000}"/>
    <cellStyle name="Normal 6 5 2 2 4 3" xfId="22206" xr:uid="{00000000-0005-0000-0000-0000255D0000}"/>
    <cellStyle name="Normal 6 5 2 2 5" xfId="9490" xr:uid="{00000000-0005-0000-0000-0000265D0000}"/>
    <cellStyle name="Normal 6 5 2 2 5 2" xfId="26430" xr:uid="{00000000-0005-0000-0000-0000275D0000}"/>
    <cellStyle name="Normal 6 5 2 2 6" xfId="17982" xr:uid="{00000000-0005-0000-0000-0000285D0000}"/>
    <cellStyle name="Normal 6 5 2 3" xfId="1744" xr:uid="{00000000-0005-0000-0000-0000295D0000}"/>
    <cellStyle name="Normal 6 5 2 3 2" xfId="3856" xr:uid="{00000000-0005-0000-0000-00002A5D0000}"/>
    <cellStyle name="Normal 6 5 2 3 2 2" xfId="8082" xr:uid="{00000000-0005-0000-0000-00002B5D0000}"/>
    <cellStyle name="Normal 6 5 2 3 2 2 2" xfId="16530" xr:uid="{00000000-0005-0000-0000-00002C5D0000}"/>
    <cellStyle name="Normal 6 5 2 3 2 2 2 2" xfId="33470" xr:uid="{00000000-0005-0000-0000-00002D5D0000}"/>
    <cellStyle name="Normal 6 5 2 3 2 2 3" xfId="25022" xr:uid="{00000000-0005-0000-0000-00002E5D0000}"/>
    <cellStyle name="Normal 6 5 2 3 2 3" xfId="12306" xr:uid="{00000000-0005-0000-0000-00002F5D0000}"/>
    <cellStyle name="Normal 6 5 2 3 2 3 2" xfId="29246" xr:uid="{00000000-0005-0000-0000-0000305D0000}"/>
    <cellStyle name="Normal 6 5 2 3 2 4" xfId="20798" xr:uid="{00000000-0005-0000-0000-0000315D0000}"/>
    <cellStyle name="Normal 6 5 2 3 3" xfId="5970" xr:uid="{00000000-0005-0000-0000-0000325D0000}"/>
    <cellStyle name="Normal 6 5 2 3 3 2" xfId="14418" xr:uid="{00000000-0005-0000-0000-0000335D0000}"/>
    <cellStyle name="Normal 6 5 2 3 3 2 2" xfId="31358" xr:uid="{00000000-0005-0000-0000-0000345D0000}"/>
    <cellStyle name="Normal 6 5 2 3 3 3" xfId="22910" xr:uid="{00000000-0005-0000-0000-0000355D0000}"/>
    <cellStyle name="Normal 6 5 2 3 4" xfId="10194" xr:uid="{00000000-0005-0000-0000-0000365D0000}"/>
    <cellStyle name="Normal 6 5 2 3 4 2" xfId="27134" xr:uid="{00000000-0005-0000-0000-0000375D0000}"/>
    <cellStyle name="Normal 6 5 2 3 5" xfId="18686" xr:uid="{00000000-0005-0000-0000-0000385D0000}"/>
    <cellStyle name="Normal 6 5 2 4" xfId="2800" xr:uid="{00000000-0005-0000-0000-0000395D0000}"/>
    <cellStyle name="Normal 6 5 2 4 2" xfId="7026" xr:uid="{00000000-0005-0000-0000-00003A5D0000}"/>
    <cellStyle name="Normal 6 5 2 4 2 2" xfId="15474" xr:uid="{00000000-0005-0000-0000-00003B5D0000}"/>
    <cellStyle name="Normal 6 5 2 4 2 2 2" xfId="32414" xr:uid="{00000000-0005-0000-0000-00003C5D0000}"/>
    <cellStyle name="Normal 6 5 2 4 2 3" xfId="23966" xr:uid="{00000000-0005-0000-0000-00003D5D0000}"/>
    <cellStyle name="Normal 6 5 2 4 3" xfId="11250" xr:uid="{00000000-0005-0000-0000-00003E5D0000}"/>
    <cellStyle name="Normal 6 5 2 4 3 2" xfId="28190" xr:uid="{00000000-0005-0000-0000-00003F5D0000}"/>
    <cellStyle name="Normal 6 5 2 4 4" xfId="19742" xr:uid="{00000000-0005-0000-0000-0000405D0000}"/>
    <cellStyle name="Normal 6 5 2 5" xfId="4914" xr:uid="{00000000-0005-0000-0000-0000415D0000}"/>
    <cellStyle name="Normal 6 5 2 5 2" xfId="13362" xr:uid="{00000000-0005-0000-0000-0000425D0000}"/>
    <cellStyle name="Normal 6 5 2 5 2 2" xfId="30302" xr:uid="{00000000-0005-0000-0000-0000435D0000}"/>
    <cellStyle name="Normal 6 5 2 5 3" xfId="21854" xr:uid="{00000000-0005-0000-0000-0000445D0000}"/>
    <cellStyle name="Normal 6 5 2 6" xfId="9138" xr:uid="{00000000-0005-0000-0000-0000455D0000}"/>
    <cellStyle name="Normal 6 5 2 6 2" xfId="26078" xr:uid="{00000000-0005-0000-0000-0000465D0000}"/>
    <cellStyle name="Normal 6 5 2 7" xfId="17630" xr:uid="{00000000-0005-0000-0000-0000475D0000}"/>
    <cellStyle name="Normal 6 5 3" xfId="858" xr:uid="{00000000-0005-0000-0000-0000485D0000}"/>
    <cellStyle name="Normal 6 5 3 2" xfId="1920" xr:uid="{00000000-0005-0000-0000-0000495D0000}"/>
    <cellStyle name="Normal 6 5 3 2 2" xfId="4032" xr:uid="{00000000-0005-0000-0000-00004A5D0000}"/>
    <cellStyle name="Normal 6 5 3 2 2 2" xfId="8258" xr:uid="{00000000-0005-0000-0000-00004B5D0000}"/>
    <cellStyle name="Normal 6 5 3 2 2 2 2" xfId="16706" xr:uid="{00000000-0005-0000-0000-00004C5D0000}"/>
    <cellStyle name="Normal 6 5 3 2 2 2 2 2" xfId="33646" xr:uid="{00000000-0005-0000-0000-00004D5D0000}"/>
    <cellStyle name="Normal 6 5 3 2 2 2 3" xfId="25198" xr:uid="{00000000-0005-0000-0000-00004E5D0000}"/>
    <cellStyle name="Normal 6 5 3 2 2 3" xfId="12482" xr:uid="{00000000-0005-0000-0000-00004F5D0000}"/>
    <cellStyle name="Normal 6 5 3 2 2 3 2" xfId="29422" xr:uid="{00000000-0005-0000-0000-0000505D0000}"/>
    <cellStyle name="Normal 6 5 3 2 2 4" xfId="20974" xr:uid="{00000000-0005-0000-0000-0000515D0000}"/>
    <cellStyle name="Normal 6 5 3 2 3" xfId="6146" xr:uid="{00000000-0005-0000-0000-0000525D0000}"/>
    <cellStyle name="Normal 6 5 3 2 3 2" xfId="14594" xr:uid="{00000000-0005-0000-0000-0000535D0000}"/>
    <cellStyle name="Normal 6 5 3 2 3 2 2" xfId="31534" xr:uid="{00000000-0005-0000-0000-0000545D0000}"/>
    <cellStyle name="Normal 6 5 3 2 3 3" xfId="23086" xr:uid="{00000000-0005-0000-0000-0000555D0000}"/>
    <cellStyle name="Normal 6 5 3 2 4" xfId="10370" xr:uid="{00000000-0005-0000-0000-0000565D0000}"/>
    <cellStyle name="Normal 6 5 3 2 4 2" xfId="27310" xr:uid="{00000000-0005-0000-0000-0000575D0000}"/>
    <cellStyle name="Normal 6 5 3 2 5" xfId="18862" xr:uid="{00000000-0005-0000-0000-0000585D0000}"/>
    <cellStyle name="Normal 6 5 3 3" xfId="2976" xr:uid="{00000000-0005-0000-0000-0000595D0000}"/>
    <cellStyle name="Normal 6 5 3 3 2" xfId="7202" xr:uid="{00000000-0005-0000-0000-00005A5D0000}"/>
    <cellStyle name="Normal 6 5 3 3 2 2" xfId="15650" xr:uid="{00000000-0005-0000-0000-00005B5D0000}"/>
    <cellStyle name="Normal 6 5 3 3 2 2 2" xfId="32590" xr:uid="{00000000-0005-0000-0000-00005C5D0000}"/>
    <cellStyle name="Normal 6 5 3 3 2 3" xfId="24142" xr:uid="{00000000-0005-0000-0000-00005D5D0000}"/>
    <cellStyle name="Normal 6 5 3 3 3" xfId="11426" xr:uid="{00000000-0005-0000-0000-00005E5D0000}"/>
    <cellStyle name="Normal 6 5 3 3 3 2" xfId="28366" xr:uid="{00000000-0005-0000-0000-00005F5D0000}"/>
    <cellStyle name="Normal 6 5 3 3 4" xfId="19918" xr:uid="{00000000-0005-0000-0000-0000605D0000}"/>
    <cellStyle name="Normal 6 5 3 4" xfId="5090" xr:uid="{00000000-0005-0000-0000-0000615D0000}"/>
    <cellStyle name="Normal 6 5 3 4 2" xfId="13538" xr:uid="{00000000-0005-0000-0000-0000625D0000}"/>
    <cellStyle name="Normal 6 5 3 4 2 2" xfId="30478" xr:uid="{00000000-0005-0000-0000-0000635D0000}"/>
    <cellStyle name="Normal 6 5 3 4 3" xfId="22030" xr:uid="{00000000-0005-0000-0000-0000645D0000}"/>
    <cellStyle name="Normal 6 5 3 5" xfId="9314" xr:uid="{00000000-0005-0000-0000-0000655D0000}"/>
    <cellStyle name="Normal 6 5 3 5 2" xfId="26254" xr:uid="{00000000-0005-0000-0000-0000665D0000}"/>
    <cellStyle name="Normal 6 5 3 6" xfId="17806" xr:uid="{00000000-0005-0000-0000-0000675D0000}"/>
    <cellStyle name="Normal 6 5 4" xfId="1210" xr:uid="{00000000-0005-0000-0000-0000685D0000}"/>
    <cellStyle name="Normal 6 5 4 2" xfId="2272" xr:uid="{00000000-0005-0000-0000-0000695D0000}"/>
    <cellStyle name="Normal 6 5 4 2 2" xfId="4384" xr:uid="{00000000-0005-0000-0000-00006A5D0000}"/>
    <cellStyle name="Normal 6 5 4 2 2 2" xfId="8610" xr:uid="{00000000-0005-0000-0000-00006B5D0000}"/>
    <cellStyle name="Normal 6 5 4 2 2 2 2" xfId="17058" xr:uid="{00000000-0005-0000-0000-00006C5D0000}"/>
    <cellStyle name="Normal 6 5 4 2 2 2 2 2" xfId="33998" xr:uid="{00000000-0005-0000-0000-00006D5D0000}"/>
    <cellStyle name="Normal 6 5 4 2 2 2 3" xfId="25550" xr:uid="{00000000-0005-0000-0000-00006E5D0000}"/>
    <cellStyle name="Normal 6 5 4 2 2 3" xfId="12834" xr:uid="{00000000-0005-0000-0000-00006F5D0000}"/>
    <cellStyle name="Normal 6 5 4 2 2 3 2" xfId="29774" xr:uid="{00000000-0005-0000-0000-0000705D0000}"/>
    <cellStyle name="Normal 6 5 4 2 2 4" xfId="21326" xr:uid="{00000000-0005-0000-0000-0000715D0000}"/>
    <cellStyle name="Normal 6 5 4 2 3" xfId="6498" xr:uid="{00000000-0005-0000-0000-0000725D0000}"/>
    <cellStyle name="Normal 6 5 4 2 3 2" xfId="14946" xr:uid="{00000000-0005-0000-0000-0000735D0000}"/>
    <cellStyle name="Normal 6 5 4 2 3 2 2" xfId="31886" xr:uid="{00000000-0005-0000-0000-0000745D0000}"/>
    <cellStyle name="Normal 6 5 4 2 3 3" xfId="23438" xr:uid="{00000000-0005-0000-0000-0000755D0000}"/>
    <cellStyle name="Normal 6 5 4 2 4" xfId="10722" xr:uid="{00000000-0005-0000-0000-0000765D0000}"/>
    <cellStyle name="Normal 6 5 4 2 4 2" xfId="27662" xr:uid="{00000000-0005-0000-0000-0000775D0000}"/>
    <cellStyle name="Normal 6 5 4 2 5" xfId="19214" xr:uid="{00000000-0005-0000-0000-0000785D0000}"/>
    <cellStyle name="Normal 6 5 4 3" xfId="3328" xr:uid="{00000000-0005-0000-0000-0000795D0000}"/>
    <cellStyle name="Normal 6 5 4 3 2" xfId="7554" xr:uid="{00000000-0005-0000-0000-00007A5D0000}"/>
    <cellStyle name="Normal 6 5 4 3 2 2" xfId="16002" xr:uid="{00000000-0005-0000-0000-00007B5D0000}"/>
    <cellStyle name="Normal 6 5 4 3 2 2 2" xfId="32942" xr:uid="{00000000-0005-0000-0000-00007C5D0000}"/>
    <cellStyle name="Normal 6 5 4 3 2 3" xfId="24494" xr:uid="{00000000-0005-0000-0000-00007D5D0000}"/>
    <cellStyle name="Normal 6 5 4 3 3" xfId="11778" xr:uid="{00000000-0005-0000-0000-00007E5D0000}"/>
    <cellStyle name="Normal 6 5 4 3 3 2" xfId="28718" xr:uid="{00000000-0005-0000-0000-00007F5D0000}"/>
    <cellStyle name="Normal 6 5 4 3 4" xfId="20270" xr:uid="{00000000-0005-0000-0000-0000805D0000}"/>
    <cellStyle name="Normal 6 5 4 4" xfId="5442" xr:uid="{00000000-0005-0000-0000-0000815D0000}"/>
    <cellStyle name="Normal 6 5 4 4 2" xfId="13890" xr:uid="{00000000-0005-0000-0000-0000825D0000}"/>
    <cellStyle name="Normal 6 5 4 4 2 2" xfId="30830" xr:uid="{00000000-0005-0000-0000-0000835D0000}"/>
    <cellStyle name="Normal 6 5 4 4 3" xfId="22382" xr:uid="{00000000-0005-0000-0000-0000845D0000}"/>
    <cellStyle name="Normal 6 5 4 5" xfId="9666" xr:uid="{00000000-0005-0000-0000-0000855D0000}"/>
    <cellStyle name="Normal 6 5 4 5 2" xfId="26606" xr:uid="{00000000-0005-0000-0000-0000865D0000}"/>
    <cellStyle name="Normal 6 5 4 6" xfId="18158" xr:uid="{00000000-0005-0000-0000-0000875D0000}"/>
    <cellStyle name="Normal 6 5 5" xfId="1392" xr:uid="{00000000-0005-0000-0000-0000885D0000}"/>
    <cellStyle name="Normal 6 5 5 2" xfId="2448" xr:uid="{00000000-0005-0000-0000-0000895D0000}"/>
    <cellStyle name="Normal 6 5 5 2 2" xfId="4560" xr:uid="{00000000-0005-0000-0000-00008A5D0000}"/>
    <cellStyle name="Normal 6 5 5 2 2 2" xfId="8786" xr:uid="{00000000-0005-0000-0000-00008B5D0000}"/>
    <cellStyle name="Normal 6 5 5 2 2 2 2" xfId="17234" xr:uid="{00000000-0005-0000-0000-00008C5D0000}"/>
    <cellStyle name="Normal 6 5 5 2 2 2 2 2" xfId="34174" xr:uid="{00000000-0005-0000-0000-00008D5D0000}"/>
    <cellStyle name="Normal 6 5 5 2 2 2 3" xfId="25726" xr:uid="{00000000-0005-0000-0000-00008E5D0000}"/>
    <cellStyle name="Normal 6 5 5 2 2 3" xfId="13010" xr:uid="{00000000-0005-0000-0000-00008F5D0000}"/>
    <cellStyle name="Normal 6 5 5 2 2 3 2" xfId="29950" xr:uid="{00000000-0005-0000-0000-0000905D0000}"/>
    <cellStyle name="Normal 6 5 5 2 2 4" xfId="21502" xr:uid="{00000000-0005-0000-0000-0000915D0000}"/>
    <cellStyle name="Normal 6 5 5 2 3" xfId="6674" xr:uid="{00000000-0005-0000-0000-0000925D0000}"/>
    <cellStyle name="Normal 6 5 5 2 3 2" xfId="15122" xr:uid="{00000000-0005-0000-0000-0000935D0000}"/>
    <cellStyle name="Normal 6 5 5 2 3 2 2" xfId="32062" xr:uid="{00000000-0005-0000-0000-0000945D0000}"/>
    <cellStyle name="Normal 6 5 5 2 3 3" xfId="23614" xr:uid="{00000000-0005-0000-0000-0000955D0000}"/>
    <cellStyle name="Normal 6 5 5 2 4" xfId="10898" xr:uid="{00000000-0005-0000-0000-0000965D0000}"/>
    <cellStyle name="Normal 6 5 5 2 4 2" xfId="27838" xr:uid="{00000000-0005-0000-0000-0000975D0000}"/>
    <cellStyle name="Normal 6 5 5 2 5" xfId="19390" xr:uid="{00000000-0005-0000-0000-0000985D0000}"/>
    <cellStyle name="Normal 6 5 5 3" xfId="3504" xr:uid="{00000000-0005-0000-0000-0000995D0000}"/>
    <cellStyle name="Normal 6 5 5 3 2" xfId="7730" xr:uid="{00000000-0005-0000-0000-00009A5D0000}"/>
    <cellStyle name="Normal 6 5 5 3 2 2" xfId="16178" xr:uid="{00000000-0005-0000-0000-00009B5D0000}"/>
    <cellStyle name="Normal 6 5 5 3 2 2 2" xfId="33118" xr:uid="{00000000-0005-0000-0000-00009C5D0000}"/>
    <cellStyle name="Normal 6 5 5 3 2 3" xfId="24670" xr:uid="{00000000-0005-0000-0000-00009D5D0000}"/>
    <cellStyle name="Normal 6 5 5 3 3" xfId="11954" xr:uid="{00000000-0005-0000-0000-00009E5D0000}"/>
    <cellStyle name="Normal 6 5 5 3 3 2" xfId="28894" xr:uid="{00000000-0005-0000-0000-00009F5D0000}"/>
    <cellStyle name="Normal 6 5 5 3 4" xfId="20446" xr:uid="{00000000-0005-0000-0000-0000A05D0000}"/>
    <cellStyle name="Normal 6 5 5 4" xfId="5618" xr:uid="{00000000-0005-0000-0000-0000A15D0000}"/>
    <cellStyle name="Normal 6 5 5 4 2" xfId="14066" xr:uid="{00000000-0005-0000-0000-0000A25D0000}"/>
    <cellStyle name="Normal 6 5 5 4 2 2" xfId="31006" xr:uid="{00000000-0005-0000-0000-0000A35D0000}"/>
    <cellStyle name="Normal 6 5 5 4 3" xfId="22558" xr:uid="{00000000-0005-0000-0000-0000A45D0000}"/>
    <cellStyle name="Normal 6 5 5 5" xfId="9842" xr:uid="{00000000-0005-0000-0000-0000A55D0000}"/>
    <cellStyle name="Normal 6 5 5 5 2" xfId="26782" xr:uid="{00000000-0005-0000-0000-0000A65D0000}"/>
    <cellStyle name="Normal 6 5 5 6" xfId="18334" xr:uid="{00000000-0005-0000-0000-0000A75D0000}"/>
    <cellStyle name="Normal 6 5 6" xfId="1568" xr:uid="{00000000-0005-0000-0000-0000A85D0000}"/>
    <cellStyle name="Normal 6 5 6 2" xfId="3680" xr:uid="{00000000-0005-0000-0000-0000A95D0000}"/>
    <cellStyle name="Normal 6 5 6 2 2" xfId="7906" xr:uid="{00000000-0005-0000-0000-0000AA5D0000}"/>
    <cellStyle name="Normal 6 5 6 2 2 2" xfId="16354" xr:uid="{00000000-0005-0000-0000-0000AB5D0000}"/>
    <cellStyle name="Normal 6 5 6 2 2 2 2" xfId="33294" xr:uid="{00000000-0005-0000-0000-0000AC5D0000}"/>
    <cellStyle name="Normal 6 5 6 2 2 3" xfId="24846" xr:uid="{00000000-0005-0000-0000-0000AD5D0000}"/>
    <cellStyle name="Normal 6 5 6 2 3" xfId="12130" xr:uid="{00000000-0005-0000-0000-0000AE5D0000}"/>
    <cellStyle name="Normal 6 5 6 2 3 2" xfId="29070" xr:uid="{00000000-0005-0000-0000-0000AF5D0000}"/>
    <cellStyle name="Normal 6 5 6 2 4" xfId="20622" xr:uid="{00000000-0005-0000-0000-0000B05D0000}"/>
    <cellStyle name="Normal 6 5 6 3" xfId="5794" xr:uid="{00000000-0005-0000-0000-0000B15D0000}"/>
    <cellStyle name="Normal 6 5 6 3 2" xfId="14242" xr:uid="{00000000-0005-0000-0000-0000B25D0000}"/>
    <cellStyle name="Normal 6 5 6 3 2 2" xfId="31182" xr:uid="{00000000-0005-0000-0000-0000B35D0000}"/>
    <cellStyle name="Normal 6 5 6 3 3" xfId="22734" xr:uid="{00000000-0005-0000-0000-0000B45D0000}"/>
    <cellStyle name="Normal 6 5 6 4" xfId="10018" xr:uid="{00000000-0005-0000-0000-0000B55D0000}"/>
    <cellStyle name="Normal 6 5 6 4 2" xfId="26958" xr:uid="{00000000-0005-0000-0000-0000B65D0000}"/>
    <cellStyle name="Normal 6 5 6 5" xfId="18510" xr:uid="{00000000-0005-0000-0000-0000B75D0000}"/>
    <cellStyle name="Normal 6 5 7" xfId="2624" xr:uid="{00000000-0005-0000-0000-0000B85D0000}"/>
    <cellStyle name="Normal 6 5 7 2" xfId="6850" xr:uid="{00000000-0005-0000-0000-0000B95D0000}"/>
    <cellStyle name="Normal 6 5 7 2 2" xfId="15298" xr:uid="{00000000-0005-0000-0000-0000BA5D0000}"/>
    <cellStyle name="Normal 6 5 7 2 2 2" xfId="32238" xr:uid="{00000000-0005-0000-0000-0000BB5D0000}"/>
    <cellStyle name="Normal 6 5 7 2 3" xfId="23790" xr:uid="{00000000-0005-0000-0000-0000BC5D0000}"/>
    <cellStyle name="Normal 6 5 7 3" xfId="11074" xr:uid="{00000000-0005-0000-0000-0000BD5D0000}"/>
    <cellStyle name="Normal 6 5 7 3 2" xfId="28014" xr:uid="{00000000-0005-0000-0000-0000BE5D0000}"/>
    <cellStyle name="Normal 6 5 7 4" xfId="19566" xr:uid="{00000000-0005-0000-0000-0000BF5D0000}"/>
    <cellStyle name="Normal 6 5 8" xfId="4737" xr:uid="{00000000-0005-0000-0000-0000C05D0000}"/>
    <cellStyle name="Normal 6 5 8 2" xfId="13186" xr:uid="{00000000-0005-0000-0000-0000C15D0000}"/>
    <cellStyle name="Normal 6 5 8 2 2" xfId="30126" xr:uid="{00000000-0005-0000-0000-0000C25D0000}"/>
    <cellStyle name="Normal 6 5 8 3" xfId="21678" xr:uid="{00000000-0005-0000-0000-0000C35D0000}"/>
    <cellStyle name="Normal 6 5 9" xfId="8962" xr:uid="{00000000-0005-0000-0000-0000C45D0000}"/>
    <cellStyle name="Normal 6 5 9 2" xfId="25902" xr:uid="{00000000-0005-0000-0000-0000C55D0000}"/>
    <cellStyle name="Normal 6 6" xfId="389" xr:uid="{00000000-0005-0000-0000-0000C65D0000}"/>
    <cellStyle name="Normal 6 6 10" xfId="17455" xr:uid="{00000000-0005-0000-0000-0000C75D0000}"/>
    <cellStyle name="Normal 6 6 2" xfId="683" xr:uid="{00000000-0005-0000-0000-0000C85D0000}"/>
    <cellStyle name="Normal 6 6 2 2" xfId="1035" xr:uid="{00000000-0005-0000-0000-0000C95D0000}"/>
    <cellStyle name="Normal 6 6 2 2 2" xfId="2097" xr:uid="{00000000-0005-0000-0000-0000CA5D0000}"/>
    <cellStyle name="Normal 6 6 2 2 2 2" xfId="4209" xr:uid="{00000000-0005-0000-0000-0000CB5D0000}"/>
    <cellStyle name="Normal 6 6 2 2 2 2 2" xfId="8435" xr:uid="{00000000-0005-0000-0000-0000CC5D0000}"/>
    <cellStyle name="Normal 6 6 2 2 2 2 2 2" xfId="16883" xr:uid="{00000000-0005-0000-0000-0000CD5D0000}"/>
    <cellStyle name="Normal 6 6 2 2 2 2 2 2 2" xfId="33823" xr:uid="{00000000-0005-0000-0000-0000CE5D0000}"/>
    <cellStyle name="Normal 6 6 2 2 2 2 2 3" xfId="25375" xr:uid="{00000000-0005-0000-0000-0000CF5D0000}"/>
    <cellStyle name="Normal 6 6 2 2 2 2 3" xfId="12659" xr:uid="{00000000-0005-0000-0000-0000D05D0000}"/>
    <cellStyle name="Normal 6 6 2 2 2 2 3 2" xfId="29599" xr:uid="{00000000-0005-0000-0000-0000D15D0000}"/>
    <cellStyle name="Normal 6 6 2 2 2 2 4" xfId="21151" xr:uid="{00000000-0005-0000-0000-0000D25D0000}"/>
    <cellStyle name="Normal 6 6 2 2 2 3" xfId="6323" xr:uid="{00000000-0005-0000-0000-0000D35D0000}"/>
    <cellStyle name="Normal 6 6 2 2 2 3 2" xfId="14771" xr:uid="{00000000-0005-0000-0000-0000D45D0000}"/>
    <cellStyle name="Normal 6 6 2 2 2 3 2 2" xfId="31711" xr:uid="{00000000-0005-0000-0000-0000D55D0000}"/>
    <cellStyle name="Normal 6 6 2 2 2 3 3" xfId="23263" xr:uid="{00000000-0005-0000-0000-0000D65D0000}"/>
    <cellStyle name="Normal 6 6 2 2 2 4" xfId="10547" xr:uid="{00000000-0005-0000-0000-0000D75D0000}"/>
    <cellStyle name="Normal 6 6 2 2 2 4 2" xfId="27487" xr:uid="{00000000-0005-0000-0000-0000D85D0000}"/>
    <cellStyle name="Normal 6 6 2 2 2 5" xfId="19039" xr:uid="{00000000-0005-0000-0000-0000D95D0000}"/>
    <cellStyle name="Normal 6 6 2 2 3" xfId="3153" xr:uid="{00000000-0005-0000-0000-0000DA5D0000}"/>
    <cellStyle name="Normal 6 6 2 2 3 2" xfId="7379" xr:uid="{00000000-0005-0000-0000-0000DB5D0000}"/>
    <cellStyle name="Normal 6 6 2 2 3 2 2" xfId="15827" xr:uid="{00000000-0005-0000-0000-0000DC5D0000}"/>
    <cellStyle name="Normal 6 6 2 2 3 2 2 2" xfId="32767" xr:uid="{00000000-0005-0000-0000-0000DD5D0000}"/>
    <cellStyle name="Normal 6 6 2 2 3 2 3" xfId="24319" xr:uid="{00000000-0005-0000-0000-0000DE5D0000}"/>
    <cellStyle name="Normal 6 6 2 2 3 3" xfId="11603" xr:uid="{00000000-0005-0000-0000-0000DF5D0000}"/>
    <cellStyle name="Normal 6 6 2 2 3 3 2" xfId="28543" xr:uid="{00000000-0005-0000-0000-0000E05D0000}"/>
    <cellStyle name="Normal 6 6 2 2 3 4" xfId="20095" xr:uid="{00000000-0005-0000-0000-0000E15D0000}"/>
    <cellStyle name="Normal 6 6 2 2 4" xfId="5267" xr:uid="{00000000-0005-0000-0000-0000E25D0000}"/>
    <cellStyle name="Normal 6 6 2 2 4 2" xfId="13715" xr:uid="{00000000-0005-0000-0000-0000E35D0000}"/>
    <cellStyle name="Normal 6 6 2 2 4 2 2" xfId="30655" xr:uid="{00000000-0005-0000-0000-0000E45D0000}"/>
    <cellStyle name="Normal 6 6 2 2 4 3" xfId="22207" xr:uid="{00000000-0005-0000-0000-0000E55D0000}"/>
    <cellStyle name="Normal 6 6 2 2 5" xfId="9491" xr:uid="{00000000-0005-0000-0000-0000E65D0000}"/>
    <cellStyle name="Normal 6 6 2 2 5 2" xfId="26431" xr:uid="{00000000-0005-0000-0000-0000E75D0000}"/>
    <cellStyle name="Normal 6 6 2 2 6" xfId="17983" xr:uid="{00000000-0005-0000-0000-0000E85D0000}"/>
    <cellStyle name="Normal 6 6 2 3" xfId="1745" xr:uid="{00000000-0005-0000-0000-0000E95D0000}"/>
    <cellStyle name="Normal 6 6 2 3 2" xfId="3857" xr:uid="{00000000-0005-0000-0000-0000EA5D0000}"/>
    <cellStyle name="Normal 6 6 2 3 2 2" xfId="8083" xr:uid="{00000000-0005-0000-0000-0000EB5D0000}"/>
    <cellStyle name="Normal 6 6 2 3 2 2 2" xfId="16531" xr:uid="{00000000-0005-0000-0000-0000EC5D0000}"/>
    <cellStyle name="Normal 6 6 2 3 2 2 2 2" xfId="33471" xr:uid="{00000000-0005-0000-0000-0000ED5D0000}"/>
    <cellStyle name="Normal 6 6 2 3 2 2 3" xfId="25023" xr:uid="{00000000-0005-0000-0000-0000EE5D0000}"/>
    <cellStyle name="Normal 6 6 2 3 2 3" xfId="12307" xr:uid="{00000000-0005-0000-0000-0000EF5D0000}"/>
    <cellStyle name="Normal 6 6 2 3 2 3 2" xfId="29247" xr:uid="{00000000-0005-0000-0000-0000F05D0000}"/>
    <cellStyle name="Normal 6 6 2 3 2 4" xfId="20799" xr:uid="{00000000-0005-0000-0000-0000F15D0000}"/>
    <cellStyle name="Normal 6 6 2 3 3" xfId="5971" xr:uid="{00000000-0005-0000-0000-0000F25D0000}"/>
    <cellStyle name="Normal 6 6 2 3 3 2" xfId="14419" xr:uid="{00000000-0005-0000-0000-0000F35D0000}"/>
    <cellStyle name="Normal 6 6 2 3 3 2 2" xfId="31359" xr:uid="{00000000-0005-0000-0000-0000F45D0000}"/>
    <cellStyle name="Normal 6 6 2 3 3 3" xfId="22911" xr:uid="{00000000-0005-0000-0000-0000F55D0000}"/>
    <cellStyle name="Normal 6 6 2 3 4" xfId="10195" xr:uid="{00000000-0005-0000-0000-0000F65D0000}"/>
    <cellStyle name="Normal 6 6 2 3 4 2" xfId="27135" xr:uid="{00000000-0005-0000-0000-0000F75D0000}"/>
    <cellStyle name="Normal 6 6 2 3 5" xfId="18687" xr:uid="{00000000-0005-0000-0000-0000F85D0000}"/>
    <cellStyle name="Normal 6 6 2 4" xfId="2801" xr:uid="{00000000-0005-0000-0000-0000F95D0000}"/>
    <cellStyle name="Normal 6 6 2 4 2" xfId="7027" xr:uid="{00000000-0005-0000-0000-0000FA5D0000}"/>
    <cellStyle name="Normal 6 6 2 4 2 2" xfId="15475" xr:uid="{00000000-0005-0000-0000-0000FB5D0000}"/>
    <cellStyle name="Normal 6 6 2 4 2 2 2" xfId="32415" xr:uid="{00000000-0005-0000-0000-0000FC5D0000}"/>
    <cellStyle name="Normal 6 6 2 4 2 3" xfId="23967" xr:uid="{00000000-0005-0000-0000-0000FD5D0000}"/>
    <cellStyle name="Normal 6 6 2 4 3" xfId="11251" xr:uid="{00000000-0005-0000-0000-0000FE5D0000}"/>
    <cellStyle name="Normal 6 6 2 4 3 2" xfId="28191" xr:uid="{00000000-0005-0000-0000-0000FF5D0000}"/>
    <cellStyle name="Normal 6 6 2 4 4" xfId="19743" xr:uid="{00000000-0005-0000-0000-0000005E0000}"/>
    <cellStyle name="Normal 6 6 2 5" xfId="4915" xr:uid="{00000000-0005-0000-0000-0000015E0000}"/>
    <cellStyle name="Normal 6 6 2 5 2" xfId="13363" xr:uid="{00000000-0005-0000-0000-0000025E0000}"/>
    <cellStyle name="Normal 6 6 2 5 2 2" xfId="30303" xr:uid="{00000000-0005-0000-0000-0000035E0000}"/>
    <cellStyle name="Normal 6 6 2 5 3" xfId="21855" xr:uid="{00000000-0005-0000-0000-0000045E0000}"/>
    <cellStyle name="Normal 6 6 2 6" xfId="9139" xr:uid="{00000000-0005-0000-0000-0000055E0000}"/>
    <cellStyle name="Normal 6 6 2 6 2" xfId="26079" xr:uid="{00000000-0005-0000-0000-0000065E0000}"/>
    <cellStyle name="Normal 6 6 2 7" xfId="17631" xr:uid="{00000000-0005-0000-0000-0000075E0000}"/>
    <cellStyle name="Normal 6 6 3" xfId="859" xr:uid="{00000000-0005-0000-0000-0000085E0000}"/>
    <cellStyle name="Normal 6 6 3 2" xfId="1921" xr:uid="{00000000-0005-0000-0000-0000095E0000}"/>
    <cellStyle name="Normal 6 6 3 2 2" xfId="4033" xr:uid="{00000000-0005-0000-0000-00000A5E0000}"/>
    <cellStyle name="Normal 6 6 3 2 2 2" xfId="8259" xr:uid="{00000000-0005-0000-0000-00000B5E0000}"/>
    <cellStyle name="Normal 6 6 3 2 2 2 2" xfId="16707" xr:uid="{00000000-0005-0000-0000-00000C5E0000}"/>
    <cellStyle name="Normal 6 6 3 2 2 2 2 2" xfId="33647" xr:uid="{00000000-0005-0000-0000-00000D5E0000}"/>
    <cellStyle name="Normal 6 6 3 2 2 2 3" xfId="25199" xr:uid="{00000000-0005-0000-0000-00000E5E0000}"/>
    <cellStyle name="Normal 6 6 3 2 2 3" xfId="12483" xr:uid="{00000000-0005-0000-0000-00000F5E0000}"/>
    <cellStyle name="Normal 6 6 3 2 2 3 2" xfId="29423" xr:uid="{00000000-0005-0000-0000-0000105E0000}"/>
    <cellStyle name="Normal 6 6 3 2 2 4" xfId="20975" xr:uid="{00000000-0005-0000-0000-0000115E0000}"/>
    <cellStyle name="Normal 6 6 3 2 3" xfId="6147" xr:uid="{00000000-0005-0000-0000-0000125E0000}"/>
    <cellStyle name="Normal 6 6 3 2 3 2" xfId="14595" xr:uid="{00000000-0005-0000-0000-0000135E0000}"/>
    <cellStyle name="Normal 6 6 3 2 3 2 2" xfId="31535" xr:uid="{00000000-0005-0000-0000-0000145E0000}"/>
    <cellStyle name="Normal 6 6 3 2 3 3" xfId="23087" xr:uid="{00000000-0005-0000-0000-0000155E0000}"/>
    <cellStyle name="Normal 6 6 3 2 4" xfId="10371" xr:uid="{00000000-0005-0000-0000-0000165E0000}"/>
    <cellStyle name="Normal 6 6 3 2 4 2" xfId="27311" xr:uid="{00000000-0005-0000-0000-0000175E0000}"/>
    <cellStyle name="Normal 6 6 3 2 5" xfId="18863" xr:uid="{00000000-0005-0000-0000-0000185E0000}"/>
    <cellStyle name="Normal 6 6 3 3" xfId="2977" xr:uid="{00000000-0005-0000-0000-0000195E0000}"/>
    <cellStyle name="Normal 6 6 3 3 2" xfId="7203" xr:uid="{00000000-0005-0000-0000-00001A5E0000}"/>
    <cellStyle name="Normal 6 6 3 3 2 2" xfId="15651" xr:uid="{00000000-0005-0000-0000-00001B5E0000}"/>
    <cellStyle name="Normal 6 6 3 3 2 2 2" xfId="32591" xr:uid="{00000000-0005-0000-0000-00001C5E0000}"/>
    <cellStyle name="Normal 6 6 3 3 2 3" xfId="24143" xr:uid="{00000000-0005-0000-0000-00001D5E0000}"/>
    <cellStyle name="Normal 6 6 3 3 3" xfId="11427" xr:uid="{00000000-0005-0000-0000-00001E5E0000}"/>
    <cellStyle name="Normal 6 6 3 3 3 2" xfId="28367" xr:uid="{00000000-0005-0000-0000-00001F5E0000}"/>
    <cellStyle name="Normal 6 6 3 3 4" xfId="19919" xr:uid="{00000000-0005-0000-0000-0000205E0000}"/>
    <cellStyle name="Normal 6 6 3 4" xfId="5091" xr:uid="{00000000-0005-0000-0000-0000215E0000}"/>
    <cellStyle name="Normal 6 6 3 4 2" xfId="13539" xr:uid="{00000000-0005-0000-0000-0000225E0000}"/>
    <cellStyle name="Normal 6 6 3 4 2 2" xfId="30479" xr:uid="{00000000-0005-0000-0000-0000235E0000}"/>
    <cellStyle name="Normal 6 6 3 4 3" xfId="22031" xr:uid="{00000000-0005-0000-0000-0000245E0000}"/>
    <cellStyle name="Normal 6 6 3 5" xfId="9315" xr:uid="{00000000-0005-0000-0000-0000255E0000}"/>
    <cellStyle name="Normal 6 6 3 5 2" xfId="26255" xr:uid="{00000000-0005-0000-0000-0000265E0000}"/>
    <cellStyle name="Normal 6 6 3 6" xfId="17807" xr:uid="{00000000-0005-0000-0000-0000275E0000}"/>
    <cellStyle name="Normal 6 6 4" xfId="1211" xr:uid="{00000000-0005-0000-0000-0000285E0000}"/>
    <cellStyle name="Normal 6 6 4 2" xfId="2273" xr:uid="{00000000-0005-0000-0000-0000295E0000}"/>
    <cellStyle name="Normal 6 6 4 2 2" xfId="4385" xr:uid="{00000000-0005-0000-0000-00002A5E0000}"/>
    <cellStyle name="Normal 6 6 4 2 2 2" xfId="8611" xr:uid="{00000000-0005-0000-0000-00002B5E0000}"/>
    <cellStyle name="Normal 6 6 4 2 2 2 2" xfId="17059" xr:uid="{00000000-0005-0000-0000-00002C5E0000}"/>
    <cellStyle name="Normal 6 6 4 2 2 2 2 2" xfId="33999" xr:uid="{00000000-0005-0000-0000-00002D5E0000}"/>
    <cellStyle name="Normal 6 6 4 2 2 2 3" xfId="25551" xr:uid="{00000000-0005-0000-0000-00002E5E0000}"/>
    <cellStyle name="Normal 6 6 4 2 2 3" xfId="12835" xr:uid="{00000000-0005-0000-0000-00002F5E0000}"/>
    <cellStyle name="Normal 6 6 4 2 2 3 2" xfId="29775" xr:uid="{00000000-0005-0000-0000-0000305E0000}"/>
    <cellStyle name="Normal 6 6 4 2 2 4" xfId="21327" xr:uid="{00000000-0005-0000-0000-0000315E0000}"/>
    <cellStyle name="Normal 6 6 4 2 3" xfId="6499" xr:uid="{00000000-0005-0000-0000-0000325E0000}"/>
    <cellStyle name="Normal 6 6 4 2 3 2" xfId="14947" xr:uid="{00000000-0005-0000-0000-0000335E0000}"/>
    <cellStyle name="Normal 6 6 4 2 3 2 2" xfId="31887" xr:uid="{00000000-0005-0000-0000-0000345E0000}"/>
    <cellStyle name="Normal 6 6 4 2 3 3" xfId="23439" xr:uid="{00000000-0005-0000-0000-0000355E0000}"/>
    <cellStyle name="Normal 6 6 4 2 4" xfId="10723" xr:uid="{00000000-0005-0000-0000-0000365E0000}"/>
    <cellStyle name="Normal 6 6 4 2 4 2" xfId="27663" xr:uid="{00000000-0005-0000-0000-0000375E0000}"/>
    <cellStyle name="Normal 6 6 4 2 5" xfId="19215" xr:uid="{00000000-0005-0000-0000-0000385E0000}"/>
    <cellStyle name="Normal 6 6 4 3" xfId="3329" xr:uid="{00000000-0005-0000-0000-0000395E0000}"/>
    <cellStyle name="Normal 6 6 4 3 2" xfId="7555" xr:uid="{00000000-0005-0000-0000-00003A5E0000}"/>
    <cellStyle name="Normal 6 6 4 3 2 2" xfId="16003" xr:uid="{00000000-0005-0000-0000-00003B5E0000}"/>
    <cellStyle name="Normal 6 6 4 3 2 2 2" xfId="32943" xr:uid="{00000000-0005-0000-0000-00003C5E0000}"/>
    <cellStyle name="Normal 6 6 4 3 2 3" xfId="24495" xr:uid="{00000000-0005-0000-0000-00003D5E0000}"/>
    <cellStyle name="Normal 6 6 4 3 3" xfId="11779" xr:uid="{00000000-0005-0000-0000-00003E5E0000}"/>
    <cellStyle name="Normal 6 6 4 3 3 2" xfId="28719" xr:uid="{00000000-0005-0000-0000-00003F5E0000}"/>
    <cellStyle name="Normal 6 6 4 3 4" xfId="20271" xr:uid="{00000000-0005-0000-0000-0000405E0000}"/>
    <cellStyle name="Normal 6 6 4 4" xfId="5443" xr:uid="{00000000-0005-0000-0000-0000415E0000}"/>
    <cellStyle name="Normal 6 6 4 4 2" xfId="13891" xr:uid="{00000000-0005-0000-0000-0000425E0000}"/>
    <cellStyle name="Normal 6 6 4 4 2 2" xfId="30831" xr:uid="{00000000-0005-0000-0000-0000435E0000}"/>
    <cellStyle name="Normal 6 6 4 4 3" xfId="22383" xr:uid="{00000000-0005-0000-0000-0000445E0000}"/>
    <cellStyle name="Normal 6 6 4 5" xfId="9667" xr:uid="{00000000-0005-0000-0000-0000455E0000}"/>
    <cellStyle name="Normal 6 6 4 5 2" xfId="26607" xr:uid="{00000000-0005-0000-0000-0000465E0000}"/>
    <cellStyle name="Normal 6 6 4 6" xfId="18159" xr:uid="{00000000-0005-0000-0000-0000475E0000}"/>
    <cellStyle name="Normal 6 6 5" xfId="1393" xr:uid="{00000000-0005-0000-0000-0000485E0000}"/>
    <cellStyle name="Normal 6 6 5 2" xfId="2449" xr:uid="{00000000-0005-0000-0000-0000495E0000}"/>
    <cellStyle name="Normal 6 6 5 2 2" xfId="4561" xr:uid="{00000000-0005-0000-0000-00004A5E0000}"/>
    <cellStyle name="Normal 6 6 5 2 2 2" xfId="8787" xr:uid="{00000000-0005-0000-0000-00004B5E0000}"/>
    <cellStyle name="Normal 6 6 5 2 2 2 2" xfId="17235" xr:uid="{00000000-0005-0000-0000-00004C5E0000}"/>
    <cellStyle name="Normal 6 6 5 2 2 2 2 2" xfId="34175" xr:uid="{00000000-0005-0000-0000-00004D5E0000}"/>
    <cellStyle name="Normal 6 6 5 2 2 2 3" xfId="25727" xr:uid="{00000000-0005-0000-0000-00004E5E0000}"/>
    <cellStyle name="Normal 6 6 5 2 2 3" xfId="13011" xr:uid="{00000000-0005-0000-0000-00004F5E0000}"/>
    <cellStyle name="Normal 6 6 5 2 2 3 2" xfId="29951" xr:uid="{00000000-0005-0000-0000-0000505E0000}"/>
    <cellStyle name="Normal 6 6 5 2 2 4" xfId="21503" xr:uid="{00000000-0005-0000-0000-0000515E0000}"/>
    <cellStyle name="Normal 6 6 5 2 3" xfId="6675" xr:uid="{00000000-0005-0000-0000-0000525E0000}"/>
    <cellStyle name="Normal 6 6 5 2 3 2" xfId="15123" xr:uid="{00000000-0005-0000-0000-0000535E0000}"/>
    <cellStyle name="Normal 6 6 5 2 3 2 2" xfId="32063" xr:uid="{00000000-0005-0000-0000-0000545E0000}"/>
    <cellStyle name="Normal 6 6 5 2 3 3" xfId="23615" xr:uid="{00000000-0005-0000-0000-0000555E0000}"/>
    <cellStyle name="Normal 6 6 5 2 4" xfId="10899" xr:uid="{00000000-0005-0000-0000-0000565E0000}"/>
    <cellStyle name="Normal 6 6 5 2 4 2" xfId="27839" xr:uid="{00000000-0005-0000-0000-0000575E0000}"/>
    <cellStyle name="Normal 6 6 5 2 5" xfId="19391" xr:uid="{00000000-0005-0000-0000-0000585E0000}"/>
    <cellStyle name="Normal 6 6 5 3" xfId="3505" xr:uid="{00000000-0005-0000-0000-0000595E0000}"/>
    <cellStyle name="Normal 6 6 5 3 2" xfId="7731" xr:uid="{00000000-0005-0000-0000-00005A5E0000}"/>
    <cellStyle name="Normal 6 6 5 3 2 2" xfId="16179" xr:uid="{00000000-0005-0000-0000-00005B5E0000}"/>
    <cellStyle name="Normal 6 6 5 3 2 2 2" xfId="33119" xr:uid="{00000000-0005-0000-0000-00005C5E0000}"/>
    <cellStyle name="Normal 6 6 5 3 2 3" xfId="24671" xr:uid="{00000000-0005-0000-0000-00005D5E0000}"/>
    <cellStyle name="Normal 6 6 5 3 3" xfId="11955" xr:uid="{00000000-0005-0000-0000-00005E5E0000}"/>
    <cellStyle name="Normal 6 6 5 3 3 2" xfId="28895" xr:uid="{00000000-0005-0000-0000-00005F5E0000}"/>
    <cellStyle name="Normal 6 6 5 3 4" xfId="20447" xr:uid="{00000000-0005-0000-0000-0000605E0000}"/>
    <cellStyle name="Normal 6 6 5 4" xfId="5619" xr:uid="{00000000-0005-0000-0000-0000615E0000}"/>
    <cellStyle name="Normal 6 6 5 4 2" xfId="14067" xr:uid="{00000000-0005-0000-0000-0000625E0000}"/>
    <cellStyle name="Normal 6 6 5 4 2 2" xfId="31007" xr:uid="{00000000-0005-0000-0000-0000635E0000}"/>
    <cellStyle name="Normal 6 6 5 4 3" xfId="22559" xr:uid="{00000000-0005-0000-0000-0000645E0000}"/>
    <cellStyle name="Normal 6 6 5 5" xfId="9843" xr:uid="{00000000-0005-0000-0000-0000655E0000}"/>
    <cellStyle name="Normal 6 6 5 5 2" xfId="26783" xr:uid="{00000000-0005-0000-0000-0000665E0000}"/>
    <cellStyle name="Normal 6 6 5 6" xfId="18335" xr:uid="{00000000-0005-0000-0000-0000675E0000}"/>
    <cellStyle name="Normal 6 6 6" xfId="1569" xr:uid="{00000000-0005-0000-0000-0000685E0000}"/>
    <cellStyle name="Normal 6 6 6 2" xfId="3681" xr:uid="{00000000-0005-0000-0000-0000695E0000}"/>
    <cellStyle name="Normal 6 6 6 2 2" xfId="7907" xr:uid="{00000000-0005-0000-0000-00006A5E0000}"/>
    <cellStyle name="Normal 6 6 6 2 2 2" xfId="16355" xr:uid="{00000000-0005-0000-0000-00006B5E0000}"/>
    <cellStyle name="Normal 6 6 6 2 2 2 2" xfId="33295" xr:uid="{00000000-0005-0000-0000-00006C5E0000}"/>
    <cellStyle name="Normal 6 6 6 2 2 3" xfId="24847" xr:uid="{00000000-0005-0000-0000-00006D5E0000}"/>
    <cellStyle name="Normal 6 6 6 2 3" xfId="12131" xr:uid="{00000000-0005-0000-0000-00006E5E0000}"/>
    <cellStyle name="Normal 6 6 6 2 3 2" xfId="29071" xr:uid="{00000000-0005-0000-0000-00006F5E0000}"/>
    <cellStyle name="Normal 6 6 6 2 4" xfId="20623" xr:uid="{00000000-0005-0000-0000-0000705E0000}"/>
    <cellStyle name="Normal 6 6 6 3" xfId="5795" xr:uid="{00000000-0005-0000-0000-0000715E0000}"/>
    <cellStyle name="Normal 6 6 6 3 2" xfId="14243" xr:uid="{00000000-0005-0000-0000-0000725E0000}"/>
    <cellStyle name="Normal 6 6 6 3 2 2" xfId="31183" xr:uid="{00000000-0005-0000-0000-0000735E0000}"/>
    <cellStyle name="Normal 6 6 6 3 3" xfId="22735" xr:uid="{00000000-0005-0000-0000-0000745E0000}"/>
    <cellStyle name="Normal 6 6 6 4" xfId="10019" xr:uid="{00000000-0005-0000-0000-0000755E0000}"/>
    <cellStyle name="Normal 6 6 6 4 2" xfId="26959" xr:uid="{00000000-0005-0000-0000-0000765E0000}"/>
    <cellStyle name="Normal 6 6 6 5" xfId="18511" xr:uid="{00000000-0005-0000-0000-0000775E0000}"/>
    <cellStyle name="Normal 6 6 7" xfId="2625" xr:uid="{00000000-0005-0000-0000-0000785E0000}"/>
    <cellStyle name="Normal 6 6 7 2" xfId="6851" xr:uid="{00000000-0005-0000-0000-0000795E0000}"/>
    <cellStyle name="Normal 6 6 7 2 2" xfId="15299" xr:uid="{00000000-0005-0000-0000-00007A5E0000}"/>
    <cellStyle name="Normal 6 6 7 2 2 2" xfId="32239" xr:uid="{00000000-0005-0000-0000-00007B5E0000}"/>
    <cellStyle name="Normal 6 6 7 2 3" xfId="23791" xr:uid="{00000000-0005-0000-0000-00007C5E0000}"/>
    <cellStyle name="Normal 6 6 7 3" xfId="11075" xr:uid="{00000000-0005-0000-0000-00007D5E0000}"/>
    <cellStyle name="Normal 6 6 7 3 2" xfId="28015" xr:uid="{00000000-0005-0000-0000-00007E5E0000}"/>
    <cellStyle name="Normal 6 6 7 4" xfId="19567" xr:uid="{00000000-0005-0000-0000-00007F5E0000}"/>
    <cellStyle name="Normal 6 6 8" xfId="4738" xr:uid="{00000000-0005-0000-0000-0000805E0000}"/>
    <cellStyle name="Normal 6 6 8 2" xfId="13187" xr:uid="{00000000-0005-0000-0000-0000815E0000}"/>
    <cellStyle name="Normal 6 6 8 2 2" xfId="30127" xr:uid="{00000000-0005-0000-0000-0000825E0000}"/>
    <cellStyle name="Normal 6 6 8 3" xfId="21679" xr:uid="{00000000-0005-0000-0000-0000835E0000}"/>
    <cellStyle name="Normal 6 6 9" xfId="8963" xr:uid="{00000000-0005-0000-0000-0000845E0000}"/>
    <cellStyle name="Normal 6 6 9 2" xfId="25903" xr:uid="{00000000-0005-0000-0000-0000855E0000}"/>
    <cellStyle name="Normal 6 7" xfId="675" xr:uid="{00000000-0005-0000-0000-0000865E0000}"/>
    <cellStyle name="Normal 6 7 2" xfId="1027" xr:uid="{00000000-0005-0000-0000-0000875E0000}"/>
    <cellStyle name="Normal 6 7 2 2" xfId="2089" xr:uid="{00000000-0005-0000-0000-0000885E0000}"/>
    <cellStyle name="Normal 6 7 2 2 2" xfId="4201" xr:uid="{00000000-0005-0000-0000-0000895E0000}"/>
    <cellStyle name="Normal 6 7 2 2 2 2" xfId="8427" xr:uid="{00000000-0005-0000-0000-00008A5E0000}"/>
    <cellStyle name="Normal 6 7 2 2 2 2 2" xfId="16875" xr:uid="{00000000-0005-0000-0000-00008B5E0000}"/>
    <cellStyle name="Normal 6 7 2 2 2 2 2 2" xfId="33815" xr:uid="{00000000-0005-0000-0000-00008C5E0000}"/>
    <cellStyle name="Normal 6 7 2 2 2 2 3" xfId="25367" xr:uid="{00000000-0005-0000-0000-00008D5E0000}"/>
    <cellStyle name="Normal 6 7 2 2 2 3" xfId="12651" xr:uid="{00000000-0005-0000-0000-00008E5E0000}"/>
    <cellStyle name="Normal 6 7 2 2 2 3 2" xfId="29591" xr:uid="{00000000-0005-0000-0000-00008F5E0000}"/>
    <cellStyle name="Normal 6 7 2 2 2 4" xfId="21143" xr:uid="{00000000-0005-0000-0000-0000905E0000}"/>
    <cellStyle name="Normal 6 7 2 2 3" xfId="6315" xr:uid="{00000000-0005-0000-0000-0000915E0000}"/>
    <cellStyle name="Normal 6 7 2 2 3 2" xfId="14763" xr:uid="{00000000-0005-0000-0000-0000925E0000}"/>
    <cellStyle name="Normal 6 7 2 2 3 2 2" xfId="31703" xr:uid="{00000000-0005-0000-0000-0000935E0000}"/>
    <cellStyle name="Normal 6 7 2 2 3 3" xfId="23255" xr:uid="{00000000-0005-0000-0000-0000945E0000}"/>
    <cellStyle name="Normal 6 7 2 2 4" xfId="10539" xr:uid="{00000000-0005-0000-0000-0000955E0000}"/>
    <cellStyle name="Normal 6 7 2 2 4 2" xfId="27479" xr:uid="{00000000-0005-0000-0000-0000965E0000}"/>
    <cellStyle name="Normal 6 7 2 2 5" xfId="19031" xr:uid="{00000000-0005-0000-0000-0000975E0000}"/>
    <cellStyle name="Normal 6 7 2 3" xfId="3145" xr:uid="{00000000-0005-0000-0000-0000985E0000}"/>
    <cellStyle name="Normal 6 7 2 3 2" xfId="7371" xr:uid="{00000000-0005-0000-0000-0000995E0000}"/>
    <cellStyle name="Normal 6 7 2 3 2 2" xfId="15819" xr:uid="{00000000-0005-0000-0000-00009A5E0000}"/>
    <cellStyle name="Normal 6 7 2 3 2 2 2" xfId="32759" xr:uid="{00000000-0005-0000-0000-00009B5E0000}"/>
    <cellStyle name="Normal 6 7 2 3 2 3" xfId="24311" xr:uid="{00000000-0005-0000-0000-00009C5E0000}"/>
    <cellStyle name="Normal 6 7 2 3 3" xfId="11595" xr:uid="{00000000-0005-0000-0000-00009D5E0000}"/>
    <cellStyle name="Normal 6 7 2 3 3 2" xfId="28535" xr:uid="{00000000-0005-0000-0000-00009E5E0000}"/>
    <cellStyle name="Normal 6 7 2 3 4" xfId="20087" xr:uid="{00000000-0005-0000-0000-00009F5E0000}"/>
    <cellStyle name="Normal 6 7 2 4" xfId="5259" xr:uid="{00000000-0005-0000-0000-0000A05E0000}"/>
    <cellStyle name="Normal 6 7 2 4 2" xfId="13707" xr:uid="{00000000-0005-0000-0000-0000A15E0000}"/>
    <cellStyle name="Normal 6 7 2 4 2 2" xfId="30647" xr:uid="{00000000-0005-0000-0000-0000A25E0000}"/>
    <cellStyle name="Normal 6 7 2 4 3" xfId="22199" xr:uid="{00000000-0005-0000-0000-0000A35E0000}"/>
    <cellStyle name="Normal 6 7 2 5" xfId="9483" xr:uid="{00000000-0005-0000-0000-0000A45E0000}"/>
    <cellStyle name="Normal 6 7 2 5 2" xfId="26423" xr:uid="{00000000-0005-0000-0000-0000A55E0000}"/>
    <cellStyle name="Normal 6 7 2 6" xfId="17975" xr:uid="{00000000-0005-0000-0000-0000A65E0000}"/>
    <cellStyle name="Normal 6 7 3" xfId="1737" xr:uid="{00000000-0005-0000-0000-0000A75E0000}"/>
    <cellStyle name="Normal 6 7 3 2" xfId="3849" xr:uid="{00000000-0005-0000-0000-0000A85E0000}"/>
    <cellStyle name="Normal 6 7 3 2 2" xfId="8075" xr:uid="{00000000-0005-0000-0000-0000A95E0000}"/>
    <cellStyle name="Normal 6 7 3 2 2 2" xfId="16523" xr:uid="{00000000-0005-0000-0000-0000AA5E0000}"/>
    <cellStyle name="Normal 6 7 3 2 2 2 2" xfId="33463" xr:uid="{00000000-0005-0000-0000-0000AB5E0000}"/>
    <cellStyle name="Normal 6 7 3 2 2 3" xfId="25015" xr:uid="{00000000-0005-0000-0000-0000AC5E0000}"/>
    <cellStyle name="Normal 6 7 3 2 3" xfId="12299" xr:uid="{00000000-0005-0000-0000-0000AD5E0000}"/>
    <cellStyle name="Normal 6 7 3 2 3 2" xfId="29239" xr:uid="{00000000-0005-0000-0000-0000AE5E0000}"/>
    <cellStyle name="Normal 6 7 3 2 4" xfId="20791" xr:uid="{00000000-0005-0000-0000-0000AF5E0000}"/>
    <cellStyle name="Normal 6 7 3 3" xfId="5963" xr:uid="{00000000-0005-0000-0000-0000B05E0000}"/>
    <cellStyle name="Normal 6 7 3 3 2" xfId="14411" xr:uid="{00000000-0005-0000-0000-0000B15E0000}"/>
    <cellStyle name="Normal 6 7 3 3 2 2" xfId="31351" xr:uid="{00000000-0005-0000-0000-0000B25E0000}"/>
    <cellStyle name="Normal 6 7 3 3 3" xfId="22903" xr:uid="{00000000-0005-0000-0000-0000B35E0000}"/>
    <cellStyle name="Normal 6 7 3 4" xfId="10187" xr:uid="{00000000-0005-0000-0000-0000B45E0000}"/>
    <cellStyle name="Normal 6 7 3 4 2" xfId="27127" xr:uid="{00000000-0005-0000-0000-0000B55E0000}"/>
    <cellStyle name="Normal 6 7 3 5" xfId="18679" xr:uid="{00000000-0005-0000-0000-0000B65E0000}"/>
    <cellStyle name="Normal 6 7 4" xfId="2793" xr:uid="{00000000-0005-0000-0000-0000B75E0000}"/>
    <cellStyle name="Normal 6 7 4 2" xfId="7019" xr:uid="{00000000-0005-0000-0000-0000B85E0000}"/>
    <cellStyle name="Normal 6 7 4 2 2" xfId="15467" xr:uid="{00000000-0005-0000-0000-0000B95E0000}"/>
    <cellStyle name="Normal 6 7 4 2 2 2" xfId="32407" xr:uid="{00000000-0005-0000-0000-0000BA5E0000}"/>
    <cellStyle name="Normal 6 7 4 2 3" xfId="23959" xr:uid="{00000000-0005-0000-0000-0000BB5E0000}"/>
    <cellStyle name="Normal 6 7 4 3" xfId="11243" xr:uid="{00000000-0005-0000-0000-0000BC5E0000}"/>
    <cellStyle name="Normal 6 7 4 3 2" xfId="28183" xr:uid="{00000000-0005-0000-0000-0000BD5E0000}"/>
    <cellStyle name="Normal 6 7 4 4" xfId="19735" xr:uid="{00000000-0005-0000-0000-0000BE5E0000}"/>
    <cellStyle name="Normal 6 7 5" xfId="4907" xr:uid="{00000000-0005-0000-0000-0000BF5E0000}"/>
    <cellStyle name="Normal 6 7 5 2" xfId="13355" xr:uid="{00000000-0005-0000-0000-0000C05E0000}"/>
    <cellStyle name="Normal 6 7 5 2 2" xfId="30295" xr:uid="{00000000-0005-0000-0000-0000C15E0000}"/>
    <cellStyle name="Normal 6 7 5 3" xfId="21847" xr:uid="{00000000-0005-0000-0000-0000C25E0000}"/>
    <cellStyle name="Normal 6 7 6" xfId="9131" xr:uid="{00000000-0005-0000-0000-0000C35E0000}"/>
    <cellStyle name="Normal 6 7 6 2" xfId="26071" xr:uid="{00000000-0005-0000-0000-0000C45E0000}"/>
    <cellStyle name="Normal 6 7 7" xfId="17623" xr:uid="{00000000-0005-0000-0000-0000C55E0000}"/>
    <cellStyle name="Normal 6 8" xfId="851" xr:uid="{00000000-0005-0000-0000-0000C65E0000}"/>
    <cellStyle name="Normal 6 8 2" xfId="1913" xr:uid="{00000000-0005-0000-0000-0000C75E0000}"/>
    <cellStyle name="Normal 6 8 2 2" xfId="4025" xr:uid="{00000000-0005-0000-0000-0000C85E0000}"/>
    <cellStyle name="Normal 6 8 2 2 2" xfId="8251" xr:uid="{00000000-0005-0000-0000-0000C95E0000}"/>
    <cellStyle name="Normal 6 8 2 2 2 2" xfId="16699" xr:uid="{00000000-0005-0000-0000-0000CA5E0000}"/>
    <cellStyle name="Normal 6 8 2 2 2 2 2" xfId="33639" xr:uid="{00000000-0005-0000-0000-0000CB5E0000}"/>
    <cellStyle name="Normal 6 8 2 2 2 3" xfId="25191" xr:uid="{00000000-0005-0000-0000-0000CC5E0000}"/>
    <cellStyle name="Normal 6 8 2 2 3" xfId="12475" xr:uid="{00000000-0005-0000-0000-0000CD5E0000}"/>
    <cellStyle name="Normal 6 8 2 2 3 2" xfId="29415" xr:uid="{00000000-0005-0000-0000-0000CE5E0000}"/>
    <cellStyle name="Normal 6 8 2 2 4" xfId="20967" xr:uid="{00000000-0005-0000-0000-0000CF5E0000}"/>
    <cellStyle name="Normal 6 8 2 3" xfId="6139" xr:uid="{00000000-0005-0000-0000-0000D05E0000}"/>
    <cellStyle name="Normal 6 8 2 3 2" xfId="14587" xr:uid="{00000000-0005-0000-0000-0000D15E0000}"/>
    <cellStyle name="Normal 6 8 2 3 2 2" xfId="31527" xr:uid="{00000000-0005-0000-0000-0000D25E0000}"/>
    <cellStyle name="Normal 6 8 2 3 3" xfId="23079" xr:uid="{00000000-0005-0000-0000-0000D35E0000}"/>
    <cellStyle name="Normal 6 8 2 4" xfId="10363" xr:uid="{00000000-0005-0000-0000-0000D45E0000}"/>
    <cellStyle name="Normal 6 8 2 4 2" xfId="27303" xr:uid="{00000000-0005-0000-0000-0000D55E0000}"/>
    <cellStyle name="Normal 6 8 2 5" xfId="18855" xr:uid="{00000000-0005-0000-0000-0000D65E0000}"/>
    <cellStyle name="Normal 6 8 3" xfId="2969" xr:uid="{00000000-0005-0000-0000-0000D75E0000}"/>
    <cellStyle name="Normal 6 8 3 2" xfId="7195" xr:uid="{00000000-0005-0000-0000-0000D85E0000}"/>
    <cellStyle name="Normal 6 8 3 2 2" xfId="15643" xr:uid="{00000000-0005-0000-0000-0000D95E0000}"/>
    <cellStyle name="Normal 6 8 3 2 2 2" xfId="32583" xr:uid="{00000000-0005-0000-0000-0000DA5E0000}"/>
    <cellStyle name="Normal 6 8 3 2 3" xfId="24135" xr:uid="{00000000-0005-0000-0000-0000DB5E0000}"/>
    <cellStyle name="Normal 6 8 3 3" xfId="11419" xr:uid="{00000000-0005-0000-0000-0000DC5E0000}"/>
    <cellStyle name="Normal 6 8 3 3 2" xfId="28359" xr:uid="{00000000-0005-0000-0000-0000DD5E0000}"/>
    <cellStyle name="Normal 6 8 3 4" xfId="19911" xr:uid="{00000000-0005-0000-0000-0000DE5E0000}"/>
    <cellStyle name="Normal 6 8 4" xfId="5083" xr:uid="{00000000-0005-0000-0000-0000DF5E0000}"/>
    <cellStyle name="Normal 6 8 4 2" xfId="13531" xr:uid="{00000000-0005-0000-0000-0000E05E0000}"/>
    <cellStyle name="Normal 6 8 4 2 2" xfId="30471" xr:uid="{00000000-0005-0000-0000-0000E15E0000}"/>
    <cellStyle name="Normal 6 8 4 3" xfId="22023" xr:uid="{00000000-0005-0000-0000-0000E25E0000}"/>
    <cellStyle name="Normal 6 8 5" xfId="9307" xr:uid="{00000000-0005-0000-0000-0000E35E0000}"/>
    <cellStyle name="Normal 6 8 5 2" xfId="26247" xr:uid="{00000000-0005-0000-0000-0000E45E0000}"/>
    <cellStyle name="Normal 6 8 6" xfId="17799" xr:uid="{00000000-0005-0000-0000-0000E55E0000}"/>
    <cellStyle name="Normal 6 9" xfId="1203" xr:uid="{00000000-0005-0000-0000-0000E65E0000}"/>
    <cellStyle name="Normal 6 9 2" xfId="2265" xr:uid="{00000000-0005-0000-0000-0000E75E0000}"/>
    <cellStyle name="Normal 6 9 2 2" xfId="4377" xr:uid="{00000000-0005-0000-0000-0000E85E0000}"/>
    <cellStyle name="Normal 6 9 2 2 2" xfId="8603" xr:uid="{00000000-0005-0000-0000-0000E95E0000}"/>
    <cellStyle name="Normal 6 9 2 2 2 2" xfId="17051" xr:uid="{00000000-0005-0000-0000-0000EA5E0000}"/>
    <cellStyle name="Normal 6 9 2 2 2 2 2" xfId="33991" xr:uid="{00000000-0005-0000-0000-0000EB5E0000}"/>
    <cellStyle name="Normal 6 9 2 2 2 3" xfId="25543" xr:uid="{00000000-0005-0000-0000-0000EC5E0000}"/>
    <cellStyle name="Normal 6 9 2 2 3" xfId="12827" xr:uid="{00000000-0005-0000-0000-0000ED5E0000}"/>
    <cellStyle name="Normal 6 9 2 2 3 2" xfId="29767" xr:uid="{00000000-0005-0000-0000-0000EE5E0000}"/>
    <cellStyle name="Normal 6 9 2 2 4" xfId="21319" xr:uid="{00000000-0005-0000-0000-0000EF5E0000}"/>
    <cellStyle name="Normal 6 9 2 3" xfId="6491" xr:uid="{00000000-0005-0000-0000-0000F05E0000}"/>
    <cellStyle name="Normal 6 9 2 3 2" xfId="14939" xr:uid="{00000000-0005-0000-0000-0000F15E0000}"/>
    <cellStyle name="Normal 6 9 2 3 2 2" xfId="31879" xr:uid="{00000000-0005-0000-0000-0000F25E0000}"/>
    <cellStyle name="Normal 6 9 2 3 3" xfId="23431" xr:uid="{00000000-0005-0000-0000-0000F35E0000}"/>
    <cellStyle name="Normal 6 9 2 4" xfId="10715" xr:uid="{00000000-0005-0000-0000-0000F45E0000}"/>
    <cellStyle name="Normal 6 9 2 4 2" xfId="27655" xr:uid="{00000000-0005-0000-0000-0000F55E0000}"/>
    <cellStyle name="Normal 6 9 2 5" xfId="19207" xr:uid="{00000000-0005-0000-0000-0000F65E0000}"/>
    <cellStyle name="Normal 6 9 3" xfId="3321" xr:uid="{00000000-0005-0000-0000-0000F75E0000}"/>
    <cellStyle name="Normal 6 9 3 2" xfId="7547" xr:uid="{00000000-0005-0000-0000-0000F85E0000}"/>
    <cellStyle name="Normal 6 9 3 2 2" xfId="15995" xr:uid="{00000000-0005-0000-0000-0000F95E0000}"/>
    <cellStyle name="Normal 6 9 3 2 2 2" xfId="32935" xr:uid="{00000000-0005-0000-0000-0000FA5E0000}"/>
    <cellStyle name="Normal 6 9 3 2 3" xfId="24487" xr:uid="{00000000-0005-0000-0000-0000FB5E0000}"/>
    <cellStyle name="Normal 6 9 3 3" xfId="11771" xr:uid="{00000000-0005-0000-0000-0000FC5E0000}"/>
    <cellStyle name="Normal 6 9 3 3 2" xfId="28711" xr:uid="{00000000-0005-0000-0000-0000FD5E0000}"/>
    <cellStyle name="Normal 6 9 3 4" xfId="20263" xr:uid="{00000000-0005-0000-0000-0000FE5E0000}"/>
    <cellStyle name="Normal 6 9 4" xfId="5435" xr:uid="{00000000-0005-0000-0000-0000FF5E0000}"/>
    <cellStyle name="Normal 6 9 4 2" xfId="13883" xr:uid="{00000000-0005-0000-0000-0000005F0000}"/>
    <cellStyle name="Normal 6 9 4 2 2" xfId="30823" xr:uid="{00000000-0005-0000-0000-0000015F0000}"/>
    <cellStyle name="Normal 6 9 4 3" xfId="22375" xr:uid="{00000000-0005-0000-0000-0000025F0000}"/>
    <cellStyle name="Normal 6 9 5" xfId="9659" xr:uid="{00000000-0005-0000-0000-0000035F0000}"/>
    <cellStyle name="Normal 6 9 5 2" xfId="26599" xr:uid="{00000000-0005-0000-0000-0000045F0000}"/>
    <cellStyle name="Normal 6 9 6" xfId="18151" xr:uid="{00000000-0005-0000-0000-0000055F0000}"/>
    <cellStyle name="Normal 60" xfId="3" xr:uid="{00000000-0005-0000-0000-0000065F0000}"/>
    <cellStyle name="Normal 7" xfId="390" xr:uid="{00000000-0005-0000-0000-0000075F0000}"/>
    <cellStyle name="Normal 7 2" xfId="391" xr:uid="{00000000-0005-0000-0000-0000085F0000}"/>
    <cellStyle name="Normal 7 3" xfId="392" xr:uid="{00000000-0005-0000-0000-0000095F0000}"/>
    <cellStyle name="Normal 7 3 10" xfId="4739" xr:uid="{00000000-0005-0000-0000-00000A5F0000}"/>
    <cellStyle name="Normal 7 3 10 2" xfId="13188" xr:uid="{00000000-0005-0000-0000-00000B5F0000}"/>
    <cellStyle name="Normal 7 3 10 2 2" xfId="30128" xr:uid="{00000000-0005-0000-0000-00000C5F0000}"/>
    <cellStyle name="Normal 7 3 10 3" xfId="21680" xr:uid="{00000000-0005-0000-0000-00000D5F0000}"/>
    <cellStyle name="Normal 7 3 11" xfId="8964" xr:uid="{00000000-0005-0000-0000-00000E5F0000}"/>
    <cellStyle name="Normal 7 3 11 2" xfId="25904" xr:uid="{00000000-0005-0000-0000-00000F5F0000}"/>
    <cellStyle name="Normal 7 3 12" xfId="17456" xr:uid="{00000000-0005-0000-0000-0000105F0000}"/>
    <cellStyle name="Normal 7 3 2" xfId="393" xr:uid="{00000000-0005-0000-0000-0000115F0000}"/>
    <cellStyle name="Normal 7 3 2 10" xfId="17457" xr:uid="{00000000-0005-0000-0000-0000125F0000}"/>
    <cellStyle name="Normal 7 3 2 2" xfId="685" xr:uid="{00000000-0005-0000-0000-0000135F0000}"/>
    <cellStyle name="Normal 7 3 2 2 2" xfId="1037" xr:uid="{00000000-0005-0000-0000-0000145F0000}"/>
    <cellStyle name="Normal 7 3 2 2 2 2" xfId="2099" xr:uid="{00000000-0005-0000-0000-0000155F0000}"/>
    <cellStyle name="Normal 7 3 2 2 2 2 2" xfId="4211" xr:uid="{00000000-0005-0000-0000-0000165F0000}"/>
    <cellStyle name="Normal 7 3 2 2 2 2 2 2" xfId="8437" xr:uid="{00000000-0005-0000-0000-0000175F0000}"/>
    <cellStyle name="Normal 7 3 2 2 2 2 2 2 2" xfId="16885" xr:uid="{00000000-0005-0000-0000-0000185F0000}"/>
    <cellStyle name="Normal 7 3 2 2 2 2 2 2 2 2" xfId="33825" xr:uid="{00000000-0005-0000-0000-0000195F0000}"/>
    <cellStyle name="Normal 7 3 2 2 2 2 2 2 3" xfId="25377" xr:uid="{00000000-0005-0000-0000-00001A5F0000}"/>
    <cellStyle name="Normal 7 3 2 2 2 2 2 3" xfId="12661" xr:uid="{00000000-0005-0000-0000-00001B5F0000}"/>
    <cellStyle name="Normal 7 3 2 2 2 2 2 3 2" xfId="29601" xr:uid="{00000000-0005-0000-0000-00001C5F0000}"/>
    <cellStyle name="Normal 7 3 2 2 2 2 2 4" xfId="21153" xr:uid="{00000000-0005-0000-0000-00001D5F0000}"/>
    <cellStyle name="Normal 7 3 2 2 2 2 3" xfId="6325" xr:uid="{00000000-0005-0000-0000-00001E5F0000}"/>
    <cellStyle name="Normal 7 3 2 2 2 2 3 2" xfId="14773" xr:uid="{00000000-0005-0000-0000-00001F5F0000}"/>
    <cellStyle name="Normal 7 3 2 2 2 2 3 2 2" xfId="31713" xr:uid="{00000000-0005-0000-0000-0000205F0000}"/>
    <cellStyle name="Normal 7 3 2 2 2 2 3 3" xfId="23265" xr:uid="{00000000-0005-0000-0000-0000215F0000}"/>
    <cellStyle name="Normal 7 3 2 2 2 2 4" xfId="10549" xr:uid="{00000000-0005-0000-0000-0000225F0000}"/>
    <cellStyle name="Normal 7 3 2 2 2 2 4 2" xfId="27489" xr:uid="{00000000-0005-0000-0000-0000235F0000}"/>
    <cellStyle name="Normal 7 3 2 2 2 2 5" xfId="19041" xr:uid="{00000000-0005-0000-0000-0000245F0000}"/>
    <cellStyle name="Normal 7 3 2 2 2 3" xfId="3155" xr:uid="{00000000-0005-0000-0000-0000255F0000}"/>
    <cellStyle name="Normal 7 3 2 2 2 3 2" xfId="7381" xr:uid="{00000000-0005-0000-0000-0000265F0000}"/>
    <cellStyle name="Normal 7 3 2 2 2 3 2 2" xfId="15829" xr:uid="{00000000-0005-0000-0000-0000275F0000}"/>
    <cellStyle name="Normal 7 3 2 2 2 3 2 2 2" xfId="32769" xr:uid="{00000000-0005-0000-0000-0000285F0000}"/>
    <cellStyle name="Normal 7 3 2 2 2 3 2 3" xfId="24321" xr:uid="{00000000-0005-0000-0000-0000295F0000}"/>
    <cellStyle name="Normal 7 3 2 2 2 3 3" xfId="11605" xr:uid="{00000000-0005-0000-0000-00002A5F0000}"/>
    <cellStyle name="Normal 7 3 2 2 2 3 3 2" xfId="28545" xr:uid="{00000000-0005-0000-0000-00002B5F0000}"/>
    <cellStyle name="Normal 7 3 2 2 2 3 4" xfId="20097" xr:uid="{00000000-0005-0000-0000-00002C5F0000}"/>
    <cellStyle name="Normal 7 3 2 2 2 4" xfId="5269" xr:uid="{00000000-0005-0000-0000-00002D5F0000}"/>
    <cellStyle name="Normal 7 3 2 2 2 4 2" xfId="13717" xr:uid="{00000000-0005-0000-0000-00002E5F0000}"/>
    <cellStyle name="Normal 7 3 2 2 2 4 2 2" xfId="30657" xr:uid="{00000000-0005-0000-0000-00002F5F0000}"/>
    <cellStyle name="Normal 7 3 2 2 2 4 3" xfId="22209" xr:uid="{00000000-0005-0000-0000-0000305F0000}"/>
    <cellStyle name="Normal 7 3 2 2 2 5" xfId="9493" xr:uid="{00000000-0005-0000-0000-0000315F0000}"/>
    <cellStyle name="Normal 7 3 2 2 2 5 2" xfId="26433" xr:uid="{00000000-0005-0000-0000-0000325F0000}"/>
    <cellStyle name="Normal 7 3 2 2 2 6" xfId="17985" xr:uid="{00000000-0005-0000-0000-0000335F0000}"/>
    <cellStyle name="Normal 7 3 2 2 3" xfId="1747" xr:uid="{00000000-0005-0000-0000-0000345F0000}"/>
    <cellStyle name="Normal 7 3 2 2 3 2" xfId="3859" xr:uid="{00000000-0005-0000-0000-0000355F0000}"/>
    <cellStyle name="Normal 7 3 2 2 3 2 2" xfId="8085" xr:uid="{00000000-0005-0000-0000-0000365F0000}"/>
    <cellStyle name="Normal 7 3 2 2 3 2 2 2" xfId="16533" xr:uid="{00000000-0005-0000-0000-0000375F0000}"/>
    <cellStyle name="Normal 7 3 2 2 3 2 2 2 2" xfId="33473" xr:uid="{00000000-0005-0000-0000-0000385F0000}"/>
    <cellStyle name="Normal 7 3 2 2 3 2 2 3" xfId="25025" xr:uid="{00000000-0005-0000-0000-0000395F0000}"/>
    <cellStyle name="Normal 7 3 2 2 3 2 3" xfId="12309" xr:uid="{00000000-0005-0000-0000-00003A5F0000}"/>
    <cellStyle name="Normal 7 3 2 2 3 2 3 2" xfId="29249" xr:uid="{00000000-0005-0000-0000-00003B5F0000}"/>
    <cellStyle name="Normal 7 3 2 2 3 2 4" xfId="20801" xr:uid="{00000000-0005-0000-0000-00003C5F0000}"/>
    <cellStyle name="Normal 7 3 2 2 3 3" xfId="5973" xr:uid="{00000000-0005-0000-0000-00003D5F0000}"/>
    <cellStyle name="Normal 7 3 2 2 3 3 2" xfId="14421" xr:uid="{00000000-0005-0000-0000-00003E5F0000}"/>
    <cellStyle name="Normal 7 3 2 2 3 3 2 2" xfId="31361" xr:uid="{00000000-0005-0000-0000-00003F5F0000}"/>
    <cellStyle name="Normal 7 3 2 2 3 3 3" xfId="22913" xr:uid="{00000000-0005-0000-0000-0000405F0000}"/>
    <cellStyle name="Normal 7 3 2 2 3 4" xfId="10197" xr:uid="{00000000-0005-0000-0000-0000415F0000}"/>
    <cellStyle name="Normal 7 3 2 2 3 4 2" xfId="27137" xr:uid="{00000000-0005-0000-0000-0000425F0000}"/>
    <cellStyle name="Normal 7 3 2 2 3 5" xfId="18689" xr:uid="{00000000-0005-0000-0000-0000435F0000}"/>
    <cellStyle name="Normal 7 3 2 2 4" xfId="2803" xr:uid="{00000000-0005-0000-0000-0000445F0000}"/>
    <cellStyle name="Normal 7 3 2 2 4 2" xfId="7029" xr:uid="{00000000-0005-0000-0000-0000455F0000}"/>
    <cellStyle name="Normal 7 3 2 2 4 2 2" xfId="15477" xr:uid="{00000000-0005-0000-0000-0000465F0000}"/>
    <cellStyle name="Normal 7 3 2 2 4 2 2 2" xfId="32417" xr:uid="{00000000-0005-0000-0000-0000475F0000}"/>
    <cellStyle name="Normal 7 3 2 2 4 2 3" xfId="23969" xr:uid="{00000000-0005-0000-0000-0000485F0000}"/>
    <cellStyle name="Normal 7 3 2 2 4 3" xfId="11253" xr:uid="{00000000-0005-0000-0000-0000495F0000}"/>
    <cellStyle name="Normal 7 3 2 2 4 3 2" xfId="28193" xr:uid="{00000000-0005-0000-0000-00004A5F0000}"/>
    <cellStyle name="Normal 7 3 2 2 4 4" xfId="19745" xr:uid="{00000000-0005-0000-0000-00004B5F0000}"/>
    <cellStyle name="Normal 7 3 2 2 5" xfId="4917" xr:uid="{00000000-0005-0000-0000-00004C5F0000}"/>
    <cellStyle name="Normal 7 3 2 2 5 2" xfId="13365" xr:uid="{00000000-0005-0000-0000-00004D5F0000}"/>
    <cellStyle name="Normal 7 3 2 2 5 2 2" xfId="30305" xr:uid="{00000000-0005-0000-0000-00004E5F0000}"/>
    <cellStyle name="Normal 7 3 2 2 5 3" xfId="21857" xr:uid="{00000000-0005-0000-0000-00004F5F0000}"/>
    <cellStyle name="Normal 7 3 2 2 6" xfId="9141" xr:uid="{00000000-0005-0000-0000-0000505F0000}"/>
    <cellStyle name="Normal 7 3 2 2 6 2" xfId="26081" xr:uid="{00000000-0005-0000-0000-0000515F0000}"/>
    <cellStyle name="Normal 7 3 2 2 7" xfId="17633" xr:uid="{00000000-0005-0000-0000-0000525F0000}"/>
    <cellStyle name="Normal 7 3 2 3" xfId="861" xr:uid="{00000000-0005-0000-0000-0000535F0000}"/>
    <cellStyle name="Normal 7 3 2 3 2" xfId="1923" xr:uid="{00000000-0005-0000-0000-0000545F0000}"/>
    <cellStyle name="Normal 7 3 2 3 2 2" xfId="4035" xr:uid="{00000000-0005-0000-0000-0000555F0000}"/>
    <cellStyle name="Normal 7 3 2 3 2 2 2" xfId="8261" xr:uid="{00000000-0005-0000-0000-0000565F0000}"/>
    <cellStyle name="Normal 7 3 2 3 2 2 2 2" xfId="16709" xr:uid="{00000000-0005-0000-0000-0000575F0000}"/>
    <cellStyle name="Normal 7 3 2 3 2 2 2 2 2" xfId="33649" xr:uid="{00000000-0005-0000-0000-0000585F0000}"/>
    <cellStyle name="Normal 7 3 2 3 2 2 2 3" xfId="25201" xr:uid="{00000000-0005-0000-0000-0000595F0000}"/>
    <cellStyle name="Normal 7 3 2 3 2 2 3" xfId="12485" xr:uid="{00000000-0005-0000-0000-00005A5F0000}"/>
    <cellStyle name="Normal 7 3 2 3 2 2 3 2" xfId="29425" xr:uid="{00000000-0005-0000-0000-00005B5F0000}"/>
    <cellStyle name="Normal 7 3 2 3 2 2 4" xfId="20977" xr:uid="{00000000-0005-0000-0000-00005C5F0000}"/>
    <cellStyle name="Normal 7 3 2 3 2 3" xfId="6149" xr:uid="{00000000-0005-0000-0000-00005D5F0000}"/>
    <cellStyle name="Normal 7 3 2 3 2 3 2" xfId="14597" xr:uid="{00000000-0005-0000-0000-00005E5F0000}"/>
    <cellStyle name="Normal 7 3 2 3 2 3 2 2" xfId="31537" xr:uid="{00000000-0005-0000-0000-00005F5F0000}"/>
    <cellStyle name="Normal 7 3 2 3 2 3 3" xfId="23089" xr:uid="{00000000-0005-0000-0000-0000605F0000}"/>
    <cellStyle name="Normal 7 3 2 3 2 4" xfId="10373" xr:uid="{00000000-0005-0000-0000-0000615F0000}"/>
    <cellStyle name="Normal 7 3 2 3 2 4 2" xfId="27313" xr:uid="{00000000-0005-0000-0000-0000625F0000}"/>
    <cellStyle name="Normal 7 3 2 3 2 5" xfId="18865" xr:uid="{00000000-0005-0000-0000-0000635F0000}"/>
    <cellStyle name="Normal 7 3 2 3 3" xfId="2979" xr:uid="{00000000-0005-0000-0000-0000645F0000}"/>
    <cellStyle name="Normal 7 3 2 3 3 2" xfId="7205" xr:uid="{00000000-0005-0000-0000-0000655F0000}"/>
    <cellStyle name="Normal 7 3 2 3 3 2 2" xfId="15653" xr:uid="{00000000-0005-0000-0000-0000665F0000}"/>
    <cellStyle name="Normal 7 3 2 3 3 2 2 2" xfId="32593" xr:uid="{00000000-0005-0000-0000-0000675F0000}"/>
    <cellStyle name="Normal 7 3 2 3 3 2 3" xfId="24145" xr:uid="{00000000-0005-0000-0000-0000685F0000}"/>
    <cellStyle name="Normal 7 3 2 3 3 3" xfId="11429" xr:uid="{00000000-0005-0000-0000-0000695F0000}"/>
    <cellStyle name="Normal 7 3 2 3 3 3 2" xfId="28369" xr:uid="{00000000-0005-0000-0000-00006A5F0000}"/>
    <cellStyle name="Normal 7 3 2 3 3 4" xfId="19921" xr:uid="{00000000-0005-0000-0000-00006B5F0000}"/>
    <cellStyle name="Normal 7 3 2 3 4" xfId="5093" xr:uid="{00000000-0005-0000-0000-00006C5F0000}"/>
    <cellStyle name="Normal 7 3 2 3 4 2" xfId="13541" xr:uid="{00000000-0005-0000-0000-00006D5F0000}"/>
    <cellStyle name="Normal 7 3 2 3 4 2 2" xfId="30481" xr:uid="{00000000-0005-0000-0000-00006E5F0000}"/>
    <cellStyle name="Normal 7 3 2 3 4 3" xfId="22033" xr:uid="{00000000-0005-0000-0000-00006F5F0000}"/>
    <cellStyle name="Normal 7 3 2 3 5" xfId="9317" xr:uid="{00000000-0005-0000-0000-0000705F0000}"/>
    <cellStyle name="Normal 7 3 2 3 5 2" xfId="26257" xr:uid="{00000000-0005-0000-0000-0000715F0000}"/>
    <cellStyle name="Normal 7 3 2 3 6" xfId="17809" xr:uid="{00000000-0005-0000-0000-0000725F0000}"/>
    <cellStyle name="Normal 7 3 2 4" xfId="1213" xr:uid="{00000000-0005-0000-0000-0000735F0000}"/>
    <cellStyle name="Normal 7 3 2 4 2" xfId="2275" xr:uid="{00000000-0005-0000-0000-0000745F0000}"/>
    <cellStyle name="Normal 7 3 2 4 2 2" xfId="4387" xr:uid="{00000000-0005-0000-0000-0000755F0000}"/>
    <cellStyle name="Normal 7 3 2 4 2 2 2" xfId="8613" xr:uid="{00000000-0005-0000-0000-0000765F0000}"/>
    <cellStyle name="Normal 7 3 2 4 2 2 2 2" xfId="17061" xr:uid="{00000000-0005-0000-0000-0000775F0000}"/>
    <cellStyle name="Normal 7 3 2 4 2 2 2 2 2" xfId="34001" xr:uid="{00000000-0005-0000-0000-0000785F0000}"/>
    <cellStyle name="Normal 7 3 2 4 2 2 2 3" xfId="25553" xr:uid="{00000000-0005-0000-0000-0000795F0000}"/>
    <cellStyle name="Normal 7 3 2 4 2 2 3" xfId="12837" xr:uid="{00000000-0005-0000-0000-00007A5F0000}"/>
    <cellStyle name="Normal 7 3 2 4 2 2 3 2" xfId="29777" xr:uid="{00000000-0005-0000-0000-00007B5F0000}"/>
    <cellStyle name="Normal 7 3 2 4 2 2 4" xfId="21329" xr:uid="{00000000-0005-0000-0000-00007C5F0000}"/>
    <cellStyle name="Normal 7 3 2 4 2 3" xfId="6501" xr:uid="{00000000-0005-0000-0000-00007D5F0000}"/>
    <cellStyle name="Normal 7 3 2 4 2 3 2" xfId="14949" xr:uid="{00000000-0005-0000-0000-00007E5F0000}"/>
    <cellStyle name="Normal 7 3 2 4 2 3 2 2" xfId="31889" xr:uid="{00000000-0005-0000-0000-00007F5F0000}"/>
    <cellStyle name="Normal 7 3 2 4 2 3 3" xfId="23441" xr:uid="{00000000-0005-0000-0000-0000805F0000}"/>
    <cellStyle name="Normal 7 3 2 4 2 4" xfId="10725" xr:uid="{00000000-0005-0000-0000-0000815F0000}"/>
    <cellStyle name="Normal 7 3 2 4 2 4 2" xfId="27665" xr:uid="{00000000-0005-0000-0000-0000825F0000}"/>
    <cellStyle name="Normal 7 3 2 4 2 5" xfId="19217" xr:uid="{00000000-0005-0000-0000-0000835F0000}"/>
    <cellStyle name="Normal 7 3 2 4 3" xfId="3331" xr:uid="{00000000-0005-0000-0000-0000845F0000}"/>
    <cellStyle name="Normal 7 3 2 4 3 2" xfId="7557" xr:uid="{00000000-0005-0000-0000-0000855F0000}"/>
    <cellStyle name="Normal 7 3 2 4 3 2 2" xfId="16005" xr:uid="{00000000-0005-0000-0000-0000865F0000}"/>
    <cellStyle name="Normal 7 3 2 4 3 2 2 2" xfId="32945" xr:uid="{00000000-0005-0000-0000-0000875F0000}"/>
    <cellStyle name="Normal 7 3 2 4 3 2 3" xfId="24497" xr:uid="{00000000-0005-0000-0000-0000885F0000}"/>
    <cellStyle name="Normal 7 3 2 4 3 3" xfId="11781" xr:uid="{00000000-0005-0000-0000-0000895F0000}"/>
    <cellStyle name="Normal 7 3 2 4 3 3 2" xfId="28721" xr:uid="{00000000-0005-0000-0000-00008A5F0000}"/>
    <cellStyle name="Normal 7 3 2 4 3 4" xfId="20273" xr:uid="{00000000-0005-0000-0000-00008B5F0000}"/>
    <cellStyle name="Normal 7 3 2 4 4" xfId="5445" xr:uid="{00000000-0005-0000-0000-00008C5F0000}"/>
    <cellStyle name="Normal 7 3 2 4 4 2" xfId="13893" xr:uid="{00000000-0005-0000-0000-00008D5F0000}"/>
    <cellStyle name="Normal 7 3 2 4 4 2 2" xfId="30833" xr:uid="{00000000-0005-0000-0000-00008E5F0000}"/>
    <cellStyle name="Normal 7 3 2 4 4 3" xfId="22385" xr:uid="{00000000-0005-0000-0000-00008F5F0000}"/>
    <cellStyle name="Normal 7 3 2 4 5" xfId="9669" xr:uid="{00000000-0005-0000-0000-0000905F0000}"/>
    <cellStyle name="Normal 7 3 2 4 5 2" xfId="26609" xr:uid="{00000000-0005-0000-0000-0000915F0000}"/>
    <cellStyle name="Normal 7 3 2 4 6" xfId="18161" xr:uid="{00000000-0005-0000-0000-0000925F0000}"/>
    <cellStyle name="Normal 7 3 2 5" xfId="1395" xr:uid="{00000000-0005-0000-0000-0000935F0000}"/>
    <cellStyle name="Normal 7 3 2 5 2" xfId="2451" xr:uid="{00000000-0005-0000-0000-0000945F0000}"/>
    <cellStyle name="Normal 7 3 2 5 2 2" xfId="4563" xr:uid="{00000000-0005-0000-0000-0000955F0000}"/>
    <cellStyle name="Normal 7 3 2 5 2 2 2" xfId="8789" xr:uid="{00000000-0005-0000-0000-0000965F0000}"/>
    <cellStyle name="Normal 7 3 2 5 2 2 2 2" xfId="17237" xr:uid="{00000000-0005-0000-0000-0000975F0000}"/>
    <cellStyle name="Normal 7 3 2 5 2 2 2 2 2" xfId="34177" xr:uid="{00000000-0005-0000-0000-0000985F0000}"/>
    <cellStyle name="Normal 7 3 2 5 2 2 2 3" xfId="25729" xr:uid="{00000000-0005-0000-0000-0000995F0000}"/>
    <cellStyle name="Normal 7 3 2 5 2 2 3" xfId="13013" xr:uid="{00000000-0005-0000-0000-00009A5F0000}"/>
    <cellStyle name="Normal 7 3 2 5 2 2 3 2" xfId="29953" xr:uid="{00000000-0005-0000-0000-00009B5F0000}"/>
    <cellStyle name="Normal 7 3 2 5 2 2 4" xfId="21505" xr:uid="{00000000-0005-0000-0000-00009C5F0000}"/>
    <cellStyle name="Normal 7 3 2 5 2 3" xfId="6677" xr:uid="{00000000-0005-0000-0000-00009D5F0000}"/>
    <cellStyle name="Normal 7 3 2 5 2 3 2" xfId="15125" xr:uid="{00000000-0005-0000-0000-00009E5F0000}"/>
    <cellStyle name="Normal 7 3 2 5 2 3 2 2" xfId="32065" xr:uid="{00000000-0005-0000-0000-00009F5F0000}"/>
    <cellStyle name="Normal 7 3 2 5 2 3 3" xfId="23617" xr:uid="{00000000-0005-0000-0000-0000A05F0000}"/>
    <cellStyle name="Normal 7 3 2 5 2 4" xfId="10901" xr:uid="{00000000-0005-0000-0000-0000A15F0000}"/>
    <cellStyle name="Normal 7 3 2 5 2 4 2" xfId="27841" xr:uid="{00000000-0005-0000-0000-0000A25F0000}"/>
    <cellStyle name="Normal 7 3 2 5 2 5" xfId="19393" xr:uid="{00000000-0005-0000-0000-0000A35F0000}"/>
    <cellStyle name="Normal 7 3 2 5 3" xfId="3507" xr:uid="{00000000-0005-0000-0000-0000A45F0000}"/>
    <cellStyle name="Normal 7 3 2 5 3 2" xfId="7733" xr:uid="{00000000-0005-0000-0000-0000A55F0000}"/>
    <cellStyle name="Normal 7 3 2 5 3 2 2" xfId="16181" xr:uid="{00000000-0005-0000-0000-0000A65F0000}"/>
    <cellStyle name="Normal 7 3 2 5 3 2 2 2" xfId="33121" xr:uid="{00000000-0005-0000-0000-0000A75F0000}"/>
    <cellStyle name="Normal 7 3 2 5 3 2 3" xfId="24673" xr:uid="{00000000-0005-0000-0000-0000A85F0000}"/>
    <cellStyle name="Normal 7 3 2 5 3 3" xfId="11957" xr:uid="{00000000-0005-0000-0000-0000A95F0000}"/>
    <cellStyle name="Normal 7 3 2 5 3 3 2" xfId="28897" xr:uid="{00000000-0005-0000-0000-0000AA5F0000}"/>
    <cellStyle name="Normal 7 3 2 5 3 4" xfId="20449" xr:uid="{00000000-0005-0000-0000-0000AB5F0000}"/>
    <cellStyle name="Normal 7 3 2 5 4" xfId="5621" xr:uid="{00000000-0005-0000-0000-0000AC5F0000}"/>
    <cellStyle name="Normal 7 3 2 5 4 2" xfId="14069" xr:uid="{00000000-0005-0000-0000-0000AD5F0000}"/>
    <cellStyle name="Normal 7 3 2 5 4 2 2" xfId="31009" xr:uid="{00000000-0005-0000-0000-0000AE5F0000}"/>
    <cellStyle name="Normal 7 3 2 5 4 3" xfId="22561" xr:uid="{00000000-0005-0000-0000-0000AF5F0000}"/>
    <cellStyle name="Normal 7 3 2 5 5" xfId="9845" xr:uid="{00000000-0005-0000-0000-0000B05F0000}"/>
    <cellStyle name="Normal 7 3 2 5 5 2" xfId="26785" xr:uid="{00000000-0005-0000-0000-0000B15F0000}"/>
    <cellStyle name="Normal 7 3 2 5 6" xfId="18337" xr:uid="{00000000-0005-0000-0000-0000B25F0000}"/>
    <cellStyle name="Normal 7 3 2 6" xfId="1571" xr:uid="{00000000-0005-0000-0000-0000B35F0000}"/>
    <cellStyle name="Normal 7 3 2 6 2" xfId="3683" xr:uid="{00000000-0005-0000-0000-0000B45F0000}"/>
    <cellStyle name="Normal 7 3 2 6 2 2" xfId="7909" xr:uid="{00000000-0005-0000-0000-0000B55F0000}"/>
    <cellStyle name="Normal 7 3 2 6 2 2 2" xfId="16357" xr:uid="{00000000-0005-0000-0000-0000B65F0000}"/>
    <cellStyle name="Normal 7 3 2 6 2 2 2 2" xfId="33297" xr:uid="{00000000-0005-0000-0000-0000B75F0000}"/>
    <cellStyle name="Normal 7 3 2 6 2 2 3" xfId="24849" xr:uid="{00000000-0005-0000-0000-0000B85F0000}"/>
    <cellStyle name="Normal 7 3 2 6 2 3" xfId="12133" xr:uid="{00000000-0005-0000-0000-0000B95F0000}"/>
    <cellStyle name="Normal 7 3 2 6 2 3 2" xfId="29073" xr:uid="{00000000-0005-0000-0000-0000BA5F0000}"/>
    <cellStyle name="Normal 7 3 2 6 2 4" xfId="20625" xr:uid="{00000000-0005-0000-0000-0000BB5F0000}"/>
    <cellStyle name="Normal 7 3 2 6 3" xfId="5797" xr:uid="{00000000-0005-0000-0000-0000BC5F0000}"/>
    <cellStyle name="Normal 7 3 2 6 3 2" xfId="14245" xr:uid="{00000000-0005-0000-0000-0000BD5F0000}"/>
    <cellStyle name="Normal 7 3 2 6 3 2 2" xfId="31185" xr:uid="{00000000-0005-0000-0000-0000BE5F0000}"/>
    <cellStyle name="Normal 7 3 2 6 3 3" xfId="22737" xr:uid="{00000000-0005-0000-0000-0000BF5F0000}"/>
    <cellStyle name="Normal 7 3 2 6 4" xfId="10021" xr:uid="{00000000-0005-0000-0000-0000C05F0000}"/>
    <cellStyle name="Normal 7 3 2 6 4 2" xfId="26961" xr:uid="{00000000-0005-0000-0000-0000C15F0000}"/>
    <cellStyle name="Normal 7 3 2 6 5" xfId="18513" xr:uid="{00000000-0005-0000-0000-0000C25F0000}"/>
    <cellStyle name="Normal 7 3 2 7" xfId="2627" xr:uid="{00000000-0005-0000-0000-0000C35F0000}"/>
    <cellStyle name="Normal 7 3 2 7 2" xfId="6853" xr:uid="{00000000-0005-0000-0000-0000C45F0000}"/>
    <cellStyle name="Normal 7 3 2 7 2 2" xfId="15301" xr:uid="{00000000-0005-0000-0000-0000C55F0000}"/>
    <cellStyle name="Normal 7 3 2 7 2 2 2" xfId="32241" xr:uid="{00000000-0005-0000-0000-0000C65F0000}"/>
    <cellStyle name="Normal 7 3 2 7 2 3" xfId="23793" xr:uid="{00000000-0005-0000-0000-0000C75F0000}"/>
    <cellStyle name="Normal 7 3 2 7 3" xfId="11077" xr:uid="{00000000-0005-0000-0000-0000C85F0000}"/>
    <cellStyle name="Normal 7 3 2 7 3 2" xfId="28017" xr:uid="{00000000-0005-0000-0000-0000C95F0000}"/>
    <cellStyle name="Normal 7 3 2 7 4" xfId="19569" xr:uid="{00000000-0005-0000-0000-0000CA5F0000}"/>
    <cellStyle name="Normal 7 3 2 8" xfId="4740" xr:uid="{00000000-0005-0000-0000-0000CB5F0000}"/>
    <cellStyle name="Normal 7 3 2 8 2" xfId="13189" xr:uid="{00000000-0005-0000-0000-0000CC5F0000}"/>
    <cellStyle name="Normal 7 3 2 8 2 2" xfId="30129" xr:uid="{00000000-0005-0000-0000-0000CD5F0000}"/>
    <cellStyle name="Normal 7 3 2 8 3" xfId="21681" xr:uid="{00000000-0005-0000-0000-0000CE5F0000}"/>
    <cellStyle name="Normal 7 3 2 9" xfId="8965" xr:uid="{00000000-0005-0000-0000-0000CF5F0000}"/>
    <cellStyle name="Normal 7 3 2 9 2" xfId="25905" xr:uid="{00000000-0005-0000-0000-0000D05F0000}"/>
    <cellStyle name="Normal 7 3 3" xfId="394" xr:uid="{00000000-0005-0000-0000-0000D15F0000}"/>
    <cellStyle name="Normal 7 3 3 10" xfId="17458" xr:uid="{00000000-0005-0000-0000-0000D25F0000}"/>
    <cellStyle name="Normal 7 3 3 2" xfId="686" xr:uid="{00000000-0005-0000-0000-0000D35F0000}"/>
    <cellStyle name="Normal 7 3 3 2 2" xfId="1038" xr:uid="{00000000-0005-0000-0000-0000D45F0000}"/>
    <cellStyle name="Normal 7 3 3 2 2 2" xfId="2100" xr:uid="{00000000-0005-0000-0000-0000D55F0000}"/>
    <cellStyle name="Normal 7 3 3 2 2 2 2" xfId="4212" xr:uid="{00000000-0005-0000-0000-0000D65F0000}"/>
    <cellStyle name="Normal 7 3 3 2 2 2 2 2" xfId="8438" xr:uid="{00000000-0005-0000-0000-0000D75F0000}"/>
    <cellStyle name="Normal 7 3 3 2 2 2 2 2 2" xfId="16886" xr:uid="{00000000-0005-0000-0000-0000D85F0000}"/>
    <cellStyle name="Normal 7 3 3 2 2 2 2 2 2 2" xfId="33826" xr:uid="{00000000-0005-0000-0000-0000D95F0000}"/>
    <cellStyle name="Normal 7 3 3 2 2 2 2 2 3" xfId="25378" xr:uid="{00000000-0005-0000-0000-0000DA5F0000}"/>
    <cellStyle name="Normal 7 3 3 2 2 2 2 3" xfId="12662" xr:uid="{00000000-0005-0000-0000-0000DB5F0000}"/>
    <cellStyle name="Normal 7 3 3 2 2 2 2 3 2" xfId="29602" xr:uid="{00000000-0005-0000-0000-0000DC5F0000}"/>
    <cellStyle name="Normal 7 3 3 2 2 2 2 4" xfId="21154" xr:uid="{00000000-0005-0000-0000-0000DD5F0000}"/>
    <cellStyle name="Normal 7 3 3 2 2 2 3" xfId="6326" xr:uid="{00000000-0005-0000-0000-0000DE5F0000}"/>
    <cellStyle name="Normal 7 3 3 2 2 2 3 2" xfId="14774" xr:uid="{00000000-0005-0000-0000-0000DF5F0000}"/>
    <cellStyle name="Normal 7 3 3 2 2 2 3 2 2" xfId="31714" xr:uid="{00000000-0005-0000-0000-0000E05F0000}"/>
    <cellStyle name="Normal 7 3 3 2 2 2 3 3" xfId="23266" xr:uid="{00000000-0005-0000-0000-0000E15F0000}"/>
    <cellStyle name="Normal 7 3 3 2 2 2 4" xfId="10550" xr:uid="{00000000-0005-0000-0000-0000E25F0000}"/>
    <cellStyle name="Normal 7 3 3 2 2 2 4 2" xfId="27490" xr:uid="{00000000-0005-0000-0000-0000E35F0000}"/>
    <cellStyle name="Normal 7 3 3 2 2 2 5" xfId="19042" xr:uid="{00000000-0005-0000-0000-0000E45F0000}"/>
    <cellStyle name="Normal 7 3 3 2 2 3" xfId="3156" xr:uid="{00000000-0005-0000-0000-0000E55F0000}"/>
    <cellStyle name="Normal 7 3 3 2 2 3 2" xfId="7382" xr:uid="{00000000-0005-0000-0000-0000E65F0000}"/>
    <cellStyle name="Normal 7 3 3 2 2 3 2 2" xfId="15830" xr:uid="{00000000-0005-0000-0000-0000E75F0000}"/>
    <cellStyle name="Normal 7 3 3 2 2 3 2 2 2" xfId="32770" xr:uid="{00000000-0005-0000-0000-0000E85F0000}"/>
    <cellStyle name="Normal 7 3 3 2 2 3 2 3" xfId="24322" xr:uid="{00000000-0005-0000-0000-0000E95F0000}"/>
    <cellStyle name="Normal 7 3 3 2 2 3 3" xfId="11606" xr:uid="{00000000-0005-0000-0000-0000EA5F0000}"/>
    <cellStyle name="Normal 7 3 3 2 2 3 3 2" xfId="28546" xr:uid="{00000000-0005-0000-0000-0000EB5F0000}"/>
    <cellStyle name="Normal 7 3 3 2 2 3 4" xfId="20098" xr:uid="{00000000-0005-0000-0000-0000EC5F0000}"/>
    <cellStyle name="Normal 7 3 3 2 2 4" xfId="5270" xr:uid="{00000000-0005-0000-0000-0000ED5F0000}"/>
    <cellStyle name="Normal 7 3 3 2 2 4 2" xfId="13718" xr:uid="{00000000-0005-0000-0000-0000EE5F0000}"/>
    <cellStyle name="Normal 7 3 3 2 2 4 2 2" xfId="30658" xr:uid="{00000000-0005-0000-0000-0000EF5F0000}"/>
    <cellStyle name="Normal 7 3 3 2 2 4 3" xfId="22210" xr:uid="{00000000-0005-0000-0000-0000F05F0000}"/>
    <cellStyle name="Normal 7 3 3 2 2 5" xfId="9494" xr:uid="{00000000-0005-0000-0000-0000F15F0000}"/>
    <cellStyle name="Normal 7 3 3 2 2 5 2" xfId="26434" xr:uid="{00000000-0005-0000-0000-0000F25F0000}"/>
    <cellStyle name="Normal 7 3 3 2 2 6" xfId="17986" xr:uid="{00000000-0005-0000-0000-0000F35F0000}"/>
    <cellStyle name="Normal 7 3 3 2 3" xfId="1748" xr:uid="{00000000-0005-0000-0000-0000F45F0000}"/>
    <cellStyle name="Normal 7 3 3 2 3 2" xfId="3860" xr:uid="{00000000-0005-0000-0000-0000F55F0000}"/>
    <cellStyle name="Normal 7 3 3 2 3 2 2" xfId="8086" xr:uid="{00000000-0005-0000-0000-0000F65F0000}"/>
    <cellStyle name="Normal 7 3 3 2 3 2 2 2" xfId="16534" xr:uid="{00000000-0005-0000-0000-0000F75F0000}"/>
    <cellStyle name="Normal 7 3 3 2 3 2 2 2 2" xfId="33474" xr:uid="{00000000-0005-0000-0000-0000F85F0000}"/>
    <cellStyle name="Normal 7 3 3 2 3 2 2 3" xfId="25026" xr:uid="{00000000-0005-0000-0000-0000F95F0000}"/>
    <cellStyle name="Normal 7 3 3 2 3 2 3" xfId="12310" xr:uid="{00000000-0005-0000-0000-0000FA5F0000}"/>
    <cellStyle name="Normal 7 3 3 2 3 2 3 2" xfId="29250" xr:uid="{00000000-0005-0000-0000-0000FB5F0000}"/>
    <cellStyle name="Normal 7 3 3 2 3 2 4" xfId="20802" xr:uid="{00000000-0005-0000-0000-0000FC5F0000}"/>
    <cellStyle name="Normal 7 3 3 2 3 3" xfId="5974" xr:uid="{00000000-0005-0000-0000-0000FD5F0000}"/>
    <cellStyle name="Normal 7 3 3 2 3 3 2" xfId="14422" xr:uid="{00000000-0005-0000-0000-0000FE5F0000}"/>
    <cellStyle name="Normal 7 3 3 2 3 3 2 2" xfId="31362" xr:uid="{00000000-0005-0000-0000-0000FF5F0000}"/>
    <cellStyle name="Normal 7 3 3 2 3 3 3" xfId="22914" xr:uid="{00000000-0005-0000-0000-000000600000}"/>
    <cellStyle name="Normal 7 3 3 2 3 4" xfId="10198" xr:uid="{00000000-0005-0000-0000-000001600000}"/>
    <cellStyle name="Normal 7 3 3 2 3 4 2" xfId="27138" xr:uid="{00000000-0005-0000-0000-000002600000}"/>
    <cellStyle name="Normal 7 3 3 2 3 5" xfId="18690" xr:uid="{00000000-0005-0000-0000-000003600000}"/>
    <cellStyle name="Normal 7 3 3 2 4" xfId="2804" xr:uid="{00000000-0005-0000-0000-000004600000}"/>
    <cellStyle name="Normal 7 3 3 2 4 2" xfId="7030" xr:uid="{00000000-0005-0000-0000-000005600000}"/>
    <cellStyle name="Normal 7 3 3 2 4 2 2" xfId="15478" xr:uid="{00000000-0005-0000-0000-000006600000}"/>
    <cellStyle name="Normal 7 3 3 2 4 2 2 2" xfId="32418" xr:uid="{00000000-0005-0000-0000-000007600000}"/>
    <cellStyle name="Normal 7 3 3 2 4 2 3" xfId="23970" xr:uid="{00000000-0005-0000-0000-000008600000}"/>
    <cellStyle name="Normal 7 3 3 2 4 3" xfId="11254" xr:uid="{00000000-0005-0000-0000-000009600000}"/>
    <cellStyle name="Normal 7 3 3 2 4 3 2" xfId="28194" xr:uid="{00000000-0005-0000-0000-00000A600000}"/>
    <cellStyle name="Normal 7 3 3 2 4 4" xfId="19746" xr:uid="{00000000-0005-0000-0000-00000B600000}"/>
    <cellStyle name="Normal 7 3 3 2 5" xfId="4918" xr:uid="{00000000-0005-0000-0000-00000C600000}"/>
    <cellStyle name="Normal 7 3 3 2 5 2" xfId="13366" xr:uid="{00000000-0005-0000-0000-00000D600000}"/>
    <cellStyle name="Normal 7 3 3 2 5 2 2" xfId="30306" xr:uid="{00000000-0005-0000-0000-00000E600000}"/>
    <cellStyle name="Normal 7 3 3 2 5 3" xfId="21858" xr:uid="{00000000-0005-0000-0000-00000F600000}"/>
    <cellStyle name="Normal 7 3 3 2 6" xfId="9142" xr:uid="{00000000-0005-0000-0000-000010600000}"/>
    <cellStyle name="Normal 7 3 3 2 6 2" xfId="26082" xr:uid="{00000000-0005-0000-0000-000011600000}"/>
    <cellStyle name="Normal 7 3 3 2 7" xfId="17634" xr:uid="{00000000-0005-0000-0000-000012600000}"/>
    <cellStyle name="Normal 7 3 3 3" xfId="862" xr:uid="{00000000-0005-0000-0000-000013600000}"/>
    <cellStyle name="Normal 7 3 3 3 2" xfId="1924" xr:uid="{00000000-0005-0000-0000-000014600000}"/>
    <cellStyle name="Normal 7 3 3 3 2 2" xfId="4036" xr:uid="{00000000-0005-0000-0000-000015600000}"/>
    <cellStyle name="Normal 7 3 3 3 2 2 2" xfId="8262" xr:uid="{00000000-0005-0000-0000-000016600000}"/>
    <cellStyle name="Normal 7 3 3 3 2 2 2 2" xfId="16710" xr:uid="{00000000-0005-0000-0000-000017600000}"/>
    <cellStyle name="Normal 7 3 3 3 2 2 2 2 2" xfId="33650" xr:uid="{00000000-0005-0000-0000-000018600000}"/>
    <cellStyle name="Normal 7 3 3 3 2 2 2 3" xfId="25202" xr:uid="{00000000-0005-0000-0000-000019600000}"/>
    <cellStyle name="Normal 7 3 3 3 2 2 3" xfId="12486" xr:uid="{00000000-0005-0000-0000-00001A600000}"/>
    <cellStyle name="Normal 7 3 3 3 2 2 3 2" xfId="29426" xr:uid="{00000000-0005-0000-0000-00001B600000}"/>
    <cellStyle name="Normal 7 3 3 3 2 2 4" xfId="20978" xr:uid="{00000000-0005-0000-0000-00001C600000}"/>
    <cellStyle name="Normal 7 3 3 3 2 3" xfId="6150" xr:uid="{00000000-0005-0000-0000-00001D600000}"/>
    <cellStyle name="Normal 7 3 3 3 2 3 2" xfId="14598" xr:uid="{00000000-0005-0000-0000-00001E600000}"/>
    <cellStyle name="Normal 7 3 3 3 2 3 2 2" xfId="31538" xr:uid="{00000000-0005-0000-0000-00001F600000}"/>
    <cellStyle name="Normal 7 3 3 3 2 3 3" xfId="23090" xr:uid="{00000000-0005-0000-0000-000020600000}"/>
    <cellStyle name="Normal 7 3 3 3 2 4" xfId="10374" xr:uid="{00000000-0005-0000-0000-000021600000}"/>
    <cellStyle name="Normal 7 3 3 3 2 4 2" xfId="27314" xr:uid="{00000000-0005-0000-0000-000022600000}"/>
    <cellStyle name="Normal 7 3 3 3 2 5" xfId="18866" xr:uid="{00000000-0005-0000-0000-000023600000}"/>
    <cellStyle name="Normal 7 3 3 3 3" xfId="2980" xr:uid="{00000000-0005-0000-0000-000024600000}"/>
    <cellStyle name="Normal 7 3 3 3 3 2" xfId="7206" xr:uid="{00000000-0005-0000-0000-000025600000}"/>
    <cellStyle name="Normal 7 3 3 3 3 2 2" xfId="15654" xr:uid="{00000000-0005-0000-0000-000026600000}"/>
    <cellStyle name="Normal 7 3 3 3 3 2 2 2" xfId="32594" xr:uid="{00000000-0005-0000-0000-000027600000}"/>
    <cellStyle name="Normal 7 3 3 3 3 2 3" xfId="24146" xr:uid="{00000000-0005-0000-0000-000028600000}"/>
    <cellStyle name="Normal 7 3 3 3 3 3" xfId="11430" xr:uid="{00000000-0005-0000-0000-000029600000}"/>
    <cellStyle name="Normal 7 3 3 3 3 3 2" xfId="28370" xr:uid="{00000000-0005-0000-0000-00002A600000}"/>
    <cellStyle name="Normal 7 3 3 3 3 4" xfId="19922" xr:uid="{00000000-0005-0000-0000-00002B600000}"/>
    <cellStyle name="Normal 7 3 3 3 4" xfId="5094" xr:uid="{00000000-0005-0000-0000-00002C600000}"/>
    <cellStyle name="Normal 7 3 3 3 4 2" xfId="13542" xr:uid="{00000000-0005-0000-0000-00002D600000}"/>
    <cellStyle name="Normal 7 3 3 3 4 2 2" xfId="30482" xr:uid="{00000000-0005-0000-0000-00002E600000}"/>
    <cellStyle name="Normal 7 3 3 3 4 3" xfId="22034" xr:uid="{00000000-0005-0000-0000-00002F600000}"/>
    <cellStyle name="Normal 7 3 3 3 5" xfId="9318" xr:uid="{00000000-0005-0000-0000-000030600000}"/>
    <cellStyle name="Normal 7 3 3 3 5 2" xfId="26258" xr:uid="{00000000-0005-0000-0000-000031600000}"/>
    <cellStyle name="Normal 7 3 3 3 6" xfId="17810" xr:uid="{00000000-0005-0000-0000-000032600000}"/>
    <cellStyle name="Normal 7 3 3 4" xfId="1214" xr:uid="{00000000-0005-0000-0000-000033600000}"/>
    <cellStyle name="Normal 7 3 3 4 2" xfId="2276" xr:uid="{00000000-0005-0000-0000-000034600000}"/>
    <cellStyle name="Normal 7 3 3 4 2 2" xfId="4388" xr:uid="{00000000-0005-0000-0000-000035600000}"/>
    <cellStyle name="Normal 7 3 3 4 2 2 2" xfId="8614" xr:uid="{00000000-0005-0000-0000-000036600000}"/>
    <cellStyle name="Normal 7 3 3 4 2 2 2 2" xfId="17062" xr:uid="{00000000-0005-0000-0000-000037600000}"/>
    <cellStyle name="Normal 7 3 3 4 2 2 2 2 2" xfId="34002" xr:uid="{00000000-0005-0000-0000-000038600000}"/>
    <cellStyle name="Normal 7 3 3 4 2 2 2 3" xfId="25554" xr:uid="{00000000-0005-0000-0000-000039600000}"/>
    <cellStyle name="Normal 7 3 3 4 2 2 3" xfId="12838" xr:uid="{00000000-0005-0000-0000-00003A600000}"/>
    <cellStyle name="Normal 7 3 3 4 2 2 3 2" xfId="29778" xr:uid="{00000000-0005-0000-0000-00003B600000}"/>
    <cellStyle name="Normal 7 3 3 4 2 2 4" xfId="21330" xr:uid="{00000000-0005-0000-0000-00003C600000}"/>
    <cellStyle name="Normal 7 3 3 4 2 3" xfId="6502" xr:uid="{00000000-0005-0000-0000-00003D600000}"/>
    <cellStyle name="Normal 7 3 3 4 2 3 2" xfId="14950" xr:uid="{00000000-0005-0000-0000-00003E600000}"/>
    <cellStyle name="Normal 7 3 3 4 2 3 2 2" xfId="31890" xr:uid="{00000000-0005-0000-0000-00003F600000}"/>
    <cellStyle name="Normal 7 3 3 4 2 3 3" xfId="23442" xr:uid="{00000000-0005-0000-0000-000040600000}"/>
    <cellStyle name="Normal 7 3 3 4 2 4" xfId="10726" xr:uid="{00000000-0005-0000-0000-000041600000}"/>
    <cellStyle name="Normal 7 3 3 4 2 4 2" xfId="27666" xr:uid="{00000000-0005-0000-0000-000042600000}"/>
    <cellStyle name="Normal 7 3 3 4 2 5" xfId="19218" xr:uid="{00000000-0005-0000-0000-000043600000}"/>
    <cellStyle name="Normal 7 3 3 4 3" xfId="3332" xr:uid="{00000000-0005-0000-0000-000044600000}"/>
    <cellStyle name="Normal 7 3 3 4 3 2" xfId="7558" xr:uid="{00000000-0005-0000-0000-000045600000}"/>
    <cellStyle name="Normal 7 3 3 4 3 2 2" xfId="16006" xr:uid="{00000000-0005-0000-0000-000046600000}"/>
    <cellStyle name="Normal 7 3 3 4 3 2 2 2" xfId="32946" xr:uid="{00000000-0005-0000-0000-000047600000}"/>
    <cellStyle name="Normal 7 3 3 4 3 2 3" xfId="24498" xr:uid="{00000000-0005-0000-0000-000048600000}"/>
    <cellStyle name="Normal 7 3 3 4 3 3" xfId="11782" xr:uid="{00000000-0005-0000-0000-000049600000}"/>
    <cellStyle name="Normal 7 3 3 4 3 3 2" xfId="28722" xr:uid="{00000000-0005-0000-0000-00004A600000}"/>
    <cellStyle name="Normal 7 3 3 4 3 4" xfId="20274" xr:uid="{00000000-0005-0000-0000-00004B600000}"/>
    <cellStyle name="Normal 7 3 3 4 4" xfId="5446" xr:uid="{00000000-0005-0000-0000-00004C600000}"/>
    <cellStyle name="Normal 7 3 3 4 4 2" xfId="13894" xr:uid="{00000000-0005-0000-0000-00004D600000}"/>
    <cellStyle name="Normal 7 3 3 4 4 2 2" xfId="30834" xr:uid="{00000000-0005-0000-0000-00004E600000}"/>
    <cellStyle name="Normal 7 3 3 4 4 3" xfId="22386" xr:uid="{00000000-0005-0000-0000-00004F600000}"/>
    <cellStyle name="Normal 7 3 3 4 5" xfId="9670" xr:uid="{00000000-0005-0000-0000-000050600000}"/>
    <cellStyle name="Normal 7 3 3 4 5 2" xfId="26610" xr:uid="{00000000-0005-0000-0000-000051600000}"/>
    <cellStyle name="Normal 7 3 3 4 6" xfId="18162" xr:uid="{00000000-0005-0000-0000-000052600000}"/>
    <cellStyle name="Normal 7 3 3 5" xfId="1396" xr:uid="{00000000-0005-0000-0000-000053600000}"/>
    <cellStyle name="Normal 7 3 3 5 2" xfId="2452" xr:uid="{00000000-0005-0000-0000-000054600000}"/>
    <cellStyle name="Normal 7 3 3 5 2 2" xfId="4564" xr:uid="{00000000-0005-0000-0000-000055600000}"/>
    <cellStyle name="Normal 7 3 3 5 2 2 2" xfId="8790" xr:uid="{00000000-0005-0000-0000-000056600000}"/>
    <cellStyle name="Normal 7 3 3 5 2 2 2 2" xfId="17238" xr:uid="{00000000-0005-0000-0000-000057600000}"/>
    <cellStyle name="Normal 7 3 3 5 2 2 2 2 2" xfId="34178" xr:uid="{00000000-0005-0000-0000-000058600000}"/>
    <cellStyle name="Normal 7 3 3 5 2 2 2 3" xfId="25730" xr:uid="{00000000-0005-0000-0000-000059600000}"/>
    <cellStyle name="Normal 7 3 3 5 2 2 3" xfId="13014" xr:uid="{00000000-0005-0000-0000-00005A600000}"/>
    <cellStyle name="Normal 7 3 3 5 2 2 3 2" xfId="29954" xr:uid="{00000000-0005-0000-0000-00005B600000}"/>
    <cellStyle name="Normal 7 3 3 5 2 2 4" xfId="21506" xr:uid="{00000000-0005-0000-0000-00005C600000}"/>
    <cellStyle name="Normal 7 3 3 5 2 3" xfId="6678" xr:uid="{00000000-0005-0000-0000-00005D600000}"/>
    <cellStyle name="Normal 7 3 3 5 2 3 2" xfId="15126" xr:uid="{00000000-0005-0000-0000-00005E600000}"/>
    <cellStyle name="Normal 7 3 3 5 2 3 2 2" xfId="32066" xr:uid="{00000000-0005-0000-0000-00005F600000}"/>
    <cellStyle name="Normal 7 3 3 5 2 3 3" xfId="23618" xr:uid="{00000000-0005-0000-0000-000060600000}"/>
    <cellStyle name="Normal 7 3 3 5 2 4" xfId="10902" xr:uid="{00000000-0005-0000-0000-000061600000}"/>
    <cellStyle name="Normal 7 3 3 5 2 4 2" xfId="27842" xr:uid="{00000000-0005-0000-0000-000062600000}"/>
    <cellStyle name="Normal 7 3 3 5 2 5" xfId="19394" xr:uid="{00000000-0005-0000-0000-000063600000}"/>
    <cellStyle name="Normal 7 3 3 5 3" xfId="3508" xr:uid="{00000000-0005-0000-0000-000064600000}"/>
    <cellStyle name="Normal 7 3 3 5 3 2" xfId="7734" xr:uid="{00000000-0005-0000-0000-000065600000}"/>
    <cellStyle name="Normal 7 3 3 5 3 2 2" xfId="16182" xr:uid="{00000000-0005-0000-0000-000066600000}"/>
    <cellStyle name="Normal 7 3 3 5 3 2 2 2" xfId="33122" xr:uid="{00000000-0005-0000-0000-000067600000}"/>
    <cellStyle name="Normal 7 3 3 5 3 2 3" xfId="24674" xr:uid="{00000000-0005-0000-0000-000068600000}"/>
    <cellStyle name="Normal 7 3 3 5 3 3" xfId="11958" xr:uid="{00000000-0005-0000-0000-000069600000}"/>
    <cellStyle name="Normal 7 3 3 5 3 3 2" xfId="28898" xr:uid="{00000000-0005-0000-0000-00006A600000}"/>
    <cellStyle name="Normal 7 3 3 5 3 4" xfId="20450" xr:uid="{00000000-0005-0000-0000-00006B600000}"/>
    <cellStyle name="Normal 7 3 3 5 4" xfId="5622" xr:uid="{00000000-0005-0000-0000-00006C600000}"/>
    <cellStyle name="Normal 7 3 3 5 4 2" xfId="14070" xr:uid="{00000000-0005-0000-0000-00006D600000}"/>
    <cellStyle name="Normal 7 3 3 5 4 2 2" xfId="31010" xr:uid="{00000000-0005-0000-0000-00006E600000}"/>
    <cellStyle name="Normal 7 3 3 5 4 3" xfId="22562" xr:uid="{00000000-0005-0000-0000-00006F600000}"/>
    <cellStyle name="Normal 7 3 3 5 5" xfId="9846" xr:uid="{00000000-0005-0000-0000-000070600000}"/>
    <cellStyle name="Normal 7 3 3 5 5 2" xfId="26786" xr:uid="{00000000-0005-0000-0000-000071600000}"/>
    <cellStyle name="Normal 7 3 3 5 6" xfId="18338" xr:uid="{00000000-0005-0000-0000-000072600000}"/>
    <cellStyle name="Normal 7 3 3 6" xfId="1572" xr:uid="{00000000-0005-0000-0000-000073600000}"/>
    <cellStyle name="Normal 7 3 3 6 2" xfId="3684" xr:uid="{00000000-0005-0000-0000-000074600000}"/>
    <cellStyle name="Normal 7 3 3 6 2 2" xfId="7910" xr:uid="{00000000-0005-0000-0000-000075600000}"/>
    <cellStyle name="Normal 7 3 3 6 2 2 2" xfId="16358" xr:uid="{00000000-0005-0000-0000-000076600000}"/>
    <cellStyle name="Normal 7 3 3 6 2 2 2 2" xfId="33298" xr:uid="{00000000-0005-0000-0000-000077600000}"/>
    <cellStyle name="Normal 7 3 3 6 2 2 3" xfId="24850" xr:uid="{00000000-0005-0000-0000-000078600000}"/>
    <cellStyle name="Normal 7 3 3 6 2 3" xfId="12134" xr:uid="{00000000-0005-0000-0000-000079600000}"/>
    <cellStyle name="Normal 7 3 3 6 2 3 2" xfId="29074" xr:uid="{00000000-0005-0000-0000-00007A600000}"/>
    <cellStyle name="Normal 7 3 3 6 2 4" xfId="20626" xr:uid="{00000000-0005-0000-0000-00007B600000}"/>
    <cellStyle name="Normal 7 3 3 6 3" xfId="5798" xr:uid="{00000000-0005-0000-0000-00007C600000}"/>
    <cellStyle name="Normal 7 3 3 6 3 2" xfId="14246" xr:uid="{00000000-0005-0000-0000-00007D600000}"/>
    <cellStyle name="Normal 7 3 3 6 3 2 2" xfId="31186" xr:uid="{00000000-0005-0000-0000-00007E600000}"/>
    <cellStyle name="Normal 7 3 3 6 3 3" xfId="22738" xr:uid="{00000000-0005-0000-0000-00007F600000}"/>
    <cellStyle name="Normal 7 3 3 6 4" xfId="10022" xr:uid="{00000000-0005-0000-0000-000080600000}"/>
    <cellStyle name="Normal 7 3 3 6 4 2" xfId="26962" xr:uid="{00000000-0005-0000-0000-000081600000}"/>
    <cellStyle name="Normal 7 3 3 6 5" xfId="18514" xr:uid="{00000000-0005-0000-0000-000082600000}"/>
    <cellStyle name="Normal 7 3 3 7" xfId="2628" xr:uid="{00000000-0005-0000-0000-000083600000}"/>
    <cellStyle name="Normal 7 3 3 7 2" xfId="6854" xr:uid="{00000000-0005-0000-0000-000084600000}"/>
    <cellStyle name="Normal 7 3 3 7 2 2" xfId="15302" xr:uid="{00000000-0005-0000-0000-000085600000}"/>
    <cellStyle name="Normal 7 3 3 7 2 2 2" xfId="32242" xr:uid="{00000000-0005-0000-0000-000086600000}"/>
    <cellStyle name="Normal 7 3 3 7 2 3" xfId="23794" xr:uid="{00000000-0005-0000-0000-000087600000}"/>
    <cellStyle name="Normal 7 3 3 7 3" xfId="11078" xr:uid="{00000000-0005-0000-0000-000088600000}"/>
    <cellStyle name="Normal 7 3 3 7 3 2" xfId="28018" xr:uid="{00000000-0005-0000-0000-000089600000}"/>
    <cellStyle name="Normal 7 3 3 7 4" xfId="19570" xr:uid="{00000000-0005-0000-0000-00008A600000}"/>
    <cellStyle name="Normal 7 3 3 8" xfId="4741" xr:uid="{00000000-0005-0000-0000-00008B600000}"/>
    <cellStyle name="Normal 7 3 3 8 2" xfId="13190" xr:uid="{00000000-0005-0000-0000-00008C600000}"/>
    <cellStyle name="Normal 7 3 3 8 2 2" xfId="30130" xr:uid="{00000000-0005-0000-0000-00008D600000}"/>
    <cellStyle name="Normal 7 3 3 8 3" xfId="21682" xr:uid="{00000000-0005-0000-0000-00008E600000}"/>
    <cellStyle name="Normal 7 3 3 9" xfId="8966" xr:uid="{00000000-0005-0000-0000-00008F600000}"/>
    <cellStyle name="Normal 7 3 3 9 2" xfId="25906" xr:uid="{00000000-0005-0000-0000-000090600000}"/>
    <cellStyle name="Normal 7 3 4" xfId="684" xr:uid="{00000000-0005-0000-0000-000091600000}"/>
    <cellStyle name="Normal 7 3 4 2" xfId="1036" xr:uid="{00000000-0005-0000-0000-000092600000}"/>
    <cellStyle name="Normal 7 3 4 2 2" xfId="2098" xr:uid="{00000000-0005-0000-0000-000093600000}"/>
    <cellStyle name="Normal 7 3 4 2 2 2" xfId="4210" xr:uid="{00000000-0005-0000-0000-000094600000}"/>
    <cellStyle name="Normal 7 3 4 2 2 2 2" xfId="8436" xr:uid="{00000000-0005-0000-0000-000095600000}"/>
    <cellStyle name="Normal 7 3 4 2 2 2 2 2" xfId="16884" xr:uid="{00000000-0005-0000-0000-000096600000}"/>
    <cellStyle name="Normal 7 3 4 2 2 2 2 2 2" xfId="33824" xr:uid="{00000000-0005-0000-0000-000097600000}"/>
    <cellStyle name="Normal 7 3 4 2 2 2 2 3" xfId="25376" xr:uid="{00000000-0005-0000-0000-000098600000}"/>
    <cellStyle name="Normal 7 3 4 2 2 2 3" xfId="12660" xr:uid="{00000000-0005-0000-0000-000099600000}"/>
    <cellStyle name="Normal 7 3 4 2 2 2 3 2" xfId="29600" xr:uid="{00000000-0005-0000-0000-00009A600000}"/>
    <cellStyle name="Normal 7 3 4 2 2 2 4" xfId="21152" xr:uid="{00000000-0005-0000-0000-00009B600000}"/>
    <cellStyle name="Normal 7 3 4 2 2 3" xfId="6324" xr:uid="{00000000-0005-0000-0000-00009C600000}"/>
    <cellStyle name="Normal 7 3 4 2 2 3 2" xfId="14772" xr:uid="{00000000-0005-0000-0000-00009D600000}"/>
    <cellStyle name="Normal 7 3 4 2 2 3 2 2" xfId="31712" xr:uid="{00000000-0005-0000-0000-00009E600000}"/>
    <cellStyle name="Normal 7 3 4 2 2 3 3" xfId="23264" xr:uid="{00000000-0005-0000-0000-00009F600000}"/>
    <cellStyle name="Normal 7 3 4 2 2 4" xfId="10548" xr:uid="{00000000-0005-0000-0000-0000A0600000}"/>
    <cellStyle name="Normal 7 3 4 2 2 4 2" xfId="27488" xr:uid="{00000000-0005-0000-0000-0000A1600000}"/>
    <cellStyle name="Normal 7 3 4 2 2 5" xfId="19040" xr:uid="{00000000-0005-0000-0000-0000A2600000}"/>
    <cellStyle name="Normal 7 3 4 2 3" xfId="3154" xr:uid="{00000000-0005-0000-0000-0000A3600000}"/>
    <cellStyle name="Normal 7 3 4 2 3 2" xfId="7380" xr:uid="{00000000-0005-0000-0000-0000A4600000}"/>
    <cellStyle name="Normal 7 3 4 2 3 2 2" xfId="15828" xr:uid="{00000000-0005-0000-0000-0000A5600000}"/>
    <cellStyle name="Normal 7 3 4 2 3 2 2 2" xfId="32768" xr:uid="{00000000-0005-0000-0000-0000A6600000}"/>
    <cellStyle name="Normal 7 3 4 2 3 2 3" xfId="24320" xr:uid="{00000000-0005-0000-0000-0000A7600000}"/>
    <cellStyle name="Normal 7 3 4 2 3 3" xfId="11604" xr:uid="{00000000-0005-0000-0000-0000A8600000}"/>
    <cellStyle name="Normal 7 3 4 2 3 3 2" xfId="28544" xr:uid="{00000000-0005-0000-0000-0000A9600000}"/>
    <cellStyle name="Normal 7 3 4 2 3 4" xfId="20096" xr:uid="{00000000-0005-0000-0000-0000AA600000}"/>
    <cellStyle name="Normal 7 3 4 2 4" xfId="5268" xr:uid="{00000000-0005-0000-0000-0000AB600000}"/>
    <cellStyle name="Normal 7 3 4 2 4 2" xfId="13716" xr:uid="{00000000-0005-0000-0000-0000AC600000}"/>
    <cellStyle name="Normal 7 3 4 2 4 2 2" xfId="30656" xr:uid="{00000000-0005-0000-0000-0000AD600000}"/>
    <cellStyle name="Normal 7 3 4 2 4 3" xfId="22208" xr:uid="{00000000-0005-0000-0000-0000AE600000}"/>
    <cellStyle name="Normal 7 3 4 2 5" xfId="9492" xr:uid="{00000000-0005-0000-0000-0000AF600000}"/>
    <cellStyle name="Normal 7 3 4 2 5 2" xfId="26432" xr:uid="{00000000-0005-0000-0000-0000B0600000}"/>
    <cellStyle name="Normal 7 3 4 2 6" xfId="17984" xr:uid="{00000000-0005-0000-0000-0000B1600000}"/>
    <cellStyle name="Normal 7 3 4 3" xfId="1746" xr:uid="{00000000-0005-0000-0000-0000B2600000}"/>
    <cellStyle name="Normal 7 3 4 3 2" xfId="3858" xr:uid="{00000000-0005-0000-0000-0000B3600000}"/>
    <cellStyle name="Normal 7 3 4 3 2 2" xfId="8084" xr:uid="{00000000-0005-0000-0000-0000B4600000}"/>
    <cellStyle name="Normal 7 3 4 3 2 2 2" xfId="16532" xr:uid="{00000000-0005-0000-0000-0000B5600000}"/>
    <cellStyle name="Normal 7 3 4 3 2 2 2 2" xfId="33472" xr:uid="{00000000-0005-0000-0000-0000B6600000}"/>
    <cellStyle name="Normal 7 3 4 3 2 2 3" xfId="25024" xr:uid="{00000000-0005-0000-0000-0000B7600000}"/>
    <cellStyle name="Normal 7 3 4 3 2 3" xfId="12308" xr:uid="{00000000-0005-0000-0000-0000B8600000}"/>
    <cellStyle name="Normal 7 3 4 3 2 3 2" xfId="29248" xr:uid="{00000000-0005-0000-0000-0000B9600000}"/>
    <cellStyle name="Normal 7 3 4 3 2 4" xfId="20800" xr:uid="{00000000-0005-0000-0000-0000BA600000}"/>
    <cellStyle name="Normal 7 3 4 3 3" xfId="5972" xr:uid="{00000000-0005-0000-0000-0000BB600000}"/>
    <cellStyle name="Normal 7 3 4 3 3 2" xfId="14420" xr:uid="{00000000-0005-0000-0000-0000BC600000}"/>
    <cellStyle name="Normal 7 3 4 3 3 2 2" xfId="31360" xr:uid="{00000000-0005-0000-0000-0000BD600000}"/>
    <cellStyle name="Normal 7 3 4 3 3 3" xfId="22912" xr:uid="{00000000-0005-0000-0000-0000BE600000}"/>
    <cellStyle name="Normal 7 3 4 3 4" xfId="10196" xr:uid="{00000000-0005-0000-0000-0000BF600000}"/>
    <cellStyle name="Normal 7 3 4 3 4 2" xfId="27136" xr:uid="{00000000-0005-0000-0000-0000C0600000}"/>
    <cellStyle name="Normal 7 3 4 3 5" xfId="18688" xr:uid="{00000000-0005-0000-0000-0000C1600000}"/>
    <cellStyle name="Normal 7 3 4 4" xfId="2802" xr:uid="{00000000-0005-0000-0000-0000C2600000}"/>
    <cellStyle name="Normal 7 3 4 4 2" xfId="7028" xr:uid="{00000000-0005-0000-0000-0000C3600000}"/>
    <cellStyle name="Normal 7 3 4 4 2 2" xfId="15476" xr:uid="{00000000-0005-0000-0000-0000C4600000}"/>
    <cellStyle name="Normal 7 3 4 4 2 2 2" xfId="32416" xr:uid="{00000000-0005-0000-0000-0000C5600000}"/>
    <cellStyle name="Normal 7 3 4 4 2 3" xfId="23968" xr:uid="{00000000-0005-0000-0000-0000C6600000}"/>
    <cellStyle name="Normal 7 3 4 4 3" xfId="11252" xr:uid="{00000000-0005-0000-0000-0000C7600000}"/>
    <cellStyle name="Normal 7 3 4 4 3 2" xfId="28192" xr:uid="{00000000-0005-0000-0000-0000C8600000}"/>
    <cellStyle name="Normal 7 3 4 4 4" xfId="19744" xr:uid="{00000000-0005-0000-0000-0000C9600000}"/>
    <cellStyle name="Normal 7 3 4 5" xfId="4916" xr:uid="{00000000-0005-0000-0000-0000CA600000}"/>
    <cellStyle name="Normal 7 3 4 5 2" xfId="13364" xr:uid="{00000000-0005-0000-0000-0000CB600000}"/>
    <cellStyle name="Normal 7 3 4 5 2 2" xfId="30304" xr:uid="{00000000-0005-0000-0000-0000CC600000}"/>
    <cellStyle name="Normal 7 3 4 5 3" xfId="21856" xr:uid="{00000000-0005-0000-0000-0000CD600000}"/>
    <cellStyle name="Normal 7 3 4 6" xfId="9140" xr:uid="{00000000-0005-0000-0000-0000CE600000}"/>
    <cellStyle name="Normal 7 3 4 6 2" xfId="26080" xr:uid="{00000000-0005-0000-0000-0000CF600000}"/>
    <cellStyle name="Normal 7 3 4 7" xfId="17632" xr:uid="{00000000-0005-0000-0000-0000D0600000}"/>
    <cellStyle name="Normal 7 3 5" xfId="860" xr:uid="{00000000-0005-0000-0000-0000D1600000}"/>
    <cellStyle name="Normal 7 3 5 2" xfId="1922" xr:uid="{00000000-0005-0000-0000-0000D2600000}"/>
    <cellStyle name="Normal 7 3 5 2 2" xfId="4034" xr:uid="{00000000-0005-0000-0000-0000D3600000}"/>
    <cellStyle name="Normal 7 3 5 2 2 2" xfId="8260" xr:uid="{00000000-0005-0000-0000-0000D4600000}"/>
    <cellStyle name="Normal 7 3 5 2 2 2 2" xfId="16708" xr:uid="{00000000-0005-0000-0000-0000D5600000}"/>
    <cellStyle name="Normal 7 3 5 2 2 2 2 2" xfId="33648" xr:uid="{00000000-0005-0000-0000-0000D6600000}"/>
    <cellStyle name="Normal 7 3 5 2 2 2 3" xfId="25200" xr:uid="{00000000-0005-0000-0000-0000D7600000}"/>
    <cellStyle name="Normal 7 3 5 2 2 3" xfId="12484" xr:uid="{00000000-0005-0000-0000-0000D8600000}"/>
    <cellStyle name="Normal 7 3 5 2 2 3 2" xfId="29424" xr:uid="{00000000-0005-0000-0000-0000D9600000}"/>
    <cellStyle name="Normal 7 3 5 2 2 4" xfId="20976" xr:uid="{00000000-0005-0000-0000-0000DA600000}"/>
    <cellStyle name="Normal 7 3 5 2 3" xfId="6148" xr:uid="{00000000-0005-0000-0000-0000DB600000}"/>
    <cellStyle name="Normal 7 3 5 2 3 2" xfId="14596" xr:uid="{00000000-0005-0000-0000-0000DC600000}"/>
    <cellStyle name="Normal 7 3 5 2 3 2 2" xfId="31536" xr:uid="{00000000-0005-0000-0000-0000DD600000}"/>
    <cellStyle name="Normal 7 3 5 2 3 3" xfId="23088" xr:uid="{00000000-0005-0000-0000-0000DE600000}"/>
    <cellStyle name="Normal 7 3 5 2 4" xfId="10372" xr:uid="{00000000-0005-0000-0000-0000DF600000}"/>
    <cellStyle name="Normal 7 3 5 2 4 2" xfId="27312" xr:uid="{00000000-0005-0000-0000-0000E0600000}"/>
    <cellStyle name="Normal 7 3 5 2 5" xfId="18864" xr:uid="{00000000-0005-0000-0000-0000E1600000}"/>
    <cellStyle name="Normal 7 3 5 3" xfId="2978" xr:uid="{00000000-0005-0000-0000-0000E2600000}"/>
    <cellStyle name="Normal 7 3 5 3 2" xfId="7204" xr:uid="{00000000-0005-0000-0000-0000E3600000}"/>
    <cellStyle name="Normal 7 3 5 3 2 2" xfId="15652" xr:uid="{00000000-0005-0000-0000-0000E4600000}"/>
    <cellStyle name="Normal 7 3 5 3 2 2 2" xfId="32592" xr:uid="{00000000-0005-0000-0000-0000E5600000}"/>
    <cellStyle name="Normal 7 3 5 3 2 3" xfId="24144" xr:uid="{00000000-0005-0000-0000-0000E6600000}"/>
    <cellStyle name="Normal 7 3 5 3 3" xfId="11428" xr:uid="{00000000-0005-0000-0000-0000E7600000}"/>
    <cellStyle name="Normal 7 3 5 3 3 2" xfId="28368" xr:uid="{00000000-0005-0000-0000-0000E8600000}"/>
    <cellStyle name="Normal 7 3 5 3 4" xfId="19920" xr:uid="{00000000-0005-0000-0000-0000E9600000}"/>
    <cellStyle name="Normal 7 3 5 4" xfId="5092" xr:uid="{00000000-0005-0000-0000-0000EA600000}"/>
    <cellStyle name="Normal 7 3 5 4 2" xfId="13540" xr:uid="{00000000-0005-0000-0000-0000EB600000}"/>
    <cellStyle name="Normal 7 3 5 4 2 2" xfId="30480" xr:uid="{00000000-0005-0000-0000-0000EC600000}"/>
    <cellStyle name="Normal 7 3 5 4 3" xfId="22032" xr:uid="{00000000-0005-0000-0000-0000ED600000}"/>
    <cellStyle name="Normal 7 3 5 5" xfId="9316" xr:uid="{00000000-0005-0000-0000-0000EE600000}"/>
    <cellStyle name="Normal 7 3 5 5 2" xfId="26256" xr:uid="{00000000-0005-0000-0000-0000EF600000}"/>
    <cellStyle name="Normal 7 3 5 6" xfId="17808" xr:uid="{00000000-0005-0000-0000-0000F0600000}"/>
    <cellStyle name="Normal 7 3 6" xfId="1212" xr:uid="{00000000-0005-0000-0000-0000F1600000}"/>
    <cellStyle name="Normal 7 3 6 2" xfId="2274" xr:uid="{00000000-0005-0000-0000-0000F2600000}"/>
    <cellStyle name="Normal 7 3 6 2 2" xfId="4386" xr:uid="{00000000-0005-0000-0000-0000F3600000}"/>
    <cellStyle name="Normal 7 3 6 2 2 2" xfId="8612" xr:uid="{00000000-0005-0000-0000-0000F4600000}"/>
    <cellStyle name="Normal 7 3 6 2 2 2 2" xfId="17060" xr:uid="{00000000-0005-0000-0000-0000F5600000}"/>
    <cellStyle name="Normal 7 3 6 2 2 2 2 2" xfId="34000" xr:uid="{00000000-0005-0000-0000-0000F6600000}"/>
    <cellStyle name="Normal 7 3 6 2 2 2 3" xfId="25552" xr:uid="{00000000-0005-0000-0000-0000F7600000}"/>
    <cellStyle name="Normal 7 3 6 2 2 3" xfId="12836" xr:uid="{00000000-0005-0000-0000-0000F8600000}"/>
    <cellStyle name="Normal 7 3 6 2 2 3 2" xfId="29776" xr:uid="{00000000-0005-0000-0000-0000F9600000}"/>
    <cellStyle name="Normal 7 3 6 2 2 4" xfId="21328" xr:uid="{00000000-0005-0000-0000-0000FA600000}"/>
    <cellStyle name="Normal 7 3 6 2 3" xfId="6500" xr:uid="{00000000-0005-0000-0000-0000FB600000}"/>
    <cellStyle name="Normal 7 3 6 2 3 2" xfId="14948" xr:uid="{00000000-0005-0000-0000-0000FC600000}"/>
    <cellStyle name="Normal 7 3 6 2 3 2 2" xfId="31888" xr:uid="{00000000-0005-0000-0000-0000FD600000}"/>
    <cellStyle name="Normal 7 3 6 2 3 3" xfId="23440" xr:uid="{00000000-0005-0000-0000-0000FE600000}"/>
    <cellStyle name="Normal 7 3 6 2 4" xfId="10724" xr:uid="{00000000-0005-0000-0000-0000FF600000}"/>
    <cellStyle name="Normal 7 3 6 2 4 2" xfId="27664" xr:uid="{00000000-0005-0000-0000-000000610000}"/>
    <cellStyle name="Normal 7 3 6 2 5" xfId="19216" xr:uid="{00000000-0005-0000-0000-000001610000}"/>
    <cellStyle name="Normal 7 3 6 3" xfId="3330" xr:uid="{00000000-0005-0000-0000-000002610000}"/>
    <cellStyle name="Normal 7 3 6 3 2" xfId="7556" xr:uid="{00000000-0005-0000-0000-000003610000}"/>
    <cellStyle name="Normal 7 3 6 3 2 2" xfId="16004" xr:uid="{00000000-0005-0000-0000-000004610000}"/>
    <cellStyle name="Normal 7 3 6 3 2 2 2" xfId="32944" xr:uid="{00000000-0005-0000-0000-000005610000}"/>
    <cellStyle name="Normal 7 3 6 3 2 3" xfId="24496" xr:uid="{00000000-0005-0000-0000-000006610000}"/>
    <cellStyle name="Normal 7 3 6 3 3" xfId="11780" xr:uid="{00000000-0005-0000-0000-000007610000}"/>
    <cellStyle name="Normal 7 3 6 3 3 2" xfId="28720" xr:uid="{00000000-0005-0000-0000-000008610000}"/>
    <cellStyle name="Normal 7 3 6 3 4" xfId="20272" xr:uid="{00000000-0005-0000-0000-000009610000}"/>
    <cellStyle name="Normal 7 3 6 4" xfId="5444" xr:uid="{00000000-0005-0000-0000-00000A610000}"/>
    <cellStyle name="Normal 7 3 6 4 2" xfId="13892" xr:uid="{00000000-0005-0000-0000-00000B610000}"/>
    <cellStyle name="Normal 7 3 6 4 2 2" xfId="30832" xr:uid="{00000000-0005-0000-0000-00000C610000}"/>
    <cellStyle name="Normal 7 3 6 4 3" xfId="22384" xr:uid="{00000000-0005-0000-0000-00000D610000}"/>
    <cellStyle name="Normal 7 3 6 5" xfId="9668" xr:uid="{00000000-0005-0000-0000-00000E610000}"/>
    <cellStyle name="Normal 7 3 6 5 2" xfId="26608" xr:uid="{00000000-0005-0000-0000-00000F610000}"/>
    <cellStyle name="Normal 7 3 6 6" xfId="18160" xr:uid="{00000000-0005-0000-0000-000010610000}"/>
    <cellStyle name="Normal 7 3 7" xfId="1394" xr:uid="{00000000-0005-0000-0000-000011610000}"/>
    <cellStyle name="Normal 7 3 7 2" xfId="2450" xr:uid="{00000000-0005-0000-0000-000012610000}"/>
    <cellStyle name="Normal 7 3 7 2 2" xfId="4562" xr:uid="{00000000-0005-0000-0000-000013610000}"/>
    <cellStyle name="Normal 7 3 7 2 2 2" xfId="8788" xr:uid="{00000000-0005-0000-0000-000014610000}"/>
    <cellStyle name="Normal 7 3 7 2 2 2 2" xfId="17236" xr:uid="{00000000-0005-0000-0000-000015610000}"/>
    <cellStyle name="Normal 7 3 7 2 2 2 2 2" xfId="34176" xr:uid="{00000000-0005-0000-0000-000016610000}"/>
    <cellStyle name="Normal 7 3 7 2 2 2 3" xfId="25728" xr:uid="{00000000-0005-0000-0000-000017610000}"/>
    <cellStyle name="Normal 7 3 7 2 2 3" xfId="13012" xr:uid="{00000000-0005-0000-0000-000018610000}"/>
    <cellStyle name="Normal 7 3 7 2 2 3 2" xfId="29952" xr:uid="{00000000-0005-0000-0000-000019610000}"/>
    <cellStyle name="Normal 7 3 7 2 2 4" xfId="21504" xr:uid="{00000000-0005-0000-0000-00001A610000}"/>
    <cellStyle name="Normal 7 3 7 2 3" xfId="6676" xr:uid="{00000000-0005-0000-0000-00001B610000}"/>
    <cellStyle name="Normal 7 3 7 2 3 2" xfId="15124" xr:uid="{00000000-0005-0000-0000-00001C610000}"/>
    <cellStyle name="Normal 7 3 7 2 3 2 2" xfId="32064" xr:uid="{00000000-0005-0000-0000-00001D610000}"/>
    <cellStyle name="Normal 7 3 7 2 3 3" xfId="23616" xr:uid="{00000000-0005-0000-0000-00001E610000}"/>
    <cellStyle name="Normal 7 3 7 2 4" xfId="10900" xr:uid="{00000000-0005-0000-0000-00001F610000}"/>
    <cellStyle name="Normal 7 3 7 2 4 2" xfId="27840" xr:uid="{00000000-0005-0000-0000-000020610000}"/>
    <cellStyle name="Normal 7 3 7 2 5" xfId="19392" xr:uid="{00000000-0005-0000-0000-000021610000}"/>
    <cellStyle name="Normal 7 3 7 3" xfId="3506" xr:uid="{00000000-0005-0000-0000-000022610000}"/>
    <cellStyle name="Normal 7 3 7 3 2" xfId="7732" xr:uid="{00000000-0005-0000-0000-000023610000}"/>
    <cellStyle name="Normal 7 3 7 3 2 2" xfId="16180" xr:uid="{00000000-0005-0000-0000-000024610000}"/>
    <cellStyle name="Normal 7 3 7 3 2 2 2" xfId="33120" xr:uid="{00000000-0005-0000-0000-000025610000}"/>
    <cellStyle name="Normal 7 3 7 3 2 3" xfId="24672" xr:uid="{00000000-0005-0000-0000-000026610000}"/>
    <cellStyle name="Normal 7 3 7 3 3" xfId="11956" xr:uid="{00000000-0005-0000-0000-000027610000}"/>
    <cellStyle name="Normal 7 3 7 3 3 2" xfId="28896" xr:uid="{00000000-0005-0000-0000-000028610000}"/>
    <cellStyle name="Normal 7 3 7 3 4" xfId="20448" xr:uid="{00000000-0005-0000-0000-000029610000}"/>
    <cellStyle name="Normal 7 3 7 4" xfId="5620" xr:uid="{00000000-0005-0000-0000-00002A610000}"/>
    <cellStyle name="Normal 7 3 7 4 2" xfId="14068" xr:uid="{00000000-0005-0000-0000-00002B610000}"/>
    <cellStyle name="Normal 7 3 7 4 2 2" xfId="31008" xr:uid="{00000000-0005-0000-0000-00002C610000}"/>
    <cellStyle name="Normal 7 3 7 4 3" xfId="22560" xr:uid="{00000000-0005-0000-0000-00002D610000}"/>
    <cellStyle name="Normal 7 3 7 5" xfId="9844" xr:uid="{00000000-0005-0000-0000-00002E610000}"/>
    <cellStyle name="Normal 7 3 7 5 2" xfId="26784" xr:uid="{00000000-0005-0000-0000-00002F610000}"/>
    <cellStyle name="Normal 7 3 7 6" xfId="18336" xr:uid="{00000000-0005-0000-0000-000030610000}"/>
    <cellStyle name="Normal 7 3 8" xfId="1570" xr:uid="{00000000-0005-0000-0000-000031610000}"/>
    <cellStyle name="Normal 7 3 8 2" xfId="3682" xr:uid="{00000000-0005-0000-0000-000032610000}"/>
    <cellStyle name="Normal 7 3 8 2 2" xfId="7908" xr:uid="{00000000-0005-0000-0000-000033610000}"/>
    <cellStyle name="Normal 7 3 8 2 2 2" xfId="16356" xr:uid="{00000000-0005-0000-0000-000034610000}"/>
    <cellStyle name="Normal 7 3 8 2 2 2 2" xfId="33296" xr:uid="{00000000-0005-0000-0000-000035610000}"/>
    <cellStyle name="Normal 7 3 8 2 2 3" xfId="24848" xr:uid="{00000000-0005-0000-0000-000036610000}"/>
    <cellStyle name="Normal 7 3 8 2 3" xfId="12132" xr:uid="{00000000-0005-0000-0000-000037610000}"/>
    <cellStyle name="Normal 7 3 8 2 3 2" xfId="29072" xr:uid="{00000000-0005-0000-0000-000038610000}"/>
    <cellStyle name="Normal 7 3 8 2 4" xfId="20624" xr:uid="{00000000-0005-0000-0000-000039610000}"/>
    <cellStyle name="Normal 7 3 8 3" xfId="5796" xr:uid="{00000000-0005-0000-0000-00003A610000}"/>
    <cellStyle name="Normal 7 3 8 3 2" xfId="14244" xr:uid="{00000000-0005-0000-0000-00003B610000}"/>
    <cellStyle name="Normal 7 3 8 3 2 2" xfId="31184" xr:uid="{00000000-0005-0000-0000-00003C610000}"/>
    <cellStyle name="Normal 7 3 8 3 3" xfId="22736" xr:uid="{00000000-0005-0000-0000-00003D610000}"/>
    <cellStyle name="Normal 7 3 8 4" xfId="10020" xr:uid="{00000000-0005-0000-0000-00003E610000}"/>
    <cellStyle name="Normal 7 3 8 4 2" xfId="26960" xr:uid="{00000000-0005-0000-0000-00003F610000}"/>
    <cellStyle name="Normal 7 3 8 5" xfId="18512" xr:uid="{00000000-0005-0000-0000-000040610000}"/>
    <cellStyle name="Normal 7 3 9" xfId="2626" xr:uid="{00000000-0005-0000-0000-000041610000}"/>
    <cellStyle name="Normal 7 3 9 2" xfId="6852" xr:uid="{00000000-0005-0000-0000-000042610000}"/>
    <cellStyle name="Normal 7 3 9 2 2" xfId="15300" xr:uid="{00000000-0005-0000-0000-000043610000}"/>
    <cellStyle name="Normal 7 3 9 2 2 2" xfId="32240" xr:uid="{00000000-0005-0000-0000-000044610000}"/>
    <cellStyle name="Normal 7 3 9 2 3" xfId="23792" xr:uid="{00000000-0005-0000-0000-000045610000}"/>
    <cellStyle name="Normal 7 3 9 3" xfId="11076" xr:uid="{00000000-0005-0000-0000-000046610000}"/>
    <cellStyle name="Normal 7 3 9 3 2" xfId="28016" xr:uid="{00000000-0005-0000-0000-000047610000}"/>
    <cellStyle name="Normal 7 3 9 4" xfId="19568" xr:uid="{00000000-0005-0000-0000-000048610000}"/>
    <cellStyle name="Normal 8" xfId="395" xr:uid="{00000000-0005-0000-0000-000049610000}"/>
    <cellStyle name="Normal 8 10" xfId="1397" xr:uid="{00000000-0005-0000-0000-00004A610000}"/>
    <cellStyle name="Normal 8 10 2" xfId="2453" xr:uid="{00000000-0005-0000-0000-00004B610000}"/>
    <cellStyle name="Normal 8 10 2 2" xfId="4565" xr:uid="{00000000-0005-0000-0000-00004C610000}"/>
    <cellStyle name="Normal 8 10 2 2 2" xfId="8791" xr:uid="{00000000-0005-0000-0000-00004D610000}"/>
    <cellStyle name="Normal 8 10 2 2 2 2" xfId="17239" xr:uid="{00000000-0005-0000-0000-00004E610000}"/>
    <cellStyle name="Normal 8 10 2 2 2 2 2" xfId="34179" xr:uid="{00000000-0005-0000-0000-00004F610000}"/>
    <cellStyle name="Normal 8 10 2 2 2 3" xfId="25731" xr:uid="{00000000-0005-0000-0000-000050610000}"/>
    <cellStyle name="Normal 8 10 2 2 3" xfId="13015" xr:uid="{00000000-0005-0000-0000-000051610000}"/>
    <cellStyle name="Normal 8 10 2 2 3 2" xfId="29955" xr:uid="{00000000-0005-0000-0000-000052610000}"/>
    <cellStyle name="Normal 8 10 2 2 4" xfId="21507" xr:uid="{00000000-0005-0000-0000-000053610000}"/>
    <cellStyle name="Normal 8 10 2 3" xfId="6679" xr:uid="{00000000-0005-0000-0000-000054610000}"/>
    <cellStyle name="Normal 8 10 2 3 2" xfId="15127" xr:uid="{00000000-0005-0000-0000-000055610000}"/>
    <cellStyle name="Normal 8 10 2 3 2 2" xfId="32067" xr:uid="{00000000-0005-0000-0000-000056610000}"/>
    <cellStyle name="Normal 8 10 2 3 3" xfId="23619" xr:uid="{00000000-0005-0000-0000-000057610000}"/>
    <cellStyle name="Normal 8 10 2 4" xfId="10903" xr:uid="{00000000-0005-0000-0000-000058610000}"/>
    <cellStyle name="Normal 8 10 2 4 2" xfId="27843" xr:uid="{00000000-0005-0000-0000-000059610000}"/>
    <cellStyle name="Normal 8 10 2 5" xfId="19395" xr:uid="{00000000-0005-0000-0000-00005A610000}"/>
    <cellStyle name="Normal 8 10 3" xfId="3509" xr:uid="{00000000-0005-0000-0000-00005B610000}"/>
    <cellStyle name="Normal 8 10 3 2" xfId="7735" xr:uid="{00000000-0005-0000-0000-00005C610000}"/>
    <cellStyle name="Normal 8 10 3 2 2" xfId="16183" xr:uid="{00000000-0005-0000-0000-00005D610000}"/>
    <cellStyle name="Normal 8 10 3 2 2 2" xfId="33123" xr:uid="{00000000-0005-0000-0000-00005E610000}"/>
    <cellStyle name="Normal 8 10 3 2 3" xfId="24675" xr:uid="{00000000-0005-0000-0000-00005F610000}"/>
    <cellStyle name="Normal 8 10 3 3" xfId="11959" xr:uid="{00000000-0005-0000-0000-000060610000}"/>
    <cellStyle name="Normal 8 10 3 3 2" xfId="28899" xr:uid="{00000000-0005-0000-0000-000061610000}"/>
    <cellStyle name="Normal 8 10 3 4" xfId="20451" xr:uid="{00000000-0005-0000-0000-000062610000}"/>
    <cellStyle name="Normal 8 10 4" xfId="5623" xr:uid="{00000000-0005-0000-0000-000063610000}"/>
    <cellStyle name="Normal 8 10 4 2" xfId="14071" xr:uid="{00000000-0005-0000-0000-000064610000}"/>
    <cellStyle name="Normal 8 10 4 2 2" xfId="31011" xr:uid="{00000000-0005-0000-0000-000065610000}"/>
    <cellStyle name="Normal 8 10 4 3" xfId="22563" xr:uid="{00000000-0005-0000-0000-000066610000}"/>
    <cellStyle name="Normal 8 10 5" xfId="9847" xr:uid="{00000000-0005-0000-0000-000067610000}"/>
    <cellStyle name="Normal 8 10 5 2" xfId="26787" xr:uid="{00000000-0005-0000-0000-000068610000}"/>
    <cellStyle name="Normal 8 10 6" xfId="18339" xr:uid="{00000000-0005-0000-0000-000069610000}"/>
    <cellStyle name="Normal 8 11" xfId="1573" xr:uid="{00000000-0005-0000-0000-00006A610000}"/>
    <cellStyle name="Normal 8 11 2" xfId="3685" xr:uid="{00000000-0005-0000-0000-00006B610000}"/>
    <cellStyle name="Normal 8 11 2 2" xfId="7911" xr:uid="{00000000-0005-0000-0000-00006C610000}"/>
    <cellStyle name="Normal 8 11 2 2 2" xfId="16359" xr:uid="{00000000-0005-0000-0000-00006D610000}"/>
    <cellStyle name="Normal 8 11 2 2 2 2" xfId="33299" xr:uid="{00000000-0005-0000-0000-00006E610000}"/>
    <cellStyle name="Normal 8 11 2 2 3" xfId="24851" xr:uid="{00000000-0005-0000-0000-00006F610000}"/>
    <cellStyle name="Normal 8 11 2 3" xfId="12135" xr:uid="{00000000-0005-0000-0000-000070610000}"/>
    <cellStyle name="Normal 8 11 2 3 2" xfId="29075" xr:uid="{00000000-0005-0000-0000-000071610000}"/>
    <cellStyle name="Normal 8 11 2 4" xfId="20627" xr:uid="{00000000-0005-0000-0000-000072610000}"/>
    <cellStyle name="Normal 8 11 3" xfId="5799" xr:uid="{00000000-0005-0000-0000-000073610000}"/>
    <cellStyle name="Normal 8 11 3 2" xfId="14247" xr:uid="{00000000-0005-0000-0000-000074610000}"/>
    <cellStyle name="Normal 8 11 3 2 2" xfId="31187" xr:uid="{00000000-0005-0000-0000-000075610000}"/>
    <cellStyle name="Normal 8 11 3 3" xfId="22739" xr:uid="{00000000-0005-0000-0000-000076610000}"/>
    <cellStyle name="Normal 8 11 4" xfId="10023" xr:uid="{00000000-0005-0000-0000-000077610000}"/>
    <cellStyle name="Normal 8 11 4 2" xfId="26963" xr:uid="{00000000-0005-0000-0000-000078610000}"/>
    <cellStyle name="Normal 8 11 5" xfId="18515" xr:uid="{00000000-0005-0000-0000-000079610000}"/>
    <cellStyle name="Normal 8 12" xfId="2629" xr:uid="{00000000-0005-0000-0000-00007A610000}"/>
    <cellStyle name="Normal 8 12 2" xfId="6855" xr:uid="{00000000-0005-0000-0000-00007B610000}"/>
    <cellStyle name="Normal 8 12 2 2" xfId="15303" xr:uid="{00000000-0005-0000-0000-00007C610000}"/>
    <cellStyle name="Normal 8 12 2 2 2" xfId="32243" xr:uid="{00000000-0005-0000-0000-00007D610000}"/>
    <cellStyle name="Normal 8 12 2 3" xfId="23795" xr:uid="{00000000-0005-0000-0000-00007E610000}"/>
    <cellStyle name="Normal 8 12 3" xfId="11079" xr:uid="{00000000-0005-0000-0000-00007F610000}"/>
    <cellStyle name="Normal 8 12 3 2" xfId="28019" xr:uid="{00000000-0005-0000-0000-000080610000}"/>
    <cellStyle name="Normal 8 12 4" xfId="19571" xr:uid="{00000000-0005-0000-0000-000081610000}"/>
    <cellStyle name="Normal 8 13" xfId="4742" xr:uid="{00000000-0005-0000-0000-000082610000}"/>
    <cellStyle name="Normal 8 13 2" xfId="13191" xr:uid="{00000000-0005-0000-0000-000083610000}"/>
    <cellStyle name="Normal 8 13 2 2" xfId="30131" xr:uid="{00000000-0005-0000-0000-000084610000}"/>
    <cellStyle name="Normal 8 13 3" xfId="21683" xr:uid="{00000000-0005-0000-0000-000085610000}"/>
    <cellStyle name="Normal 8 14" xfId="8967" xr:uid="{00000000-0005-0000-0000-000086610000}"/>
    <cellStyle name="Normal 8 14 2" xfId="25907" xr:uid="{00000000-0005-0000-0000-000087610000}"/>
    <cellStyle name="Normal 8 15" xfId="17459" xr:uid="{00000000-0005-0000-0000-000088610000}"/>
    <cellStyle name="Normal 8 2" xfId="396" xr:uid="{00000000-0005-0000-0000-000089610000}"/>
    <cellStyle name="Normal 8 2 10" xfId="4743" xr:uid="{00000000-0005-0000-0000-00008A610000}"/>
    <cellStyle name="Normal 8 2 10 2" xfId="13192" xr:uid="{00000000-0005-0000-0000-00008B610000}"/>
    <cellStyle name="Normal 8 2 10 2 2" xfId="30132" xr:uid="{00000000-0005-0000-0000-00008C610000}"/>
    <cellStyle name="Normal 8 2 10 3" xfId="21684" xr:uid="{00000000-0005-0000-0000-00008D610000}"/>
    <cellStyle name="Normal 8 2 11" xfId="8968" xr:uid="{00000000-0005-0000-0000-00008E610000}"/>
    <cellStyle name="Normal 8 2 11 2" xfId="25908" xr:uid="{00000000-0005-0000-0000-00008F610000}"/>
    <cellStyle name="Normal 8 2 12" xfId="17460" xr:uid="{00000000-0005-0000-0000-000090610000}"/>
    <cellStyle name="Normal 8 2 2" xfId="397" xr:uid="{00000000-0005-0000-0000-000091610000}"/>
    <cellStyle name="Normal 8 2 2 10" xfId="17461" xr:uid="{00000000-0005-0000-0000-000092610000}"/>
    <cellStyle name="Normal 8 2 2 2" xfId="689" xr:uid="{00000000-0005-0000-0000-000093610000}"/>
    <cellStyle name="Normal 8 2 2 2 2" xfId="1041" xr:uid="{00000000-0005-0000-0000-000094610000}"/>
    <cellStyle name="Normal 8 2 2 2 2 2" xfId="2103" xr:uid="{00000000-0005-0000-0000-000095610000}"/>
    <cellStyle name="Normal 8 2 2 2 2 2 2" xfId="4215" xr:uid="{00000000-0005-0000-0000-000096610000}"/>
    <cellStyle name="Normal 8 2 2 2 2 2 2 2" xfId="8441" xr:uid="{00000000-0005-0000-0000-000097610000}"/>
    <cellStyle name="Normal 8 2 2 2 2 2 2 2 2" xfId="16889" xr:uid="{00000000-0005-0000-0000-000098610000}"/>
    <cellStyle name="Normal 8 2 2 2 2 2 2 2 2 2" xfId="33829" xr:uid="{00000000-0005-0000-0000-000099610000}"/>
    <cellStyle name="Normal 8 2 2 2 2 2 2 2 3" xfId="25381" xr:uid="{00000000-0005-0000-0000-00009A610000}"/>
    <cellStyle name="Normal 8 2 2 2 2 2 2 3" xfId="12665" xr:uid="{00000000-0005-0000-0000-00009B610000}"/>
    <cellStyle name="Normal 8 2 2 2 2 2 2 3 2" xfId="29605" xr:uid="{00000000-0005-0000-0000-00009C610000}"/>
    <cellStyle name="Normal 8 2 2 2 2 2 2 4" xfId="21157" xr:uid="{00000000-0005-0000-0000-00009D610000}"/>
    <cellStyle name="Normal 8 2 2 2 2 2 3" xfId="6329" xr:uid="{00000000-0005-0000-0000-00009E610000}"/>
    <cellStyle name="Normal 8 2 2 2 2 2 3 2" xfId="14777" xr:uid="{00000000-0005-0000-0000-00009F610000}"/>
    <cellStyle name="Normal 8 2 2 2 2 2 3 2 2" xfId="31717" xr:uid="{00000000-0005-0000-0000-0000A0610000}"/>
    <cellStyle name="Normal 8 2 2 2 2 2 3 3" xfId="23269" xr:uid="{00000000-0005-0000-0000-0000A1610000}"/>
    <cellStyle name="Normal 8 2 2 2 2 2 4" xfId="10553" xr:uid="{00000000-0005-0000-0000-0000A2610000}"/>
    <cellStyle name="Normal 8 2 2 2 2 2 4 2" xfId="27493" xr:uid="{00000000-0005-0000-0000-0000A3610000}"/>
    <cellStyle name="Normal 8 2 2 2 2 2 5" xfId="19045" xr:uid="{00000000-0005-0000-0000-0000A4610000}"/>
    <cellStyle name="Normal 8 2 2 2 2 3" xfId="3159" xr:uid="{00000000-0005-0000-0000-0000A5610000}"/>
    <cellStyle name="Normal 8 2 2 2 2 3 2" xfId="7385" xr:uid="{00000000-0005-0000-0000-0000A6610000}"/>
    <cellStyle name="Normal 8 2 2 2 2 3 2 2" xfId="15833" xr:uid="{00000000-0005-0000-0000-0000A7610000}"/>
    <cellStyle name="Normal 8 2 2 2 2 3 2 2 2" xfId="32773" xr:uid="{00000000-0005-0000-0000-0000A8610000}"/>
    <cellStyle name="Normal 8 2 2 2 2 3 2 3" xfId="24325" xr:uid="{00000000-0005-0000-0000-0000A9610000}"/>
    <cellStyle name="Normal 8 2 2 2 2 3 3" xfId="11609" xr:uid="{00000000-0005-0000-0000-0000AA610000}"/>
    <cellStyle name="Normal 8 2 2 2 2 3 3 2" xfId="28549" xr:uid="{00000000-0005-0000-0000-0000AB610000}"/>
    <cellStyle name="Normal 8 2 2 2 2 3 4" xfId="20101" xr:uid="{00000000-0005-0000-0000-0000AC610000}"/>
    <cellStyle name="Normal 8 2 2 2 2 4" xfId="5273" xr:uid="{00000000-0005-0000-0000-0000AD610000}"/>
    <cellStyle name="Normal 8 2 2 2 2 4 2" xfId="13721" xr:uid="{00000000-0005-0000-0000-0000AE610000}"/>
    <cellStyle name="Normal 8 2 2 2 2 4 2 2" xfId="30661" xr:uid="{00000000-0005-0000-0000-0000AF610000}"/>
    <cellStyle name="Normal 8 2 2 2 2 4 3" xfId="22213" xr:uid="{00000000-0005-0000-0000-0000B0610000}"/>
    <cellStyle name="Normal 8 2 2 2 2 5" xfId="9497" xr:uid="{00000000-0005-0000-0000-0000B1610000}"/>
    <cellStyle name="Normal 8 2 2 2 2 5 2" xfId="26437" xr:uid="{00000000-0005-0000-0000-0000B2610000}"/>
    <cellStyle name="Normal 8 2 2 2 2 6" xfId="17989" xr:uid="{00000000-0005-0000-0000-0000B3610000}"/>
    <cellStyle name="Normal 8 2 2 2 3" xfId="1751" xr:uid="{00000000-0005-0000-0000-0000B4610000}"/>
    <cellStyle name="Normal 8 2 2 2 3 2" xfId="3863" xr:uid="{00000000-0005-0000-0000-0000B5610000}"/>
    <cellStyle name="Normal 8 2 2 2 3 2 2" xfId="8089" xr:uid="{00000000-0005-0000-0000-0000B6610000}"/>
    <cellStyle name="Normal 8 2 2 2 3 2 2 2" xfId="16537" xr:uid="{00000000-0005-0000-0000-0000B7610000}"/>
    <cellStyle name="Normal 8 2 2 2 3 2 2 2 2" xfId="33477" xr:uid="{00000000-0005-0000-0000-0000B8610000}"/>
    <cellStyle name="Normal 8 2 2 2 3 2 2 3" xfId="25029" xr:uid="{00000000-0005-0000-0000-0000B9610000}"/>
    <cellStyle name="Normal 8 2 2 2 3 2 3" xfId="12313" xr:uid="{00000000-0005-0000-0000-0000BA610000}"/>
    <cellStyle name="Normal 8 2 2 2 3 2 3 2" xfId="29253" xr:uid="{00000000-0005-0000-0000-0000BB610000}"/>
    <cellStyle name="Normal 8 2 2 2 3 2 4" xfId="20805" xr:uid="{00000000-0005-0000-0000-0000BC610000}"/>
    <cellStyle name="Normal 8 2 2 2 3 3" xfId="5977" xr:uid="{00000000-0005-0000-0000-0000BD610000}"/>
    <cellStyle name="Normal 8 2 2 2 3 3 2" xfId="14425" xr:uid="{00000000-0005-0000-0000-0000BE610000}"/>
    <cellStyle name="Normal 8 2 2 2 3 3 2 2" xfId="31365" xr:uid="{00000000-0005-0000-0000-0000BF610000}"/>
    <cellStyle name="Normal 8 2 2 2 3 3 3" xfId="22917" xr:uid="{00000000-0005-0000-0000-0000C0610000}"/>
    <cellStyle name="Normal 8 2 2 2 3 4" xfId="10201" xr:uid="{00000000-0005-0000-0000-0000C1610000}"/>
    <cellStyle name="Normal 8 2 2 2 3 4 2" xfId="27141" xr:uid="{00000000-0005-0000-0000-0000C2610000}"/>
    <cellStyle name="Normal 8 2 2 2 3 5" xfId="18693" xr:uid="{00000000-0005-0000-0000-0000C3610000}"/>
    <cellStyle name="Normal 8 2 2 2 4" xfId="2807" xr:uid="{00000000-0005-0000-0000-0000C4610000}"/>
    <cellStyle name="Normal 8 2 2 2 4 2" xfId="7033" xr:uid="{00000000-0005-0000-0000-0000C5610000}"/>
    <cellStyle name="Normal 8 2 2 2 4 2 2" xfId="15481" xr:uid="{00000000-0005-0000-0000-0000C6610000}"/>
    <cellStyle name="Normal 8 2 2 2 4 2 2 2" xfId="32421" xr:uid="{00000000-0005-0000-0000-0000C7610000}"/>
    <cellStyle name="Normal 8 2 2 2 4 2 3" xfId="23973" xr:uid="{00000000-0005-0000-0000-0000C8610000}"/>
    <cellStyle name="Normal 8 2 2 2 4 3" xfId="11257" xr:uid="{00000000-0005-0000-0000-0000C9610000}"/>
    <cellStyle name="Normal 8 2 2 2 4 3 2" xfId="28197" xr:uid="{00000000-0005-0000-0000-0000CA610000}"/>
    <cellStyle name="Normal 8 2 2 2 4 4" xfId="19749" xr:uid="{00000000-0005-0000-0000-0000CB610000}"/>
    <cellStyle name="Normal 8 2 2 2 5" xfId="4921" xr:uid="{00000000-0005-0000-0000-0000CC610000}"/>
    <cellStyle name="Normal 8 2 2 2 5 2" xfId="13369" xr:uid="{00000000-0005-0000-0000-0000CD610000}"/>
    <cellStyle name="Normal 8 2 2 2 5 2 2" xfId="30309" xr:uid="{00000000-0005-0000-0000-0000CE610000}"/>
    <cellStyle name="Normal 8 2 2 2 5 3" xfId="21861" xr:uid="{00000000-0005-0000-0000-0000CF610000}"/>
    <cellStyle name="Normal 8 2 2 2 6" xfId="9145" xr:uid="{00000000-0005-0000-0000-0000D0610000}"/>
    <cellStyle name="Normal 8 2 2 2 6 2" xfId="26085" xr:uid="{00000000-0005-0000-0000-0000D1610000}"/>
    <cellStyle name="Normal 8 2 2 2 7" xfId="17637" xr:uid="{00000000-0005-0000-0000-0000D2610000}"/>
    <cellStyle name="Normal 8 2 2 3" xfId="865" xr:uid="{00000000-0005-0000-0000-0000D3610000}"/>
    <cellStyle name="Normal 8 2 2 3 2" xfId="1927" xr:uid="{00000000-0005-0000-0000-0000D4610000}"/>
    <cellStyle name="Normal 8 2 2 3 2 2" xfId="4039" xr:uid="{00000000-0005-0000-0000-0000D5610000}"/>
    <cellStyle name="Normal 8 2 2 3 2 2 2" xfId="8265" xr:uid="{00000000-0005-0000-0000-0000D6610000}"/>
    <cellStyle name="Normal 8 2 2 3 2 2 2 2" xfId="16713" xr:uid="{00000000-0005-0000-0000-0000D7610000}"/>
    <cellStyle name="Normal 8 2 2 3 2 2 2 2 2" xfId="33653" xr:uid="{00000000-0005-0000-0000-0000D8610000}"/>
    <cellStyle name="Normal 8 2 2 3 2 2 2 3" xfId="25205" xr:uid="{00000000-0005-0000-0000-0000D9610000}"/>
    <cellStyle name="Normal 8 2 2 3 2 2 3" xfId="12489" xr:uid="{00000000-0005-0000-0000-0000DA610000}"/>
    <cellStyle name="Normal 8 2 2 3 2 2 3 2" xfId="29429" xr:uid="{00000000-0005-0000-0000-0000DB610000}"/>
    <cellStyle name="Normal 8 2 2 3 2 2 4" xfId="20981" xr:uid="{00000000-0005-0000-0000-0000DC610000}"/>
    <cellStyle name="Normal 8 2 2 3 2 3" xfId="6153" xr:uid="{00000000-0005-0000-0000-0000DD610000}"/>
    <cellStyle name="Normal 8 2 2 3 2 3 2" xfId="14601" xr:uid="{00000000-0005-0000-0000-0000DE610000}"/>
    <cellStyle name="Normal 8 2 2 3 2 3 2 2" xfId="31541" xr:uid="{00000000-0005-0000-0000-0000DF610000}"/>
    <cellStyle name="Normal 8 2 2 3 2 3 3" xfId="23093" xr:uid="{00000000-0005-0000-0000-0000E0610000}"/>
    <cellStyle name="Normal 8 2 2 3 2 4" xfId="10377" xr:uid="{00000000-0005-0000-0000-0000E1610000}"/>
    <cellStyle name="Normal 8 2 2 3 2 4 2" xfId="27317" xr:uid="{00000000-0005-0000-0000-0000E2610000}"/>
    <cellStyle name="Normal 8 2 2 3 2 5" xfId="18869" xr:uid="{00000000-0005-0000-0000-0000E3610000}"/>
    <cellStyle name="Normal 8 2 2 3 3" xfId="2983" xr:uid="{00000000-0005-0000-0000-0000E4610000}"/>
    <cellStyle name="Normal 8 2 2 3 3 2" xfId="7209" xr:uid="{00000000-0005-0000-0000-0000E5610000}"/>
    <cellStyle name="Normal 8 2 2 3 3 2 2" xfId="15657" xr:uid="{00000000-0005-0000-0000-0000E6610000}"/>
    <cellStyle name="Normal 8 2 2 3 3 2 2 2" xfId="32597" xr:uid="{00000000-0005-0000-0000-0000E7610000}"/>
    <cellStyle name="Normal 8 2 2 3 3 2 3" xfId="24149" xr:uid="{00000000-0005-0000-0000-0000E8610000}"/>
    <cellStyle name="Normal 8 2 2 3 3 3" xfId="11433" xr:uid="{00000000-0005-0000-0000-0000E9610000}"/>
    <cellStyle name="Normal 8 2 2 3 3 3 2" xfId="28373" xr:uid="{00000000-0005-0000-0000-0000EA610000}"/>
    <cellStyle name="Normal 8 2 2 3 3 4" xfId="19925" xr:uid="{00000000-0005-0000-0000-0000EB610000}"/>
    <cellStyle name="Normal 8 2 2 3 4" xfId="5097" xr:uid="{00000000-0005-0000-0000-0000EC610000}"/>
    <cellStyle name="Normal 8 2 2 3 4 2" xfId="13545" xr:uid="{00000000-0005-0000-0000-0000ED610000}"/>
    <cellStyle name="Normal 8 2 2 3 4 2 2" xfId="30485" xr:uid="{00000000-0005-0000-0000-0000EE610000}"/>
    <cellStyle name="Normal 8 2 2 3 4 3" xfId="22037" xr:uid="{00000000-0005-0000-0000-0000EF610000}"/>
    <cellStyle name="Normal 8 2 2 3 5" xfId="9321" xr:uid="{00000000-0005-0000-0000-0000F0610000}"/>
    <cellStyle name="Normal 8 2 2 3 5 2" xfId="26261" xr:uid="{00000000-0005-0000-0000-0000F1610000}"/>
    <cellStyle name="Normal 8 2 2 3 6" xfId="17813" xr:uid="{00000000-0005-0000-0000-0000F2610000}"/>
    <cellStyle name="Normal 8 2 2 4" xfId="1217" xr:uid="{00000000-0005-0000-0000-0000F3610000}"/>
    <cellStyle name="Normal 8 2 2 4 2" xfId="2279" xr:uid="{00000000-0005-0000-0000-0000F4610000}"/>
    <cellStyle name="Normal 8 2 2 4 2 2" xfId="4391" xr:uid="{00000000-0005-0000-0000-0000F5610000}"/>
    <cellStyle name="Normal 8 2 2 4 2 2 2" xfId="8617" xr:uid="{00000000-0005-0000-0000-0000F6610000}"/>
    <cellStyle name="Normal 8 2 2 4 2 2 2 2" xfId="17065" xr:uid="{00000000-0005-0000-0000-0000F7610000}"/>
    <cellStyle name="Normal 8 2 2 4 2 2 2 2 2" xfId="34005" xr:uid="{00000000-0005-0000-0000-0000F8610000}"/>
    <cellStyle name="Normal 8 2 2 4 2 2 2 3" xfId="25557" xr:uid="{00000000-0005-0000-0000-0000F9610000}"/>
    <cellStyle name="Normal 8 2 2 4 2 2 3" xfId="12841" xr:uid="{00000000-0005-0000-0000-0000FA610000}"/>
    <cellStyle name="Normal 8 2 2 4 2 2 3 2" xfId="29781" xr:uid="{00000000-0005-0000-0000-0000FB610000}"/>
    <cellStyle name="Normal 8 2 2 4 2 2 4" xfId="21333" xr:uid="{00000000-0005-0000-0000-0000FC610000}"/>
    <cellStyle name="Normal 8 2 2 4 2 3" xfId="6505" xr:uid="{00000000-0005-0000-0000-0000FD610000}"/>
    <cellStyle name="Normal 8 2 2 4 2 3 2" xfId="14953" xr:uid="{00000000-0005-0000-0000-0000FE610000}"/>
    <cellStyle name="Normal 8 2 2 4 2 3 2 2" xfId="31893" xr:uid="{00000000-0005-0000-0000-0000FF610000}"/>
    <cellStyle name="Normal 8 2 2 4 2 3 3" xfId="23445" xr:uid="{00000000-0005-0000-0000-000000620000}"/>
    <cellStyle name="Normal 8 2 2 4 2 4" xfId="10729" xr:uid="{00000000-0005-0000-0000-000001620000}"/>
    <cellStyle name="Normal 8 2 2 4 2 4 2" xfId="27669" xr:uid="{00000000-0005-0000-0000-000002620000}"/>
    <cellStyle name="Normal 8 2 2 4 2 5" xfId="19221" xr:uid="{00000000-0005-0000-0000-000003620000}"/>
    <cellStyle name="Normal 8 2 2 4 3" xfId="3335" xr:uid="{00000000-0005-0000-0000-000004620000}"/>
    <cellStyle name="Normal 8 2 2 4 3 2" xfId="7561" xr:uid="{00000000-0005-0000-0000-000005620000}"/>
    <cellStyle name="Normal 8 2 2 4 3 2 2" xfId="16009" xr:uid="{00000000-0005-0000-0000-000006620000}"/>
    <cellStyle name="Normal 8 2 2 4 3 2 2 2" xfId="32949" xr:uid="{00000000-0005-0000-0000-000007620000}"/>
    <cellStyle name="Normal 8 2 2 4 3 2 3" xfId="24501" xr:uid="{00000000-0005-0000-0000-000008620000}"/>
    <cellStyle name="Normal 8 2 2 4 3 3" xfId="11785" xr:uid="{00000000-0005-0000-0000-000009620000}"/>
    <cellStyle name="Normal 8 2 2 4 3 3 2" xfId="28725" xr:uid="{00000000-0005-0000-0000-00000A620000}"/>
    <cellStyle name="Normal 8 2 2 4 3 4" xfId="20277" xr:uid="{00000000-0005-0000-0000-00000B620000}"/>
    <cellStyle name="Normal 8 2 2 4 4" xfId="5449" xr:uid="{00000000-0005-0000-0000-00000C620000}"/>
    <cellStyle name="Normal 8 2 2 4 4 2" xfId="13897" xr:uid="{00000000-0005-0000-0000-00000D620000}"/>
    <cellStyle name="Normal 8 2 2 4 4 2 2" xfId="30837" xr:uid="{00000000-0005-0000-0000-00000E620000}"/>
    <cellStyle name="Normal 8 2 2 4 4 3" xfId="22389" xr:uid="{00000000-0005-0000-0000-00000F620000}"/>
    <cellStyle name="Normal 8 2 2 4 5" xfId="9673" xr:uid="{00000000-0005-0000-0000-000010620000}"/>
    <cellStyle name="Normal 8 2 2 4 5 2" xfId="26613" xr:uid="{00000000-0005-0000-0000-000011620000}"/>
    <cellStyle name="Normal 8 2 2 4 6" xfId="18165" xr:uid="{00000000-0005-0000-0000-000012620000}"/>
    <cellStyle name="Normal 8 2 2 5" xfId="1399" xr:uid="{00000000-0005-0000-0000-000013620000}"/>
    <cellStyle name="Normal 8 2 2 5 2" xfId="2455" xr:uid="{00000000-0005-0000-0000-000014620000}"/>
    <cellStyle name="Normal 8 2 2 5 2 2" xfId="4567" xr:uid="{00000000-0005-0000-0000-000015620000}"/>
    <cellStyle name="Normal 8 2 2 5 2 2 2" xfId="8793" xr:uid="{00000000-0005-0000-0000-000016620000}"/>
    <cellStyle name="Normal 8 2 2 5 2 2 2 2" xfId="17241" xr:uid="{00000000-0005-0000-0000-000017620000}"/>
    <cellStyle name="Normal 8 2 2 5 2 2 2 2 2" xfId="34181" xr:uid="{00000000-0005-0000-0000-000018620000}"/>
    <cellStyle name="Normal 8 2 2 5 2 2 2 3" xfId="25733" xr:uid="{00000000-0005-0000-0000-000019620000}"/>
    <cellStyle name="Normal 8 2 2 5 2 2 3" xfId="13017" xr:uid="{00000000-0005-0000-0000-00001A620000}"/>
    <cellStyle name="Normal 8 2 2 5 2 2 3 2" xfId="29957" xr:uid="{00000000-0005-0000-0000-00001B620000}"/>
    <cellStyle name="Normal 8 2 2 5 2 2 4" xfId="21509" xr:uid="{00000000-0005-0000-0000-00001C620000}"/>
    <cellStyle name="Normal 8 2 2 5 2 3" xfId="6681" xr:uid="{00000000-0005-0000-0000-00001D620000}"/>
    <cellStyle name="Normal 8 2 2 5 2 3 2" xfId="15129" xr:uid="{00000000-0005-0000-0000-00001E620000}"/>
    <cellStyle name="Normal 8 2 2 5 2 3 2 2" xfId="32069" xr:uid="{00000000-0005-0000-0000-00001F620000}"/>
    <cellStyle name="Normal 8 2 2 5 2 3 3" xfId="23621" xr:uid="{00000000-0005-0000-0000-000020620000}"/>
    <cellStyle name="Normal 8 2 2 5 2 4" xfId="10905" xr:uid="{00000000-0005-0000-0000-000021620000}"/>
    <cellStyle name="Normal 8 2 2 5 2 4 2" xfId="27845" xr:uid="{00000000-0005-0000-0000-000022620000}"/>
    <cellStyle name="Normal 8 2 2 5 2 5" xfId="19397" xr:uid="{00000000-0005-0000-0000-000023620000}"/>
    <cellStyle name="Normal 8 2 2 5 3" xfId="3511" xr:uid="{00000000-0005-0000-0000-000024620000}"/>
    <cellStyle name="Normal 8 2 2 5 3 2" xfId="7737" xr:uid="{00000000-0005-0000-0000-000025620000}"/>
    <cellStyle name="Normal 8 2 2 5 3 2 2" xfId="16185" xr:uid="{00000000-0005-0000-0000-000026620000}"/>
    <cellStyle name="Normal 8 2 2 5 3 2 2 2" xfId="33125" xr:uid="{00000000-0005-0000-0000-000027620000}"/>
    <cellStyle name="Normal 8 2 2 5 3 2 3" xfId="24677" xr:uid="{00000000-0005-0000-0000-000028620000}"/>
    <cellStyle name="Normal 8 2 2 5 3 3" xfId="11961" xr:uid="{00000000-0005-0000-0000-000029620000}"/>
    <cellStyle name="Normal 8 2 2 5 3 3 2" xfId="28901" xr:uid="{00000000-0005-0000-0000-00002A620000}"/>
    <cellStyle name="Normal 8 2 2 5 3 4" xfId="20453" xr:uid="{00000000-0005-0000-0000-00002B620000}"/>
    <cellStyle name="Normal 8 2 2 5 4" xfId="5625" xr:uid="{00000000-0005-0000-0000-00002C620000}"/>
    <cellStyle name="Normal 8 2 2 5 4 2" xfId="14073" xr:uid="{00000000-0005-0000-0000-00002D620000}"/>
    <cellStyle name="Normal 8 2 2 5 4 2 2" xfId="31013" xr:uid="{00000000-0005-0000-0000-00002E620000}"/>
    <cellStyle name="Normal 8 2 2 5 4 3" xfId="22565" xr:uid="{00000000-0005-0000-0000-00002F620000}"/>
    <cellStyle name="Normal 8 2 2 5 5" xfId="9849" xr:uid="{00000000-0005-0000-0000-000030620000}"/>
    <cellStyle name="Normal 8 2 2 5 5 2" xfId="26789" xr:uid="{00000000-0005-0000-0000-000031620000}"/>
    <cellStyle name="Normal 8 2 2 5 6" xfId="18341" xr:uid="{00000000-0005-0000-0000-000032620000}"/>
    <cellStyle name="Normal 8 2 2 6" xfId="1575" xr:uid="{00000000-0005-0000-0000-000033620000}"/>
    <cellStyle name="Normal 8 2 2 6 2" xfId="3687" xr:uid="{00000000-0005-0000-0000-000034620000}"/>
    <cellStyle name="Normal 8 2 2 6 2 2" xfId="7913" xr:uid="{00000000-0005-0000-0000-000035620000}"/>
    <cellStyle name="Normal 8 2 2 6 2 2 2" xfId="16361" xr:uid="{00000000-0005-0000-0000-000036620000}"/>
    <cellStyle name="Normal 8 2 2 6 2 2 2 2" xfId="33301" xr:uid="{00000000-0005-0000-0000-000037620000}"/>
    <cellStyle name="Normal 8 2 2 6 2 2 3" xfId="24853" xr:uid="{00000000-0005-0000-0000-000038620000}"/>
    <cellStyle name="Normal 8 2 2 6 2 3" xfId="12137" xr:uid="{00000000-0005-0000-0000-000039620000}"/>
    <cellStyle name="Normal 8 2 2 6 2 3 2" xfId="29077" xr:uid="{00000000-0005-0000-0000-00003A620000}"/>
    <cellStyle name="Normal 8 2 2 6 2 4" xfId="20629" xr:uid="{00000000-0005-0000-0000-00003B620000}"/>
    <cellStyle name="Normal 8 2 2 6 3" xfId="5801" xr:uid="{00000000-0005-0000-0000-00003C620000}"/>
    <cellStyle name="Normal 8 2 2 6 3 2" xfId="14249" xr:uid="{00000000-0005-0000-0000-00003D620000}"/>
    <cellStyle name="Normal 8 2 2 6 3 2 2" xfId="31189" xr:uid="{00000000-0005-0000-0000-00003E620000}"/>
    <cellStyle name="Normal 8 2 2 6 3 3" xfId="22741" xr:uid="{00000000-0005-0000-0000-00003F620000}"/>
    <cellStyle name="Normal 8 2 2 6 4" xfId="10025" xr:uid="{00000000-0005-0000-0000-000040620000}"/>
    <cellStyle name="Normal 8 2 2 6 4 2" xfId="26965" xr:uid="{00000000-0005-0000-0000-000041620000}"/>
    <cellStyle name="Normal 8 2 2 6 5" xfId="18517" xr:uid="{00000000-0005-0000-0000-000042620000}"/>
    <cellStyle name="Normal 8 2 2 7" xfId="2631" xr:uid="{00000000-0005-0000-0000-000043620000}"/>
    <cellStyle name="Normal 8 2 2 7 2" xfId="6857" xr:uid="{00000000-0005-0000-0000-000044620000}"/>
    <cellStyle name="Normal 8 2 2 7 2 2" xfId="15305" xr:uid="{00000000-0005-0000-0000-000045620000}"/>
    <cellStyle name="Normal 8 2 2 7 2 2 2" xfId="32245" xr:uid="{00000000-0005-0000-0000-000046620000}"/>
    <cellStyle name="Normal 8 2 2 7 2 3" xfId="23797" xr:uid="{00000000-0005-0000-0000-000047620000}"/>
    <cellStyle name="Normal 8 2 2 7 3" xfId="11081" xr:uid="{00000000-0005-0000-0000-000048620000}"/>
    <cellStyle name="Normal 8 2 2 7 3 2" xfId="28021" xr:uid="{00000000-0005-0000-0000-000049620000}"/>
    <cellStyle name="Normal 8 2 2 7 4" xfId="19573" xr:uid="{00000000-0005-0000-0000-00004A620000}"/>
    <cellStyle name="Normal 8 2 2 8" xfId="4744" xr:uid="{00000000-0005-0000-0000-00004B620000}"/>
    <cellStyle name="Normal 8 2 2 8 2" xfId="13193" xr:uid="{00000000-0005-0000-0000-00004C620000}"/>
    <cellStyle name="Normal 8 2 2 8 2 2" xfId="30133" xr:uid="{00000000-0005-0000-0000-00004D620000}"/>
    <cellStyle name="Normal 8 2 2 8 3" xfId="21685" xr:uid="{00000000-0005-0000-0000-00004E620000}"/>
    <cellStyle name="Normal 8 2 2 9" xfId="8969" xr:uid="{00000000-0005-0000-0000-00004F620000}"/>
    <cellStyle name="Normal 8 2 2 9 2" xfId="25909" xr:uid="{00000000-0005-0000-0000-000050620000}"/>
    <cellStyle name="Normal 8 2 3" xfId="398" xr:uid="{00000000-0005-0000-0000-000051620000}"/>
    <cellStyle name="Normal 8 2 3 10" xfId="17462" xr:uid="{00000000-0005-0000-0000-000052620000}"/>
    <cellStyle name="Normal 8 2 3 2" xfId="690" xr:uid="{00000000-0005-0000-0000-000053620000}"/>
    <cellStyle name="Normal 8 2 3 2 2" xfId="1042" xr:uid="{00000000-0005-0000-0000-000054620000}"/>
    <cellStyle name="Normal 8 2 3 2 2 2" xfId="2104" xr:uid="{00000000-0005-0000-0000-000055620000}"/>
    <cellStyle name="Normal 8 2 3 2 2 2 2" xfId="4216" xr:uid="{00000000-0005-0000-0000-000056620000}"/>
    <cellStyle name="Normal 8 2 3 2 2 2 2 2" xfId="8442" xr:uid="{00000000-0005-0000-0000-000057620000}"/>
    <cellStyle name="Normal 8 2 3 2 2 2 2 2 2" xfId="16890" xr:uid="{00000000-0005-0000-0000-000058620000}"/>
    <cellStyle name="Normal 8 2 3 2 2 2 2 2 2 2" xfId="33830" xr:uid="{00000000-0005-0000-0000-000059620000}"/>
    <cellStyle name="Normal 8 2 3 2 2 2 2 2 3" xfId="25382" xr:uid="{00000000-0005-0000-0000-00005A620000}"/>
    <cellStyle name="Normal 8 2 3 2 2 2 2 3" xfId="12666" xr:uid="{00000000-0005-0000-0000-00005B620000}"/>
    <cellStyle name="Normal 8 2 3 2 2 2 2 3 2" xfId="29606" xr:uid="{00000000-0005-0000-0000-00005C620000}"/>
    <cellStyle name="Normal 8 2 3 2 2 2 2 4" xfId="21158" xr:uid="{00000000-0005-0000-0000-00005D620000}"/>
    <cellStyle name="Normal 8 2 3 2 2 2 3" xfId="6330" xr:uid="{00000000-0005-0000-0000-00005E620000}"/>
    <cellStyle name="Normal 8 2 3 2 2 2 3 2" xfId="14778" xr:uid="{00000000-0005-0000-0000-00005F620000}"/>
    <cellStyle name="Normal 8 2 3 2 2 2 3 2 2" xfId="31718" xr:uid="{00000000-0005-0000-0000-000060620000}"/>
    <cellStyle name="Normal 8 2 3 2 2 2 3 3" xfId="23270" xr:uid="{00000000-0005-0000-0000-000061620000}"/>
    <cellStyle name="Normal 8 2 3 2 2 2 4" xfId="10554" xr:uid="{00000000-0005-0000-0000-000062620000}"/>
    <cellStyle name="Normal 8 2 3 2 2 2 4 2" xfId="27494" xr:uid="{00000000-0005-0000-0000-000063620000}"/>
    <cellStyle name="Normal 8 2 3 2 2 2 5" xfId="19046" xr:uid="{00000000-0005-0000-0000-000064620000}"/>
    <cellStyle name="Normal 8 2 3 2 2 3" xfId="3160" xr:uid="{00000000-0005-0000-0000-000065620000}"/>
    <cellStyle name="Normal 8 2 3 2 2 3 2" xfId="7386" xr:uid="{00000000-0005-0000-0000-000066620000}"/>
    <cellStyle name="Normal 8 2 3 2 2 3 2 2" xfId="15834" xr:uid="{00000000-0005-0000-0000-000067620000}"/>
    <cellStyle name="Normal 8 2 3 2 2 3 2 2 2" xfId="32774" xr:uid="{00000000-0005-0000-0000-000068620000}"/>
    <cellStyle name="Normal 8 2 3 2 2 3 2 3" xfId="24326" xr:uid="{00000000-0005-0000-0000-000069620000}"/>
    <cellStyle name="Normal 8 2 3 2 2 3 3" xfId="11610" xr:uid="{00000000-0005-0000-0000-00006A620000}"/>
    <cellStyle name="Normal 8 2 3 2 2 3 3 2" xfId="28550" xr:uid="{00000000-0005-0000-0000-00006B620000}"/>
    <cellStyle name="Normal 8 2 3 2 2 3 4" xfId="20102" xr:uid="{00000000-0005-0000-0000-00006C620000}"/>
    <cellStyle name="Normal 8 2 3 2 2 4" xfId="5274" xr:uid="{00000000-0005-0000-0000-00006D620000}"/>
    <cellStyle name="Normal 8 2 3 2 2 4 2" xfId="13722" xr:uid="{00000000-0005-0000-0000-00006E620000}"/>
    <cellStyle name="Normal 8 2 3 2 2 4 2 2" xfId="30662" xr:uid="{00000000-0005-0000-0000-00006F620000}"/>
    <cellStyle name="Normal 8 2 3 2 2 4 3" xfId="22214" xr:uid="{00000000-0005-0000-0000-000070620000}"/>
    <cellStyle name="Normal 8 2 3 2 2 5" xfId="9498" xr:uid="{00000000-0005-0000-0000-000071620000}"/>
    <cellStyle name="Normal 8 2 3 2 2 5 2" xfId="26438" xr:uid="{00000000-0005-0000-0000-000072620000}"/>
    <cellStyle name="Normal 8 2 3 2 2 6" xfId="17990" xr:uid="{00000000-0005-0000-0000-000073620000}"/>
    <cellStyle name="Normal 8 2 3 2 3" xfId="1752" xr:uid="{00000000-0005-0000-0000-000074620000}"/>
    <cellStyle name="Normal 8 2 3 2 3 2" xfId="3864" xr:uid="{00000000-0005-0000-0000-000075620000}"/>
    <cellStyle name="Normal 8 2 3 2 3 2 2" xfId="8090" xr:uid="{00000000-0005-0000-0000-000076620000}"/>
    <cellStyle name="Normal 8 2 3 2 3 2 2 2" xfId="16538" xr:uid="{00000000-0005-0000-0000-000077620000}"/>
    <cellStyle name="Normal 8 2 3 2 3 2 2 2 2" xfId="33478" xr:uid="{00000000-0005-0000-0000-000078620000}"/>
    <cellStyle name="Normal 8 2 3 2 3 2 2 3" xfId="25030" xr:uid="{00000000-0005-0000-0000-000079620000}"/>
    <cellStyle name="Normal 8 2 3 2 3 2 3" xfId="12314" xr:uid="{00000000-0005-0000-0000-00007A620000}"/>
    <cellStyle name="Normal 8 2 3 2 3 2 3 2" xfId="29254" xr:uid="{00000000-0005-0000-0000-00007B620000}"/>
    <cellStyle name="Normal 8 2 3 2 3 2 4" xfId="20806" xr:uid="{00000000-0005-0000-0000-00007C620000}"/>
    <cellStyle name="Normal 8 2 3 2 3 3" xfId="5978" xr:uid="{00000000-0005-0000-0000-00007D620000}"/>
    <cellStyle name="Normal 8 2 3 2 3 3 2" xfId="14426" xr:uid="{00000000-0005-0000-0000-00007E620000}"/>
    <cellStyle name="Normal 8 2 3 2 3 3 2 2" xfId="31366" xr:uid="{00000000-0005-0000-0000-00007F620000}"/>
    <cellStyle name="Normal 8 2 3 2 3 3 3" xfId="22918" xr:uid="{00000000-0005-0000-0000-000080620000}"/>
    <cellStyle name="Normal 8 2 3 2 3 4" xfId="10202" xr:uid="{00000000-0005-0000-0000-000081620000}"/>
    <cellStyle name="Normal 8 2 3 2 3 4 2" xfId="27142" xr:uid="{00000000-0005-0000-0000-000082620000}"/>
    <cellStyle name="Normal 8 2 3 2 3 5" xfId="18694" xr:uid="{00000000-0005-0000-0000-000083620000}"/>
    <cellStyle name="Normal 8 2 3 2 4" xfId="2808" xr:uid="{00000000-0005-0000-0000-000084620000}"/>
    <cellStyle name="Normal 8 2 3 2 4 2" xfId="7034" xr:uid="{00000000-0005-0000-0000-000085620000}"/>
    <cellStyle name="Normal 8 2 3 2 4 2 2" xfId="15482" xr:uid="{00000000-0005-0000-0000-000086620000}"/>
    <cellStyle name="Normal 8 2 3 2 4 2 2 2" xfId="32422" xr:uid="{00000000-0005-0000-0000-000087620000}"/>
    <cellStyle name="Normal 8 2 3 2 4 2 3" xfId="23974" xr:uid="{00000000-0005-0000-0000-000088620000}"/>
    <cellStyle name="Normal 8 2 3 2 4 3" xfId="11258" xr:uid="{00000000-0005-0000-0000-000089620000}"/>
    <cellStyle name="Normal 8 2 3 2 4 3 2" xfId="28198" xr:uid="{00000000-0005-0000-0000-00008A620000}"/>
    <cellStyle name="Normal 8 2 3 2 4 4" xfId="19750" xr:uid="{00000000-0005-0000-0000-00008B620000}"/>
    <cellStyle name="Normal 8 2 3 2 5" xfId="4922" xr:uid="{00000000-0005-0000-0000-00008C620000}"/>
    <cellStyle name="Normal 8 2 3 2 5 2" xfId="13370" xr:uid="{00000000-0005-0000-0000-00008D620000}"/>
    <cellStyle name="Normal 8 2 3 2 5 2 2" xfId="30310" xr:uid="{00000000-0005-0000-0000-00008E620000}"/>
    <cellStyle name="Normal 8 2 3 2 5 3" xfId="21862" xr:uid="{00000000-0005-0000-0000-00008F620000}"/>
    <cellStyle name="Normal 8 2 3 2 6" xfId="9146" xr:uid="{00000000-0005-0000-0000-000090620000}"/>
    <cellStyle name="Normal 8 2 3 2 6 2" xfId="26086" xr:uid="{00000000-0005-0000-0000-000091620000}"/>
    <cellStyle name="Normal 8 2 3 2 7" xfId="17638" xr:uid="{00000000-0005-0000-0000-000092620000}"/>
    <cellStyle name="Normal 8 2 3 3" xfId="866" xr:uid="{00000000-0005-0000-0000-000093620000}"/>
    <cellStyle name="Normal 8 2 3 3 2" xfId="1928" xr:uid="{00000000-0005-0000-0000-000094620000}"/>
    <cellStyle name="Normal 8 2 3 3 2 2" xfId="4040" xr:uid="{00000000-0005-0000-0000-000095620000}"/>
    <cellStyle name="Normal 8 2 3 3 2 2 2" xfId="8266" xr:uid="{00000000-0005-0000-0000-000096620000}"/>
    <cellStyle name="Normal 8 2 3 3 2 2 2 2" xfId="16714" xr:uid="{00000000-0005-0000-0000-000097620000}"/>
    <cellStyle name="Normal 8 2 3 3 2 2 2 2 2" xfId="33654" xr:uid="{00000000-0005-0000-0000-000098620000}"/>
    <cellStyle name="Normal 8 2 3 3 2 2 2 3" xfId="25206" xr:uid="{00000000-0005-0000-0000-000099620000}"/>
    <cellStyle name="Normal 8 2 3 3 2 2 3" xfId="12490" xr:uid="{00000000-0005-0000-0000-00009A620000}"/>
    <cellStyle name="Normal 8 2 3 3 2 2 3 2" xfId="29430" xr:uid="{00000000-0005-0000-0000-00009B620000}"/>
    <cellStyle name="Normal 8 2 3 3 2 2 4" xfId="20982" xr:uid="{00000000-0005-0000-0000-00009C620000}"/>
    <cellStyle name="Normal 8 2 3 3 2 3" xfId="6154" xr:uid="{00000000-0005-0000-0000-00009D620000}"/>
    <cellStyle name="Normal 8 2 3 3 2 3 2" xfId="14602" xr:uid="{00000000-0005-0000-0000-00009E620000}"/>
    <cellStyle name="Normal 8 2 3 3 2 3 2 2" xfId="31542" xr:uid="{00000000-0005-0000-0000-00009F620000}"/>
    <cellStyle name="Normal 8 2 3 3 2 3 3" xfId="23094" xr:uid="{00000000-0005-0000-0000-0000A0620000}"/>
    <cellStyle name="Normal 8 2 3 3 2 4" xfId="10378" xr:uid="{00000000-0005-0000-0000-0000A1620000}"/>
    <cellStyle name="Normal 8 2 3 3 2 4 2" xfId="27318" xr:uid="{00000000-0005-0000-0000-0000A2620000}"/>
    <cellStyle name="Normal 8 2 3 3 2 5" xfId="18870" xr:uid="{00000000-0005-0000-0000-0000A3620000}"/>
    <cellStyle name="Normal 8 2 3 3 3" xfId="2984" xr:uid="{00000000-0005-0000-0000-0000A4620000}"/>
    <cellStyle name="Normal 8 2 3 3 3 2" xfId="7210" xr:uid="{00000000-0005-0000-0000-0000A5620000}"/>
    <cellStyle name="Normal 8 2 3 3 3 2 2" xfId="15658" xr:uid="{00000000-0005-0000-0000-0000A6620000}"/>
    <cellStyle name="Normal 8 2 3 3 3 2 2 2" xfId="32598" xr:uid="{00000000-0005-0000-0000-0000A7620000}"/>
    <cellStyle name="Normal 8 2 3 3 3 2 3" xfId="24150" xr:uid="{00000000-0005-0000-0000-0000A8620000}"/>
    <cellStyle name="Normal 8 2 3 3 3 3" xfId="11434" xr:uid="{00000000-0005-0000-0000-0000A9620000}"/>
    <cellStyle name="Normal 8 2 3 3 3 3 2" xfId="28374" xr:uid="{00000000-0005-0000-0000-0000AA620000}"/>
    <cellStyle name="Normal 8 2 3 3 3 4" xfId="19926" xr:uid="{00000000-0005-0000-0000-0000AB620000}"/>
    <cellStyle name="Normal 8 2 3 3 4" xfId="5098" xr:uid="{00000000-0005-0000-0000-0000AC620000}"/>
    <cellStyle name="Normal 8 2 3 3 4 2" xfId="13546" xr:uid="{00000000-0005-0000-0000-0000AD620000}"/>
    <cellStyle name="Normal 8 2 3 3 4 2 2" xfId="30486" xr:uid="{00000000-0005-0000-0000-0000AE620000}"/>
    <cellStyle name="Normal 8 2 3 3 4 3" xfId="22038" xr:uid="{00000000-0005-0000-0000-0000AF620000}"/>
    <cellStyle name="Normal 8 2 3 3 5" xfId="9322" xr:uid="{00000000-0005-0000-0000-0000B0620000}"/>
    <cellStyle name="Normal 8 2 3 3 5 2" xfId="26262" xr:uid="{00000000-0005-0000-0000-0000B1620000}"/>
    <cellStyle name="Normal 8 2 3 3 6" xfId="17814" xr:uid="{00000000-0005-0000-0000-0000B2620000}"/>
    <cellStyle name="Normal 8 2 3 4" xfId="1218" xr:uid="{00000000-0005-0000-0000-0000B3620000}"/>
    <cellStyle name="Normal 8 2 3 4 2" xfId="2280" xr:uid="{00000000-0005-0000-0000-0000B4620000}"/>
    <cellStyle name="Normal 8 2 3 4 2 2" xfId="4392" xr:uid="{00000000-0005-0000-0000-0000B5620000}"/>
    <cellStyle name="Normal 8 2 3 4 2 2 2" xfId="8618" xr:uid="{00000000-0005-0000-0000-0000B6620000}"/>
    <cellStyle name="Normal 8 2 3 4 2 2 2 2" xfId="17066" xr:uid="{00000000-0005-0000-0000-0000B7620000}"/>
    <cellStyle name="Normal 8 2 3 4 2 2 2 2 2" xfId="34006" xr:uid="{00000000-0005-0000-0000-0000B8620000}"/>
    <cellStyle name="Normal 8 2 3 4 2 2 2 3" xfId="25558" xr:uid="{00000000-0005-0000-0000-0000B9620000}"/>
    <cellStyle name="Normal 8 2 3 4 2 2 3" xfId="12842" xr:uid="{00000000-0005-0000-0000-0000BA620000}"/>
    <cellStyle name="Normal 8 2 3 4 2 2 3 2" xfId="29782" xr:uid="{00000000-0005-0000-0000-0000BB620000}"/>
    <cellStyle name="Normal 8 2 3 4 2 2 4" xfId="21334" xr:uid="{00000000-0005-0000-0000-0000BC620000}"/>
    <cellStyle name="Normal 8 2 3 4 2 3" xfId="6506" xr:uid="{00000000-0005-0000-0000-0000BD620000}"/>
    <cellStyle name="Normal 8 2 3 4 2 3 2" xfId="14954" xr:uid="{00000000-0005-0000-0000-0000BE620000}"/>
    <cellStyle name="Normal 8 2 3 4 2 3 2 2" xfId="31894" xr:uid="{00000000-0005-0000-0000-0000BF620000}"/>
    <cellStyle name="Normal 8 2 3 4 2 3 3" xfId="23446" xr:uid="{00000000-0005-0000-0000-0000C0620000}"/>
    <cellStyle name="Normal 8 2 3 4 2 4" xfId="10730" xr:uid="{00000000-0005-0000-0000-0000C1620000}"/>
    <cellStyle name="Normal 8 2 3 4 2 4 2" xfId="27670" xr:uid="{00000000-0005-0000-0000-0000C2620000}"/>
    <cellStyle name="Normal 8 2 3 4 2 5" xfId="19222" xr:uid="{00000000-0005-0000-0000-0000C3620000}"/>
    <cellStyle name="Normal 8 2 3 4 3" xfId="3336" xr:uid="{00000000-0005-0000-0000-0000C4620000}"/>
    <cellStyle name="Normal 8 2 3 4 3 2" xfId="7562" xr:uid="{00000000-0005-0000-0000-0000C5620000}"/>
    <cellStyle name="Normal 8 2 3 4 3 2 2" xfId="16010" xr:uid="{00000000-0005-0000-0000-0000C6620000}"/>
    <cellStyle name="Normal 8 2 3 4 3 2 2 2" xfId="32950" xr:uid="{00000000-0005-0000-0000-0000C7620000}"/>
    <cellStyle name="Normal 8 2 3 4 3 2 3" xfId="24502" xr:uid="{00000000-0005-0000-0000-0000C8620000}"/>
    <cellStyle name="Normal 8 2 3 4 3 3" xfId="11786" xr:uid="{00000000-0005-0000-0000-0000C9620000}"/>
    <cellStyle name="Normal 8 2 3 4 3 3 2" xfId="28726" xr:uid="{00000000-0005-0000-0000-0000CA620000}"/>
    <cellStyle name="Normal 8 2 3 4 3 4" xfId="20278" xr:uid="{00000000-0005-0000-0000-0000CB620000}"/>
    <cellStyle name="Normal 8 2 3 4 4" xfId="5450" xr:uid="{00000000-0005-0000-0000-0000CC620000}"/>
    <cellStyle name="Normal 8 2 3 4 4 2" xfId="13898" xr:uid="{00000000-0005-0000-0000-0000CD620000}"/>
    <cellStyle name="Normal 8 2 3 4 4 2 2" xfId="30838" xr:uid="{00000000-0005-0000-0000-0000CE620000}"/>
    <cellStyle name="Normal 8 2 3 4 4 3" xfId="22390" xr:uid="{00000000-0005-0000-0000-0000CF620000}"/>
    <cellStyle name="Normal 8 2 3 4 5" xfId="9674" xr:uid="{00000000-0005-0000-0000-0000D0620000}"/>
    <cellStyle name="Normal 8 2 3 4 5 2" xfId="26614" xr:uid="{00000000-0005-0000-0000-0000D1620000}"/>
    <cellStyle name="Normal 8 2 3 4 6" xfId="18166" xr:uid="{00000000-0005-0000-0000-0000D2620000}"/>
    <cellStyle name="Normal 8 2 3 5" xfId="1400" xr:uid="{00000000-0005-0000-0000-0000D3620000}"/>
    <cellStyle name="Normal 8 2 3 5 2" xfId="2456" xr:uid="{00000000-0005-0000-0000-0000D4620000}"/>
    <cellStyle name="Normal 8 2 3 5 2 2" xfId="4568" xr:uid="{00000000-0005-0000-0000-0000D5620000}"/>
    <cellStyle name="Normal 8 2 3 5 2 2 2" xfId="8794" xr:uid="{00000000-0005-0000-0000-0000D6620000}"/>
    <cellStyle name="Normal 8 2 3 5 2 2 2 2" xfId="17242" xr:uid="{00000000-0005-0000-0000-0000D7620000}"/>
    <cellStyle name="Normal 8 2 3 5 2 2 2 2 2" xfId="34182" xr:uid="{00000000-0005-0000-0000-0000D8620000}"/>
    <cellStyle name="Normal 8 2 3 5 2 2 2 3" xfId="25734" xr:uid="{00000000-0005-0000-0000-0000D9620000}"/>
    <cellStyle name="Normal 8 2 3 5 2 2 3" xfId="13018" xr:uid="{00000000-0005-0000-0000-0000DA620000}"/>
    <cellStyle name="Normal 8 2 3 5 2 2 3 2" xfId="29958" xr:uid="{00000000-0005-0000-0000-0000DB620000}"/>
    <cellStyle name="Normal 8 2 3 5 2 2 4" xfId="21510" xr:uid="{00000000-0005-0000-0000-0000DC620000}"/>
    <cellStyle name="Normal 8 2 3 5 2 3" xfId="6682" xr:uid="{00000000-0005-0000-0000-0000DD620000}"/>
    <cellStyle name="Normal 8 2 3 5 2 3 2" xfId="15130" xr:uid="{00000000-0005-0000-0000-0000DE620000}"/>
    <cellStyle name="Normal 8 2 3 5 2 3 2 2" xfId="32070" xr:uid="{00000000-0005-0000-0000-0000DF620000}"/>
    <cellStyle name="Normal 8 2 3 5 2 3 3" xfId="23622" xr:uid="{00000000-0005-0000-0000-0000E0620000}"/>
    <cellStyle name="Normal 8 2 3 5 2 4" xfId="10906" xr:uid="{00000000-0005-0000-0000-0000E1620000}"/>
    <cellStyle name="Normal 8 2 3 5 2 4 2" xfId="27846" xr:uid="{00000000-0005-0000-0000-0000E2620000}"/>
    <cellStyle name="Normal 8 2 3 5 2 5" xfId="19398" xr:uid="{00000000-0005-0000-0000-0000E3620000}"/>
    <cellStyle name="Normal 8 2 3 5 3" xfId="3512" xr:uid="{00000000-0005-0000-0000-0000E4620000}"/>
    <cellStyle name="Normal 8 2 3 5 3 2" xfId="7738" xr:uid="{00000000-0005-0000-0000-0000E5620000}"/>
    <cellStyle name="Normal 8 2 3 5 3 2 2" xfId="16186" xr:uid="{00000000-0005-0000-0000-0000E6620000}"/>
    <cellStyle name="Normal 8 2 3 5 3 2 2 2" xfId="33126" xr:uid="{00000000-0005-0000-0000-0000E7620000}"/>
    <cellStyle name="Normal 8 2 3 5 3 2 3" xfId="24678" xr:uid="{00000000-0005-0000-0000-0000E8620000}"/>
    <cellStyle name="Normal 8 2 3 5 3 3" xfId="11962" xr:uid="{00000000-0005-0000-0000-0000E9620000}"/>
    <cellStyle name="Normal 8 2 3 5 3 3 2" xfId="28902" xr:uid="{00000000-0005-0000-0000-0000EA620000}"/>
    <cellStyle name="Normal 8 2 3 5 3 4" xfId="20454" xr:uid="{00000000-0005-0000-0000-0000EB620000}"/>
    <cellStyle name="Normal 8 2 3 5 4" xfId="5626" xr:uid="{00000000-0005-0000-0000-0000EC620000}"/>
    <cellStyle name="Normal 8 2 3 5 4 2" xfId="14074" xr:uid="{00000000-0005-0000-0000-0000ED620000}"/>
    <cellStyle name="Normal 8 2 3 5 4 2 2" xfId="31014" xr:uid="{00000000-0005-0000-0000-0000EE620000}"/>
    <cellStyle name="Normal 8 2 3 5 4 3" xfId="22566" xr:uid="{00000000-0005-0000-0000-0000EF620000}"/>
    <cellStyle name="Normal 8 2 3 5 5" xfId="9850" xr:uid="{00000000-0005-0000-0000-0000F0620000}"/>
    <cellStyle name="Normal 8 2 3 5 5 2" xfId="26790" xr:uid="{00000000-0005-0000-0000-0000F1620000}"/>
    <cellStyle name="Normal 8 2 3 5 6" xfId="18342" xr:uid="{00000000-0005-0000-0000-0000F2620000}"/>
    <cellStyle name="Normal 8 2 3 6" xfId="1576" xr:uid="{00000000-0005-0000-0000-0000F3620000}"/>
    <cellStyle name="Normal 8 2 3 6 2" xfId="3688" xr:uid="{00000000-0005-0000-0000-0000F4620000}"/>
    <cellStyle name="Normal 8 2 3 6 2 2" xfId="7914" xr:uid="{00000000-0005-0000-0000-0000F5620000}"/>
    <cellStyle name="Normal 8 2 3 6 2 2 2" xfId="16362" xr:uid="{00000000-0005-0000-0000-0000F6620000}"/>
    <cellStyle name="Normal 8 2 3 6 2 2 2 2" xfId="33302" xr:uid="{00000000-0005-0000-0000-0000F7620000}"/>
    <cellStyle name="Normal 8 2 3 6 2 2 3" xfId="24854" xr:uid="{00000000-0005-0000-0000-0000F8620000}"/>
    <cellStyle name="Normal 8 2 3 6 2 3" xfId="12138" xr:uid="{00000000-0005-0000-0000-0000F9620000}"/>
    <cellStyle name="Normal 8 2 3 6 2 3 2" xfId="29078" xr:uid="{00000000-0005-0000-0000-0000FA620000}"/>
    <cellStyle name="Normal 8 2 3 6 2 4" xfId="20630" xr:uid="{00000000-0005-0000-0000-0000FB620000}"/>
    <cellStyle name="Normal 8 2 3 6 3" xfId="5802" xr:uid="{00000000-0005-0000-0000-0000FC620000}"/>
    <cellStyle name="Normal 8 2 3 6 3 2" xfId="14250" xr:uid="{00000000-0005-0000-0000-0000FD620000}"/>
    <cellStyle name="Normal 8 2 3 6 3 2 2" xfId="31190" xr:uid="{00000000-0005-0000-0000-0000FE620000}"/>
    <cellStyle name="Normal 8 2 3 6 3 3" xfId="22742" xr:uid="{00000000-0005-0000-0000-0000FF620000}"/>
    <cellStyle name="Normal 8 2 3 6 4" xfId="10026" xr:uid="{00000000-0005-0000-0000-000000630000}"/>
    <cellStyle name="Normal 8 2 3 6 4 2" xfId="26966" xr:uid="{00000000-0005-0000-0000-000001630000}"/>
    <cellStyle name="Normal 8 2 3 6 5" xfId="18518" xr:uid="{00000000-0005-0000-0000-000002630000}"/>
    <cellStyle name="Normal 8 2 3 7" xfId="2632" xr:uid="{00000000-0005-0000-0000-000003630000}"/>
    <cellStyle name="Normal 8 2 3 7 2" xfId="6858" xr:uid="{00000000-0005-0000-0000-000004630000}"/>
    <cellStyle name="Normal 8 2 3 7 2 2" xfId="15306" xr:uid="{00000000-0005-0000-0000-000005630000}"/>
    <cellStyle name="Normal 8 2 3 7 2 2 2" xfId="32246" xr:uid="{00000000-0005-0000-0000-000006630000}"/>
    <cellStyle name="Normal 8 2 3 7 2 3" xfId="23798" xr:uid="{00000000-0005-0000-0000-000007630000}"/>
    <cellStyle name="Normal 8 2 3 7 3" xfId="11082" xr:uid="{00000000-0005-0000-0000-000008630000}"/>
    <cellStyle name="Normal 8 2 3 7 3 2" xfId="28022" xr:uid="{00000000-0005-0000-0000-000009630000}"/>
    <cellStyle name="Normal 8 2 3 7 4" xfId="19574" xr:uid="{00000000-0005-0000-0000-00000A630000}"/>
    <cellStyle name="Normal 8 2 3 8" xfId="4745" xr:uid="{00000000-0005-0000-0000-00000B630000}"/>
    <cellStyle name="Normal 8 2 3 8 2" xfId="13194" xr:uid="{00000000-0005-0000-0000-00000C630000}"/>
    <cellStyle name="Normal 8 2 3 8 2 2" xfId="30134" xr:uid="{00000000-0005-0000-0000-00000D630000}"/>
    <cellStyle name="Normal 8 2 3 8 3" xfId="21686" xr:uid="{00000000-0005-0000-0000-00000E630000}"/>
    <cellStyle name="Normal 8 2 3 9" xfId="8970" xr:uid="{00000000-0005-0000-0000-00000F630000}"/>
    <cellStyle name="Normal 8 2 3 9 2" xfId="25910" xr:uid="{00000000-0005-0000-0000-000010630000}"/>
    <cellStyle name="Normal 8 2 4" xfId="688" xr:uid="{00000000-0005-0000-0000-000011630000}"/>
    <cellStyle name="Normal 8 2 4 2" xfId="1040" xr:uid="{00000000-0005-0000-0000-000012630000}"/>
    <cellStyle name="Normal 8 2 4 2 2" xfId="2102" xr:uid="{00000000-0005-0000-0000-000013630000}"/>
    <cellStyle name="Normal 8 2 4 2 2 2" xfId="4214" xr:uid="{00000000-0005-0000-0000-000014630000}"/>
    <cellStyle name="Normal 8 2 4 2 2 2 2" xfId="8440" xr:uid="{00000000-0005-0000-0000-000015630000}"/>
    <cellStyle name="Normal 8 2 4 2 2 2 2 2" xfId="16888" xr:uid="{00000000-0005-0000-0000-000016630000}"/>
    <cellStyle name="Normal 8 2 4 2 2 2 2 2 2" xfId="33828" xr:uid="{00000000-0005-0000-0000-000017630000}"/>
    <cellStyle name="Normal 8 2 4 2 2 2 2 3" xfId="25380" xr:uid="{00000000-0005-0000-0000-000018630000}"/>
    <cellStyle name="Normal 8 2 4 2 2 2 3" xfId="12664" xr:uid="{00000000-0005-0000-0000-000019630000}"/>
    <cellStyle name="Normal 8 2 4 2 2 2 3 2" xfId="29604" xr:uid="{00000000-0005-0000-0000-00001A630000}"/>
    <cellStyle name="Normal 8 2 4 2 2 2 4" xfId="21156" xr:uid="{00000000-0005-0000-0000-00001B630000}"/>
    <cellStyle name="Normal 8 2 4 2 2 3" xfId="6328" xr:uid="{00000000-0005-0000-0000-00001C630000}"/>
    <cellStyle name="Normal 8 2 4 2 2 3 2" xfId="14776" xr:uid="{00000000-0005-0000-0000-00001D630000}"/>
    <cellStyle name="Normal 8 2 4 2 2 3 2 2" xfId="31716" xr:uid="{00000000-0005-0000-0000-00001E630000}"/>
    <cellStyle name="Normal 8 2 4 2 2 3 3" xfId="23268" xr:uid="{00000000-0005-0000-0000-00001F630000}"/>
    <cellStyle name="Normal 8 2 4 2 2 4" xfId="10552" xr:uid="{00000000-0005-0000-0000-000020630000}"/>
    <cellStyle name="Normal 8 2 4 2 2 4 2" xfId="27492" xr:uid="{00000000-0005-0000-0000-000021630000}"/>
    <cellStyle name="Normal 8 2 4 2 2 5" xfId="19044" xr:uid="{00000000-0005-0000-0000-000022630000}"/>
    <cellStyle name="Normal 8 2 4 2 3" xfId="3158" xr:uid="{00000000-0005-0000-0000-000023630000}"/>
    <cellStyle name="Normal 8 2 4 2 3 2" xfId="7384" xr:uid="{00000000-0005-0000-0000-000024630000}"/>
    <cellStyle name="Normal 8 2 4 2 3 2 2" xfId="15832" xr:uid="{00000000-0005-0000-0000-000025630000}"/>
    <cellStyle name="Normal 8 2 4 2 3 2 2 2" xfId="32772" xr:uid="{00000000-0005-0000-0000-000026630000}"/>
    <cellStyle name="Normal 8 2 4 2 3 2 3" xfId="24324" xr:uid="{00000000-0005-0000-0000-000027630000}"/>
    <cellStyle name="Normal 8 2 4 2 3 3" xfId="11608" xr:uid="{00000000-0005-0000-0000-000028630000}"/>
    <cellStyle name="Normal 8 2 4 2 3 3 2" xfId="28548" xr:uid="{00000000-0005-0000-0000-000029630000}"/>
    <cellStyle name="Normal 8 2 4 2 3 4" xfId="20100" xr:uid="{00000000-0005-0000-0000-00002A630000}"/>
    <cellStyle name="Normal 8 2 4 2 4" xfId="5272" xr:uid="{00000000-0005-0000-0000-00002B630000}"/>
    <cellStyle name="Normal 8 2 4 2 4 2" xfId="13720" xr:uid="{00000000-0005-0000-0000-00002C630000}"/>
    <cellStyle name="Normal 8 2 4 2 4 2 2" xfId="30660" xr:uid="{00000000-0005-0000-0000-00002D630000}"/>
    <cellStyle name="Normal 8 2 4 2 4 3" xfId="22212" xr:uid="{00000000-0005-0000-0000-00002E630000}"/>
    <cellStyle name="Normal 8 2 4 2 5" xfId="9496" xr:uid="{00000000-0005-0000-0000-00002F630000}"/>
    <cellStyle name="Normal 8 2 4 2 5 2" xfId="26436" xr:uid="{00000000-0005-0000-0000-000030630000}"/>
    <cellStyle name="Normal 8 2 4 2 6" xfId="17988" xr:uid="{00000000-0005-0000-0000-000031630000}"/>
    <cellStyle name="Normal 8 2 4 3" xfId="1750" xr:uid="{00000000-0005-0000-0000-000032630000}"/>
    <cellStyle name="Normal 8 2 4 3 2" xfId="3862" xr:uid="{00000000-0005-0000-0000-000033630000}"/>
    <cellStyle name="Normal 8 2 4 3 2 2" xfId="8088" xr:uid="{00000000-0005-0000-0000-000034630000}"/>
    <cellStyle name="Normal 8 2 4 3 2 2 2" xfId="16536" xr:uid="{00000000-0005-0000-0000-000035630000}"/>
    <cellStyle name="Normal 8 2 4 3 2 2 2 2" xfId="33476" xr:uid="{00000000-0005-0000-0000-000036630000}"/>
    <cellStyle name="Normal 8 2 4 3 2 2 3" xfId="25028" xr:uid="{00000000-0005-0000-0000-000037630000}"/>
    <cellStyle name="Normal 8 2 4 3 2 3" xfId="12312" xr:uid="{00000000-0005-0000-0000-000038630000}"/>
    <cellStyle name="Normal 8 2 4 3 2 3 2" xfId="29252" xr:uid="{00000000-0005-0000-0000-000039630000}"/>
    <cellStyle name="Normal 8 2 4 3 2 4" xfId="20804" xr:uid="{00000000-0005-0000-0000-00003A630000}"/>
    <cellStyle name="Normal 8 2 4 3 3" xfId="5976" xr:uid="{00000000-0005-0000-0000-00003B630000}"/>
    <cellStyle name="Normal 8 2 4 3 3 2" xfId="14424" xr:uid="{00000000-0005-0000-0000-00003C630000}"/>
    <cellStyle name="Normal 8 2 4 3 3 2 2" xfId="31364" xr:uid="{00000000-0005-0000-0000-00003D630000}"/>
    <cellStyle name="Normal 8 2 4 3 3 3" xfId="22916" xr:uid="{00000000-0005-0000-0000-00003E630000}"/>
    <cellStyle name="Normal 8 2 4 3 4" xfId="10200" xr:uid="{00000000-0005-0000-0000-00003F630000}"/>
    <cellStyle name="Normal 8 2 4 3 4 2" xfId="27140" xr:uid="{00000000-0005-0000-0000-000040630000}"/>
    <cellStyle name="Normal 8 2 4 3 5" xfId="18692" xr:uid="{00000000-0005-0000-0000-000041630000}"/>
    <cellStyle name="Normal 8 2 4 4" xfId="2806" xr:uid="{00000000-0005-0000-0000-000042630000}"/>
    <cellStyle name="Normal 8 2 4 4 2" xfId="7032" xr:uid="{00000000-0005-0000-0000-000043630000}"/>
    <cellStyle name="Normal 8 2 4 4 2 2" xfId="15480" xr:uid="{00000000-0005-0000-0000-000044630000}"/>
    <cellStyle name="Normal 8 2 4 4 2 2 2" xfId="32420" xr:uid="{00000000-0005-0000-0000-000045630000}"/>
    <cellStyle name="Normal 8 2 4 4 2 3" xfId="23972" xr:uid="{00000000-0005-0000-0000-000046630000}"/>
    <cellStyle name="Normal 8 2 4 4 3" xfId="11256" xr:uid="{00000000-0005-0000-0000-000047630000}"/>
    <cellStyle name="Normal 8 2 4 4 3 2" xfId="28196" xr:uid="{00000000-0005-0000-0000-000048630000}"/>
    <cellStyle name="Normal 8 2 4 4 4" xfId="19748" xr:uid="{00000000-0005-0000-0000-000049630000}"/>
    <cellStyle name="Normal 8 2 4 5" xfId="4920" xr:uid="{00000000-0005-0000-0000-00004A630000}"/>
    <cellStyle name="Normal 8 2 4 5 2" xfId="13368" xr:uid="{00000000-0005-0000-0000-00004B630000}"/>
    <cellStyle name="Normal 8 2 4 5 2 2" xfId="30308" xr:uid="{00000000-0005-0000-0000-00004C630000}"/>
    <cellStyle name="Normal 8 2 4 5 3" xfId="21860" xr:uid="{00000000-0005-0000-0000-00004D630000}"/>
    <cellStyle name="Normal 8 2 4 6" xfId="9144" xr:uid="{00000000-0005-0000-0000-00004E630000}"/>
    <cellStyle name="Normal 8 2 4 6 2" xfId="26084" xr:uid="{00000000-0005-0000-0000-00004F630000}"/>
    <cellStyle name="Normal 8 2 4 7" xfId="17636" xr:uid="{00000000-0005-0000-0000-000050630000}"/>
    <cellStyle name="Normal 8 2 5" xfId="864" xr:uid="{00000000-0005-0000-0000-000051630000}"/>
    <cellStyle name="Normal 8 2 5 2" xfId="1926" xr:uid="{00000000-0005-0000-0000-000052630000}"/>
    <cellStyle name="Normal 8 2 5 2 2" xfId="4038" xr:uid="{00000000-0005-0000-0000-000053630000}"/>
    <cellStyle name="Normal 8 2 5 2 2 2" xfId="8264" xr:uid="{00000000-0005-0000-0000-000054630000}"/>
    <cellStyle name="Normal 8 2 5 2 2 2 2" xfId="16712" xr:uid="{00000000-0005-0000-0000-000055630000}"/>
    <cellStyle name="Normal 8 2 5 2 2 2 2 2" xfId="33652" xr:uid="{00000000-0005-0000-0000-000056630000}"/>
    <cellStyle name="Normal 8 2 5 2 2 2 3" xfId="25204" xr:uid="{00000000-0005-0000-0000-000057630000}"/>
    <cellStyle name="Normal 8 2 5 2 2 3" xfId="12488" xr:uid="{00000000-0005-0000-0000-000058630000}"/>
    <cellStyle name="Normal 8 2 5 2 2 3 2" xfId="29428" xr:uid="{00000000-0005-0000-0000-000059630000}"/>
    <cellStyle name="Normal 8 2 5 2 2 4" xfId="20980" xr:uid="{00000000-0005-0000-0000-00005A630000}"/>
    <cellStyle name="Normal 8 2 5 2 3" xfId="6152" xr:uid="{00000000-0005-0000-0000-00005B630000}"/>
    <cellStyle name="Normal 8 2 5 2 3 2" xfId="14600" xr:uid="{00000000-0005-0000-0000-00005C630000}"/>
    <cellStyle name="Normal 8 2 5 2 3 2 2" xfId="31540" xr:uid="{00000000-0005-0000-0000-00005D630000}"/>
    <cellStyle name="Normal 8 2 5 2 3 3" xfId="23092" xr:uid="{00000000-0005-0000-0000-00005E630000}"/>
    <cellStyle name="Normal 8 2 5 2 4" xfId="10376" xr:uid="{00000000-0005-0000-0000-00005F630000}"/>
    <cellStyle name="Normal 8 2 5 2 4 2" xfId="27316" xr:uid="{00000000-0005-0000-0000-000060630000}"/>
    <cellStyle name="Normal 8 2 5 2 5" xfId="18868" xr:uid="{00000000-0005-0000-0000-000061630000}"/>
    <cellStyle name="Normal 8 2 5 3" xfId="2982" xr:uid="{00000000-0005-0000-0000-000062630000}"/>
    <cellStyle name="Normal 8 2 5 3 2" xfId="7208" xr:uid="{00000000-0005-0000-0000-000063630000}"/>
    <cellStyle name="Normal 8 2 5 3 2 2" xfId="15656" xr:uid="{00000000-0005-0000-0000-000064630000}"/>
    <cellStyle name="Normal 8 2 5 3 2 2 2" xfId="32596" xr:uid="{00000000-0005-0000-0000-000065630000}"/>
    <cellStyle name="Normal 8 2 5 3 2 3" xfId="24148" xr:uid="{00000000-0005-0000-0000-000066630000}"/>
    <cellStyle name="Normal 8 2 5 3 3" xfId="11432" xr:uid="{00000000-0005-0000-0000-000067630000}"/>
    <cellStyle name="Normal 8 2 5 3 3 2" xfId="28372" xr:uid="{00000000-0005-0000-0000-000068630000}"/>
    <cellStyle name="Normal 8 2 5 3 4" xfId="19924" xr:uid="{00000000-0005-0000-0000-000069630000}"/>
    <cellStyle name="Normal 8 2 5 4" xfId="5096" xr:uid="{00000000-0005-0000-0000-00006A630000}"/>
    <cellStyle name="Normal 8 2 5 4 2" xfId="13544" xr:uid="{00000000-0005-0000-0000-00006B630000}"/>
    <cellStyle name="Normal 8 2 5 4 2 2" xfId="30484" xr:uid="{00000000-0005-0000-0000-00006C630000}"/>
    <cellStyle name="Normal 8 2 5 4 3" xfId="22036" xr:uid="{00000000-0005-0000-0000-00006D630000}"/>
    <cellStyle name="Normal 8 2 5 5" xfId="9320" xr:uid="{00000000-0005-0000-0000-00006E630000}"/>
    <cellStyle name="Normal 8 2 5 5 2" xfId="26260" xr:uid="{00000000-0005-0000-0000-00006F630000}"/>
    <cellStyle name="Normal 8 2 5 6" xfId="17812" xr:uid="{00000000-0005-0000-0000-000070630000}"/>
    <cellStyle name="Normal 8 2 6" xfId="1216" xr:uid="{00000000-0005-0000-0000-000071630000}"/>
    <cellStyle name="Normal 8 2 6 2" xfId="2278" xr:uid="{00000000-0005-0000-0000-000072630000}"/>
    <cellStyle name="Normal 8 2 6 2 2" xfId="4390" xr:uid="{00000000-0005-0000-0000-000073630000}"/>
    <cellStyle name="Normal 8 2 6 2 2 2" xfId="8616" xr:uid="{00000000-0005-0000-0000-000074630000}"/>
    <cellStyle name="Normal 8 2 6 2 2 2 2" xfId="17064" xr:uid="{00000000-0005-0000-0000-000075630000}"/>
    <cellStyle name="Normal 8 2 6 2 2 2 2 2" xfId="34004" xr:uid="{00000000-0005-0000-0000-000076630000}"/>
    <cellStyle name="Normal 8 2 6 2 2 2 3" xfId="25556" xr:uid="{00000000-0005-0000-0000-000077630000}"/>
    <cellStyle name="Normal 8 2 6 2 2 3" xfId="12840" xr:uid="{00000000-0005-0000-0000-000078630000}"/>
    <cellStyle name="Normal 8 2 6 2 2 3 2" xfId="29780" xr:uid="{00000000-0005-0000-0000-000079630000}"/>
    <cellStyle name="Normal 8 2 6 2 2 4" xfId="21332" xr:uid="{00000000-0005-0000-0000-00007A630000}"/>
    <cellStyle name="Normal 8 2 6 2 3" xfId="6504" xr:uid="{00000000-0005-0000-0000-00007B630000}"/>
    <cellStyle name="Normal 8 2 6 2 3 2" xfId="14952" xr:uid="{00000000-0005-0000-0000-00007C630000}"/>
    <cellStyle name="Normal 8 2 6 2 3 2 2" xfId="31892" xr:uid="{00000000-0005-0000-0000-00007D630000}"/>
    <cellStyle name="Normal 8 2 6 2 3 3" xfId="23444" xr:uid="{00000000-0005-0000-0000-00007E630000}"/>
    <cellStyle name="Normal 8 2 6 2 4" xfId="10728" xr:uid="{00000000-0005-0000-0000-00007F630000}"/>
    <cellStyle name="Normal 8 2 6 2 4 2" xfId="27668" xr:uid="{00000000-0005-0000-0000-000080630000}"/>
    <cellStyle name="Normal 8 2 6 2 5" xfId="19220" xr:uid="{00000000-0005-0000-0000-000081630000}"/>
    <cellStyle name="Normal 8 2 6 3" xfId="3334" xr:uid="{00000000-0005-0000-0000-000082630000}"/>
    <cellStyle name="Normal 8 2 6 3 2" xfId="7560" xr:uid="{00000000-0005-0000-0000-000083630000}"/>
    <cellStyle name="Normal 8 2 6 3 2 2" xfId="16008" xr:uid="{00000000-0005-0000-0000-000084630000}"/>
    <cellStyle name="Normal 8 2 6 3 2 2 2" xfId="32948" xr:uid="{00000000-0005-0000-0000-000085630000}"/>
    <cellStyle name="Normal 8 2 6 3 2 3" xfId="24500" xr:uid="{00000000-0005-0000-0000-000086630000}"/>
    <cellStyle name="Normal 8 2 6 3 3" xfId="11784" xr:uid="{00000000-0005-0000-0000-000087630000}"/>
    <cellStyle name="Normal 8 2 6 3 3 2" xfId="28724" xr:uid="{00000000-0005-0000-0000-000088630000}"/>
    <cellStyle name="Normal 8 2 6 3 4" xfId="20276" xr:uid="{00000000-0005-0000-0000-000089630000}"/>
    <cellStyle name="Normal 8 2 6 4" xfId="5448" xr:uid="{00000000-0005-0000-0000-00008A630000}"/>
    <cellStyle name="Normal 8 2 6 4 2" xfId="13896" xr:uid="{00000000-0005-0000-0000-00008B630000}"/>
    <cellStyle name="Normal 8 2 6 4 2 2" xfId="30836" xr:uid="{00000000-0005-0000-0000-00008C630000}"/>
    <cellStyle name="Normal 8 2 6 4 3" xfId="22388" xr:uid="{00000000-0005-0000-0000-00008D630000}"/>
    <cellStyle name="Normal 8 2 6 5" xfId="9672" xr:uid="{00000000-0005-0000-0000-00008E630000}"/>
    <cellStyle name="Normal 8 2 6 5 2" xfId="26612" xr:uid="{00000000-0005-0000-0000-00008F630000}"/>
    <cellStyle name="Normal 8 2 6 6" xfId="18164" xr:uid="{00000000-0005-0000-0000-000090630000}"/>
    <cellStyle name="Normal 8 2 7" xfId="1398" xr:uid="{00000000-0005-0000-0000-000091630000}"/>
    <cellStyle name="Normal 8 2 7 2" xfId="2454" xr:uid="{00000000-0005-0000-0000-000092630000}"/>
    <cellStyle name="Normal 8 2 7 2 2" xfId="4566" xr:uid="{00000000-0005-0000-0000-000093630000}"/>
    <cellStyle name="Normal 8 2 7 2 2 2" xfId="8792" xr:uid="{00000000-0005-0000-0000-000094630000}"/>
    <cellStyle name="Normal 8 2 7 2 2 2 2" xfId="17240" xr:uid="{00000000-0005-0000-0000-000095630000}"/>
    <cellStyle name="Normal 8 2 7 2 2 2 2 2" xfId="34180" xr:uid="{00000000-0005-0000-0000-000096630000}"/>
    <cellStyle name="Normal 8 2 7 2 2 2 3" xfId="25732" xr:uid="{00000000-0005-0000-0000-000097630000}"/>
    <cellStyle name="Normal 8 2 7 2 2 3" xfId="13016" xr:uid="{00000000-0005-0000-0000-000098630000}"/>
    <cellStyle name="Normal 8 2 7 2 2 3 2" xfId="29956" xr:uid="{00000000-0005-0000-0000-000099630000}"/>
    <cellStyle name="Normal 8 2 7 2 2 4" xfId="21508" xr:uid="{00000000-0005-0000-0000-00009A630000}"/>
    <cellStyle name="Normal 8 2 7 2 3" xfId="6680" xr:uid="{00000000-0005-0000-0000-00009B630000}"/>
    <cellStyle name="Normal 8 2 7 2 3 2" xfId="15128" xr:uid="{00000000-0005-0000-0000-00009C630000}"/>
    <cellStyle name="Normal 8 2 7 2 3 2 2" xfId="32068" xr:uid="{00000000-0005-0000-0000-00009D630000}"/>
    <cellStyle name="Normal 8 2 7 2 3 3" xfId="23620" xr:uid="{00000000-0005-0000-0000-00009E630000}"/>
    <cellStyle name="Normal 8 2 7 2 4" xfId="10904" xr:uid="{00000000-0005-0000-0000-00009F630000}"/>
    <cellStyle name="Normal 8 2 7 2 4 2" xfId="27844" xr:uid="{00000000-0005-0000-0000-0000A0630000}"/>
    <cellStyle name="Normal 8 2 7 2 5" xfId="19396" xr:uid="{00000000-0005-0000-0000-0000A1630000}"/>
    <cellStyle name="Normal 8 2 7 3" xfId="3510" xr:uid="{00000000-0005-0000-0000-0000A2630000}"/>
    <cellStyle name="Normal 8 2 7 3 2" xfId="7736" xr:uid="{00000000-0005-0000-0000-0000A3630000}"/>
    <cellStyle name="Normal 8 2 7 3 2 2" xfId="16184" xr:uid="{00000000-0005-0000-0000-0000A4630000}"/>
    <cellStyle name="Normal 8 2 7 3 2 2 2" xfId="33124" xr:uid="{00000000-0005-0000-0000-0000A5630000}"/>
    <cellStyle name="Normal 8 2 7 3 2 3" xfId="24676" xr:uid="{00000000-0005-0000-0000-0000A6630000}"/>
    <cellStyle name="Normal 8 2 7 3 3" xfId="11960" xr:uid="{00000000-0005-0000-0000-0000A7630000}"/>
    <cellStyle name="Normal 8 2 7 3 3 2" xfId="28900" xr:uid="{00000000-0005-0000-0000-0000A8630000}"/>
    <cellStyle name="Normal 8 2 7 3 4" xfId="20452" xr:uid="{00000000-0005-0000-0000-0000A9630000}"/>
    <cellStyle name="Normal 8 2 7 4" xfId="5624" xr:uid="{00000000-0005-0000-0000-0000AA630000}"/>
    <cellStyle name="Normal 8 2 7 4 2" xfId="14072" xr:uid="{00000000-0005-0000-0000-0000AB630000}"/>
    <cellStyle name="Normal 8 2 7 4 2 2" xfId="31012" xr:uid="{00000000-0005-0000-0000-0000AC630000}"/>
    <cellStyle name="Normal 8 2 7 4 3" xfId="22564" xr:uid="{00000000-0005-0000-0000-0000AD630000}"/>
    <cellStyle name="Normal 8 2 7 5" xfId="9848" xr:uid="{00000000-0005-0000-0000-0000AE630000}"/>
    <cellStyle name="Normal 8 2 7 5 2" xfId="26788" xr:uid="{00000000-0005-0000-0000-0000AF630000}"/>
    <cellStyle name="Normal 8 2 7 6" xfId="18340" xr:uid="{00000000-0005-0000-0000-0000B0630000}"/>
    <cellStyle name="Normal 8 2 8" xfId="1574" xr:uid="{00000000-0005-0000-0000-0000B1630000}"/>
    <cellStyle name="Normal 8 2 8 2" xfId="3686" xr:uid="{00000000-0005-0000-0000-0000B2630000}"/>
    <cellStyle name="Normal 8 2 8 2 2" xfId="7912" xr:uid="{00000000-0005-0000-0000-0000B3630000}"/>
    <cellStyle name="Normal 8 2 8 2 2 2" xfId="16360" xr:uid="{00000000-0005-0000-0000-0000B4630000}"/>
    <cellStyle name="Normal 8 2 8 2 2 2 2" xfId="33300" xr:uid="{00000000-0005-0000-0000-0000B5630000}"/>
    <cellStyle name="Normal 8 2 8 2 2 3" xfId="24852" xr:uid="{00000000-0005-0000-0000-0000B6630000}"/>
    <cellStyle name="Normal 8 2 8 2 3" xfId="12136" xr:uid="{00000000-0005-0000-0000-0000B7630000}"/>
    <cellStyle name="Normal 8 2 8 2 3 2" xfId="29076" xr:uid="{00000000-0005-0000-0000-0000B8630000}"/>
    <cellStyle name="Normal 8 2 8 2 4" xfId="20628" xr:uid="{00000000-0005-0000-0000-0000B9630000}"/>
    <cellStyle name="Normal 8 2 8 3" xfId="5800" xr:uid="{00000000-0005-0000-0000-0000BA630000}"/>
    <cellStyle name="Normal 8 2 8 3 2" xfId="14248" xr:uid="{00000000-0005-0000-0000-0000BB630000}"/>
    <cellStyle name="Normal 8 2 8 3 2 2" xfId="31188" xr:uid="{00000000-0005-0000-0000-0000BC630000}"/>
    <cellStyle name="Normal 8 2 8 3 3" xfId="22740" xr:uid="{00000000-0005-0000-0000-0000BD630000}"/>
    <cellStyle name="Normal 8 2 8 4" xfId="10024" xr:uid="{00000000-0005-0000-0000-0000BE630000}"/>
    <cellStyle name="Normal 8 2 8 4 2" xfId="26964" xr:uid="{00000000-0005-0000-0000-0000BF630000}"/>
    <cellStyle name="Normal 8 2 8 5" xfId="18516" xr:uid="{00000000-0005-0000-0000-0000C0630000}"/>
    <cellStyle name="Normal 8 2 9" xfId="2630" xr:uid="{00000000-0005-0000-0000-0000C1630000}"/>
    <cellStyle name="Normal 8 2 9 2" xfId="6856" xr:uid="{00000000-0005-0000-0000-0000C2630000}"/>
    <cellStyle name="Normal 8 2 9 2 2" xfId="15304" xr:uid="{00000000-0005-0000-0000-0000C3630000}"/>
    <cellStyle name="Normal 8 2 9 2 2 2" xfId="32244" xr:uid="{00000000-0005-0000-0000-0000C4630000}"/>
    <cellStyle name="Normal 8 2 9 2 3" xfId="23796" xr:uid="{00000000-0005-0000-0000-0000C5630000}"/>
    <cellStyle name="Normal 8 2 9 3" xfId="11080" xr:uid="{00000000-0005-0000-0000-0000C6630000}"/>
    <cellStyle name="Normal 8 2 9 3 2" xfId="28020" xr:uid="{00000000-0005-0000-0000-0000C7630000}"/>
    <cellStyle name="Normal 8 2 9 4" xfId="19572" xr:uid="{00000000-0005-0000-0000-0000C8630000}"/>
    <cellStyle name="Normal 8 3" xfId="399" xr:uid="{00000000-0005-0000-0000-0000C9630000}"/>
    <cellStyle name="Normal 8 3 10" xfId="4746" xr:uid="{00000000-0005-0000-0000-0000CA630000}"/>
    <cellStyle name="Normal 8 3 10 2" xfId="13195" xr:uid="{00000000-0005-0000-0000-0000CB630000}"/>
    <cellStyle name="Normal 8 3 10 2 2" xfId="30135" xr:uid="{00000000-0005-0000-0000-0000CC630000}"/>
    <cellStyle name="Normal 8 3 10 3" xfId="21687" xr:uid="{00000000-0005-0000-0000-0000CD630000}"/>
    <cellStyle name="Normal 8 3 11" xfId="8971" xr:uid="{00000000-0005-0000-0000-0000CE630000}"/>
    <cellStyle name="Normal 8 3 11 2" xfId="25911" xr:uid="{00000000-0005-0000-0000-0000CF630000}"/>
    <cellStyle name="Normal 8 3 12" xfId="17463" xr:uid="{00000000-0005-0000-0000-0000D0630000}"/>
    <cellStyle name="Normal 8 3 2" xfId="400" xr:uid="{00000000-0005-0000-0000-0000D1630000}"/>
    <cellStyle name="Normal 8 3 2 10" xfId="17464" xr:uid="{00000000-0005-0000-0000-0000D2630000}"/>
    <cellStyle name="Normal 8 3 2 2" xfId="692" xr:uid="{00000000-0005-0000-0000-0000D3630000}"/>
    <cellStyle name="Normal 8 3 2 2 2" xfId="1044" xr:uid="{00000000-0005-0000-0000-0000D4630000}"/>
    <cellStyle name="Normal 8 3 2 2 2 2" xfId="2106" xr:uid="{00000000-0005-0000-0000-0000D5630000}"/>
    <cellStyle name="Normal 8 3 2 2 2 2 2" xfId="4218" xr:uid="{00000000-0005-0000-0000-0000D6630000}"/>
    <cellStyle name="Normal 8 3 2 2 2 2 2 2" xfId="8444" xr:uid="{00000000-0005-0000-0000-0000D7630000}"/>
    <cellStyle name="Normal 8 3 2 2 2 2 2 2 2" xfId="16892" xr:uid="{00000000-0005-0000-0000-0000D8630000}"/>
    <cellStyle name="Normal 8 3 2 2 2 2 2 2 2 2" xfId="33832" xr:uid="{00000000-0005-0000-0000-0000D9630000}"/>
    <cellStyle name="Normal 8 3 2 2 2 2 2 2 3" xfId="25384" xr:uid="{00000000-0005-0000-0000-0000DA630000}"/>
    <cellStyle name="Normal 8 3 2 2 2 2 2 3" xfId="12668" xr:uid="{00000000-0005-0000-0000-0000DB630000}"/>
    <cellStyle name="Normal 8 3 2 2 2 2 2 3 2" xfId="29608" xr:uid="{00000000-0005-0000-0000-0000DC630000}"/>
    <cellStyle name="Normal 8 3 2 2 2 2 2 4" xfId="21160" xr:uid="{00000000-0005-0000-0000-0000DD630000}"/>
    <cellStyle name="Normal 8 3 2 2 2 2 3" xfId="6332" xr:uid="{00000000-0005-0000-0000-0000DE630000}"/>
    <cellStyle name="Normal 8 3 2 2 2 2 3 2" xfId="14780" xr:uid="{00000000-0005-0000-0000-0000DF630000}"/>
    <cellStyle name="Normal 8 3 2 2 2 2 3 2 2" xfId="31720" xr:uid="{00000000-0005-0000-0000-0000E0630000}"/>
    <cellStyle name="Normal 8 3 2 2 2 2 3 3" xfId="23272" xr:uid="{00000000-0005-0000-0000-0000E1630000}"/>
    <cellStyle name="Normal 8 3 2 2 2 2 4" xfId="10556" xr:uid="{00000000-0005-0000-0000-0000E2630000}"/>
    <cellStyle name="Normal 8 3 2 2 2 2 4 2" xfId="27496" xr:uid="{00000000-0005-0000-0000-0000E3630000}"/>
    <cellStyle name="Normal 8 3 2 2 2 2 5" xfId="19048" xr:uid="{00000000-0005-0000-0000-0000E4630000}"/>
    <cellStyle name="Normal 8 3 2 2 2 3" xfId="3162" xr:uid="{00000000-0005-0000-0000-0000E5630000}"/>
    <cellStyle name="Normal 8 3 2 2 2 3 2" xfId="7388" xr:uid="{00000000-0005-0000-0000-0000E6630000}"/>
    <cellStyle name="Normal 8 3 2 2 2 3 2 2" xfId="15836" xr:uid="{00000000-0005-0000-0000-0000E7630000}"/>
    <cellStyle name="Normal 8 3 2 2 2 3 2 2 2" xfId="32776" xr:uid="{00000000-0005-0000-0000-0000E8630000}"/>
    <cellStyle name="Normal 8 3 2 2 2 3 2 3" xfId="24328" xr:uid="{00000000-0005-0000-0000-0000E9630000}"/>
    <cellStyle name="Normal 8 3 2 2 2 3 3" xfId="11612" xr:uid="{00000000-0005-0000-0000-0000EA630000}"/>
    <cellStyle name="Normal 8 3 2 2 2 3 3 2" xfId="28552" xr:uid="{00000000-0005-0000-0000-0000EB630000}"/>
    <cellStyle name="Normal 8 3 2 2 2 3 4" xfId="20104" xr:uid="{00000000-0005-0000-0000-0000EC630000}"/>
    <cellStyle name="Normal 8 3 2 2 2 4" xfId="5276" xr:uid="{00000000-0005-0000-0000-0000ED630000}"/>
    <cellStyle name="Normal 8 3 2 2 2 4 2" xfId="13724" xr:uid="{00000000-0005-0000-0000-0000EE630000}"/>
    <cellStyle name="Normal 8 3 2 2 2 4 2 2" xfId="30664" xr:uid="{00000000-0005-0000-0000-0000EF630000}"/>
    <cellStyle name="Normal 8 3 2 2 2 4 3" xfId="22216" xr:uid="{00000000-0005-0000-0000-0000F0630000}"/>
    <cellStyle name="Normal 8 3 2 2 2 5" xfId="9500" xr:uid="{00000000-0005-0000-0000-0000F1630000}"/>
    <cellStyle name="Normal 8 3 2 2 2 5 2" xfId="26440" xr:uid="{00000000-0005-0000-0000-0000F2630000}"/>
    <cellStyle name="Normal 8 3 2 2 2 6" xfId="17992" xr:uid="{00000000-0005-0000-0000-0000F3630000}"/>
    <cellStyle name="Normal 8 3 2 2 3" xfId="1754" xr:uid="{00000000-0005-0000-0000-0000F4630000}"/>
    <cellStyle name="Normal 8 3 2 2 3 2" xfId="3866" xr:uid="{00000000-0005-0000-0000-0000F5630000}"/>
    <cellStyle name="Normal 8 3 2 2 3 2 2" xfId="8092" xr:uid="{00000000-0005-0000-0000-0000F6630000}"/>
    <cellStyle name="Normal 8 3 2 2 3 2 2 2" xfId="16540" xr:uid="{00000000-0005-0000-0000-0000F7630000}"/>
    <cellStyle name="Normal 8 3 2 2 3 2 2 2 2" xfId="33480" xr:uid="{00000000-0005-0000-0000-0000F8630000}"/>
    <cellStyle name="Normal 8 3 2 2 3 2 2 3" xfId="25032" xr:uid="{00000000-0005-0000-0000-0000F9630000}"/>
    <cellStyle name="Normal 8 3 2 2 3 2 3" xfId="12316" xr:uid="{00000000-0005-0000-0000-0000FA630000}"/>
    <cellStyle name="Normal 8 3 2 2 3 2 3 2" xfId="29256" xr:uid="{00000000-0005-0000-0000-0000FB630000}"/>
    <cellStyle name="Normal 8 3 2 2 3 2 4" xfId="20808" xr:uid="{00000000-0005-0000-0000-0000FC630000}"/>
    <cellStyle name="Normal 8 3 2 2 3 3" xfId="5980" xr:uid="{00000000-0005-0000-0000-0000FD630000}"/>
    <cellStyle name="Normal 8 3 2 2 3 3 2" xfId="14428" xr:uid="{00000000-0005-0000-0000-0000FE630000}"/>
    <cellStyle name="Normal 8 3 2 2 3 3 2 2" xfId="31368" xr:uid="{00000000-0005-0000-0000-0000FF630000}"/>
    <cellStyle name="Normal 8 3 2 2 3 3 3" xfId="22920" xr:uid="{00000000-0005-0000-0000-000000640000}"/>
    <cellStyle name="Normal 8 3 2 2 3 4" xfId="10204" xr:uid="{00000000-0005-0000-0000-000001640000}"/>
    <cellStyle name="Normal 8 3 2 2 3 4 2" xfId="27144" xr:uid="{00000000-0005-0000-0000-000002640000}"/>
    <cellStyle name="Normal 8 3 2 2 3 5" xfId="18696" xr:uid="{00000000-0005-0000-0000-000003640000}"/>
    <cellStyle name="Normal 8 3 2 2 4" xfId="2810" xr:uid="{00000000-0005-0000-0000-000004640000}"/>
    <cellStyle name="Normal 8 3 2 2 4 2" xfId="7036" xr:uid="{00000000-0005-0000-0000-000005640000}"/>
    <cellStyle name="Normal 8 3 2 2 4 2 2" xfId="15484" xr:uid="{00000000-0005-0000-0000-000006640000}"/>
    <cellStyle name="Normal 8 3 2 2 4 2 2 2" xfId="32424" xr:uid="{00000000-0005-0000-0000-000007640000}"/>
    <cellStyle name="Normal 8 3 2 2 4 2 3" xfId="23976" xr:uid="{00000000-0005-0000-0000-000008640000}"/>
    <cellStyle name="Normal 8 3 2 2 4 3" xfId="11260" xr:uid="{00000000-0005-0000-0000-000009640000}"/>
    <cellStyle name="Normal 8 3 2 2 4 3 2" xfId="28200" xr:uid="{00000000-0005-0000-0000-00000A640000}"/>
    <cellStyle name="Normal 8 3 2 2 4 4" xfId="19752" xr:uid="{00000000-0005-0000-0000-00000B640000}"/>
    <cellStyle name="Normal 8 3 2 2 5" xfId="4924" xr:uid="{00000000-0005-0000-0000-00000C640000}"/>
    <cellStyle name="Normal 8 3 2 2 5 2" xfId="13372" xr:uid="{00000000-0005-0000-0000-00000D640000}"/>
    <cellStyle name="Normal 8 3 2 2 5 2 2" xfId="30312" xr:uid="{00000000-0005-0000-0000-00000E640000}"/>
    <cellStyle name="Normal 8 3 2 2 5 3" xfId="21864" xr:uid="{00000000-0005-0000-0000-00000F640000}"/>
    <cellStyle name="Normal 8 3 2 2 6" xfId="9148" xr:uid="{00000000-0005-0000-0000-000010640000}"/>
    <cellStyle name="Normal 8 3 2 2 6 2" xfId="26088" xr:uid="{00000000-0005-0000-0000-000011640000}"/>
    <cellStyle name="Normal 8 3 2 2 7" xfId="17640" xr:uid="{00000000-0005-0000-0000-000012640000}"/>
    <cellStyle name="Normal 8 3 2 3" xfId="868" xr:uid="{00000000-0005-0000-0000-000013640000}"/>
    <cellStyle name="Normal 8 3 2 3 2" xfId="1930" xr:uid="{00000000-0005-0000-0000-000014640000}"/>
    <cellStyle name="Normal 8 3 2 3 2 2" xfId="4042" xr:uid="{00000000-0005-0000-0000-000015640000}"/>
    <cellStyle name="Normal 8 3 2 3 2 2 2" xfId="8268" xr:uid="{00000000-0005-0000-0000-000016640000}"/>
    <cellStyle name="Normal 8 3 2 3 2 2 2 2" xfId="16716" xr:uid="{00000000-0005-0000-0000-000017640000}"/>
    <cellStyle name="Normal 8 3 2 3 2 2 2 2 2" xfId="33656" xr:uid="{00000000-0005-0000-0000-000018640000}"/>
    <cellStyle name="Normal 8 3 2 3 2 2 2 3" xfId="25208" xr:uid="{00000000-0005-0000-0000-000019640000}"/>
    <cellStyle name="Normal 8 3 2 3 2 2 3" xfId="12492" xr:uid="{00000000-0005-0000-0000-00001A640000}"/>
    <cellStyle name="Normal 8 3 2 3 2 2 3 2" xfId="29432" xr:uid="{00000000-0005-0000-0000-00001B640000}"/>
    <cellStyle name="Normal 8 3 2 3 2 2 4" xfId="20984" xr:uid="{00000000-0005-0000-0000-00001C640000}"/>
    <cellStyle name="Normal 8 3 2 3 2 3" xfId="6156" xr:uid="{00000000-0005-0000-0000-00001D640000}"/>
    <cellStyle name="Normal 8 3 2 3 2 3 2" xfId="14604" xr:uid="{00000000-0005-0000-0000-00001E640000}"/>
    <cellStyle name="Normal 8 3 2 3 2 3 2 2" xfId="31544" xr:uid="{00000000-0005-0000-0000-00001F640000}"/>
    <cellStyle name="Normal 8 3 2 3 2 3 3" xfId="23096" xr:uid="{00000000-0005-0000-0000-000020640000}"/>
    <cellStyle name="Normal 8 3 2 3 2 4" xfId="10380" xr:uid="{00000000-0005-0000-0000-000021640000}"/>
    <cellStyle name="Normal 8 3 2 3 2 4 2" xfId="27320" xr:uid="{00000000-0005-0000-0000-000022640000}"/>
    <cellStyle name="Normal 8 3 2 3 2 5" xfId="18872" xr:uid="{00000000-0005-0000-0000-000023640000}"/>
    <cellStyle name="Normal 8 3 2 3 3" xfId="2986" xr:uid="{00000000-0005-0000-0000-000024640000}"/>
    <cellStyle name="Normal 8 3 2 3 3 2" xfId="7212" xr:uid="{00000000-0005-0000-0000-000025640000}"/>
    <cellStyle name="Normal 8 3 2 3 3 2 2" xfId="15660" xr:uid="{00000000-0005-0000-0000-000026640000}"/>
    <cellStyle name="Normal 8 3 2 3 3 2 2 2" xfId="32600" xr:uid="{00000000-0005-0000-0000-000027640000}"/>
    <cellStyle name="Normal 8 3 2 3 3 2 3" xfId="24152" xr:uid="{00000000-0005-0000-0000-000028640000}"/>
    <cellStyle name="Normal 8 3 2 3 3 3" xfId="11436" xr:uid="{00000000-0005-0000-0000-000029640000}"/>
    <cellStyle name="Normal 8 3 2 3 3 3 2" xfId="28376" xr:uid="{00000000-0005-0000-0000-00002A640000}"/>
    <cellStyle name="Normal 8 3 2 3 3 4" xfId="19928" xr:uid="{00000000-0005-0000-0000-00002B640000}"/>
    <cellStyle name="Normal 8 3 2 3 4" xfId="5100" xr:uid="{00000000-0005-0000-0000-00002C640000}"/>
    <cellStyle name="Normal 8 3 2 3 4 2" xfId="13548" xr:uid="{00000000-0005-0000-0000-00002D640000}"/>
    <cellStyle name="Normal 8 3 2 3 4 2 2" xfId="30488" xr:uid="{00000000-0005-0000-0000-00002E640000}"/>
    <cellStyle name="Normal 8 3 2 3 4 3" xfId="22040" xr:uid="{00000000-0005-0000-0000-00002F640000}"/>
    <cellStyle name="Normal 8 3 2 3 5" xfId="9324" xr:uid="{00000000-0005-0000-0000-000030640000}"/>
    <cellStyle name="Normal 8 3 2 3 5 2" xfId="26264" xr:uid="{00000000-0005-0000-0000-000031640000}"/>
    <cellStyle name="Normal 8 3 2 3 6" xfId="17816" xr:uid="{00000000-0005-0000-0000-000032640000}"/>
    <cellStyle name="Normal 8 3 2 4" xfId="1220" xr:uid="{00000000-0005-0000-0000-000033640000}"/>
    <cellStyle name="Normal 8 3 2 4 2" xfId="2282" xr:uid="{00000000-0005-0000-0000-000034640000}"/>
    <cellStyle name="Normal 8 3 2 4 2 2" xfId="4394" xr:uid="{00000000-0005-0000-0000-000035640000}"/>
    <cellStyle name="Normal 8 3 2 4 2 2 2" xfId="8620" xr:uid="{00000000-0005-0000-0000-000036640000}"/>
    <cellStyle name="Normal 8 3 2 4 2 2 2 2" xfId="17068" xr:uid="{00000000-0005-0000-0000-000037640000}"/>
    <cellStyle name="Normal 8 3 2 4 2 2 2 2 2" xfId="34008" xr:uid="{00000000-0005-0000-0000-000038640000}"/>
    <cellStyle name="Normal 8 3 2 4 2 2 2 3" xfId="25560" xr:uid="{00000000-0005-0000-0000-000039640000}"/>
    <cellStyle name="Normal 8 3 2 4 2 2 3" xfId="12844" xr:uid="{00000000-0005-0000-0000-00003A640000}"/>
    <cellStyle name="Normal 8 3 2 4 2 2 3 2" xfId="29784" xr:uid="{00000000-0005-0000-0000-00003B640000}"/>
    <cellStyle name="Normal 8 3 2 4 2 2 4" xfId="21336" xr:uid="{00000000-0005-0000-0000-00003C640000}"/>
    <cellStyle name="Normal 8 3 2 4 2 3" xfId="6508" xr:uid="{00000000-0005-0000-0000-00003D640000}"/>
    <cellStyle name="Normal 8 3 2 4 2 3 2" xfId="14956" xr:uid="{00000000-0005-0000-0000-00003E640000}"/>
    <cellStyle name="Normal 8 3 2 4 2 3 2 2" xfId="31896" xr:uid="{00000000-0005-0000-0000-00003F640000}"/>
    <cellStyle name="Normal 8 3 2 4 2 3 3" xfId="23448" xr:uid="{00000000-0005-0000-0000-000040640000}"/>
    <cellStyle name="Normal 8 3 2 4 2 4" xfId="10732" xr:uid="{00000000-0005-0000-0000-000041640000}"/>
    <cellStyle name="Normal 8 3 2 4 2 4 2" xfId="27672" xr:uid="{00000000-0005-0000-0000-000042640000}"/>
    <cellStyle name="Normal 8 3 2 4 2 5" xfId="19224" xr:uid="{00000000-0005-0000-0000-000043640000}"/>
    <cellStyle name="Normal 8 3 2 4 3" xfId="3338" xr:uid="{00000000-0005-0000-0000-000044640000}"/>
    <cellStyle name="Normal 8 3 2 4 3 2" xfId="7564" xr:uid="{00000000-0005-0000-0000-000045640000}"/>
    <cellStyle name="Normal 8 3 2 4 3 2 2" xfId="16012" xr:uid="{00000000-0005-0000-0000-000046640000}"/>
    <cellStyle name="Normal 8 3 2 4 3 2 2 2" xfId="32952" xr:uid="{00000000-0005-0000-0000-000047640000}"/>
    <cellStyle name="Normal 8 3 2 4 3 2 3" xfId="24504" xr:uid="{00000000-0005-0000-0000-000048640000}"/>
    <cellStyle name="Normal 8 3 2 4 3 3" xfId="11788" xr:uid="{00000000-0005-0000-0000-000049640000}"/>
    <cellStyle name="Normal 8 3 2 4 3 3 2" xfId="28728" xr:uid="{00000000-0005-0000-0000-00004A640000}"/>
    <cellStyle name="Normal 8 3 2 4 3 4" xfId="20280" xr:uid="{00000000-0005-0000-0000-00004B640000}"/>
    <cellStyle name="Normal 8 3 2 4 4" xfId="5452" xr:uid="{00000000-0005-0000-0000-00004C640000}"/>
    <cellStyle name="Normal 8 3 2 4 4 2" xfId="13900" xr:uid="{00000000-0005-0000-0000-00004D640000}"/>
    <cellStyle name="Normal 8 3 2 4 4 2 2" xfId="30840" xr:uid="{00000000-0005-0000-0000-00004E640000}"/>
    <cellStyle name="Normal 8 3 2 4 4 3" xfId="22392" xr:uid="{00000000-0005-0000-0000-00004F640000}"/>
    <cellStyle name="Normal 8 3 2 4 5" xfId="9676" xr:uid="{00000000-0005-0000-0000-000050640000}"/>
    <cellStyle name="Normal 8 3 2 4 5 2" xfId="26616" xr:uid="{00000000-0005-0000-0000-000051640000}"/>
    <cellStyle name="Normal 8 3 2 4 6" xfId="18168" xr:uid="{00000000-0005-0000-0000-000052640000}"/>
    <cellStyle name="Normal 8 3 2 5" xfId="1402" xr:uid="{00000000-0005-0000-0000-000053640000}"/>
    <cellStyle name="Normal 8 3 2 5 2" xfId="2458" xr:uid="{00000000-0005-0000-0000-000054640000}"/>
    <cellStyle name="Normal 8 3 2 5 2 2" xfId="4570" xr:uid="{00000000-0005-0000-0000-000055640000}"/>
    <cellStyle name="Normal 8 3 2 5 2 2 2" xfId="8796" xr:uid="{00000000-0005-0000-0000-000056640000}"/>
    <cellStyle name="Normal 8 3 2 5 2 2 2 2" xfId="17244" xr:uid="{00000000-0005-0000-0000-000057640000}"/>
    <cellStyle name="Normal 8 3 2 5 2 2 2 2 2" xfId="34184" xr:uid="{00000000-0005-0000-0000-000058640000}"/>
    <cellStyle name="Normal 8 3 2 5 2 2 2 3" xfId="25736" xr:uid="{00000000-0005-0000-0000-000059640000}"/>
    <cellStyle name="Normal 8 3 2 5 2 2 3" xfId="13020" xr:uid="{00000000-0005-0000-0000-00005A640000}"/>
    <cellStyle name="Normal 8 3 2 5 2 2 3 2" xfId="29960" xr:uid="{00000000-0005-0000-0000-00005B640000}"/>
    <cellStyle name="Normal 8 3 2 5 2 2 4" xfId="21512" xr:uid="{00000000-0005-0000-0000-00005C640000}"/>
    <cellStyle name="Normal 8 3 2 5 2 3" xfId="6684" xr:uid="{00000000-0005-0000-0000-00005D640000}"/>
    <cellStyle name="Normal 8 3 2 5 2 3 2" xfId="15132" xr:uid="{00000000-0005-0000-0000-00005E640000}"/>
    <cellStyle name="Normal 8 3 2 5 2 3 2 2" xfId="32072" xr:uid="{00000000-0005-0000-0000-00005F640000}"/>
    <cellStyle name="Normal 8 3 2 5 2 3 3" xfId="23624" xr:uid="{00000000-0005-0000-0000-000060640000}"/>
    <cellStyle name="Normal 8 3 2 5 2 4" xfId="10908" xr:uid="{00000000-0005-0000-0000-000061640000}"/>
    <cellStyle name="Normal 8 3 2 5 2 4 2" xfId="27848" xr:uid="{00000000-0005-0000-0000-000062640000}"/>
    <cellStyle name="Normal 8 3 2 5 2 5" xfId="19400" xr:uid="{00000000-0005-0000-0000-000063640000}"/>
    <cellStyle name="Normal 8 3 2 5 3" xfId="3514" xr:uid="{00000000-0005-0000-0000-000064640000}"/>
    <cellStyle name="Normal 8 3 2 5 3 2" xfId="7740" xr:uid="{00000000-0005-0000-0000-000065640000}"/>
    <cellStyle name="Normal 8 3 2 5 3 2 2" xfId="16188" xr:uid="{00000000-0005-0000-0000-000066640000}"/>
    <cellStyle name="Normal 8 3 2 5 3 2 2 2" xfId="33128" xr:uid="{00000000-0005-0000-0000-000067640000}"/>
    <cellStyle name="Normal 8 3 2 5 3 2 3" xfId="24680" xr:uid="{00000000-0005-0000-0000-000068640000}"/>
    <cellStyle name="Normal 8 3 2 5 3 3" xfId="11964" xr:uid="{00000000-0005-0000-0000-000069640000}"/>
    <cellStyle name="Normal 8 3 2 5 3 3 2" xfId="28904" xr:uid="{00000000-0005-0000-0000-00006A640000}"/>
    <cellStyle name="Normal 8 3 2 5 3 4" xfId="20456" xr:uid="{00000000-0005-0000-0000-00006B640000}"/>
    <cellStyle name="Normal 8 3 2 5 4" xfId="5628" xr:uid="{00000000-0005-0000-0000-00006C640000}"/>
    <cellStyle name="Normal 8 3 2 5 4 2" xfId="14076" xr:uid="{00000000-0005-0000-0000-00006D640000}"/>
    <cellStyle name="Normal 8 3 2 5 4 2 2" xfId="31016" xr:uid="{00000000-0005-0000-0000-00006E640000}"/>
    <cellStyle name="Normal 8 3 2 5 4 3" xfId="22568" xr:uid="{00000000-0005-0000-0000-00006F640000}"/>
    <cellStyle name="Normal 8 3 2 5 5" xfId="9852" xr:uid="{00000000-0005-0000-0000-000070640000}"/>
    <cellStyle name="Normal 8 3 2 5 5 2" xfId="26792" xr:uid="{00000000-0005-0000-0000-000071640000}"/>
    <cellStyle name="Normal 8 3 2 5 6" xfId="18344" xr:uid="{00000000-0005-0000-0000-000072640000}"/>
    <cellStyle name="Normal 8 3 2 6" xfId="1578" xr:uid="{00000000-0005-0000-0000-000073640000}"/>
    <cellStyle name="Normal 8 3 2 6 2" xfId="3690" xr:uid="{00000000-0005-0000-0000-000074640000}"/>
    <cellStyle name="Normal 8 3 2 6 2 2" xfId="7916" xr:uid="{00000000-0005-0000-0000-000075640000}"/>
    <cellStyle name="Normal 8 3 2 6 2 2 2" xfId="16364" xr:uid="{00000000-0005-0000-0000-000076640000}"/>
    <cellStyle name="Normal 8 3 2 6 2 2 2 2" xfId="33304" xr:uid="{00000000-0005-0000-0000-000077640000}"/>
    <cellStyle name="Normal 8 3 2 6 2 2 3" xfId="24856" xr:uid="{00000000-0005-0000-0000-000078640000}"/>
    <cellStyle name="Normal 8 3 2 6 2 3" xfId="12140" xr:uid="{00000000-0005-0000-0000-000079640000}"/>
    <cellStyle name="Normal 8 3 2 6 2 3 2" xfId="29080" xr:uid="{00000000-0005-0000-0000-00007A640000}"/>
    <cellStyle name="Normal 8 3 2 6 2 4" xfId="20632" xr:uid="{00000000-0005-0000-0000-00007B640000}"/>
    <cellStyle name="Normal 8 3 2 6 3" xfId="5804" xr:uid="{00000000-0005-0000-0000-00007C640000}"/>
    <cellStyle name="Normal 8 3 2 6 3 2" xfId="14252" xr:uid="{00000000-0005-0000-0000-00007D640000}"/>
    <cellStyle name="Normal 8 3 2 6 3 2 2" xfId="31192" xr:uid="{00000000-0005-0000-0000-00007E640000}"/>
    <cellStyle name="Normal 8 3 2 6 3 3" xfId="22744" xr:uid="{00000000-0005-0000-0000-00007F640000}"/>
    <cellStyle name="Normal 8 3 2 6 4" xfId="10028" xr:uid="{00000000-0005-0000-0000-000080640000}"/>
    <cellStyle name="Normal 8 3 2 6 4 2" xfId="26968" xr:uid="{00000000-0005-0000-0000-000081640000}"/>
    <cellStyle name="Normal 8 3 2 6 5" xfId="18520" xr:uid="{00000000-0005-0000-0000-000082640000}"/>
    <cellStyle name="Normal 8 3 2 7" xfId="2634" xr:uid="{00000000-0005-0000-0000-000083640000}"/>
    <cellStyle name="Normal 8 3 2 7 2" xfId="6860" xr:uid="{00000000-0005-0000-0000-000084640000}"/>
    <cellStyle name="Normal 8 3 2 7 2 2" xfId="15308" xr:uid="{00000000-0005-0000-0000-000085640000}"/>
    <cellStyle name="Normal 8 3 2 7 2 2 2" xfId="32248" xr:uid="{00000000-0005-0000-0000-000086640000}"/>
    <cellStyle name="Normal 8 3 2 7 2 3" xfId="23800" xr:uid="{00000000-0005-0000-0000-000087640000}"/>
    <cellStyle name="Normal 8 3 2 7 3" xfId="11084" xr:uid="{00000000-0005-0000-0000-000088640000}"/>
    <cellStyle name="Normal 8 3 2 7 3 2" xfId="28024" xr:uid="{00000000-0005-0000-0000-000089640000}"/>
    <cellStyle name="Normal 8 3 2 7 4" xfId="19576" xr:uid="{00000000-0005-0000-0000-00008A640000}"/>
    <cellStyle name="Normal 8 3 2 8" xfId="4747" xr:uid="{00000000-0005-0000-0000-00008B640000}"/>
    <cellStyle name="Normal 8 3 2 8 2" xfId="13196" xr:uid="{00000000-0005-0000-0000-00008C640000}"/>
    <cellStyle name="Normal 8 3 2 8 2 2" xfId="30136" xr:uid="{00000000-0005-0000-0000-00008D640000}"/>
    <cellStyle name="Normal 8 3 2 8 3" xfId="21688" xr:uid="{00000000-0005-0000-0000-00008E640000}"/>
    <cellStyle name="Normal 8 3 2 9" xfId="8972" xr:uid="{00000000-0005-0000-0000-00008F640000}"/>
    <cellStyle name="Normal 8 3 2 9 2" xfId="25912" xr:uid="{00000000-0005-0000-0000-000090640000}"/>
    <cellStyle name="Normal 8 3 3" xfId="401" xr:uid="{00000000-0005-0000-0000-000091640000}"/>
    <cellStyle name="Normal 8 3 3 10" xfId="17465" xr:uid="{00000000-0005-0000-0000-000092640000}"/>
    <cellStyle name="Normal 8 3 3 2" xfId="693" xr:uid="{00000000-0005-0000-0000-000093640000}"/>
    <cellStyle name="Normal 8 3 3 2 2" xfId="1045" xr:uid="{00000000-0005-0000-0000-000094640000}"/>
    <cellStyle name="Normal 8 3 3 2 2 2" xfId="2107" xr:uid="{00000000-0005-0000-0000-000095640000}"/>
    <cellStyle name="Normal 8 3 3 2 2 2 2" xfId="4219" xr:uid="{00000000-0005-0000-0000-000096640000}"/>
    <cellStyle name="Normal 8 3 3 2 2 2 2 2" xfId="8445" xr:uid="{00000000-0005-0000-0000-000097640000}"/>
    <cellStyle name="Normal 8 3 3 2 2 2 2 2 2" xfId="16893" xr:uid="{00000000-0005-0000-0000-000098640000}"/>
    <cellStyle name="Normal 8 3 3 2 2 2 2 2 2 2" xfId="33833" xr:uid="{00000000-0005-0000-0000-000099640000}"/>
    <cellStyle name="Normal 8 3 3 2 2 2 2 2 3" xfId="25385" xr:uid="{00000000-0005-0000-0000-00009A640000}"/>
    <cellStyle name="Normal 8 3 3 2 2 2 2 3" xfId="12669" xr:uid="{00000000-0005-0000-0000-00009B640000}"/>
    <cellStyle name="Normal 8 3 3 2 2 2 2 3 2" xfId="29609" xr:uid="{00000000-0005-0000-0000-00009C640000}"/>
    <cellStyle name="Normal 8 3 3 2 2 2 2 4" xfId="21161" xr:uid="{00000000-0005-0000-0000-00009D640000}"/>
    <cellStyle name="Normal 8 3 3 2 2 2 3" xfId="6333" xr:uid="{00000000-0005-0000-0000-00009E640000}"/>
    <cellStyle name="Normal 8 3 3 2 2 2 3 2" xfId="14781" xr:uid="{00000000-0005-0000-0000-00009F640000}"/>
    <cellStyle name="Normal 8 3 3 2 2 2 3 2 2" xfId="31721" xr:uid="{00000000-0005-0000-0000-0000A0640000}"/>
    <cellStyle name="Normal 8 3 3 2 2 2 3 3" xfId="23273" xr:uid="{00000000-0005-0000-0000-0000A1640000}"/>
    <cellStyle name="Normal 8 3 3 2 2 2 4" xfId="10557" xr:uid="{00000000-0005-0000-0000-0000A2640000}"/>
    <cellStyle name="Normal 8 3 3 2 2 2 4 2" xfId="27497" xr:uid="{00000000-0005-0000-0000-0000A3640000}"/>
    <cellStyle name="Normal 8 3 3 2 2 2 5" xfId="19049" xr:uid="{00000000-0005-0000-0000-0000A4640000}"/>
    <cellStyle name="Normal 8 3 3 2 2 3" xfId="3163" xr:uid="{00000000-0005-0000-0000-0000A5640000}"/>
    <cellStyle name="Normal 8 3 3 2 2 3 2" xfId="7389" xr:uid="{00000000-0005-0000-0000-0000A6640000}"/>
    <cellStyle name="Normal 8 3 3 2 2 3 2 2" xfId="15837" xr:uid="{00000000-0005-0000-0000-0000A7640000}"/>
    <cellStyle name="Normal 8 3 3 2 2 3 2 2 2" xfId="32777" xr:uid="{00000000-0005-0000-0000-0000A8640000}"/>
    <cellStyle name="Normal 8 3 3 2 2 3 2 3" xfId="24329" xr:uid="{00000000-0005-0000-0000-0000A9640000}"/>
    <cellStyle name="Normal 8 3 3 2 2 3 3" xfId="11613" xr:uid="{00000000-0005-0000-0000-0000AA640000}"/>
    <cellStyle name="Normal 8 3 3 2 2 3 3 2" xfId="28553" xr:uid="{00000000-0005-0000-0000-0000AB640000}"/>
    <cellStyle name="Normal 8 3 3 2 2 3 4" xfId="20105" xr:uid="{00000000-0005-0000-0000-0000AC640000}"/>
    <cellStyle name="Normal 8 3 3 2 2 4" xfId="5277" xr:uid="{00000000-0005-0000-0000-0000AD640000}"/>
    <cellStyle name="Normal 8 3 3 2 2 4 2" xfId="13725" xr:uid="{00000000-0005-0000-0000-0000AE640000}"/>
    <cellStyle name="Normal 8 3 3 2 2 4 2 2" xfId="30665" xr:uid="{00000000-0005-0000-0000-0000AF640000}"/>
    <cellStyle name="Normal 8 3 3 2 2 4 3" xfId="22217" xr:uid="{00000000-0005-0000-0000-0000B0640000}"/>
    <cellStyle name="Normal 8 3 3 2 2 5" xfId="9501" xr:uid="{00000000-0005-0000-0000-0000B1640000}"/>
    <cellStyle name="Normal 8 3 3 2 2 5 2" xfId="26441" xr:uid="{00000000-0005-0000-0000-0000B2640000}"/>
    <cellStyle name="Normal 8 3 3 2 2 6" xfId="17993" xr:uid="{00000000-0005-0000-0000-0000B3640000}"/>
    <cellStyle name="Normal 8 3 3 2 3" xfId="1755" xr:uid="{00000000-0005-0000-0000-0000B4640000}"/>
    <cellStyle name="Normal 8 3 3 2 3 2" xfId="3867" xr:uid="{00000000-0005-0000-0000-0000B5640000}"/>
    <cellStyle name="Normal 8 3 3 2 3 2 2" xfId="8093" xr:uid="{00000000-0005-0000-0000-0000B6640000}"/>
    <cellStyle name="Normal 8 3 3 2 3 2 2 2" xfId="16541" xr:uid="{00000000-0005-0000-0000-0000B7640000}"/>
    <cellStyle name="Normal 8 3 3 2 3 2 2 2 2" xfId="33481" xr:uid="{00000000-0005-0000-0000-0000B8640000}"/>
    <cellStyle name="Normal 8 3 3 2 3 2 2 3" xfId="25033" xr:uid="{00000000-0005-0000-0000-0000B9640000}"/>
    <cellStyle name="Normal 8 3 3 2 3 2 3" xfId="12317" xr:uid="{00000000-0005-0000-0000-0000BA640000}"/>
    <cellStyle name="Normal 8 3 3 2 3 2 3 2" xfId="29257" xr:uid="{00000000-0005-0000-0000-0000BB640000}"/>
    <cellStyle name="Normal 8 3 3 2 3 2 4" xfId="20809" xr:uid="{00000000-0005-0000-0000-0000BC640000}"/>
    <cellStyle name="Normal 8 3 3 2 3 3" xfId="5981" xr:uid="{00000000-0005-0000-0000-0000BD640000}"/>
    <cellStyle name="Normal 8 3 3 2 3 3 2" xfId="14429" xr:uid="{00000000-0005-0000-0000-0000BE640000}"/>
    <cellStyle name="Normal 8 3 3 2 3 3 2 2" xfId="31369" xr:uid="{00000000-0005-0000-0000-0000BF640000}"/>
    <cellStyle name="Normal 8 3 3 2 3 3 3" xfId="22921" xr:uid="{00000000-0005-0000-0000-0000C0640000}"/>
    <cellStyle name="Normal 8 3 3 2 3 4" xfId="10205" xr:uid="{00000000-0005-0000-0000-0000C1640000}"/>
    <cellStyle name="Normal 8 3 3 2 3 4 2" xfId="27145" xr:uid="{00000000-0005-0000-0000-0000C2640000}"/>
    <cellStyle name="Normal 8 3 3 2 3 5" xfId="18697" xr:uid="{00000000-0005-0000-0000-0000C3640000}"/>
    <cellStyle name="Normal 8 3 3 2 4" xfId="2811" xr:uid="{00000000-0005-0000-0000-0000C4640000}"/>
    <cellStyle name="Normal 8 3 3 2 4 2" xfId="7037" xr:uid="{00000000-0005-0000-0000-0000C5640000}"/>
    <cellStyle name="Normal 8 3 3 2 4 2 2" xfId="15485" xr:uid="{00000000-0005-0000-0000-0000C6640000}"/>
    <cellStyle name="Normal 8 3 3 2 4 2 2 2" xfId="32425" xr:uid="{00000000-0005-0000-0000-0000C7640000}"/>
    <cellStyle name="Normal 8 3 3 2 4 2 3" xfId="23977" xr:uid="{00000000-0005-0000-0000-0000C8640000}"/>
    <cellStyle name="Normal 8 3 3 2 4 3" xfId="11261" xr:uid="{00000000-0005-0000-0000-0000C9640000}"/>
    <cellStyle name="Normal 8 3 3 2 4 3 2" xfId="28201" xr:uid="{00000000-0005-0000-0000-0000CA640000}"/>
    <cellStyle name="Normal 8 3 3 2 4 4" xfId="19753" xr:uid="{00000000-0005-0000-0000-0000CB640000}"/>
    <cellStyle name="Normal 8 3 3 2 5" xfId="4925" xr:uid="{00000000-0005-0000-0000-0000CC640000}"/>
    <cellStyle name="Normal 8 3 3 2 5 2" xfId="13373" xr:uid="{00000000-0005-0000-0000-0000CD640000}"/>
    <cellStyle name="Normal 8 3 3 2 5 2 2" xfId="30313" xr:uid="{00000000-0005-0000-0000-0000CE640000}"/>
    <cellStyle name="Normal 8 3 3 2 5 3" xfId="21865" xr:uid="{00000000-0005-0000-0000-0000CF640000}"/>
    <cellStyle name="Normal 8 3 3 2 6" xfId="9149" xr:uid="{00000000-0005-0000-0000-0000D0640000}"/>
    <cellStyle name="Normal 8 3 3 2 6 2" xfId="26089" xr:uid="{00000000-0005-0000-0000-0000D1640000}"/>
    <cellStyle name="Normal 8 3 3 2 7" xfId="17641" xr:uid="{00000000-0005-0000-0000-0000D2640000}"/>
    <cellStyle name="Normal 8 3 3 3" xfId="869" xr:uid="{00000000-0005-0000-0000-0000D3640000}"/>
    <cellStyle name="Normal 8 3 3 3 2" xfId="1931" xr:uid="{00000000-0005-0000-0000-0000D4640000}"/>
    <cellStyle name="Normal 8 3 3 3 2 2" xfId="4043" xr:uid="{00000000-0005-0000-0000-0000D5640000}"/>
    <cellStyle name="Normal 8 3 3 3 2 2 2" xfId="8269" xr:uid="{00000000-0005-0000-0000-0000D6640000}"/>
    <cellStyle name="Normal 8 3 3 3 2 2 2 2" xfId="16717" xr:uid="{00000000-0005-0000-0000-0000D7640000}"/>
    <cellStyle name="Normal 8 3 3 3 2 2 2 2 2" xfId="33657" xr:uid="{00000000-0005-0000-0000-0000D8640000}"/>
    <cellStyle name="Normal 8 3 3 3 2 2 2 3" xfId="25209" xr:uid="{00000000-0005-0000-0000-0000D9640000}"/>
    <cellStyle name="Normal 8 3 3 3 2 2 3" xfId="12493" xr:uid="{00000000-0005-0000-0000-0000DA640000}"/>
    <cellStyle name="Normal 8 3 3 3 2 2 3 2" xfId="29433" xr:uid="{00000000-0005-0000-0000-0000DB640000}"/>
    <cellStyle name="Normal 8 3 3 3 2 2 4" xfId="20985" xr:uid="{00000000-0005-0000-0000-0000DC640000}"/>
    <cellStyle name="Normal 8 3 3 3 2 3" xfId="6157" xr:uid="{00000000-0005-0000-0000-0000DD640000}"/>
    <cellStyle name="Normal 8 3 3 3 2 3 2" xfId="14605" xr:uid="{00000000-0005-0000-0000-0000DE640000}"/>
    <cellStyle name="Normal 8 3 3 3 2 3 2 2" xfId="31545" xr:uid="{00000000-0005-0000-0000-0000DF640000}"/>
    <cellStyle name="Normal 8 3 3 3 2 3 3" xfId="23097" xr:uid="{00000000-0005-0000-0000-0000E0640000}"/>
    <cellStyle name="Normal 8 3 3 3 2 4" xfId="10381" xr:uid="{00000000-0005-0000-0000-0000E1640000}"/>
    <cellStyle name="Normal 8 3 3 3 2 4 2" xfId="27321" xr:uid="{00000000-0005-0000-0000-0000E2640000}"/>
    <cellStyle name="Normal 8 3 3 3 2 5" xfId="18873" xr:uid="{00000000-0005-0000-0000-0000E3640000}"/>
    <cellStyle name="Normal 8 3 3 3 3" xfId="2987" xr:uid="{00000000-0005-0000-0000-0000E4640000}"/>
    <cellStyle name="Normal 8 3 3 3 3 2" xfId="7213" xr:uid="{00000000-0005-0000-0000-0000E5640000}"/>
    <cellStyle name="Normal 8 3 3 3 3 2 2" xfId="15661" xr:uid="{00000000-0005-0000-0000-0000E6640000}"/>
    <cellStyle name="Normal 8 3 3 3 3 2 2 2" xfId="32601" xr:uid="{00000000-0005-0000-0000-0000E7640000}"/>
    <cellStyle name="Normal 8 3 3 3 3 2 3" xfId="24153" xr:uid="{00000000-0005-0000-0000-0000E8640000}"/>
    <cellStyle name="Normal 8 3 3 3 3 3" xfId="11437" xr:uid="{00000000-0005-0000-0000-0000E9640000}"/>
    <cellStyle name="Normal 8 3 3 3 3 3 2" xfId="28377" xr:uid="{00000000-0005-0000-0000-0000EA640000}"/>
    <cellStyle name="Normal 8 3 3 3 3 4" xfId="19929" xr:uid="{00000000-0005-0000-0000-0000EB640000}"/>
    <cellStyle name="Normal 8 3 3 3 4" xfId="5101" xr:uid="{00000000-0005-0000-0000-0000EC640000}"/>
    <cellStyle name="Normal 8 3 3 3 4 2" xfId="13549" xr:uid="{00000000-0005-0000-0000-0000ED640000}"/>
    <cellStyle name="Normal 8 3 3 3 4 2 2" xfId="30489" xr:uid="{00000000-0005-0000-0000-0000EE640000}"/>
    <cellStyle name="Normal 8 3 3 3 4 3" xfId="22041" xr:uid="{00000000-0005-0000-0000-0000EF640000}"/>
    <cellStyle name="Normal 8 3 3 3 5" xfId="9325" xr:uid="{00000000-0005-0000-0000-0000F0640000}"/>
    <cellStyle name="Normal 8 3 3 3 5 2" xfId="26265" xr:uid="{00000000-0005-0000-0000-0000F1640000}"/>
    <cellStyle name="Normal 8 3 3 3 6" xfId="17817" xr:uid="{00000000-0005-0000-0000-0000F2640000}"/>
    <cellStyle name="Normal 8 3 3 4" xfId="1221" xr:uid="{00000000-0005-0000-0000-0000F3640000}"/>
    <cellStyle name="Normal 8 3 3 4 2" xfId="2283" xr:uid="{00000000-0005-0000-0000-0000F4640000}"/>
    <cellStyle name="Normal 8 3 3 4 2 2" xfId="4395" xr:uid="{00000000-0005-0000-0000-0000F5640000}"/>
    <cellStyle name="Normal 8 3 3 4 2 2 2" xfId="8621" xr:uid="{00000000-0005-0000-0000-0000F6640000}"/>
    <cellStyle name="Normal 8 3 3 4 2 2 2 2" xfId="17069" xr:uid="{00000000-0005-0000-0000-0000F7640000}"/>
    <cellStyle name="Normal 8 3 3 4 2 2 2 2 2" xfId="34009" xr:uid="{00000000-0005-0000-0000-0000F8640000}"/>
    <cellStyle name="Normal 8 3 3 4 2 2 2 3" xfId="25561" xr:uid="{00000000-0005-0000-0000-0000F9640000}"/>
    <cellStyle name="Normal 8 3 3 4 2 2 3" xfId="12845" xr:uid="{00000000-0005-0000-0000-0000FA640000}"/>
    <cellStyle name="Normal 8 3 3 4 2 2 3 2" xfId="29785" xr:uid="{00000000-0005-0000-0000-0000FB640000}"/>
    <cellStyle name="Normal 8 3 3 4 2 2 4" xfId="21337" xr:uid="{00000000-0005-0000-0000-0000FC640000}"/>
    <cellStyle name="Normal 8 3 3 4 2 3" xfId="6509" xr:uid="{00000000-0005-0000-0000-0000FD640000}"/>
    <cellStyle name="Normal 8 3 3 4 2 3 2" xfId="14957" xr:uid="{00000000-0005-0000-0000-0000FE640000}"/>
    <cellStyle name="Normal 8 3 3 4 2 3 2 2" xfId="31897" xr:uid="{00000000-0005-0000-0000-0000FF640000}"/>
    <cellStyle name="Normal 8 3 3 4 2 3 3" xfId="23449" xr:uid="{00000000-0005-0000-0000-000000650000}"/>
    <cellStyle name="Normal 8 3 3 4 2 4" xfId="10733" xr:uid="{00000000-0005-0000-0000-000001650000}"/>
    <cellStyle name="Normal 8 3 3 4 2 4 2" xfId="27673" xr:uid="{00000000-0005-0000-0000-000002650000}"/>
    <cellStyle name="Normal 8 3 3 4 2 5" xfId="19225" xr:uid="{00000000-0005-0000-0000-000003650000}"/>
    <cellStyle name="Normal 8 3 3 4 3" xfId="3339" xr:uid="{00000000-0005-0000-0000-000004650000}"/>
    <cellStyle name="Normal 8 3 3 4 3 2" xfId="7565" xr:uid="{00000000-0005-0000-0000-000005650000}"/>
    <cellStyle name="Normal 8 3 3 4 3 2 2" xfId="16013" xr:uid="{00000000-0005-0000-0000-000006650000}"/>
    <cellStyle name="Normal 8 3 3 4 3 2 2 2" xfId="32953" xr:uid="{00000000-0005-0000-0000-000007650000}"/>
    <cellStyle name="Normal 8 3 3 4 3 2 3" xfId="24505" xr:uid="{00000000-0005-0000-0000-000008650000}"/>
    <cellStyle name="Normal 8 3 3 4 3 3" xfId="11789" xr:uid="{00000000-0005-0000-0000-000009650000}"/>
    <cellStyle name="Normal 8 3 3 4 3 3 2" xfId="28729" xr:uid="{00000000-0005-0000-0000-00000A650000}"/>
    <cellStyle name="Normal 8 3 3 4 3 4" xfId="20281" xr:uid="{00000000-0005-0000-0000-00000B650000}"/>
    <cellStyle name="Normal 8 3 3 4 4" xfId="5453" xr:uid="{00000000-0005-0000-0000-00000C650000}"/>
    <cellStyle name="Normal 8 3 3 4 4 2" xfId="13901" xr:uid="{00000000-0005-0000-0000-00000D650000}"/>
    <cellStyle name="Normal 8 3 3 4 4 2 2" xfId="30841" xr:uid="{00000000-0005-0000-0000-00000E650000}"/>
    <cellStyle name="Normal 8 3 3 4 4 3" xfId="22393" xr:uid="{00000000-0005-0000-0000-00000F650000}"/>
    <cellStyle name="Normal 8 3 3 4 5" xfId="9677" xr:uid="{00000000-0005-0000-0000-000010650000}"/>
    <cellStyle name="Normal 8 3 3 4 5 2" xfId="26617" xr:uid="{00000000-0005-0000-0000-000011650000}"/>
    <cellStyle name="Normal 8 3 3 4 6" xfId="18169" xr:uid="{00000000-0005-0000-0000-000012650000}"/>
    <cellStyle name="Normal 8 3 3 5" xfId="1403" xr:uid="{00000000-0005-0000-0000-000013650000}"/>
    <cellStyle name="Normal 8 3 3 5 2" xfId="2459" xr:uid="{00000000-0005-0000-0000-000014650000}"/>
    <cellStyle name="Normal 8 3 3 5 2 2" xfId="4571" xr:uid="{00000000-0005-0000-0000-000015650000}"/>
    <cellStyle name="Normal 8 3 3 5 2 2 2" xfId="8797" xr:uid="{00000000-0005-0000-0000-000016650000}"/>
    <cellStyle name="Normal 8 3 3 5 2 2 2 2" xfId="17245" xr:uid="{00000000-0005-0000-0000-000017650000}"/>
    <cellStyle name="Normal 8 3 3 5 2 2 2 2 2" xfId="34185" xr:uid="{00000000-0005-0000-0000-000018650000}"/>
    <cellStyle name="Normal 8 3 3 5 2 2 2 3" xfId="25737" xr:uid="{00000000-0005-0000-0000-000019650000}"/>
    <cellStyle name="Normal 8 3 3 5 2 2 3" xfId="13021" xr:uid="{00000000-0005-0000-0000-00001A650000}"/>
    <cellStyle name="Normal 8 3 3 5 2 2 3 2" xfId="29961" xr:uid="{00000000-0005-0000-0000-00001B650000}"/>
    <cellStyle name="Normal 8 3 3 5 2 2 4" xfId="21513" xr:uid="{00000000-0005-0000-0000-00001C650000}"/>
    <cellStyle name="Normal 8 3 3 5 2 3" xfId="6685" xr:uid="{00000000-0005-0000-0000-00001D650000}"/>
    <cellStyle name="Normal 8 3 3 5 2 3 2" xfId="15133" xr:uid="{00000000-0005-0000-0000-00001E650000}"/>
    <cellStyle name="Normal 8 3 3 5 2 3 2 2" xfId="32073" xr:uid="{00000000-0005-0000-0000-00001F650000}"/>
    <cellStyle name="Normal 8 3 3 5 2 3 3" xfId="23625" xr:uid="{00000000-0005-0000-0000-000020650000}"/>
    <cellStyle name="Normal 8 3 3 5 2 4" xfId="10909" xr:uid="{00000000-0005-0000-0000-000021650000}"/>
    <cellStyle name="Normal 8 3 3 5 2 4 2" xfId="27849" xr:uid="{00000000-0005-0000-0000-000022650000}"/>
    <cellStyle name="Normal 8 3 3 5 2 5" xfId="19401" xr:uid="{00000000-0005-0000-0000-000023650000}"/>
    <cellStyle name="Normal 8 3 3 5 3" xfId="3515" xr:uid="{00000000-0005-0000-0000-000024650000}"/>
    <cellStyle name="Normal 8 3 3 5 3 2" xfId="7741" xr:uid="{00000000-0005-0000-0000-000025650000}"/>
    <cellStyle name="Normal 8 3 3 5 3 2 2" xfId="16189" xr:uid="{00000000-0005-0000-0000-000026650000}"/>
    <cellStyle name="Normal 8 3 3 5 3 2 2 2" xfId="33129" xr:uid="{00000000-0005-0000-0000-000027650000}"/>
    <cellStyle name="Normal 8 3 3 5 3 2 3" xfId="24681" xr:uid="{00000000-0005-0000-0000-000028650000}"/>
    <cellStyle name="Normal 8 3 3 5 3 3" xfId="11965" xr:uid="{00000000-0005-0000-0000-000029650000}"/>
    <cellStyle name="Normal 8 3 3 5 3 3 2" xfId="28905" xr:uid="{00000000-0005-0000-0000-00002A650000}"/>
    <cellStyle name="Normal 8 3 3 5 3 4" xfId="20457" xr:uid="{00000000-0005-0000-0000-00002B650000}"/>
    <cellStyle name="Normal 8 3 3 5 4" xfId="5629" xr:uid="{00000000-0005-0000-0000-00002C650000}"/>
    <cellStyle name="Normal 8 3 3 5 4 2" xfId="14077" xr:uid="{00000000-0005-0000-0000-00002D650000}"/>
    <cellStyle name="Normal 8 3 3 5 4 2 2" xfId="31017" xr:uid="{00000000-0005-0000-0000-00002E650000}"/>
    <cellStyle name="Normal 8 3 3 5 4 3" xfId="22569" xr:uid="{00000000-0005-0000-0000-00002F650000}"/>
    <cellStyle name="Normal 8 3 3 5 5" xfId="9853" xr:uid="{00000000-0005-0000-0000-000030650000}"/>
    <cellStyle name="Normal 8 3 3 5 5 2" xfId="26793" xr:uid="{00000000-0005-0000-0000-000031650000}"/>
    <cellStyle name="Normal 8 3 3 5 6" xfId="18345" xr:uid="{00000000-0005-0000-0000-000032650000}"/>
    <cellStyle name="Normal 8 3 3 6" xfId="1579" xr:uid="{00000000-0005-0000-0000-000033650000}"/>
    <cellStyle name="Normal 8 3 3 6 2" xfId="3691" xr:uid="{00000000-0005-0000-0000-000034650000}"/>
    <cellStyle name="Normal 8 3 3 6 2 2" xfId="7917" xr:uid="{00000000-0005-0000-0000-000035650000}"/>
    <cellStyle name="Normal 8 3 3 6 2 2 2" xfId="16365" xr:uid="{00000000-0005-0000-0000-000036650000}"/>
    <cellStyle name="Normal 8 3 3 6 2 2 2 2" xfId="33305" xr:uid="{00000000-0005-0000-0000-000037650000}"/>
    <cellStyle name="Normal 8 3 3 6 2 2 3" xfId="24857" xr:uid="{00000000-0005-0000-0000-000038650000}"/>
    <cellStyle name="Normal 8 3 3 6 2 3" xfId="12141" xr:uid="{00000000-0005-0000-0000-000039650000}"/>
    <cellStyle name="Normal 8 3 3 6 2 3 2" xfId="29081" xr:uid="{00000000-0005-0000-0000-00003A650000}"/>
    <cellStyle name="Normal 8 3 3 6 2 4" xfId="20633" xr:uid="{00000000-0005-0000-0000-00003B650000}"/>
    <cellStyle name="Normal 8 3 3 6 3" xfId="5805" xr:uid="{00000000-0005-0000-0000-00003C650000}"/>
    <cellStyle name="Normal 8 3 3 6 3 2" xfId="14253" xr:uid="{00000000-0005-0000-0000-00003D650000}"/>
    <cellStyle name="Normal 8 3 3 6 3 2 2" xfId="31193" xr:uid="{00000000-0005-0000-0000-00003E650000}"/>
    <cellStyle name="Normal 8 3 3 6 3 3" xfId="22745" xr:uid="{00000000-0005-0000-0000-00003F650000}"/>
    <cellStyle name="Normal 8 3 3 6 4" xfId="10029" xr:uid="{00000000-0005-0000-0000-000040650000}"/>
    <cellStyle name="Normal 8 3 3 6 4 2" xfId="26969" xr:uid="{00000000-0005-0000-0000-000041650000}"/>
    <cellStyle name="Normal 8 3 3 6 5" xfId="18521" xr:uid="{00000000-0005-0000-0000-000042650000}"/>
    <cellStyle name="Normal 8 3 3 7" xfId="2635" xr:uid="{00000000-0005-0000-0000-000043650000}"/>
    <cellStyle name="Normal 8 3 3 7 2" xfId="6861" xr:uid="{00000000-0005-0000-0000-000044650000}"/>
    <cellStyle name="Normal 8 3 3 7 2 2" xfId="15309" xr:uid="{00000000-0005-0000-0000-000045650000}"/>
    <cellStyle name="Normal 8 3 3 7 2 2 2" xfId="32249" xr:uid="{00000000-0005-0000-0000-000046650000}"/>
    <cellStyle name="Normal 8 3 3 7 2 3" xfId="23801" xr:uid="{00000000-0005-0000-0000-000047650000}"/>
    <cellStyle name="Normal 8 3 3 7 3" xfId="11085" xr:uid="{00000000-0005-0000-0000-000048650000}"/>
    <cellStyle name="Normal 8 3 3 7 3 2" xfId="28025" xr:uid="{00000000-0005-0000-0000-000049650000}"/>
    <cellStyle name="Normal 8 3 3 7 4" xfId="19577" xr:uid="{00000000-0005-0000-0000-00004A650000}"/>
    <cellStyle name="Normal 8 3 3 8" xfId="4748" xr:uid="{00000000-0005-0000-0000-00004B650000}"/>
    <cellStyle name="Normal 8 3 3 8 2" xfId="13197" xr:uid="{00000000-0005-0000-0000-00004C650000}"/>
    <cellStyle name="Normal 8 3 3 8 2 2" xfId="30137" xr:uid="{00000000-0005-0000-0000-00004D650000}"/>
    <cellStyle name="Normal 8 3 3 8 3" xfId="21689" xr:uid="{00000000-0005-0000-0000-00004E650000}"/>
    <cellStyle name="Normal 8 3 3 9" xfId="8973" xr:uid="{00000000-0005-0000-0000-00004F650000}"/>
    <cellStyle name="Normal 8 3 3 9 2" xfId="25913" xr:uid="{00000000-0005-0000-0000-000050650000}"/>
    <cellStyle name="Normal 8 3 4" xfId="691" xr:uid="{00000000-0005-0000-0000-000051650000}"/>
    <cellStyle name="Normal 8 3 4 2" xfId="1043" xr:uid="{00000000-0005-0000-0000-000052650000}"/>
    <cellStyle name="Normal 8 3 4 2 2" xfId="2105" xr:uid="{00000000-0005-0000-0000-000053650000}"/>
    <cellStyle name="Normal 8 3 4 2 2 2" xfId="4217" xr:uid="{00000000-0005-0000-0000-000054650000}"/>
    <cellStyle name="Normal 8 3 4 2 2 2 2" xfId="8443" xr:uid="{00000000-0005-0000-0000-000055650000}"/>
    <cellStyle name="Normal 8 3 4 2 2 2 2 2" xfId="16891" xr:uid="{00000000-0005-0000-0000-000056650000}"/>
    <cellStyle name="Normal 8 3 4 2 2 2 2 2 2" xfId="33831" xr:uid="{00000000-0005-0000-0000-000057650000}"/>
    <cellStyle name="Normal 8 3 4 2 2 2 2 3" xfId="25383" xr:uid="{00000000-0005-0000-0000-000058650000}"/>
    <cellStyle name="Normal 8 3 4 2 2 2 3" xfId="12667" xr:uid="{00000000-0005-0000-0000-000059650000}"/>
    <cellStyle name="Normal 8 3 4 2 2 2 3 2" xfId="29607" xr:uid="{00000000-0005-0000-0000-00005A650000}"/>
    <cellStyle name="Normal 8 3 4 2 2 2 4" xfId="21159" xr:uid="{00000000-0005-0000-0000-00005B650000}"/>
    <cellStyle name="Normal 8 3 4 2 2 3" xfId="6331" xr:uid="{00000000-0005-0000-0000-00005C650000}"/>
    <cellStyle name="Normal 8 3 4 2 2 3 2" xfId="14779" xr:uid="{00000000-0005-0000-0000-00005D650000}"/>
    <cellStyle name="Normal 8 3 4 2 2 3 2 2" xfId="31719" xr:uid="{00000000-0005-0000-0000-00005E650000}"/>
    <cellStyle name="Normal 8 3 4 2 2 3 3" xfId="23271" xr:uid="{00000000-0005-0000-0000-00005F650000}"/>
    <cellStyle name="Normal 8 3 4 2 2 4" xfId="10555" xr:uid="{00000000-0005-0000-0000-000060650000}"/>
    <cellStyle name="Normal 8 3 4 2 2 4 2" xfId="27495" xr:uid="{00000000-0005-0000-0000-000061650000}"/>
    <cellStyle name="Normal 8 3 4 2 2 5" xfId="19047" xr:uid="{00000000-0005-0000-0000-000062650000}"/>
    <cellStyle name="Normal 8 3 4 2 3" xfId="3161" xr:uid="{00000000-0005-0000-0000-000063650000}"/>
    <cellStyle name="Normal 8 3 4 2 3 2" xfId="7387" xr:uid="{00000000-0005-0000-0000-000064650000}"/>
    <cellStyle name="Normal 8 3 4 2 3 2 2" xfId="15835" xr:uid="{00000000-0005-0000-0000-000065650000}"/>
    <cellStyle name="Normal 8 3 4 2 3 2 2 2" xfId="32775" xr:uid="{00000000-0005-0000-0000-000066650000}"/>
    <cellStyle name="Normal 8 3 4 2 3 2 3" xfId="24327" xr:uid="{00000000-0005-0000-0000-000067650000}"/>
    <cellStyle name="Normal 8 3 4 2 3 3" xfId="11611" xr:uid="{00000000-0005-0000-0000-000068650000}"/>
    <cellStyle name="Normal 8 3 4 2 3 3 2" xfId="28551" xr:uid="{00000000-0005-0000-0000-000069650000}"/>
    <cellStyle name="Normal 8 3 4 2 3 4" xfId="20103" xr:uid="{00000000-0005-0000-0000-00006A650000}"/>
    <cellStyle name="Normal 8 3 4 2 4" xfId="5275" xr:uid="{00000000-0005-0000-0000-00006B650000}"/>
    <cellStyle name="Normal 8 3 4 2 4 2" xfId="13723" xr:uid="{00000000-0005-0000-0000-00006C650000}"/>
    <cellStyle name="Normal 8 3 4 2 4 2 2" xfId="30663" xr:uid="{00000000-0005-0000-0000-00006D650000}"/>
    <cellStyle name="Normal 8 3 4 2 4 3" xfId="22215" xr:uid="{00000000-0005-0000-0000-00006E650000}"/>
    <cellStyle name="Normal 8 3 4 2 5" xfId="9499" xr:uid="{00000000-0005-0000-0000-00006F650000}"/>
    <cellStyle name="Normal 8 3 4 2 5 2" xfId="26439" xr:uid="{00000000-0005-0000-0000-000070650000}"/>
    <cellStyle name="Normal 8 3 4 2 6" xfId="17991" xr:uid="{00000000-0005-0000-0000-000071650000}"/>
    <cellStyle name="Normal 8 3 4 3" xfId="1753" xr:uid="{00000000-0005-0000-0000-000072650000}"/>
    <cellStyle name="Normal 8 3 4 3 2" xfId="3865" xr:uid="{00000000-0005-0000-0000-000073650000}"/>
    <cellStyle name="Normal 8 3 4 3 2 2" xfId="8091" xr:uid="{00000000-0005-0000-0000-000074650000}"/>
    <cellStyle name="Normal 8 3 4 3 2 2 2" xfId="16539" xr:uid="{00000000-0005-0000-0000-000075650000}"/>
    <cellStyle name="Normal 8 3 4 3 2 2 2 2" xfId="33479" xr:uid="{00000000-0005-0000-0000-000076650000}"/>
    <cellStyle name="Normal 8 3 4 3 2 2 3" xfId="25031" xr:uid="{00000000-0005-0000-0000-000077650000}"/>
    <cellStyle name="Normal 8 3 4 3 2 3" xfId="12315" xr:uid="{00000000-0005-0000-0000-000078650000}"/>
    <cellStyle name="Normal 8 3 4 3 2 3 2" xfId="29255" xr:uid="{00000000-0005-0000-0000-000079650000}"/>
    <cellStyle name="Normal 8 3 4 3 2 4" xfId="20807" xr:uid="{00000000-0005-0000-0000-00007A650000}"/>
    <cellStyle name="Normal 8 3 4 3 3" xfId="5979" xr:uid="{00000000-0005-0000-0000-00007B650000}"/>
    <cellStyle name="Normal 8 3 4 3 3 2" xfId="14427" xr:uid="{00000000-0005-0000-0000-00007C650000}"/>
    <cellStyle name="Normal 8 3 4 3 3 2 2" xfId="31367" xr:uid="{00000000-0005-0000-0000-00007D650000}"/>
    <cellStyle name="Normal 8 3 4 3 3 3" xfId="22919" xr:uid="{00000000-0005-0000-0000-00007E650000}"/>
    <cellStyle name="Normal 8 3 4 3 4" xfId="10203" xr:uid="{00000000-0005-0000-0000-00007F650000}"/>
    <cellStyle name="Normal 8 3 4 3 4 2" xfId="27143" xr:uid="{00000000-0005-0000-0000-000080650000}"/>
    <cellStyle name="Normal 8 3 4 3 5" xfId="18695" xr:uid="{00000000-0005-0000-0000-000081650000}"/>
    <cellStyle name="Normal 8 3 4 4" xfId="2809" xr:uid="{00000000-0005-0000-0000-000082650000}"/>
    <cellStyle name="Normal 8 3 4 4 2" xfId="7035" xr:uid="{00000000-0005-0000-0000-000083650000}"/>
    <cellStyle name="Normal 8 3 4 4 2 2" xfId="15483" xr:uid="{00000000-0005-0000-0000-000084650000}"/>
    <cellStyle name="Normal 8 3 4 4 2 2 2" xfId="32423" xr:uid="{00000000-0005-0000-0000-000085650000}"/>
    <cellStyle name="Normal 8 3 4 4 2 3" xfId="23975" xr:uid="{00000000-0005-0000-0000-000086650000}"/>
    <cellStyle name="Normal 8 3 4 4 3" xfId="11259" xr:uid="{00000000-0005-0000-0000-000087650000}"/>
    <cellStyle name="Normal 8 3 4 4 3 2" xfId="28199" xr:uid="{00000000-0005-0000-0000-000088650000}"/>
    <cellStyle name="Normal 8 3 4 4 4" xfId="19751" xr:uid="{00000000-0005-0000-0000-000089650000}"/>
    <cellStyle name="Normal 8 3 4 5" xfId="4923" xr:uid="{00000000-0005-0000-0000-00008A650000}"/>
    <cellStyle name="Normal 8 3 4 5 2" xfId="13371" xr:uid="{00000000-0005-0000-0000-00008B650000}"/>
    <cellStyle name="Normal 8 3 4 5 2 2" xfId="30311" xr:uid="{00000000-0005-0000-0000-00008C650000}"/>
    <cellStyle name="Normal 8 3 4 5 3" xfId="21863" xr:uid="{00000000-0005-0000-0000-00008D650000}"/>
    <cellStyle name="Normal 8 3 4 6" xfId="9147" xr:uid="{00000000-0005-0000-0000-00008E650000}"/>
    <cellStyle name="Normal 8 3 4 6 2" xfId="26087" xr:uid="{00000000-0005-0000-0000-00008F650000}"/>
    <cellStyle name="Normal 8 3 4 7" xfId="17639" xr:uid="{00000000-0005-0000-0000-000090650000}"/>
    <cellStyle name="Normal 8 3 5" xfId="867" xr:uid="{00000000-0005-0000-0000-000091650000}"/>
    <cellStyle name="Normal 8 3 5 2" xfId="1929" xr:uid="{00000000-0005-0000-0000-000092650000}"/>
    <cellStyle name="Normal 8 3 5 2 2" xfId="4041" xr:uid="{00000000-0005-0000-0000-000093650000}"/>
    <cellStyle name="Normal 8 3 5 2 2 2" xfId="8267" xr:uid="{00000000-0005-0000-0000-000094650000}"/>
    <cellStyle name="Normal 8 3 5 2 2 2 2" xfId="16715" xr:uid="{00000000-0005-0000-0000-000095650000}"/>
    <cellStyle name="Normal 8 3 5 2 2 2 2 2" xfId="33655" xr:uid="{00000000-0005-0000-0000-000096650000}"/>
    <cellStyle name="Normal 8 3 5 2 2 2 3" xfId="25207" xr:uid="{00000000-0005-0000-0000-000097650000}"/>
    <cellStyle name="Normal 8 3 5 2 2 3" xfId="12491" xr:uid="{00000000-0005-0000-0000-000098650000}"/>
    <cellStyle name="Normal 8 3 5 2 2 3 2" xfId="29431" xr:uid="{00000000-0005-0000-0000-000099650000}"/>
    <cellStyle name="Normal 8 3 5 2 2 4" xfId="20983" xr:uid="{00000000-0005-0000-0000-00009A650000}"/>
    <cellStyle name="Normal 8 3 5 2 3" xfId="6155" xr:uid="{00000000-0005-0000-0000-00009B650000}"/>
    <cellStyle name="Normal 8 3 5 2 3 2" xfId="14603" xr:uid="{00000000-0005-0000-0000-00009C650000}"/>
    <cellStyle name="Normal 8 3 5 2 3 2 2" xfId="31543" xr:uid="{00000000-0005-0000-0000-00009D650000}"/>
    <cellStyle name="Normal 8 3 5 2 3 3" xfId="23095" xr:uid="{00000000-0005-0000-0000-00009E650000}"/>
    <cellStyle name="Normal 8 3 5 2 4" xfId="10379" xr:uid="{00000000-0005-0000-0000-00009F650000}"/>
    <cellStyle name="Normal 8 3 5 2 4 2" xfId="27319" xr:uid="{00000000-0005-0000-0000-0000A0650000}"/>
    <cellStyle name="Normal 8 3 5 2 5" xfId="18871" xr:uid="{00000000-0005-0000-0000-0000A1650000}"/>
    <cellStyle name="Normal 8 3 5 3" xfId="2985" xr:uid="{00000000-0005-0000-0000-0000A2650000}"/>
    <cellStyle name="Normal 8 3 5 3 2" xfId="7211" xr:uid="{00000000-0005-0000-0000-0000A3650000}"/>
    <cellStyle name="Normal 8 3 5 3 2 2" xfId="15659" xr:uid="{00000000-0005-0000-0000-0000A4650000}"/>
    <cellStyle name="Normal 8 3 5 3 2 2 2" xfId="32599" xr:uid="{00000000-0005-0000-0000-0000A5650000}"/>
    <cellStyle name="Normal 8 3 5 3 2 3" xfId="24151" xr:uid="{00000000-0005-0000-0000-0000A6650000}"/>
    <cellStyle name="Normal 8 3 5 3 3" xfId="11435" xr:uid="{00000000-0005-0000-0000-0000A7650000}"/>
    <cellStyle name="Normal 8 3 5 3 3 2" xfId="28375" xr:uid="{00000000-0005-0000-0000-0000A8650000}"/>
    <cellStyle name="Normal 8 3 5 3 4" xfId="19927" xr:uid="{00000000-0005-0000-0000-0000A9650000}"/>
    <cellStyle name="Normal 8 3 5 4" xfId="5099" xr:uid="{00000000-0005-0000-0000-0000AA650000}"/>
    <cellStyle name="Normal 8 3 5 4 2" xfId="13547" xr:uid="{00000000-0005-0000-0000-0000AB650000}"/>
    <cellStyle name="Normal 8 3 5 4 2 2" xfId="30487" xr:uid="{00000000-0005-0000-0000-0000AC650000}"/>
    <cellStyle name="Normal 8 3 5 4 3" xfId="22039" xr:uid="{00000000-0005-0000-0000-0000AD650000}"/>
    <cellStyle name="Normal 8 3 5 5" xfId="9323" xr:uid="{00000000-0005-0000-0000-0000AE650000}"/>
    <cellStyle name="Normal 8 3 5 5 2" xfId="26263" xr:uid="{00000000-0005-0000-0000-0000AF650000}"/>
    <cellStyle name="Normal 8 3 5 6" xfId="17815" xr:uid="{00000000-0005-0000-0000-0000B0650000}"/>
    <cellStyle name="Normal 8 3 6" xfId="1219" xr:uid="{00000000-0005-0000-0000-0000B1650000}"/>
    <cellStyle name="Normal 8 3 6 2" xfId="2281" xr:uid="{00000000-0005-0000-0000-0000B2650000}"/>
    <cellStyle name="Normal 8 3 6 2 2" xfId="4393" xr:uid="{00000000-0005-0000-0000-0000B3650000}"/>
    <cellStyle name="Normal 8 3 6 2 2 2" xfId="8619" xr:uid="{00000000-0005-0000-0000-0000B4650000}"/>
    <cellStyle name="Normal 8 3 6 2 2 2 2" xfId="17067" xr:uid="{00000000-0005-0000-0000-0000B5650000}"/>
    <cellStyle name="Normal 8 3 6 2 2 2 2 2" xfId="34007" xr:uid="{00000000-0005-0000-0000-0000B6650000}"/>
    <cellStyle name="Normal 8 3 6 2 2 2 3" xfId="25559" xr:uid="{00000000-0005-0000-0000-0000B7650000}"/>
    <cellStyle name="Normal 8 3 6 2 2 3" xfId="12843" xr:uid="{00000000-0005-0000-0000-0000B8650000}"/>
    <cellStyle name="Normal 8 3 6 2 2 3 2" xfId="29783" xr:uid="{00000000-0005-0000-0000-0000B9650000}"/>
    <cellStyle name="Normal 8 3 6 2 2 4" xfId="21335" xr:uid="{00000000-0005-0000-0000-0000BA650000}"/>
    <cellStyle name="Normal 8 3 6 2 3" xfId="6507" xr:uid="{00000000-0005-0000-0000-0000BB650000}"/>
    <cellStyle name="Normal 8 3 6 2 3 2" xfId="14955" xr:uid="{00000000-0005-0000-0000-0000BC650000}"/>
    <cellStyle name="Normal 8 3 6 2 3 2 2" xfId="31895" xr:uid="{00000000-0005-0000-0000-0000BD650000}"/>
    <cellStyle name="Normal 8 3 6 2 3 3" xfId="23447" xr:uid="{00000000-0005-0000-0000-0000BE650000}"/>
    <cellStyle name="Normal 8 3 6 2 4" xfId="10731" xr:uid="{00000000-0005-0000-0000-0000BF650000}"/>
    <cellStyle name="Normal 8 3 6 2 4 2" xfId="27671" xr:uid="{00000000-0005-0000-0000-0000C0650000}"/>
    <cellStyle name="Normal 8 3 6 2 5" xfId="19223" xr:uid="{00000000-0005-0000-0000-0000C1650000}"/>
    <cellStyle name="Normal 8 3 6 3" xfId="3337" xr:uid="{00000000-0005-0000-0000-0000C2650000}"/>
    <cellStyle name="Normal 8 3 6 3 2" xfId="7563" xr:uid="{00000000-0005-0000-0000-0000C3650000}"/>
    <cellStyle name="Normal 8 3 6 3 2 2" xfId="16011" xr:uid="{00000000-0005-0000-0000-0000C4650000}"/>
    <cellStyle name="Normal 8 3 6 3 2 2 2" xfId="32951" xr:uid="{00000000-0005-0000-0000-0000C5650000}"/>
    <cellStyle name="Normal 8 3 6 3 2 3" xfId="24503" xr:uid="{00000000-0005-0000-0000-0000C6650000}"/>
    <cellStyle name="Normal 8 3 6 3 3" xfId="11787" xr:uid="{00000000-0005-0000-0000-0000C7650000}"/>
    <cellStyle name="Normal 8 3 6 3 3 2" xfId="28727" xr:uid="{00000000-0005-0000-0000-0000C8650000}"/>
    <cellStyle name="Normal 8 3 6 3 4" xfId="20279" xr:uid="{00000000-0005-0000-0000-0000C9650000}"/>
    <cellStyle name="Normal 8 3 6 4" xfId="5451" xr:uid="{00000000-0005-0000-0000-0000CA650000}"/>
    <cellStyle name="Normal 8 3 6 4 2" xfId="13899" xr:uid="{00000000-0005-0000-0000-0000CB650000}"/>
    <cellStyle name="Normal 8 3 6 4 2 2" xfId="30839" xr:uid="{00000000-0005-0000-0000-0000CC650000}"/>
    <cellStyle name="Normal 8 3 6 4 3" xfId="22391" xr:uid="{00000000-0005-0000-0000-0000CD650000}"/>
    <cellStyle name="Normal 8 3 6 5" xfId="9675" xr:uid="{00000000-0005-0000-0000-0000CE650000}"/>
    <cellStyle name="Normal 8 3 6 5 2" xfId="26615" xr:uid="{00000000-0005-0000-0000-0000CF650000}"/>
    <cellStyle name="Normal 8 3 6 6" xfId="18167" xr:uid="{00000000-0005-0000-0000-0000D0650000}"/>
    <cellStyle name="Normal 8 3 7" xfId="1401" xr:uid="{00000000-0005-0000-0000-0000D1650000}"/>
    <cellStyle name="Normal 8 3 7 2" xfId="2457" xr:uid="{00000000-0005-0000-0000-0000D2650000}"/>
    <cellStyle name="Normal 8 3 7 2 2" xfId="4569" xr:uid="{00000000-0005-0000-0000-0000D3650000}"/>
    <cellStyle name="Normal 8 3 7 2 2 2" xfId="8795" xr:uid="{00000000-0005-0000-0000-0000D4650000}"/>
    <cellStyle name="Normal 8 3 7 2 2 2 2" xfId="17243" xr:uid="{00000000-0005-0000-0000-0000D5650000}"/>
    <cellStyle name="Normal 8 3 7 2 2 2 2 2" xfId="34183" xr:uid="{00000000-0005-0000-0000-0000D6650000}"/>
    <cellStyle name="Normal 8 3 7 2 2 2 3" xfId="25735" xr:uid="{00000000-0005-0000-0000-0000D7650000}"/>
    <cellStyle name="Normal 8 3 7 2 2 3" xfId="13019" xr:uid="{00000000-0005-0000-0000-0000D8650000}"/>
    <cellStyle name="Normal 8 3 7 2 2 3 2" xfId="29959" xr:uid="{00000000-0005-0000-0000-0000D9650000}"/>
    <cellStyle name="Normal 8 3 7 2 2 4" xfId="21511" xr:uid="{00000000-0005-0000-0000-0000DA650000}"/>
    <cellStyle name="Normal 8 3 7 2 3" xfId="6683" xr:uid="{00000000-0005-0000-0000-0000DB650000}"/>
    <cellStyle name="Normal 8 3 7 2 3 2" xfId="15131" xr:uid="{00000000-0005-0000-0000-0000DC650000}"/>
    <cellStyle name="Normal 8 3 7 2 3 2 2" xfId="32071" xr:uid="{00000000-0005-0000-0000-0000DD650000}"/>
    <cellStyle name="Normal 8 3 7 2 3 3" xfId="23623" xr:uid="{00000000-0005-0000-0000-0000DE650000}"/>
    <cellStyle name="Normal 8 3 7 2 4" xfId="10907" xr:uid="{00000000-0005-0000-0000-0000DF650000}"/>
    <cellStyle name="Normal 8 3 7 2 4 2" xfId="27847" xr:uid="{00000000-0005-0000-0000-0000E0650000}"/>
    <cellStyle name="Normal 8 3 7 2 5" xfId="19399" xr:uid="{00000000-0005-0000-0000-0000E1650000}"/>
    <cellStyle name="Normal 8 3 7 3" xfId="3513" xr:uid="{00000000-0005-0000-0000-0000E2650000}"/>
    <cellStyle name="Normal 8 3 7 3 2" xfId="7739" xr:uid="{00000000-0005-0000-0000-0000E3650000}"/>
    <cellStyle name="Normal 8 3 7 3 2 2" xfId="16187" xr:uid="{00000000-0005-0000-0000-0000E4650000}"/>
    <cellStyle name="Normal 8 3 7 3 2 2 2" xfId="33127" xr:uid="{00000000-0005-0000-0000-0000E5650000}"/>
    <cellStyle name="Normal 8 3 7 3 2 3" xfId="24679" xr:uid="{00000000-0005-0000-0000-0000E6650000}"/>
    <cellStyle name="Normal 8 3 7 3 3" xfId="11963" xr:uid="{00000000-0005-0000-0000-0000E7650000}"/>
    <cellStyle name="Normal 8 3 7 3 3 2" xfId="28903" xr:uid="{00000000-0005-0000-0000-0000E8650000}"/>
    <cellStyle name="Normal 8 3 7 3 4" xfId="20455" xr:uid="{00000000-0005-0000-0000-0000E9650000}"/>
    <cellStyle name="Normal 8 3 7 4" xfId="5627" xr:uid="{00000000-0005-0000-0000-0000EA650000}"/>
    <cellStyle name="Normal 8 3 7 4 2" xfId="14075" xr:uid="{00000000-0005-0000-0000-0000EB650000}"/>
    <cellStyle name="Normal 8 3 7 4 2 2" xfId="31015" xr:uid="{00000000-0005-0000-0000-0000EC650000}"/>
    <cellStyle name="Normal 8 3 7 4 3" xfId="22567" xr:uid="{00000000-0005-0000-0000-0000ED650000}"/>
    <cellStyle name="Normal 8 3 7 5" xfId="9851" xr:uid="{00000000-0005-0000-0000-0000EE650000}"/>
    <cellStyle name="Normal 8 3 7 5 2" xfId="26791" xr:uid="{00000000-0005-0000-0000-0000EF650000}"/>
    <cellStyle name="Normal 8 3 7 6" xfId="18343" xr:uid="{00000000-0005-0000-0000-0000F0650000}"/>
    <cellStyle name="Normal 8 3 8" xfId="1577" xr:uid="{00000000-0005-0000-0000-0000F1650000}"/>
    <cellStyle name="Normal 8 3 8 2" xfId="3689" xr:uid="{00000000-0005-0000-0000-0000F2650000}"/>
    <cellStyle name="Normal 8 3 8 2 2" xfId="7915" xr:uid="{00000000-0005-0000-0000-0000F3650000}"/>
    <cellStyle name="Normal 8 3 8 2 2 2" xfId="16363" xr:uid="{00000000-0005-0000-0000-0000F4650000}"/>
    <cellStyle name="Normal 8 3 8 2 2 2 2" xfId="33303" xr:uid="{00000000-0005-0000-0000-0000F5650000}"/>
    <cellStyle name="Normal 8 3 8 2 2 3" xfId="24855" xr:uid="{00000000-0005-0000-0000-0000F6650000}"/>
    <cellStyle name="Normal 8 3 8 2 3" xfId="12139" xr:uid="{00000000-0005-0000-0000-0000F7650000}"/>
    <cellStyle name="Normal 8 3 8 2 3 2" xfId="29079" xr:uid="{00000000-0005-0000-0000-0000F8650000}"/>
    <cellStyle name="Normal 8 3 8 2 4" xfId="20631" xr:uid="{00000000-0005-0000-0000-0000F9650000}"/>
    <cellStyle name="Normal 8 3 8 3" xfId="5803" xr:uid="{00000000-0005-0000-0000-0000FA650000}"/>
    <cellStyle name="Normal 8 3 8 3 2" xfId="14251" xr:uid="{00000000-0005-0000-0000-0000FB650000}"/>
    <cellStyle name="Normal 8 3 8 3 2 2" xfId="31191" xr:uid="{00000000-0005-0000-0000-0000FC650000}"/>
    <cellStyle name="Normal 8 3 8 3 3" xfId="22743" xr:uid="{00000000-0005-0000-0000-0000FD650000}"/>
    <cellStyle name="Normal 8 3 8 4" xfId="10027" xr:uid="{00000000-0005-0000-0000-0000FE650000}"/>
    <cellStyle name="Normal 8 3 8 4 2" xfId="26967" xr:uid="{00000000-0005-0000-0000-0000FF650000}"/>
    <cellStyle name="Normal 8 3 8 5" xfId="18519" xr:uid="{00000000-0005-0000-0000-000000660000}"/>
    <cellStyle name="Normal 8 3 9" xfId="2633" xr:uid="{00000000-0005-0000-0000-000001660000}"/>
    <cellStyle name="Normal 8 3 9 2" xfId="6859" xr:uid="{00000000-0005-0000-0000-000002660000}"/>
    <cellStyle name="Normal 8 3 9 2 2" xfId="15307" xr:uid="{00000000-0005-0000-0000-000003660000}"/>
    <cellStyle name="Normal 8 3 9 2 2 2" xfId="32247" xr:uid="{00000000-0005-0000-0000-000004660000}"/>
    <cellStyle name="Normal 8 3 9 2 3" xfId="23799" xr:uid="{00000000-0005-0000-0000-000005660000}"/>
    <cellStyle name="Normal 8 3 9 3" xfId="11083" xr:uid="{00000000-0005-0000-0000-000006660000}"/>
    <cellStyle name="Normal 8 3 9 3 2" xfId="28023" xr:uid="{00000000-0005-0000-0000-000007660000}"/>
    <cellStyle name="Normal 8 3 9 4" xfId="19575" xr:uid="{00000000-0005-0000-0000-000008660000}"/>
    <cellStyle name="Normal 8 4" xfId="402" xr:uid="{00000000-0005-0000-0000-000009660000}"/>
    <cellStyle name="Normal 8 5" xfId="403" xr:uid="{00000000-0005-0000-0000-00000A660000}"/>
    <cellStyle name="Normal 8 5 10" xfId="17466" xr:uid="{00000000-0005-0000-0000-00000B660000}"/>
    <cellStyle name="Normal 8 5 2" xfId="694" xr:uid="{00000000-0005-0000-0000-00000C660000}"/>
    <cellStyle name="Normal 8 5 2 2" xfId="1046" xr:uid="{00000000-0005-0000-0000-00000D660000}"/>
    <cellStyle name="Normal 8 5 2 2 2" xfId="2108" xr:uid="{00000000-0005-0000-0000-00000E660000}"/>
    <cellStyle name="Normal 8 5 2 2 2 2" xfId="4220" xr:uid="{00000000-0005-0000-0000-00000F660000}"/>
    <cellStyle name="Normal 8 5 2 2 2 2 2" xfId="8446" xr:uid="{00000000-0005-0000-0000-000010660000}"/>
    <cellStyle name="Normal 8 5 2 2 2 2 2 2" xfId="16894" xr:uid="{00000000-0005-0000-0000-000011660000}"/>
    <cellStyle name="Normal 8 5 2 2 2 2 2 2 2" xfId="33834" xr:uid="{00000000-0005-0000-0000-000012660000}"/>
    <cellStyle name="Normal 8 5 2 2 2 2 2 3" xfId="25386" xr:uid="{00000000-0005-0000-0000-000013660000}"/>
    <cellStyle name="Normal 8 5 2 2 2 2 3" xfId="12670" xr:uid="{00000000-0005-0000-0000-000014660000}"/>
    <cellStyle name="Normal 8 5 2 2 2 2 3 2" xfId="29610" xr:uid="{00000000-0005-0000-0000-000015660000}"/>
    <cellStyle name="Normal 8 5 2 2 2 2 4" xfId="21162" xr:uid="{00000000-0005-0000-0000-000016660000}"/>
    <cellStyle name="Normal 8 5 2 2 2 3" xfId="6334" xr:uid="{00000000-0005-0000-0000-000017660000}"/>
    <cellStyle name="Normal 8 5 2 2 2 3 2" xfId="14782" xr:uid="{00000000-0005-0000-0000-000018660000}"/>
    <cellStyle name="Normal 8 5 2 2 2 3 2 2" xfId="31722" xr:uid="{00000000-0005-0000-0000-000019660000}"/>
    <cellStyle name="Normal 8 5 2 2 2 3 3" xfId="23274" xr:uid="{00000000-0005-0000-0000-00001A660000}"/>
    <cellStyle name="Normal 8 5 2 2 2 4" xfId="10558" xr:uid="{00000000-0005-0000-0000-00001B660000}"/>
    <cellStyle name="Normal 8 5 2 2 2 4 2" xfId="27498" xr:uid="{00000000-0005-0000-0000-00001C660000}"/>
    <cellStyle name="Normal 8 5 2 2 2 5" xfId="19050" xr:uid="{00000000-0005-0000-0000-00001D660000}"/>
    <cellStyle name="Normal 8 5 2 2 3" xfId="3164" xr:uid="{00000000-0005-0000-0000-00001E660000}"/>
    <cellStyle name="Normal 8 5 2 2 3 2" xfId="7390" xr:uid="{00000000-0005-0000-0000-00001F660000}"/>
    <cellStyle name="Normal 8 5 2 2 3 2 2" xfId="15838" xr:uid="{00000000-0005-0000-0000-000020660000}"/>
    <cellStyle name="Normal 8 5 2 2 3 2 2 2" xfId="32778" xr:uid="{00000000-0005-0000-0000-000021660000}"/>
    <cellStyle name="Normal 8 5 2 2 3 2 3" xfId="24330" xr:uid="{00000000-0005-0000-0000-000022660000}"/>
    <cellStyle name="Normal 8 5 2 2 3 3" xfId="11614" xr:uid="{00000000-0005-0000-0000-000023660000}"/>
    <cellStyle name="Normal 8 5 2 2 3 3 2" xfId="28554" xr:uid="{00000000-0005-0000-0000-000024660000}"/>
    <cellStyle name="Normal 8 5 2 2 3 4" xfId="20106" xr:uid="{00000000-0005-0000-0000-000025660000}"/>
    <cellStyle name="Normal 8 5 2 2 4" xfId="5278" xr:uid="{00000000-0005-0000-0000-000026660000}"/>
    <cellStyle name="Normal 8 5 2 2 4 2" xfId="13726" xr:uid="{00000000-0005-0000-0000-000027660000}"/>
    <cellStyle name="Normal 8 5 2 2 4 2 2" xfId="30666" xr:uid="{00000000-0005-0000-0000-000028660000}"/>
    <cellStyle name="Normal 8 5 2 2 4 3" xfId="22218" xr:uid="{00000000-0005-0000-0000-000029660000}"/>
    <cellStyle name="Normal 8 5 2 2 5" xfId="9502" xr:uid="{00000000-0005-0000-0000-00002A660000}"/>
    <cellStyle name="Normal 8 5 2 2 5 2" xfId="26442" xr:uid="{00000000-0005-0000-0000-00002B660000}"/>
    <cellStyle name="Normal 8 5 2 2 6" xfId="17994" xr:uid="{00000000-0005-0000-0000-00002C660000}"/>
    <cellStyle name="Normal 8 5 2 3" xfId="1756" xr:uid="{00000000-0005-0000-0000-00002D660000}"/>
    <cellStyle name="Normal 8 5 2 3 2" xfId="3868" xr:uid="{00000000-0005-0000-0000-00002E660000}"/>
    <cellStyle name="Normal 8 5 2 3 2 2" xfId="8094" xr:uid="{00000000-0005-0000-0000-00002F660000}"/>
    <cellStyle name="Normal 8 5 2 3 2 2 2" xfId="16542" xr:uid="{00000000-0005-0000-0000-000030660000}"/>
    <cellStyle name="Normal 8 5 2 3 2 2 2 2" xfId="33482" xr:uid="{00000000-0005-0000-0000-000031660000}"/>
    <cellStyle name="Normal 8 5 2 3 2 2 3" xfId="25034" xr:uid="{00000000-0005-0000-0000-000032660000}"/>
    <cellStyle name="Normal 8 5 2 3 2 3" xfId="12318" xr:uid="{00000000-0005-0000-0000-000033660000}"/>
    <cellStyle name="Normal 8 5 2 3 2 3 2" xfId="29258" xr:uid="{00000000-0005-0000-0000-000034660000}"/>
    <cellStyle name="Normal 8 5 2 3 2 4" xfId="20810" xr:uid="{00000000-0005-0000-0000-000035660000}"/>
    <cellStyle name="Normal 8 5 2 3 3" xfId="5982" xr:uid="{00000000-0005-0000-0000-000036660000}"/>
    <cellStyle name="Normal 8 5 2 3 3 2" xfId="14430" xr:uid="{00000000-0005-0000-0000-000037660000}"/>
    <cellStyle name="Normal 8 5 2 3 3 2 2" xfId="31370" xr:uid="{00000000-0005-0000-0000-000038660000}"/>
    <cellStyle name="Normal 8 5 2 3 3 3" xfId="22922" xr:uid="{00000000-0005-0000-0000-000039660000}"/>
    <cellStyle name="Normal 8 5 2 3 4" xfId="10206" xr:uid="{00000000-0005-0000-0000-00003A660000}"/>
    <cellStyle name="Normal 8 5 2 3 4 2" xfId="27146" xr:uid="{00000000-0005-0000-0000-00003B660000}"/>
    <cellStyle name="Normal 8 5 2 3 5" xfId="18698" xr:uid="{00000000-0005-0000-0000-00003C660000}"/>
    <cellStyle name="Normal 8 5 2 4" xfId="2812" xr:uid="{00000000-0005-0000-0000-00003D660000}"/>
    <cellStyle name="Normal 8 5 2 4 2" xfId="7038" xr:uid="{00000000-0005-0000-0000-00003E660000}"/>
    <cellStyle name="Normal 8 5 2 4 2 2" xfId="15486" xr:uid="{00000000-0005-0000-0000-00003F660000}"/>
    <cellStyle name="Normal 8 5 2 4 2 2 2" xfId="32426" xr:uid="{00000000-0005-0000-0000-000040660000}"/>
    <cellStyle name="Normal 8 5 2 4 2 3" xfId="23978" xr:uid="{00000000-0005-0000-0000-000041660000}"/>
    <cellStyle name="Normal 8 5 2 4 3" xfId="11262" xr:uid="{00000000-0005-0000-0000-000042660000}"/>
    <cellStyle name="Normal 8 5 2 4 3 2" xfId="28202" xr:uid="{00000000-0005-0000-0000-000043660000}"/>
    <cellStyle name="Normal 8 5 2 4 4" xfId="19754" xr:uid="{00000000-0005-0000-0000-000044660000}"/>
    <cellStyle name="Normal 8 5 2 5" xfId="4926" xr:uid="{00000000-0005-0000-0000-000045660000}"/>
    <cellStyle name="Normal 8 5 2 5 2" xfId="13374" xr:uid="{00000000-0005-0000-0000-000046660000}"/>
    <cellStyle name="Normal 8 5 2 5 2 2" xfId="30314" xr:uid="{00000000-0005-0000-0000-000047660000}"/>
    <cellStyle name="Normal 8 5 2 5 3" xfId="21866" xr:uid="{00000000-0005-0000-0000-000048660000}"/>
    <cellStyle name="Normal 8 5 2 6" xfId="9150" xr:uid="{00000000-0005-0000-0000-000049660000}"/>
    <cellStyle name="Normal 8 5 2 6 2" xfId="26090" xr:uid="{00000000-0005-0000-0000-00004A660000}"/>
    <cellStyle name="Normal 8 5 2 7" xfId="17642" xr:uid="{00000000-0005-0000-0000-00004B660000}"/>
    <cellStyle name="Normal 8 5 3" xfId="870" xr:uid="{00000000-0005-0000-0000-00004C660000}"/>
    <cellStyle name="Normal 8 5 3 2" xfId="1932" xr:uid="{00000000-0005-0000-0000-00004D660000}"/>
    <cellStyle name="Normal 8 5 3 2 2" xfId="4044" xr:uid="{00000000-0005-0000-0000-00004E660000}"/>
    <cellStyle name="Normal 8 5 3 2 2 2" xfId="8270" xr:uid="{00000000-0005-0000-0000-00004F660000}"/>
    <cellStyle name="Normal 8 5 3 2 2 2 2" xfId="16718" xr:uid="{00000000-0005-0000-0000-000050660000}"/>
    <cellStyle name="Normal 8 5 3 2 2 2 2 2" xfId="33658" xr:uid="{00000000-0005-0000-0000-000051660000}"/>
    <cellStyle name="Normal 8 5 3 2 2 2 3" xfId="25210" xr:uid="{00000000-0005-0000-0000-000052660000}"/>
    <cellStyle name="Normal 8 5 3 2 2 3" xfId="12494" xr:uid="{00000000-0005-0000-0000-000053660000}"/>
    <cellStyle name="Normal 8 5 3 2 2 3 2" xfId="29434" xr:uid="{00000000-0005-0000-0000-000054660000}"/>
    <cellStyle name="Normal 8 5 3 2 2 4" xfId="20986" xr:uid="{00000000-0005-0000-0000-000055660000}"/>
    <cellStyle name="Normal 8 5 3 2 3" xfId="6158" xr:uid="{00000000-0005-0000-0000-000056660000}"/>
    <cellStyle name="Normal 8 5 3 2 3 2" xfId="14606" xr:uid="{00000000-0005-0000-0000-000057660000}"/>
    <cellStyle name="Normal 8 5 3 2 3 2 2" xfId="31546" xr:uid="{00000000-0005-0000-0000-000058660000}"/>
    <cellStyle name="Normal 8 5 3 2 3 3" xfId="23098" xr:uid="{00000000-0005-0000-0000-000059660000}"/>
    <cellStyle name="Normal 8 5 3 2 4" xfId="10382" xr:uid="{00000000-0005-0000-0000-00005A660000}"/>
    <cellStyle name="Normal 8 5 3 2 4 2" xfId="27322" xr:uid="{00000000-0005-0000-0000-00005B660000}"/>
    <cellStyle name="Normal 8 5 3 2 5" xfId="18874" xr:uid="{00000000-0005-0000-0000-00005C660000}"/>
    <cellStyle name="Normal 8 5 3 3" xfId="2988" xr:uid="{00000000-0005-0000-0000-00005D660000}"/>
    <cellStyle name="Normal 8 5 3 3 2" xfId="7214" xr:uid="{00000000-0005-0000-0000-00005E660000}"/>
    <cellStyle name="Normal 8 5 3 3 2 2" xfId="15662" xr:uid="{00000000-0005-0000-0000-00005F660000}"/>
    <cellStyle name="Normal 8 5 3 3 2 2 2" xfId="32602" xr:uid="{00000000-0005-0000-0000-000060660000}"/>
    <cellStyle name="Normal 8 5 3 3 2 3" xfId="24154" xr:uid="{00000000-0005-0000-0000-000061660000}"/>
    <cellStyle name="Normal 8 5 3 3 3" xfId="11438" xr:uid="{00000000-0005-0000-0000-000062660000}"/>
    <cellStyle name="Normal 8 5 3 3 3 2" xfId="28378" xr:uid="{00000000-0005-0000-0000-000063660000}"/>
    <cellStyle name="Normal 8 5 3 3 4" xfId="19930" xr:uid="{00000000-0005-0000-0000-000064660000}"/>
    <cellStyle name="Normal 8 5 3 4" xfId="5102" xr:uid="{00000000-0005-0000-0000-000065660000}"/>
    <cellStyle name="Normal 8 5 3 4 2" xfId="13550" xr:uid="{00000000-0005-0000-0000-000066660000}"/>
    <cellStyle name="Normal 8 5 3 4 2 2" xfId="30490" xr:uid="{00000000-0005-0000-0000-000067660000}"/>
    <cellStyle name="Normal 8 5 3 4 3" xfId="22042" xr:uid="{00000000-0005-0000-0000-000068660000}"/>
    <cellStyle name="Normal 8 5 3 5" xfId="9326" xr:uid="{00000000-0005-0000-0000-000069660000}"/>
    <cellStyle name="Normal 8 5 3 5 2" xfId="26266" xr:uid="{00000000-0005-0000-0000-00006A660000}"/>
    <cellStyle name="Normal 8 5 3 6" xfId="17818" xr:uid="{00000000-0005-0000-0000-00006B660000}"/>
    <cellStyle name="Normal 8 5 4" xfId="1222" xr:uid="{00000000-0005-0000-0000-00006C660000}"/>
    <cellStyle name="Normal 8 5 4 2" xfId="2284" xr:uid="{00000000-0005-0000-0000-00006D660000}"/>
    <cellStyle name="Normal 8 5 4 2 2" xfId="4396" xr:uid="{00000000-0005-0000-0000-00006E660000}"/>
    <cellStyle name="Normal 8 5 4 2 2 2" xfId="8622" xr:uid="{00000000-0005-0000-0000-00006F660000}"/>
    <cellStyle name="Normal 8 5 4 2 2 2 2" xfId="17070" xr:uid="{00000000-0005-0000-0000-000070660000}"/>
    <cellStyle name="Normal 8 5 4 2 2 2 2 2" xfId="34010" xr:uid="{00000000-0005-0000-0000-000071660000}"/>
    <cellStyle name="Normal 8 5 4 2 2 2 3" xfId="25562" xr:uid="{00000000-0005-0000-0000-000072660000}"/>
    <cellStyle name="Normal 8 5 4 2 2 3" xfId="12846" xr:uid="{00000000-0005-0000-0000-000073660000}"/>
    <cellStyle name="Normal 8 5 4 2 2 3 2" xfId="29786" xr:uid="{00000000-0005-0000-0000-000074660000}"/>
    <cellStyle name="Normal 8 5 4 2 2 4" xfId="21338" xr:uid="{00000000-0005-0000-0000-000075660000}"/>
    <cellStyle name="Normal 8 5 4 2 3" xfId="6510" xr:uid="{00000000-0005-0000-0000-000076660000}"/>
    <cellStyle name="Normal 8 5 4 2 3 2" xfId="14958" xr:uid="{00000000-0005-0000-0000-000077660000}"/>
    <cellStyle name="Normal 8 5 4 2 3 2 2" xfId="31898" xr:uid="{00000000-0005-0000-0000-000078660000}"/>
    <cellStyle name="Normal 8 5 4 2 3 3" xfId="23450" xr:uid="{00000000-0005-0000-0000-000079660000}"/>
    <cellStyle name="Normal 8 5 4 2 4" xfId="10734" xr:uid="{00000000-0005-0000-0000-00007A660000}"/>
    <cellStyle name="Normal 8 5 4 2 4 2" xfId="27674" xr:uid="{00000000-0005-0000-0000-00007B660000}"/>
    <cellStyle name="Normal 8 5 4 2 5" xfId="19226" xr:uid="{00000000-0005-0000-0000-00007C660000}"/>
    <cellStyle name="Normal 8 5 4 3" xfId="3340" xr:uid="{00000000-0005-0000-0000-00007D660000}"/>
    <cellStyle name="Normal 8 5 4 3 2" xfId="7566" xr:uid="{00000000-0005-0000-0000-00007E660000}"/>
    <cellStyle name="Normal 8 5 4 3 2 2" xfId="16014" xr:uid="{00000000-0005-0000-0000-00007F660000}"/>
    <cellStyle name="Normal 8 5 4 3 2 2 2" xfId="32954" xr:uid="{00000000-0005-0000-0000-000080660000}"/>
    <cellStyle name="Normal 8 5 4 3 2 3" xfId="24506" xr:uid="{00000000-0005-0000-0000-000081660000}"/>
    <cellStyle name="Normal 8 5 4 3 3" xfId="11790" xr:uid="{00000000-0005-0000-0000-000082660000}"/>
    <cellStyle name="Normal 8 5 4 3 3 2" xfId="28730" xr:uid="{00000000-0005-0000-0000-000083660000}"/>
    <cellStyle name="Normal 8 5 4 3 4" xfId="20282" xr:uid="{00000000-0005-0000-0000-000084660000}"/>
    <cellStyle name="Normal 8 5 4 4" xfId="5454" xr:uid="{00000000-0005-0000-0000-000085660000}"/>
    <cellStyle name="Normal 8 5 4 4 2" xfId="13902" xr:uid="{00000000-0005-0000-0000-000086660000}"/>
    <cellStyle name="Normal 8 5 4 4 2 2" xfId="30842" xr:uid="{00000000-0005-0000-0000-000087660000}"/>
    <cellStyle name="Normal 8 5 4 4 3" xfId="22394" xr:uid="{00000000-0005-0000-0000-000088660000}"/>
    <cellStyle name="Normal 8 5 4 5" xfId="9678" xr:uid="{00000000-0005-0000-0000-000089660000}"/>
    <cellStyle name="Normal 8 5 4 5 2" xfId="26618" xr:uid="{00000000-0005-0000-0000-00008A660000}"/>
    <cellStyle name="Normal 8 5 4 6" xfId="18170" xr:uid="{00000000-0005-0000-0000-00008B660000}"/>
    <cellStyle name="Normal 8 5 5" xfId="1404" xr:uid="{00000000-0005-0000-0000-00008C660000}"/>
    <cellStyle name="Normal 8 5 5 2" xfId="2460" xr:uid="{00000000-0005-0000-0000-00008D660000}"/>
    <cellStyle name="Normal 8 5 5 2 2" xfId="4572" xr:uid="{00000000-0005-0000-0000-00008E660000}"/>
    <cellStyle name="Normal 8 5 5 2 2 2" xfId="8798" xr:uid="{00000000-0005-0000-0000-00008F660000}"/>
    <cellStyle name="Normal 8 5 5 2 2 2 2" xfId="17246" xr:uid="{00000000-0005-0000-0000-000090660000}"/>
    <cellStyle name="Normal 8 5 5 2 2 2 2 2" xfId="34186" xr:uid="{00000000-0005-0000-0000-000091660000}"/>
    <cellStyle name="Normal 8 5 5 2 2 2 3" xfId="25738" xr:uid="{00000000-0005-0000-0000-000092660000}"/>
    <cellStyle name="Normal 8 5 5 2 2 3" xfId="13022" xr:uid="{00000000-0005-0000-0000-000093660000}"/>
    <cellStyle name="Normal 8 5 5 2 2 3 2" xfId="29962" xr:uid="{00000000-0005-0000-0000-000094660000}"/>
    <cellStyle name="Normal 8 5 5 2 2 4" xfId="21514" xr:uid="{00000000-0005-0000-0000-000095660000}"/>
    <cellStyle name="Normal 8 5 5 2 3" xfId="6686" xr:uid="{00000000-0005-0000-0000-000096660000}"/>
    <cellStyle name="Normal 8 5 5 2 3 2" xfId="15134" xr:uid="{00000000-0005-0000-0000-000097660000}"/>
    <cellStyle name="Normal 8 5 5 2 3 2 2" xfId="32074" xr:uid="{00000000-0005-0000-0000-000098660000}"/>
    <cellStyle name="Normal 8 5 5 2 3 3" xfId="23626" xr:uid="{00000000-0005-0000-0000-000099660000}"/>
    <cellStyle name="Normal 8 5 5 2 4" xfId="10910" xr:uid="{00000000-0005-0000-0000-00009A660000}"/>
    <cellStyle name="Normal 8 5 5 2 4 2" xfId="27850" xr:uid="{00000000-0005-0000-0000-00009B660000}"/>
    <cellStyle name="Normal 8 5 5 2 5" xfId="19402" xr:uid="{00000000-0005-0000-0000-00009C660000}"/>
    <cellStyle name="Normal 8 5 5 3" xfId="3516" xr:uid="{00000000-0005-0000-0000-00009D660000}"/>
    <cellStyle name="Normal 8 5 5 3 2" xfId="7742" xr:uid="{00000000-0005-0000-0000-00009E660000}"/>
    <cellStyle name="Normal 8 5 5 3 2 2" xfId="16190" xr:uid="{00000000-0005-0000-0000-00009F660000}"/>
    <cellStyle name="Normal 8 5 5 3 2 2 2" xfId="33130" xr:uid="{00000000-0005-0000-0000-0000A0660000}"/>
    <cellStyle name="Normal 8 5 5 3 2 3" xfId="24682" xr:uid="{00000000-0005-0000-0000-0000A1660000}"/>
    <cellStyle name="Normal 8 5 5 3 3" xfId="11966" xr:uid="{00000000-0005-0000-0000-0000A2660000}"/>
    <cellStyle name="Normal 8 5 5 3 3 2" xfId="28906" xr:uid="{00000000-0005-0000-0000-0000A3660000}"/>
    <cellStyle name="Normal 8 5 5 3 4" xfId="20458" xr:uid="{00000000-0005-0000-0000-0000A4660000}"/>
    <cellStyle name="Normal 8 5 5 4" xfId="5630" xr:uid="{00000000-0005-0000-0000-0000A5660000}"/>
    <cellStyle name="Normal 8 5 5 4 2" xfId="14078" xr:uid="{00000000-0005-0000-0000-0000A6660000}"/>
    <cellStyle name="Normal 8 5 5 4 2 2" xfId="31018" xr:uid="{00000000-0005-0000-0000-0000A7660000}"/>
    <cellStyle name="Normal 8 5 5 4 3" xfId="22570" xr:uid="{00000000-0005-0000-0000-0000A8660000}"/>
    <cellStyle name="Normal 8 5 5 5" xfId="9854" xr:uid="{00000000-0005-0000-0000-0000A9660000}"/>
    <cellStyle name="Normal 8 5 5 5 2" xfId="26794" xr:uid="{00000000-0005-0000-0000-0000AA660000}"/>
    <cellStyle name="Normal 8 5 5 6" xfId="18346" xr:uid="{00000000-0005-0000-0000-0000AB660000}"/>
    <cellStyle name="Normal 8 5 6" xfId="1580" xr:uid="{00000000-0005-0000-0000-0000AC660000}"/>
    <cellStyle name="Normal 8 5 6 2" xfId="3692" xr:uid="{00000000-0005-0000-0000-0000AD660000}"/>
    <cellStyle name="Normal 8 5 6 2 2" xfId="7918" xr:uid="{00000000-0005-0000-0000-0000AE660000}"/>
    <cellStyle name="Normal 8 5 6 2 2 2" xfId="16366" xr:uid="{00000000-0005-0000-0000-0000AF660000}"/>
    <cellStyle name="Normal 8 5 6 2 2 2 2" xfId="33306" xr:uid="{00000000-0005-0000-0000-0000B0660000}"/>
    <cellStyle name="Normal 8 5 6 2 2 3" xfId="24858" xr:uid="{00000000-0005-0000-0000-0000B1660000}"/>
    <cellStyle name="Normal 8 5 6 2 3" xfId="12142" xr:uid="{00000000-0005-0000-0000-0000B2660000}"/>
    <cellStyle name="Normal 8 5 6 2 3 2" xfId="29082" xr:uid="{00000000-0005-0000-0000-0000B3660000}"/>
    <cellStyle name="Normal 8 5 6 2 4" xfId="20634" xr:uid="{00000000-0005-0000-0000-0000B4660000}"/>
    <cellStyle name="Normal 8 5 6 3" xfId="5806" xr:uid="{00000000-0005-0000-0000-0000B5660000}"/>
    <cellStyle name="Normal 8 5 6 3 2" xfId="14254" xr:uid="{00000000-0005-0000-0000-0000B6660000}"/>
    <cellStyle name="Normal 8 5 6 3 2 2" xfId="31194" xr:uid="{00000000-0005-0000-0000-0000B7660000}"/>
    <cellStyle name="Normal 8 5 6 3 3" xfId="22746" xr:uid="{00000000-0005-0000-0000-0000B8660000}"/>
    <cellStyle name="Normal 8 5 6 4" xfId="10030" xr:uid="{00000000-0005-0000-0000-0000B9660000}"/>
    <cellStyle name="Normal 8 5 6 4 2" xfId="26970" xr:uid="{00000000-0005-0000-0000-0000BA660000}"/>
    <cellStyle name="Normal 8 5 6 5" xfId="18522" xr:uid="{00000000-0005-0000-0000-0000BB660000}"/>
    <cellStyle name="Normal 8 5 7" xfId="2636" xr:uid="{00000000-0005-0000-0000-0000BC660000}"/>
    <cellStyle name="Normal 8 5 7 2" xfId="6862" xr:uid="{00000000-0005-0000-0000-0000BD660000}"/>
    <cellStyle name="Normal 8 5 7 2 2" xfId="15310" xr:uid="{00000000-0005-0000-0000-0000BE660000}"/>
    <cellStyle name="Normal 8 5 7 2 2 2" xfId="32250" xr:uid="{00000000-0005-0000-0000-0000BF660000}"/>
    <cellStyle name="Normal 8 5 7 2 3" xfId="23802" xr:uid="{00000000-0005-0000-0000-0000C0660000}"/>
    <cellStyle name="Normal 8 5 7 3" xfId="11086" xr:uid="{00000000-0005-0000-0000-0000C1660000}"/>
    <cellStyle name="Normal 8 5 7 3 2" xfId="28026" xr:uid="{00000000-0005-0000-0000-0000C2660000}"/>
    <cellStyle name="Normal 8 5 7 4" xfId="19578" xr:uid="{00000000-0005-0000-0000-0000C3660000}"/>
    <cellStyle name="Normal 8 5 8" xfId="4749" xr:uid="{00000000-0005-0000-0000-0000C4660000}"/>
    <cellStyle name="Normal 8 5 8 2" xfId="13198" xr:uid="{00000000-0005-0000-0000-0000C5660000}"/>
    <cellStyle name="Normal 8 5 8 2 2" xfId="30138" xr:uid="{00000000-0005-0000-0000-0000C6660000}"/>
    <cellStyle name="Normal 8 5 8 3" xfId="21690" xr:uid="{00000000-0005-0000-0000-0000C7660000}"/>
    <cellStyle name="Normal 8 5 9" xfId="8974" xr:uid="{00000000-0005-0000-0000-0000C8660000}"/>
    <cellStyle name="Normal 8 5 9 2" xfId="25914" xr:uid="{00000000-0005-0000-0000-0000C9660000}"/>
    <cellStyle name="Normal 8 6" xfId="404" xr:uid="{00000000-0005-0000-0000-0000CA660000}"/>
    <cellStyle name="Normal 8 6 10" xfId="17467" xr:uid="{00000000-0005-0000-0000-0000CB660000}"/>
    <cellStyle name="Normal 8 6 2" xfId="695" xr:uid="{00000000-0005-0000-0000-0000CC660000}"/>
    <cellStyle name="Normal 8 6 2 2" xfId="1047" xr:uid="{00000000-0005-0000-0000-0000CD660000}"/>
    <cellStyle name="Normal 8 6 2 2 2" xfId="2109" xr:uid="{00000000-0005-0000-0000-0000CE660000}"/>
    <cellStyle name="Normal 8 6 2 2 2 2" xfId="4221" xr:uid="{00000000-0005-0000-0000-0000CF660000}"/>
    <cellStyle name="Normal 8 6 2 2 2 2 2" xfId="8447" xr:uid="{00000000-0005-0000-0000-0000D0660000}"/>
    <cellStyle name="Normal 8 6 2 2 2 2 2 2" xfId="16895" xr:uid="{00000000-0005-0000-0000-0000D1660000}"/>
    <cellStyle name="Normal 8 6 2 2 2 2 2 2 2" xfId="33835" xr:uid="{00000000-0005-0000-0000-0000D2660000}"/>
    <cellStyle name="Normal 8 6 2 2 2 2 2 3" xfId="25387" xr:uid="{00000000-0005-0000-0000-0000D3660000}"/>
    <cellStyle name="Normal 8 6 2 2 2 2 3" xfId="12671" xr:uid="{00000000-0005-0000-0000-0000D4660000}"/>
    <cellStyle name="Normal 8 6 2 2 2 2 3 2" xfId="29611" xr:uid="{00000000-0005-0000-0000-0000D5660000}"/>
    <cellStyle name="Normal 8 6 2 2 2 2 4" xfId="21163" xr:uid="{00000000-0005-0000-0000-0000D6660000}"/>
    <cellStyle name="Normal 8 6 2 2 2 3" xfId="6335" xr:uid="{00000000-0005-0000-0000-0000D7660000}"/>
    <cellStyle name="Normal 8 6 2 2 2 3 2" xfId="14783" xr:uid="{00000000-0005-0000-0000-0000D8660000}"/>
    <cellStyle name="Normal 8 6 2 2 2 3 2 2" xfId="31723" xr:uid="{00000000-0005-0000-0000-0000D9660000}"/>
    <cellStyle name="Normal 8 6 2 2 2 3 3" xfId="23275" xr:uid="{00000000-0005-0000-0000-0000DA660000}"/>
    <cellStyle name="Normal 8 6 2 2 2 4" xfId="10559" xr:uid="{00000000-0005-0000-0000-0000DB660000}"/>
    <cellStyle name="Normal 8 6 2 2 2 4 2" xfId="27499" xr:uid="{00000000-0005-0000-0000-0000DC660000}"/>
    <cellStyle name="Normal 8 6 2 2 2 5" xfId="19051" xr:uid="{00000000-0005-0000-0000-0000DD660000}"/>
    <cellStyle name="Normal 8 6 2 2 3" xfId="3165" xr:uid="{00000000-0005-0000-0000-0000DE660000}"/>
    <cellStyle name="Normal 8 6 2 2 3 2" xfId="7391" xr:uid="{00000000-0005-0000-0000-0000DF660000}"/>
    <cellStyle name="Normal 8 6 2 2 3 2 2" xfId="15839" xr:uid="{00000000-0005-0000-0000-0000E0660000}"/>
    <cellStyle name="Normal 8 6 2 2 3 2 2 2" xfId="32779" xr:uid="{00000000-0005-0000-0000-0000E1660000}"/>
    <cellStyle name="Normal 8 6 2 2 3 2 3" xfId="24331" xr:uid="{00000000-0005-0000-0000-0000E2660000}"/>
    <cellStyle name="Normal 8 6 2 2 3 3" xfId="11615" xr:uid="{00000000-0005-0000-0000-0000E3660000}"/>
    <cellStyle name="Normal 8 6 2 2 3 3 2" xfId="28555" xr:uid="{00000000-0005-0000-0000-0000E4660000}"/>
    <cellStyle name="Normal 8 6 2 2 3 4" xfId="20107" xr:uid="{00000000-0005-0000-0000-0000E5660000}"/>
    <cellStyle name="Normal 8 6 2 2 4" xfId="5279" xr:uid="{00000000-0005-0000-0000-0000E6660000}"/>
    <cellStyle name="Normal 8 6 2 2 4 2" xfId="13727" xr:uid="{00000000-0005-0000-0000-0000E7660000}"/>
    <cellStyle name="Normal 8 6 2 2 4 2 2" xfId="30667" xr:uid="{00000000-0005-0000-0000-0000E8660000}"/>
    <cellStyle name="Normal 8 6 2 2 4 3" xfId="22219" xr:uid="{00000000-0005-0000-0000-0000E9660000}"/>
    <cellStyle name="Normal 8 6 2 2 5" xfId="9503" xr:uid="{00000000-0005-0000-0000-0000EA660000}"/>
    <cellStyle name="Normal 8 6 2 2 5 2" xfId="26443" xr:uid="{00000000-0005-0000-0000-0000EB660000}"/>
    <cellStyle name="Normal 8 6 2 2 6" xfId="17995" xr:uid="{00000000-0005-0000-0000-0000EC660000}"/>
    <cellStyle name="Normal 8 6 2 3" xfId="1757" xr:uid="{00000000-0005-0000-0000-0000ED660000}"/>
    <cellStyle name="Normal 8 6 2 3 2" xfId="3869" xr:uid="{00000000-0005-0000-0000-0000EE660000}"/>
    <cellStyle name="Normal 8 6 2 3 2 2" xfId="8095" xr:uid="{00000000-0005-0000-0000-0000EF660000}"/>
    <cellStyle name="Normal 8 6 2 3 2 2 2" xfId="16543" xr:uid="{00000000-0005-0000-0000-0000F0660000}"/>
    <cellStyle name="Normal 8 6 2 3 2 2 2 2" xfId="33483" xr:uid="{00000000-0005-0000-0000-0000F1660000}"/>
    <cellStyle name="Normal 8 6 2 3 2 2 3" xfId="25035" xr:uid="{00000000-0005-0000-0000-0000F2660000}"/>
    <cellStyle name="Normal 8 6 2 3 2 3" xfId="12319" xr:uid="{00000000-0005-0000-0000-0000F3660000}"/>
    <cellStyle name="Normal 8 6 2 3 2 3 2" xfId="29259" xr:uid="{00000000-0005-0000-0000-0000F4660000}"/>
    <cellStyle name="Normal 8 6 2 3 2 4" xfId="20811" xr:uid="{00000000-0005-0000-0000-0000F5660000}"/>
    <cellStyle name="Normal 8 6 2 3 3" xfId="5983" xr:uid="{00000000-0005-0000-0000-0000F6660000}"/>
    <cellStyle name="Normal 8 6 2 3 3 2" xfId="14431" xr:uid="{00000000-0005-0000-0000-0000F7660000}"/>
    <cellStyle name="Normal 8 6 2 3 3 2 2" xfId="31371" xr:uid="{00000000-0005-0000-0000-0000F8660000}"/>
    <cellStyle name="Normal 8 6 2 3 3 3" xfId="22923" xr:uid="{00000000-0005-0000-0000-0000F9660000}"/>
    <cellStyle name="Normal 8 6 2 3 4" xfId="10207" xr:uid="{00000000-0005-0000-0000-0000FA660000}"/>
    <cellStyle name="Normal 8 6 2 3 4 2" xfId="27147" xr:uid="{00000000-0005-0000-0000-0000FB660000}"/>
    <cellStyle name="Normal 8 6 2 3 5" xfId="18699" xr:uid="{00000000-0005-0000-0000-0000FC660000}"/>
    <cellStyle name="Normal 8 6 2 4" xfId="2813" xr:uid="{00000000-0005-0000-0000-0000FD660000}"/>
    <cellStyle name="Normal 8 6 2 4 2" xfId="7039" xr:uid="{00000000-0005-0000-0000-0000FE660000}"/>
    <cellStyle name="Normal 8 6 2 4 2 2" xfId="15487" xr:uid="{00000000-0005-0000-0000-0000FF660000}"/>
    <cellStyle name="Normal 8 6 2 4 2 2 2" xfId="32427" xr:uid="{00000000-0005-0000-0000-000000670000}"/>
    <cellStyle name="Normal 8 6 2 4 2 3" xfId="23979" xr:uid="{00000000-0005-0000-0000-000001670000}"/>
    <cellStyle name="Normal 8 6 2 4 3" xfId="11263" xr:uid="{00000000-0005-0000-0000-000002670000}"/>
    <cellStyle name="Normal 8 6 2 4 3 2" xfId="28203" xr:uid="{00000000-0005-0000-0000-000003670000}"/>
    <cellStyle name="Normal 8 6 2 4 4" xfId="19755" xr:uid="{00000000-0005-0000-0000-000004670000}"/>
    <cellStyle name="Normal 8 6 2 5" xfId="4927" xr:uid="{00000000-0005-0000-0000-000005670000}"/>
    <cellStyle name="Normal 8 6 2 5 2" xfId="13375" xr:uid="{00000000-0005-0000-0000-000006670000}"/>
    <cellStyle name="Normal 8 6 2 5 2 2" xfId="30315" xr:uid="{00000000-0005-0000-0000-000007670000}"/>
    <cellStyle name="Normal 8 6 2 5 3" xfId="21867" xr:uid="{00000000-0005-0000-0000-000008670000}"/>
    <cellStyle name="Normal 8 6 2 6" xfId="9151" xr:uid="{00000000-0005-0000-0000-000009670000}"/>
    <cellStyle name="Normal 8 6 2 6 2" xfId="26091" xr:uid="{00000000-0005-0000-0000-00000A670000}"/>
    <cellStyle name="Normal 8 6 2 7" xfId="17643" xr:uid="{00000000-0005-0000-0000-00000B670000}"/>
    <cellStyle name="Normal 8 6 3" xfId="871" xr:uid="{00000000-0005-0000-0000-00000C670000}"/>
    <cellStyle name="Normal 8 6 3 2" xfId="1933" xr:uid="{00000000-0005-0000-0000-00000D670000}"/>
    <cellStyle name="Normal 8 6 3 2 2" xfId="4045" xr:uid="{00000000-0005-0000-0000-00000E670000}"/>
    <cellStyle name="Normal 8 6 3 2 2 2" xfId="8271" xr:uid="{00000000-0005-0000-0000-00000F670000}"/>
    <cellStyle name="Normal 8 6 3 2 2 2 2" xfId="16719" xr:uid="{00000000-0005-0000-0000-000010670000}"/>
    <cellStyle name="Normal 8 6 3 2 2 2 2 2" xfId="33659" xr:uid="{00000000-0005-0000-0000-000011670000}"/>
    <cellStyle name="Normal 8 6 3 2 2 2 3" xfId="25211" xr:uid="{00000000-0005-0000-0000-000012670000}"/>
    <cellStyle name="Normal 8 6 3 2 2 3" xfId="12495" xr:uid="{00000000-0005-0000-0000-000013670000}"/>
    <cellStyle name="Normal 8 6 3 2 2 3 2" xfId="29435" xr:uid="{00000000-0005-0000-0000-000014670000}"/>
    <cellStyle name="Normal 8 6 3 2 2 4" xfId="20987" xr:uid="{00000000-0005-0000-0000-000015670000}"/>
    <cellStyle name="Normal 8 6 3 2 3" xfId="6159" xr:uid="{00000000-0005-0000-0000-000016670000}"/>
    <cellStyle name="Normal 8 6 3 2 3 2" xfId="14607" xr:uid="{00000000-0005-0000-0000-000017670000}"/>
    <cellStyle name="Normal 8 6 3 2 3 2 2" xfId="31547" xr:uid="{00000000-0005-0000-0000-000018670000}"/>
    <cellStyle name="Normal 8 6 3 2 3 3" xfId="23099" xr:uid="{00000000-0005-0000-0000-000019670000}"/>
    <cellStyle name="Normal 8 6 3 2 4" xfId="10383" xr:uid="{00000000-0005-0000-0000-00001A670000}"/>
    <cellStyle name="Normal 8 6 3 2 4 2" xfId="27323" xr:uid="{00000000-0005-0000-0000-00001B670000}"/>
    <cellStyle name="Normal 8 6 3 2 5" xfId="18875" xr:uid="{00000000-0005-0000-0000-00001C670000}"/>
    <cellStyle name="Normal 8 6 3 3" xfId="2989" xr:uid="{00000000-0005-0000-0000-00001D670000}"/>
    <cellStyle name="Normal 8 6 3 3 2" xfId="7215" xr:uid="{00000000-0005-0000-0000-00001E670000}"/>
    <cellStyle name="Normal 8 6 3 3 2 2" xfId="15663" xr:uid="{00000000-0005-0000-0000-00001F670000}"/>
    <cellStyle name="Normal 8 6 3 3 2 2 2" xfId="32603" xr:uid="{00000000-0005-0000-0000-000020670000}"/>
    <cellStyle name="Normal 8 6 3 3 2 3" xfId="24155" xr:uid="{00000000-0005-0000-0000-000021670000}"/>
    <cellStyle name="Normal 8 6 3 3 3" xfId="11439" xr:uid="{00000000-0005-0000-0000-000022670000}"/>
    <cellStyle name="Normal 8 6 3 3 3 2" xfId="28379" xr:uid="{00000000-0005-0000-0000-000023670000}"/>
    <cellStyle name="Normal 8 6 3 3 4" xfId="19931" xr:uid="{00000000-0005-0000-0000-000024670000}"/>
    <cellStyle name="Normal 8 6 3 4" xfId="5103" xr:uid="{00000000-0005-0000-0000-000025670000}"/>
    <cellStyle name="Normal 8 6 3 4 2" xfId="13551" xr:uid="{00000000-0005-0000-0000-000026670000}"/>
    <cellStyle name="Normal 8 6 3 4 2 2" xfId="30491" xr:uid="{00000000-0005-0000-0000-000027670000}"/>
    <cellStyle name="Normal 8 6 3 4 3" xfId="22043" xr:uid="{00000000-0005-0000-0000-000028670000}"/>
    <cellStyle name="Normal 8 6 3 5" xfId="9327" xr:uid="{00000000-0005-0000-0000-000029670000}"/>
    <cellStyle name="Normal 8 6 3 5 2" xfId="26267" xr:uid="{00000000-0005-0000-0000-00002A670000}"/>
    <cellStyle name="Normal 8 6 3 6" xfId="17819" xr:uid="{00000000-0005-0000-0000-00002B670000}"/>
    <cellStyle name="Normal 8 6 4" xfId="1223" xr:uid="{00000000-0005-0000-0000-00002C670000}"/>
    <cellStyle name="Normal 8 6 4 2" xfId="2285" xr:uid="{00000000-0005-0000-0000-00002D670000}"/>
    <cellStyle name="Normal 8 6 4 2 2" xfId="4397" xr:uid="{00000000-0005-0000-0000-00002E670000}"/>
    <cellStyle name="Normal 8 6 4 2 2 2" xfId="8623" xr:uid="{00000000-0005-0000-0000-00002F670000}"/>
    <cellStyle name="Normal 8 6 4 2 2 2 2" xfId="17071" xr:uid="{00000000-0005-0000-0000-000030670000}"/>
    <cellStyle name="Normal 8 6 4 2 2 2 2 2" xfId="34011" xr:uid="{00000000-0005-0000-0000-000031670000}"/>
    <cellStyle name="Normal 8 6 4 2 2 2 3" xfId="25563" xr:uid="{00000000-0005-0000-0000-000032670000}"/>
    <cellStyle name="Normal 8 6 4 2 2 3" xfId="12847" xr:uid="{00000000-0005-0000-0000-000033670000}"/>
    <cellStyle name="Normal 8 6 4 2 2 3 2" xfId="29787" xr:uid="{00000000-0005-0000-0000-000034670000}"/>
    <cellStyle name="Normal 8 6 4 2 2 4" xfId="21339" xr:uid="{00000000-0005-0000-0000-000035670000}"/>
    <cellStyle name="Normal 8 6 4 2 3" xfId="6511" xr:uid="{00000000-0005-0000-0000-000036670000}"/>
    <cellStyle name="Normal 8 6 4 2 3 2" xfId="14959" xr:uid="{00000000-0005-0000-0000-000037670000}"/>
    <cellStyle name="Normal 8 6 4 2 3 2 2" xfId="31899" xr:uid="{00000000-0005-0000-0000-000038670000}"/>
    <cellStyle name="Normal 8 6 4 2 3 3" xfId="23451" xr:uid="{00000000-0005-0000-0000-000039670000}"/>
    <cellStyle name="Normal 8 6 4 2 4" xfId="10735" xr:uid="{00000000-0005-0000-0000-00003A670000}"/>
    <cellStyle name="Normal 8 6 4 2 4 2" xfId="27675" xr:uid="{00000000-0005-0000-0000-00003B670000}"/>
    <cellStyle name="Normal 8 6 4 2 5" xfId="19227" xr:uid="{00000000-0005-0000-0000-00003C670000}"/>
    <cellStyle name="Normal 8 6 4 3" xfId="3341" xr:uid="{00000000-0005-0000-0000-00003D670000}"/>
    <cellStyle name="Normal 8 6 4 3 2" xfId="7567" xr:uid="{00000000-0005-0000-0000-00003E670000}"/>
    <cellStyle name="Normal 8 6 4 3 2 2" xfId="16015" xr:uid="{00000000-0005-0000-0000-00003F670000}"/>
    <cellStyle name="Normal 8 6 4 3 2 2 2" xfId="32955" xr:uid="{00000000-0005-0000-0000-000040670000}"/>
    <cellStyle name="Normal 8 6 4 3 2 3" xfId="24507" xr:uid="{00000000-0005-0000-0000-000041670000}"/>
    <cellStyle name="Normal 8 6 4 3 3" xfId="11791" xr:uid="{00000000-0005-0000-0000-000042670000}"/>
    <cellStyle name="Normal 8 6 4 3 3 2" xfId="28731" xr:uid="{00000000-0005-0000-0000-000043670000}"/>
    <cellStyle name="Normal 8 6 4 3 4" xfId="20283" xr:uid="{00000000-0005-0000-0000-000044670000}"/>
    <cellStyle name="Normal 8 6 4 4" xfId="5455" xr:uid="{00000000-0005-0000-0000-000045670000}"/>
    <cellStyle name="Normal 8 6 4 4 2" xfId="13903" xr:uid="{00000000-0005-0000-0000-000046670000}"/>
    <cellStyle name="Normal 8 6 4 4 2 2" xfId="30843" xr:uid="{00000000-0005-0000-0000-000047670000}"/>
    <cellStyle name="Normal 8 6 4 4 3" xfId="22395" xr:uid="{00000000-0005-0000-0000-000048670000}"/>
    <cellStyle name="Normal 8 6 4 5" xfId="9679" xr:uid="{00000000-0005-0000-0000-000049670000}"/>
    <cellStyle name="Normal 8 6 4 5 2" xfId="26619" xr:uid="{00000000-0005-0000-0000-00004A670000}"/>
    <cellStyle name="Normal 8 6 4 6" xfId="18171" xr:uid="{00000000-0005-0000-0000-00004B670000}"/>
    <cellStyle name="Normal 8 6 5" xfId="1405" xr:uid="{00000000-0005-0000-0000-00004C670000}"/>
    <cellStyle name="Normal 8 6 5 2" xfId="2461" xr:uid="{00000000-0005-0000-0000-00004D670000}"/>
    <cellStyle name="Normal 8 6 5 2 2" xfId="4573" xr:uid="{00000000-0005-0000-0000-00004E670000}"/>
    <cellStyle name="Normal 8 6 5 2 2 2" xfId="8799" xr:uid="{00000000-0005-0000-0000-00004F670000}"/>
    <cellStyle name="Normal 8 6 5 2 2 2 2" xfId="17247" xr:uid="{00000000-0005-0000-0000-000050670000}"/>
    <cellStyle name="Normal 8 6 5 2 2 2 2 2" xfId="34187" xr:uid="{00000000-0005-0000-0000-000051670000}"/>
    <cellStyle name="Normal 8 6 5 2 2 2 3" xfId="25739" xr:uid="{00000000-0005-0000-0000-000052670000}"/>
    <cellStyle name="Normal 8 6 5 2 2 3" xfId="13023" xr:uid="{00000000-0005-0000-0000-000053670000}"/>
    <cellStyle name="Normal 8 6 5 2 2 3 2" xfId="29963" xr:uid="{00000000-0005-0000-0000-000054670000}"/>
    <cellStyle name="Normal 8 6 5 2 2 4" xfId="21515" xr:uid="{00000000-0005-0000-0000-000055670000}"/>
    <cellStyle name="Normal 8 6 5 2 3" xfId="6687" xr:uid="{00000000-0005-0000-0000-000056670000}"/>
    <cellStyle name="Normal 8 6 5 2 3 2" xfId="15135" xr:uid="{00000000-0005-0000-0000-000057670000}"/>
    <cellStyle name="Normal 8 6 5 2 3 2 2" xfId="32075" xr:uid="{00000000-0005-0000-0000-000058670000}"/>
    <cellStyle name="Normal 8 6 5 2 3 3" xfId="23627" xr:uid="{00000000-0005-0000-0000-000059670000}"/>
    <cellStyle name="Normal 8 6 5 2 4" xfId="10911" xr:uid="{00000000-0005-0000-0000-00005A670000}"/>
    <cellStyle name="Normal 8 6 5 2 4 2" xfId="27851" xr:uid="{00000000-0005-0000-0000-00005B670000}"/>
    <cellStyle name="Normal 8 6 5 2 5" xfId="19403" xr:uid="{00000000-0005-0000-0000-00005C670000}"/>
    <cellStyle name="Normal 8 6 5 3" xfId="3517" xr:uid="{00000000-0005-0000-0000-00005D670000}"/>
    <cellStyle name="Normal 8 6 5 3 2" xfId="7743" xr:uid="{00000000-0005-0000-0000-00005E670000}"/>
    <cellStyle name="Normal 8 6 5 3 2 2" xfId="16191" xr:uid="{00000000-0005-0000-0000-00005F670000}"/>
    <cellStyle name="Normal 8 6 5 3 2 2 2" xfId="33131" xr:uid="{00000000-0005-0000-0000-000060670000}"/>
    <cellStyle name="Normal 8 6 5 3 2 3" xfId="24683" xr:uid="{00000000-0005-0000-0000-000061670000}"/>
    <cellStyle name="Normal 8 6 5 3 3" xfId="11967" xr:uid="{00000000-0005-0000-0000-000062670000}"/>
    <cellStyle name="Normal 8 6 5 3 3 2" xfId="28907" xr:uid="{00000000-0005-0000-0000-000063670000}"/>
    <cellStyle name="Normal 8 6 5 3 4" xfId="20459" xr:uid="{00000000-0005-0000-0000-000064670000}"/>
    <cellStyle name="Normal 8 6 5 4" xfId="5631" xr:uid="{00000000-0005-0000-0000-000065670000}"/>
    <cellStyle name="Normal 8 6 5 4 2" xfId="14079" xr:uid="{00000000-0005-0000-0000-000066670000}"/>
    <cellStyle name="Normal 8 6 5 4 2 2" xfId="31019" xr:uid="{00000000-0005-0000-0000-000067670000}"/>
    <cellStyle name="Normal 8 6 5 4 3" xfId="22571" xr:uid="{00000000-0005-0000-0000-000068670000}"/>
    <cellStyle name="Normal 8 6 5 5" xfId="9855" xr:uid="{00000000-0005-0000-0000-000069670000}"/>
    <cellStyle name="Normal 8 6 5 5 2" xfId="26795" xr:uid="{00000000-0005-0000-0000-00006A670000}"/>
    <cellStyle name="Normal 8 6 5 6" xfId="18347" xr:uid="{00000000-0005-0000-0000-00006B670000}"/>
    <cellStyle name="Normal 8 6 6" xfId="1581" xr:uid="{00000000-0005-0000-0000-00006C670000}"/>
    <cellStyle name="Normal 8 6 6 2" xfId="3693" xr:uid="{00000000-0005-0000-0000-00006D670000}"/>
    <cellStyle name="Normal 8 6 6 2 2" xfId="7919" xr:uid="{00000000-0005-0000-0000-00006E670000}"/>
    <cellStyle name="Normal 8 6 6 2 2 2" xfId="16367" xr:uid="{00000000-0005-0000-0000-00006F670000}"/>
    <cellStyle name="Normal 8 6 6 2 2 2 2" xfId="33307" xr:uid="{00000000-0005-0000-0000-000070670000}"/>
    <cellStyle name="Normal 8 6 6 2 2 3" xfId="24859" xr:uid="{00000000-0005-0000-0000-000071670000}"/>
    <cellStyle name="Normal 8 6 6 2 3" xfId="12143" xr:uid="{00000000-0005-0000-0000-000072670000}"/>
    <cellStyle name="Normal 8 6 6 2 3 2" xfId="29083" xr:uid="{00000000-0005-0000-0000-000073670000}"/>
    <cellStyle name="Normal 8 6 6 2 4" xfId="20635" xr:uid="{00000000-0005-0000-0000-000074670000}"/>
    <cellStyle name="Normal 8 6 6 3" xfId="5807" xr:uid="{00000000-0005-0000-0000-000075670000}"/>
    <cellStyle name="Normal 8 6 6 3 2" xfId="14255" xr:uid="{00000000-0005-0000-0000-000076670000}"/>
    <cellStyle name="Normal 8 6 6 3 2 2" xfId="31195" xr:uid="{00000000-0005-0000-0000-000077670000}"/>
    <cellStyle name="Normal 8 6 6 3 3" xfId="22747" xr:uid="{00000000-0005-0000-0000-000078670000}"/>
    <cellStyle name="Normal 8 6 6 4" xfId="10031" xr:uid="{00000000-0005-0000-0000-000079670000}"/>
    <cellStyle name="Normal 8 6 6 4 2" xfId="26971" xr:uid="{00000000-0005-0000-0000-00007A670000}"/>
    <cellStyle name="Normal 8 6 6 5" xfId="18523" xr:uid="{00000000-0005-0000-0000-00007B670000}"/>
    <cellStyle name="Normal 8 6 7" xfId="2637" xr:uid="{00000000-0005-0000-0000-00007C670000}"/>
    <cellStyle name="Normal 8 6 7 2" xfId="6863" xr:uid="{00000000-0005-0000-0000-00007D670000}"/>
    <cellStyle name="Normal 8 6 7 2 2" xfId="15311" xr:uid="{00000000-0005-0000-0000-00007E670000}"/>
    <cellStyle name="Normal 8 6 7 2 2 2" xfId="32251" xr:uid="{00000000-0005-0000-0000-00007F670000}"/>
    <cellStyle name="Normal 8 6 7 2 3" xfId="23803" xr:uid="{00000000-0005-0000-0000-000080670000}"/>
    <cellStyle name="Normal 8 6 7 3" xfId="11087" xr:uid="{00000000-0005-0000-0000-000081670000}"/>
    <cellStyle name="Normal 8 6 7 3 2" xfId="28027" xr:uid="{00000000-0005-0000-0000-000082670000}"/>
    <cellStyle name="Normal 8 6 7 4" xfId="19579" xr:uid="{00000000-0005-0000-0000-000083670000}"/>
    <cellStyle name="Normal 8 6 8" xfId="4750" xr:uid="{00000000-0005-0000-0000-000084670000}"/>
    <cellStyle name="Normal 8 6 8 2" xfId="13199" xr:uid="{00000000-0005-0000-0000-000085670000}"/>
    <cellStyle name="Normal 8 6 8 2 2" xfId="30139" xr:uid="{00000000-0005-0000-0000-000086670000}"/>
    <cellStyle name="Normal 8 6 8 3" xfId="21691" xr:uid="{00000000-0005-0000-0000-000087670000}"/>
    <cellStyle name="Normal 8 6 9" xfId="8975" xr:uid="{00000000-0005-0000-0000-000088670000}"/>
    <cellStyle name="Normal 8 6 9 2" xfId="25915" xr:uid="{00000000-0005-0000-0000-000089670000}"/>
    <cellStyle name="Normal 8 7" xfId="687" xr:uid="{00000000-0005-0000-0000-00008A670000}"/>
    <cellStyle name="Normal 8 7 2" xfId="1039" xr:uid="{00000000-0005-0000-0000-00008B670000}"/>
    <cellStyle name="Normal 8 7 2 2" xfId="2101" xr:uid="{00000000-0005-0000-0000-00008C670000}"/>
    <cellStyle name="Normal 8 7 2 2 2" xfId="4213" xr:uid="{00000000-0005-0000-0000-00008D670000}"/>
    <cellStyle name="Normal 8 7 2 2 2 2" xfId="8439" xr:uid="{00000000-0005-0000-0000-00008E670000}"/>
    <cellStyle name="Normal 8 7 2 2 2 2 2" xfId="16887" xr:uid="{00000000-0005-0000-0000-00008F670000}"/>
    <cellStyle name="Normal 8 7 2 2 2 2 2 2" xfId="33827" xr:uid="{00000000-0005-0000-0000-000090670000}"/>
    <cellStyle name="Normal 8 7 2 2 2 2 3" xfId="25379" xr:uid="{00000000-0005-0000-0000-000091670000}"/>
    <cellStyle name="Normal 8 7 2 2 2 3" xfId="12663" xr:uid="{00000000-0005-0000-0000-000092670000}"/>
    <cellStyle name="Normal 8 7 2 2 2 3 2" xfId="29603" xr:uid="{00000000-0005-0000-0000-000093670000}"/>
    <cellStyle name="Normal 8 7 2 2 2 4" xfId="21155" xr:uid="{00000000-0005-0000-0000-000094670000}"/>
    <cellStyle name="Normal 8 7 2 2 3" xfId="6327" xr:uid="{00000000-0005-0000-0000-000095670000}"/>
    <cellStyle name="Normal 8 7 2 2 3 2" xfId="14775" xr:uid="{00000000-0005-0000-0000-000096670000}"/>
    <cellStyle name="Normal 8 7 2 2 3 2 2" xfId="31715" xr:uid="{00000000-0005-0000-0000-000097670000}"/>
    <cellStyle name="Normal 8 7 2 2 3 3" xfId="23267" xr:uid="{00000000-0005-0000-0000-000098670000}"/>
    <cellStyle name="Normal 8 7 2 2 4" xfId="10551" xr:uid="{00000000-0005-0000-0000-000099670000}"/>
    <cellStyle name="Normal 8 7 2 2 4 2" xfId="27491" xr:uid="{00000000-0005-0000-0000-00009A670000}"/>
    <cellStyle name="Normal 8 7 2 2 5" xfId="19043" xr:uid="{00000000-0005-0000-0000-00009B670000}"/>
    <cellStyle name="Normal 8 7 2 3" xfId="3157" xr:uid="{00000000-0005-0000-0000-00009C670000}"/>
    <cellStyle name="Normal 8 7 2 3 2" xfId="7383" xr:uid="{00000000-0005-0000-0000-00009D670000}"/>
    <cellStyle name="Normal 8 7 2 3 2 2" xfId="15831" xr:uid="{00000000-0005-0000-0000-00009E670000}"/>
    <cellStyle name="Normal 8 7 2 3 2 2 2" xfId="32771" xr:uid="{00000000-0005-0000-0000-00009F670000}"/>
    <cellStyle name="Normal 8 7 2 3 2 3" xfId="24323" xr:uid="{00000000-0005-0000-0000-0000A0670000}"/>
    <cellStyle name="Normal 8 7 2 3 3" xfId="11607" xr:uid="{00000000-0005-0000-0000-0000A1670000}"/>
    <cellStyle name="Normal 8 7 2 3 3 2" xfId="28547" xr:uid="{00000000-0005-0000-0000-0000A2670000}"/>
    <cellStyle name="Normal 8 7 2 3 4" xfId="20099" xr:uid="{00000000-0005-0000-0000-0000A3670000}"/>
    <cellStyle name="Normal 8 7 2 4" xfId="5271" xr:uid="{00000000-0005-0000-0000-0000A4670000}"/>
    <cellStyle name="Normal 8 7 2 4 2" xfId="13719" xr:uid="{00000000-0005-0000-0000-0000A5670000}"/>
    <cellStyle name="Normal 8 7 2 4 2 2" xfId="30659" xr:uid="{00000000-0005-0000-0000-0000A6670000}"/>
    <cellStyle name="Normal 8 7 2 4 3" xfId="22211" xr:uid="{00000000-0005-0000-0000-0000A7670000}"/>
    <cellStyle name="Normal 8 7 2 5" xfId="9495" xr:uid="{00000000-0005-0000-0000-0000A8670000}"/>
    <cellStyle name="Normal 8 7 2 5 2" xfId="26435" xr:uid="{00000000-0005-0000-0000-0000A9670000}"/>
    <cellStyle name="Normal 8 7 2 6" xfId="17987" xr:uid="{00000000-0005-0000-0000-0000AA670000}"/>
    <cellStyle name="Normal 8 7 3" xfId="1749" xr:uid="{00000000-0005-0000-0000-0000AB670000}"/>
    <cellStyle name="Normal 8 7 3 2" xfId="3861" xr:uid="{00000000-0005-0000-0000-0000AC670000}"/>
    <cellStyle name="Normal 8 7 3 2 2" xfId="8087" xr:uid="{00000000-0005-0000-0000-0000AD670000}"/>
    <cellStyle name="Normal 8 7 3 2 2 2" xfId="16535" xr:uid="{00000000-0005-0000-0000-0000AE670000}"/>
    <cellStyle name="Normal 8 7 3 2 2 2 2" xfId="33475" xr:uid="{00000000-0005-0000-0000-0000AF670000}"/>
    <cellStyle name="Normal 8 7 3 2 2 3" xfId="25027" xr:uid="{00000000-0005-0000-0000-0000B0670000}"/>
    <cellStyle name="Normal 8 7 3 2 3" xfId="12311" xr:uid="{00000000-0005-0000-0000-0000B1670000}"/>
    <cellStyle name="Normal 8 7 3 2 3 2" xfId="29251" xr:uid="{00000000-0005-0000-0000-0000B2670000}"/>
    <cellStyle name="Normal 8 7 3 2 4" xfId="20803" xr:uid="{00000000-0005-0000-0000-0000B3670000}"/>
    <cellStyle name="Normal 8 7 3 3" xfId="5975" xr:uid="{00000000-0005-0000-0000-0000B4670000}"/>
    <cellStyle name="Normal 8 7 3 3 2" xfId="14423" xr:uid="{00000000-0005-0000-0000-0000B5670000}"/>
    <cellStyle name="Normal 8 7 3 3 2 2" xfId="31363" xr:uid="{00000000-0005-0000-0000-0000B6670000}"/>
    <cellStyle name="Normal 8 7 3 3 3" xfId="22915" xr:uid="{00000000-0005-0000-0000-0000B7670000}"/>
    <cellStyle name="Normal 8 7 3 4" xfId="10199" xr:uid="{00000000-0005-0000-0000-0000B8670000}"/>
    <cellStyle name="Normal 8 7 3 4 2" xfId="27139" xr:uid="{00000000-0005-0000-0000-0000B9670000}"/>
    <cellStyle name="Normal 8 7 3 5" xfId="18691" xr:uid="{00000000-0005-0000-0000-0000BA670000}"/>
    <cellStyle name="Normal 8 7 4" xfId="2805" xr:uid="{00000000-0005-0000-0000-0000BB670000}"/>
    <cellStyle name="Normal 8 7 4 2" xfId="7031" xr:uid="{00000000-0005-0000-0000-0000BC670000}"/>
    <cellStyle name="Normal 8 7 4 2 2" xfId="15479" xr:uid="{00000000-0005-0000-0000-0000BD670000}"/>
    <cellStyle name="Normal 8 7 4 2 2 2" xfId="32419" xr:uid="{00000000-0005-0000-0000-0000BE670000}"/>
    <cellStyle name="Normal 8 7 4 2 3" xfId="23971" xr:uid="{00000000-0005-0000-0000-0000BF670000}"/>
    <cellStyle name="Normal 8 7 4 3" xfId="11255" xr:uid="{00000000-0005-0000-0000-0000C0670000}"/>
    <cellStyle name="Normal 8 7 4 3 2" xfId="28195" xr:uid="{00000000-0005-0000-0000-0000C1670000}"/>
    <cellStyle name="Normal 8 7 4 4" xfId="19747" xr:uid="{00000000-0005-0000-0000-0000C2670000}"/>
    <cellStyle name="Normal 8 7 5" xfId="4919" xr:uid="{00000000-0005-0000-0000-0000C3670000}"/>
    <cellStyle name="Normal 8 7 5 2" xfId="13367" xr:uid="{00000000-0005-0000-0000-0000C4670000}"/>
    <cellStyle name="Normal 8 7 5 2 2" xfId="30307" xr:uid="{00000000-0005-0000-0000-0000C5670000}"/>
    <cellStyle name="Normal 8 7 5 3" xfId="21859" xr:uid="{00000000-0005-0000-0000-0000C6670000}"/>
    <cellStyle name="Normal 8 7 6" xfId="9143" xr:uid="{00000000-0005-0000-0000-0000C7670000}"/>
    <cellStyle name="Normal 8 7 6 2" xfId="26083" xr:uid="{00000000-0005-0000-0000-0000C8670000}"/>
    <cellStyle name="Normal 8 7 7" xfId="17635" xr:uid="{00000000-0005-0000-0000-0000C9670000}"/>
    <cellStyle name="Normal 8 8" xfId="863" xr:uid="{00000000-0005-0000-0000-0000CA670000}"/>
    <cellStyle name="Normal 8 8 2" xfId="1925" xr:uid="{00000000-0005-0000-0000-0000CB670000}"/>
    <cellStyle name="Normal 8 8 2 2" xfId="4037" xr:uid="{00000000-0005-0000-0000-0000CC670000}"/>
    <cellStyle name="Normal 8 8 2 2 2" xfId="8263" xr:uid="{00000000-0005-0000-0000-0000CD670000}"/>
    <cellStyle name="Normal 8 8 2 2 2 2" xfId="16711" xr:uid="{00000000-0005-0000-0000-0000CE670000}"/>
    <cellStyle name="Normal 8 8 2 2 2 2 2" xfId="33651" xr:uid="{00000000-0005-0000-0000-0000CF670000}"/>
    <cellStyle name="Normal 8 8 2 2 2 3" xfId="25203" xr:uid="{00000000-0005-0000-0000-0000D0670000}"/>
    <cellStyle name="Normal 8 8 2 2 3" xfId="12487" xr:uid="{00000000-0005-0000-0000-0000D1670000}"/>
    <cellStyle name="Normal 8 8 2 2 3 2" xfId="29427" xr:uid="{00000000-0005-0000-0000-0000D2670000}"/>
    <cellStyle name="Normal 8 8 2 2 4" xfId="20979" xr:uid="{00000000-0005-0000-0000-0000D3670000}"/>
    <cellStyle name="Normal 8 8 2 3" xfId="6151" xr:uid="{00000000-0005-0000-0000-0000D4670000}"/>
    <cellStyle name="Normal 8 8 2 3 2" xfId="14599" xr:uid="{00000000-0005-0000-0000-0000D5670000}"/>
    <cellStyle name="Normal 8 8 2 3 2 2" xfId="31539" xr:uid="{00000000-0005-0000-0000-0000D6670000}"/>
    <cellStyle name="Normal 8 8 2 3 3" xfId="23091" xr:uid="{00000000-0005-0000-0000-0000D7670000}"/>
    <cellStyle name="Normal 8 8 2 4" xfId="10375" xr:uid="{00000000-0005-0000-0000-0000D8670000}"/>
    <cellStyle name="Normal 8 8 2 4 2" xfId="27315" xr:uid="{00000000-0005-0000-0000-0000D9670000}"/>
    <cellStyle name="Normal 8 8 2 5" xfId="18867" xr:uid="{00000000-0005-0000-0000-0000DA670000}"/>
    <cellStyle name="Normal 8 8 3" xfId="2981" xr:uid="{00000000-0005-0000-0000-0000DB670000}"/>
    <cellStyle name="Normal 8 8 3 2" xfId="7207" xr:uid="{00000000-0005-0000-0000-0000DC670000}"/>
    <cellStyle name="Normal 8 8 3 2 2" xfId="15655" xr:uid="{00000000-0005-0000-0000-0000DD670000}"/>
    <cellStyle name="Normal 8 8 3 2 2 2" xfId="32595" xr:uid="{00000000-0005-0000-0000-0000DE670000}"/>
    <cellStyle name="Normal 8 8 3 2 3" xfId="24147" xr:uid="{00000000-0005-0000-0000-0000DF670000}"/>
    <cellStyle name="Normal 8 8 3 3" xfId="11431" xr:uid="{00000000-0005-0000-0000-0000E0670000}"/>
    <cellStyle name="Normal 8 8 3 3 2" xfId="28371" xr:uid="{00000000-0005-0000-0000-0000E1670000}"/>
    <cellStyle name="Normal 8 8 3 4" xfId="19923" xr:uid="{00000000-0005-0000-0000-0000E2670000}"/>
    <cellStyle name="Normal 8 8 4" xfId="5095" xr:uid="{00000000-0005-0000-0000-0000E3670000}"/>
    <cellStyle name="Normal 8 8 4 2" xfId="13543" xr:uid="{00000000-0005-0000-0000-0000E4670000}"/>
    <cellStyle name="Normal 8 8 4 2 2" xfId="30483" xr:uid="{00000000-0005-0000-0000-0000E5670000}"/>
    <cellStyle name="Normal 8 8 4 3" xfId="22035" xr:uid="{00000000-0005-0000-0000-0000E6670000}"/>
    <cellStyle name="Normal 8 8 5" xfId="9319" xr:uid="{00000000-0005-0000-0000-0000E7670000}"/>
    <cellStyle name="Normal 8 8 5 2" xfId="26259" xr:uid="{00000000-0005-0000-0000-0000E8670000}"/>
    <cellStyle name="Normal 8 8 6" xfId="17811" xr:uid="{00000000-0005-0000-0000-0000E9670000}"/>
    <cellStyle name="Normal 8 9" xfId="1215" xr:uid="{00000000-0005-0000-0000-0000EA670000}"/>
    <cellStyle name="Normal 8 9 2" xfId="2277" xr:uid="{00000000-0005-0000-0000-0000EB670000}"/>
    <cellStyle name="Normal 8 9 2 2" xfId="4389" xr:uid="{00000000-0005-0000-0000-0000EC670000}"/>
    <cellStyle name="Normal 8 9 2 2 2" xfId="8615" xr:uid="{00000000-0005-0000-0000-0000ED670000}"/>
    <cellStyle name="Normal 8 9 2 2 2 2" xfId="17063" xr:uid="{00000000-0005-0000-0000-0000EE670000}"/>
    <cellStyle name="Normal 8 9 2 2 2 2 2" xfId="34003" xr:uid="{00000000-0005-0000-0000-0000EF670000}"/>
    <cellStyle name="Normal 8 9 2 2 2 3" xfId="25555" xr:uid="{00000000-0005-0000-0000-0000F0670000}"/>
    <cellStyle name="Normal 8 9 2 2 3" xfId="12839" xr:uid="{00000000-0005-0000-0000-0000F1670000}"/>
    <cellStyle name="Normal 8 9 2 2 3 2" xfId="29779" xr:uid="{00000000-0005-0000-0000-0000F2670000}"/>
    <cellStyle name="Normal 8 9 2 2 4" xfId="21331" xr:uid="{00000000-0005-0000-0000-0000F3670000}"/>
    <cellStyle name="Normal 8 9 2 3" xfId="6503" xr:uid="{00000000-0005-0000-0000-0000F4670000}"/>
    <cellStyle name="Normal 8 9 2 3 2" xfId="14951" xr:uid="{00000000-0005-0000-0000-0000F5670000}"/>
    <cellStyle name="Normal 8 9 2 3 2 2" xfId="31891" xr:uid="{00000000-0005-0000-0000-0000F6670000}"/>
    <cellStyle name="Normal 8 9 2 3 3" xfId="23443" xr:uid="{00000000-0005-0000-0000-0000F7670000}"/>
    <cellStyle name="Normal 8 9 2 4" xfId="10727" xr:uid="{00000000-0005-0000-0000-0000F8670000}"/>
    <cellStyle name="Normal 8 9 2 4 2" xfId="27667" xr:uid="{00000000-0005-0000-0000-0000F9670000}"/>
    <cellStyle name="Normal 8 9 2 5" xfId="19219" xr:uid="{00000000-0005-0000-0000-0000FA670000}"/>
    <cellStyle name="Normal 8 9 3" xfId="3333" xr:uid="{00000000-0005-0000-0000-0000FB670000}"/>
    <cellStyle name="Normal 8 9 3 2" xfId="7559" xr:uid="{00000000-0005-0000-0000-0000FC670000}"/>
    <cellStyle name="Normal 8 9 3 2 2" xfId="16007" xr:uid="{00000000-0005-0000-0000-0000FD670000}"/>
    <cellStyle name="Normal 8 9 3 2 2 2" xfId="32947" xr:uid="{00000000-0005-0000-0000-0000FE670000}"/>
    <cellStyle name="Normal 8 9 3 2 3" xfId="24499" xr:uid="{00000000-0005-0000-0000-0000FF670000}"/>
    <cellStyle name="Normal 8 9 3 3" xfId="11783" xr:uid="{00000000-0005-0000-0000-000000680000}"/>
    <cellStyle name="Normal 8 9 3 3 2" xfId="28723" xr:uid="{00000000-0005-0000-0000-000001680000}"/>
    <cellStyle name="Normal 8 9 3 4" xfId="20275" xr:uid="{00000000-0005-0000-0000-000002680000}"/>
    <cellStyle name="Normal 8 9 4" xfId="5447" xr:uid="{00000000-0005-0000-0000-000003680000}"/>
    <cellStyle name="Normal 8 9 4 2" xfId="13895" xr:uid="{00000000-0005-0000-0000-000004680000}"/>
    <cellStyle name="Normal 8 9 4 2 2" xfId="30835" xr:uid="{00000000-0005-0000-0000-000005680000}"/>
    <cellStyle name="Normal 8 9 4 3" xfId="22387" xr:uid="{00000000-0005-0000-0000-000006680000}"/>
    <cellStyle name="Normal 8 9 5" xfId="9671" xr:uid="{00000000-0005-0000-0000-000007680000}"/>
    <cellStyle name="Normal 8 9 5 2" xfId="26611" xr:uid="{00000000-0005-0000-0000-000008680000}"/>
    <cellStyle name="Normal 8 9 6" xfId="18163" xr:uid="{00000000-0005-0000-0000-000009680000}"/>
    <cellStyle name="Normal 9" xfId="405" xr:uid="{00000000-0005-0000-0000-00000A680000}"/>
    <cellStyle name="Normal 9 2" xfId="406" xr:uid="{00000000-0005-0000-0000-00000B680000}"/>
    <cellStyle name="Normal 9 2 10" xfId="4751" xr:uid="{00000000-0005-0000-0000-00000C680000}"/>
    <cellStyle name="Normal 9 2 10 2" xfId="13200" xr:uid="{00000000-0005-0000-0000-00000D680000}"/>
    <cellStyle name="Normal 9 2 10 2 2" xfId="30140" xr:uid="{00000000-0005-0000-0000-00000E680000}"/>
    <cellStyle name="Normal 9 2 10 3" xfId="21692" xr:uid="{00000000-0005-0000-0000-00000F680000}"/>
    <cellStyle name="Normal 9 2 11" xfId="8976" xr:uid="{00000000-0005-0000-0000-000010680000}"/>
    <cellStyle name="Normal 9 2 11 2" xfId="25916" xr:uid="{00000000-0005-0000-0000-000011680000}"/>
    <cellStyle name="Normal 9 2 12" xfId="17468" xr:uid="{00000000-0005-0000-0000-000012680000}"/>
    <cellStyle name="Normal 9 2 2" xfId="407" xr:uid="{00000000-0005-0000-0000-000013680000}"/>
    <cellStyle name="Normal 9 2 2 10" xfId="17469" xr:uid="{00000000-0005-0000-0000-000014680000}"/>
    <cellStyle name="Normal 9 2 2 2" xfId="697" xr:uid="{00000000-0005-0000-0000-000015680000}"/>
    <cellStyle name="Normal 9 2 2 2 2" xfId="1049" xr:uid="{00000000-0005-0000-0000-000016680000}"/>
    <cellStyle name="Normal 9 2 2 2 2 2" xfId="2111" xr:uid="{00000000-0005-0000-0000-000017680000}"/>
    <cellStyle name="Normal 9 2 2 2 2 2 2" xfId="4223" xr:uid="{00000000-0005-0000-0000-000018680000}"/>
    <cellStyle name="Normal 9 2 2 2 2 2 2 2" xfId="8449" xr:uid="{00000000-0005-0000-0000-000019680000}"/>
    <cellStyle name="Normal 9 2 2 2 2 2 2 2 2" xfId="16897" xr:uid="{00000000-0005-0000-0000-00001A680000}"/>
    <cellStyle name="Normal 9 2 2 2 2 2 2 2 2 2" xfId="33837" xr:uid="{00000000-0005-0000-0000-00001B680000}"/>
    <cellStyle name="Normal 9 2 2 2 2 2 2 2 3" xfId="25389" xr:uid="{00000000-0005-0000-0000-00001C680000}"/>
    <cellStyle name="Normal 9 2 2 2 2 2 2 3" xfId="12673" xr:uid="{00000000-0005-0000-0000-00001D680000}"/>
    <cellStyle name="Normal 9 2 2 2 2 2 2 3 2" xfId="29613" xr:uid="{00000000-0005-0000-0000-00001E680000}"/>
    <cellStyle name="Normal 9 2 2 2 2 2 2 4" xfId="21165" xr:uid="{00000000-0005-0000-0000-00001F680000}"/>
    <cellStyle name="Normal 9 2 2 2 2 2 3" xfId="6337" xr:uid="{00000000-0005-0000-0000-000020680000}"/>
    <cellStyle name="Normal 9 2 2 2 2 2 3 2" xfId="14785" xr:uid="{00000000-0005-0000-0000-000021680000}"/>
    <cellStyle name="Normal 9 2 2 2 2 2 3 2 2" xfId="31725" xr:uid="{00000000-0005-0000-0000-000022680000}"/>
    <cellStyle name="Normal 9 2 2 2 2 2 3 3" xfId="23277" xr:uid="{00000000-0005-0000-0000-000023680000}"/>
    <cellStyle name="Normal 9 2 2 2 2 2 4" xfId="10561" xr:uid="{00000000-0005-0000-0000-000024680000}"/>
    <cellStyle name="Normal 9 2 2 2 2 2 4 2" xfId="27501" xr:uid="{00000000-0005-0000-0000-000025680000}"/>
    <cellStyle name="Normal 9 2 2 2 2 2 5" xfId="19053" xr:uid="{00000000-0005-0000-0000-000026680000}"/>
    <cellStyle name="Normal 9 2 2 2 2 3" xfId="3167" xr:uid="{00000000-0005-0000-0000-000027680000}"/>
    <cellStyle name="Normal 9 2 2 2 2 3 2" xfId="7393" xr:uid="{00000000-0005-0000-0000-000028680000}"/>
    <cellStyle name="Normal 9 2 2 2 2 3 2 2" xfId="15841" xr:uid="{00000000-0005-0000-0000-000029680000}"/>
    <cellStyle name="Normal 9 2 2 2 2 3 2 2 2" xfId="32781" xr:uid="{00000000-0005-0000-0000-00002A680000}"/>
    <cellStyle name="Normal 9 2 2 2 2 3 2 3" xfId="24333" xr:uid="{00000000-0005-0000-0000-00002B680000}"/>
    <cellStyle name="Normal 9 2 2 2 2 3 3" xfId="11617" xr:uid="{00000000-0005-0000-0000-00002C680000}"/>
    <cellStyle name="Normal 9 2 2 2 2 3 3 2" xfId="28557" xr:uid="{00000000-0005-0000-0000-00002D680000}"/>
    <cellStyle name="Normal 9 2 2 2 2 3 4" xfId="20109" xr:uid="{00000000-0005-0000-0000-00002E680000}"/>
    <cellStyle name="Normal 9 2 2 2 2 4" xfId="5281" xr:uid="{00000000-0005-0000-0000-00002F680000}"/>
    <cellStyle name="Normal 9 2 2 2 2 4 2" xfId="13729" xr:uid="{00000000-0005-0000-0000-000030680000}"/>
    <cellStyle name="Normal 9 2 2 2 2 4 2 2" xfId="30669" xr:uid="{00000000-0005-0000-0000-000031680000}"/>
    <cellStyle name="Normal 9 2 2 2 2 4 3" xfId="22221" xr:uid="{00000000-0005-0000-0000-000032680000}"/>
    <cellStyle name="Normal 9 2 2 2 2 5" xfId="9505" xr:uid="{00000000-0005-0000-0000-000033680000}"/>
    <cellStyle name="Normal 9 2 2 2 2 5 2" xfId="26445" xr:uid="{00000000-0005-0000-0000-000034680000}"/>
    <cellStyle name="Normal 9 2 2 2 2 6" xfId="17997" xr:uid="{00000000-0005-0000-0000-000035680000}"/>
    <cellStyle name="Normal 9 2 2 2 3" xfId="1759" xr:uid="{00000000-0005-0000-0000-000036680000}"/>
    <cellStyle name="Normal 9 2 2 2 3 2" xfId="3871" xr:uid="{00000000-0005-0000-0000-000037680000}"/>
    <cellStyle name="Normal 9 2 2 2 3 2 2" xfId="8097" xr:uid="{00000000-0005-0000-0000-000038680000}"/>
    <cellStyle name="Normal 9 2 2 2 3 2 2 2" xfId="16545" xr:uid="{00000000-0005-0000-0000-000039680000}"/>
    <cellStyle name="Normal 9 2 2 2 3 2 2 2 2" xfId="33485" xr:uid="{00000000-0005-0000-0000-00003A680000}"/>
    <cellStyle name="Normal 9 2 2 2 3 2 2 3" xfId="25037" xr:uid="{00000000-0005-0000-0000-00003B680000}"/>
    <cellStyle name="Normal 9 2 2 2 3 2 3" xfId="12321" xr:uid="{00000000-0005-0000-0000-00003C680000}"/>
    <cellStyle name="Normal 9 2 2 2 3 2 3 2" xfId="29261" xr:uid="{00000000-0005-0000-0000-00003D680000}"/>
    <cellStyle name="Normal 9 2 2 2 3 2 4" xfId="20813" xr:uid="{00000000-0005-0000-0000-00003E680000}"/>
    <cellStyle name="Normal 9 2 2 2 3 3" xfId="5985" xr:uid="{00000000-0005-0000-0000-00003F680000}"/>
    <cellStyle name="Normal 9 2 2 2 3 3 2" xfId="14433" xr:uid="{00000000-0005-0000-0000-000040680000}"/>
    <cellStyle name="Normal 9 2 2 2 3 3 2 2" xfId="31373" xr:uid="{00000000-0005-0000-0000-000041680000}"/>
    <cellStyle name="Normal 9 2 2 2 3 3 3" xfId="22925" xr:uid="{00000000-0005-0000-0000-000042680000}"/>
    <cellStyle name="Normal 9 2 2 2 3 4" xfId="10209" xr:uid="{00000000-0005-0000-0000-000043680000}"/>
    <cellStyle name="Normal 9 2 2 2 3 4 2" xfId="27149" xr:uid="{00000000-0005-0000-0000-000044680000}"/>
    <cellStyle name="Normal 9 2 2 2 3 5" xfId="18701" xr:uid="{00000000-0005-0000-0000-000045680000}"/>
    <cellStyle name="Normal 9 2 2 2 4" xfId="2815" xr:uid="{00000000-0005-0000-0000-000046680000}"/>
    <cellStyle name="Normal 9 2 2 2 4 2" xfId="7041" xr:uid="{00000000-0005-0000-0000-000047680000}"/>
    <cellStyle name="Normal 9 2 2 2 4 2 2" xfId="15489" xr:uid="{00000000-0005-0000-0000-000048680000}"/>
    <cellStyle name="Normal 9 2 2 2 4 2 2 2" xfId="32429" xr:uid="{00000000-0005-0000-0000-000049680000}"/>
    <cellStyle name="Normal 9 2 2 2 4 2 3" xfId="23981" xr:uid="{00000000-0005-0000-0000-00004A680000}"/>
    <cellStyle name="Normal 9 2 2 2 4 3" xfId="11265" xr:uid="{00000000-0005-0000-0000-00004B680000}"/>
    <cellStyle name="Normal 9 2 2 2 4 3 2" xfId="28205" xr:uid="{00000000-0005-0000-0000-00004C680000}"/>
    <cellStyle name="Normal 9 2 2 2 4 4" xfId="19757" xr:uid="{00000000-0005-0000-0000-00004D680000}"/>
    <cellStyle name="Normal 9 2 2 2 5" xfId="4929" xr:uid="{00000000-0005-0000-0000-00004E680000}"/>
    <cellStyle name="Normal 9 2 2 2 5 2" xfId="13377" xr:uid="{00000000-0005-0000-0000-00004F680000}"/>
    <cellStyle name="Normal 9 2 2 2 5 2 2" xfId="30317" xr:uid="{00000000-0005-0000-0000-000050680000}"/>
    <cellStyle name="Normal 9 2 2 2 5 3" xfId="21869" xr:uid="{00000000-0005-0000-0000-000051680000}"/>
    <cellStyle name="Normal 9 2 2 2 6" xfId="9153" xr:uid="{00000000-0005-0000-0000-000052680000}"/>
    <cellStyle name="Normal 9 2 2 2 6 2" xfId="26093" xr:uid="{00000000-0005-0000-0000-000053680000}"/>
    <cellStyle name="Normal 9 2 2 2 7" xfId="17645" xr:uid="{00000000-0005-0000-0000-000054680000}"/>
    <cellStyle name="Normal 9 2 2 3" xfId="873" xr:uid="{00000000-0005-0000-0000-000055680000}"/>
    <cellStyle name="Normal 9 2 2 3 2" xfId="1935" xr:uid="{00000000-0005-0000-0000-000056680000}"/>
    <cellStyle name="Normal 9 2 2 3 2 2" xfId="4047" xr:uid="{00000000-0005-0000-0000-000057680000}"/>
    <cellStyle name="Normal 9 2 2 3 2 2 2" xfId="8273" xr:uid="{00000000-0005-0000-0000-000058680000}"/>
    <cellStyle name="Normal 9 2 2 3 2 2 2 2" xfId="16721" xr:uid="{00000000-0005-0000-0000-000059680000}"/>
    <cellStyle name="Normal 9 2 2 3 2 2 2 2 2" xfId="33661" xr:uid="{00000000-0005-0000-0000-00005A680000}"/>
    <cellStyle name="Normal 9 2 2 3 2 2 2 3" xfId="25213" xr:uid="{00000000-0005-0000-0000-00005B680000}"/>
    <cellStyle name="Normal 9 2 2 3 2 2 3" xfId="12497" xr:uid="{00000000-0005-0000-0000-00005C680000}"/>
    <cellStyle name="Normal 9 2 2 3 2 2 3 2" xfId="29437" xr:uid="{00000000-0005-0000-0000-00005D680000}"/>
    <cellStyle name="Normal 9 2 2 3 2 2 4" xfId="20989" xr:uid="{00000000-0005-0000-0000-00005E680000}"/>
    <cellStyle name="Normal 9 2 2 3 2 3" xfId="6161" xr:uid="{00000000-0005-0000-0000-00005F680000}"/>
    <cellStyle name="Normal 9 2 2 3 2 3 2" xfId="14609" xr:uid="{00000000-0005-0000-0000-000060680000}"/>
    <cellStyle name="Normal 9 2 2 3 2 3 2 2" xfId="31549" xr:uid="{00000000-0005-0000-0000-000061680000}"/>
    <cellStyle name="Normal 9 2 2 3 2 3 3" xfId="23101" xr:uid="{00000000-0005-0000-0000-000062680000}"/>
    <cellStyle name="Normal 9 2 2 3 2 4" xfId="10385" xr:uid="{00000000-0005-0000-0000-000063680000}"/>
    <cellStyle name="Normal 9 2 2 3 2 4 2" xfId="27325" xr:uid="{00000000-0005-0000-0000-000064680000}"/>
    <cellStyle name="Normal 9 2 2 3 2 5" xfId="18877" xr:uid="{00000000-0005-0000-0000-000065680000}"/>
    <cellStyle name="Normal 9 2 2 3 3" xfId="2991" xr:uid="{00000000-0005-0000-0000-000066680000}"/>
    <cellStyle name="Normal 9 2 2 3 3 2" xfId="7217" xr:uid="{00000000-0005-0000-0000-000067680000}"/>
    <cellStyle name="Normal 9 2 2 3 3 2 2" xfId="15665" xr:uid="{00000000-0005-0000-0000-000068680000}"/>
    <cellStyle name="Normal 9 2 2 3 3 2 2 2" xfId="32605" xr:uid="{00000000-0005-0000-0000-000069680000}"/>
    <cellStyle name="Normal 9 2 2 3 3 2 3" xfId="24157" xr:uid="{00000000-0005-0000-0000-00006A680000}"/>
    <cellStyle name="Normal 9 2 2 3 3 3" xfId="11441" xr:uid="{00000000-0005-0000-0000-00006B680000}"/>
    <cellStyle name="Normal 9 2 2 3 3 3 2" xfId="28381" xr:uid="{00000000-0005-0000-0000-00006C680000}"/>
    <cellStyle name="Normal 9 2 2 3 3 4" xfId="19933" xr:uid="{00000000-0005-0000-0000-00006D680000}"/>
    <cellStyle name="Normal 9 2 2 3 4" xfId="5105" xr:uid="{00000000-0005-0000-0000-00006E680000}"/>
    <cellStyle name="Normal 9 2 2 3 4 2" xfId="13553" xr:uid="{00000000-0005-0000-0000-00006F680000}"/>
    <cellStyle name="Normal 9 2 2 3 4 2 2" xfId="30493" xr:uid="{00000000-0005-0000-0000-000070680000}"/>
    <cellStyle name="Normal 9 2 2 3 4 3" xfId="22045" xr:uid="{00000000-0005-0000-0000-000071680000}"/>
    <cellStyle name="Normal 9 2 2 3 5" xfId="9329" xr:uid="{00000000-0005-0000-0000-000072680000}"/>
    <cellStyle name="Normal 9 2 2 3 5 2" xfId="26269" xr:uid="{00000000-0005-0000-0000-000073680000}"/>
    <cellStyle name="Normal 9 2 2 3 6" xfId="17821" xr:uid="{00000000-0005-0000-0000-000074680000}"/>
    <cellStyle name="Normal 9 2 2 4" xfId="1225" xr:uid="{00000000-0005-0000-0000-000075680000}"/>
    <cellStyle name="Normal 9 2 2 4 2" xfId="2287" xr:uid="{00000000-0005-0000-0000-000076680000}"/>
    <cellStyle name="Normal 9 2 2 4 2 2" xfId="4399" xr:uid="{00000000-0005-0000-0000-000077680000}"/>
    <cellStyle name="Normal 9 2 2 4 2 2 2" xfId="8625" xr:uid="{00000000-0005-0000-0000-000078680000}"/>
    <cellStyle name="Normal 9 2 2 4 2 2 2 2" xfId="17073" xr:uid="{00000000-0005-0000-0000-000079680000}"/>
    <cellStyle name="Normal 9 2 2 4 2 2 2 2 2" xfId="34013" xr:uid="{00000000-0005-0000-0000-00007A680000}"/>
    <cellStyle name="Normal 9 2 2 4 2 2 2 3" xfId="25565" xr:uid="{00000000-0005-0000-0000-00007B680000}"/>
    <cellStyle name="Normal 9 2 2 4 2 2 3" xfId="12849" xr:uid="{00000000-0005-0000-0000-00007C680000}"/>
    <cellStyle name="Normal 9 2 2 4 2 2 3 2" xfId="29789" xr:uid="{00000000-0005-0000-0000-00007D680000}"/>
    <cellStyle name="Normal 9 2 2 4 2 2 4" xfId="21341" xr:uid="{00000000-0005-0000-0000-00007E680000}"/>
    <cellStyle name="Normal 9 2 2 4 2 3" xfId="6513" xr:uid="{00000000-0005-0000-0000-00007F680000}"/>
    <cellStyle name="Normal 9 2 2 4 2 3 2" xfId="14961" xr:uid="{00000000-0005-0000-0000-000080680000}"/>
    <cellStyle name="Normal 9 2 2 4 2 3 2 2" xfId="31901" xr:uid="{00000000-0005-0000-0000-000081680000}"/>
    <cellStyle name="Normal 9 2 2 4 2 3 3" xfId="23453" xr:uid="{00000000-0005-0000-0000-000082680000}"/>
    <cellStyle name="Normal 9 2 2 4 2 4" xfId="10737" xr:uid="{00000000-0005-0000-0000-000083680000}"/>
    <cellStyle name="Normal 9 2 2 4 2 4 2" xfId="27677" xr:uid="{00000000-0005-0000-0000-000084680000}"/>
    <cellStyle name="Normal 9 2 2 4 2 5" xfId="19229" xr:uid="{00000000-0005-0000-0000-000085680000}"/>
    <cellStyle name="Normal 9 2 2 4 3" xfId="3343" xr:uid="{00000000-0005-0000-0000-000086680000}"/>
    <cellStyle name="Normal 9 2 2 4 3 2" xfId="7569" xr:uid="{00000000-0005-0000-0000-000087680000}"/>
    <cellStyle name="Normal 9 2 2 4 3 2 2" xfId="16017" xr:uid="{00000000-0005-0000-0000-000088680000}"/>
    <cellStyle name="Normal 9 2 2 4 3 2 2 2" xfId="32957" xr:uid="{00000000-0005-0000-0000-000089680000}"/>
    <cellStyle name="Normal 9 2 2 4 3 2 3" xfId="24509" xr:uid="{00000000-0005-0000-0000-00008A680000}"/>
    <cellStyle name="Normal 9 2 2 4 3 3" xfId="11793" xr:uid="{00000000-0005-0000-0000-00008B680000}"/>
    <cellStyle name="Normal 9 2 2 4 3 3 2" xfId="28733" xr:uid="{00000000-0005-0000-0000-00008C680000}"/>
    <cellStyle name="Normal 9 2 2 4 3 4" xfId="20285" xr:uid="{00000000-0005-0000-0000-00008D680000}"/>
    <cellStyle name="Normal 9 2 2 4 4" xfId="5457" xr:uid="{00000000-0005-0000-0000-00008E680000}"/>
    <cellStyle name="Normal 9 2 2 4 4 2" xfId="13905" xr:uid="{00000000-0005-0000-0000-00008F680000}"/>
    <cellStyle name="Normal 9 2 2 4 4 2 2" xfId="30845" xr:uid="{00000000-0005-0000-0000-000090680000}"/>
    <cellStyle name="Normal 9 2 2 4 4 3" xfId="22397" xr:uid="{00000000-0005-0000-0000-000091680000}"/>
    <cellStyle name="Normal 9 2 2 4 5" xfId="9681" xr:uid="{00000000-0005-0000-0000-000092680000}"/>
    <cellStyle name="Normal 9 2 2 4 5 2" xfId="26621" xr:uid="{00000000-0005-0000-0000-000093680000}"/>
    <cellStyle name="Normal 9 2 2 4 6" xfId="18173" xr:uid="{00000000-0005-0000-0000-000094680000}"/>
    <cellStyle name="Normal 9 2 2 5" xfId="1407" xr:uid="{00000000-0005-0000-0000-000095680000}"/>
    <cellStyle name="Normal 9 2 2 5 2" xfId="2463" xr:uid="{00000000-0005-0000-0000-000096680000}"/>
    <cellStyle name="Normal 9 2 2 5 2 2" xfId="4575" xr:uid="{00000000-0005-0000-0000-000097680000}"/>
    <cellStyle name="Normal 9 2 2 5 2 2 2" xfId="8801" xr:uid="{00000000-0005-0000-0000-000098680000}"/>
    <cellStyle name="Normal 9 2 2 5 2 2 2 2" xfId="17249" xr:uid="{00000000-0005-0000-0000-000099680000}"/>
    <cellStyle name="Normal 9 2 2 5 2 2 2 2 2" xfId="34189" xr:uid="{00000000-0005-0000-0000-00009A680000}"/>
    <cellStyle name="Normal 9 2 2 5 2 2 2 3" xfId="25741" xr:uid="{00000000-0005-0000-0000-00009B680000}"/>
    <cellStyle name="Normal 9 2 2 5 2 2 3" xfId="13025" xr:uid="{00000000-0005-0000-0000-00009C680000}"/>
    <cellStyle name="Normal 9 2 2 5 2 2 3 2" xfId="29965" xr:uid="{00000000-0005-0000-0000-00009D680000}"/>
    <cellStyle name="Normal 9 2 2 5 2 2 4" xfId="21517" xr:uid="{00000000-0005-0000-0000-00009E680000}"/>
    <cellStyle name="Normal 9 2 2 5 2 3" xfId="6689" xr:uid="{00000000-0005-0000-0000-00009F680000}"/>
    <cellStyle name="Normal 9 2 2 5 2 3 2" xfId="15137" xr:uid="{00000000-0005-0000-0000-0000A0680000}"/>
    <cellStyle name="Normal 9 2 2 5 2 3 2 2" xfId="32077" xr:uid="{00000000-0005-0000-0000-0000A1680000}"/>
    <cellStyle name="Normal 9 2 2 5 2 3 3" xfId="23629" xr:uid="{00000000-0005-0000-0000-0000A2680000}"/>
    <cellStyle name="Normal 9 2 2 5 2 4" xfId="10913" xr:uid="{00000000-0005-0000-0000-0000A3680000}"/>
    <cellStyle name="Normal 9 2 2 5 2 4 2" xfId="27853" xr:uid="{00000000-0005-0000-0000-0000A4680000}"/>
    <cellStyle name="Normal 9 2 2 5 2 5" xfId="19405" xr:uid="{00000000-0005-0000-0000-0000A5680000}"/>
    <cellStyle name="Normal 9 2 2 5 3" xfId="3519" xr:uid="{00000000-0005-0000-0000-0000A6680000}"/>
    <cellStyle name="Normal 9 2 2 5 3 2" xfId="7745" xr:uid="{00000000-0005-0000-0000-0000A7680000}"/>
    <cellStyle name="Normal 9 2 2 5 3 2 2" xfId="16193" xr:uid="{00000000-0005-0000-0000-0000A8680000}"/>
    <cellStyle name="Normal 9 2 2 5 3 2 2 2" xfId="33133" xr:uid="{00000000-0005-0000-0000-0000A9680000}"/>
    <cellStyle name="Normal 9 2 2 5 3 2 3" xfId="24685" xr:uid="{00000000-0005-0000-0000-0000AA680000}"/>
    <cellStyle name="Normal 9 2 2 5 3 3" xfId="11969" xr:uid="{00000000-0005-0000-0000-0000AB680000}"/>
    <cellStyle name="Normal 9 2 2 5 3 3 2" xfId="28909" xr:uid="{00000000-0005-0000-0000-0000AC680000}"/>
    <cellStyle name="Normal 9 2 2 5 3 4" xfId="20461" xr:uid="{00000000-0005-0000-0000-0000AD680000}"/>
    <cellStyle name="Normal 9 2 2 5 4" xfId="5633" xr:uid="{00000000-0005-0000-0000-0000AE680000}"/>
    <cellStyle name="Normal 9 2 2 5 4 2" xfId="14081" xr:uid="{00000000-0005-0000-0000-0000AF680000}"/>
    <cellStyle name="Normal 9 2 2 5 4 2 2" xfId="31021" xr:uid="{00000000-0005-0000-0000-0000B0680000}"/>
    <cellStyle name="Normal 9 2 2 5 4 3" xfId="22573" xr:uid="{00000000-0005-0000-0000-0000B1680000}"/>
    <cellStyle name="Normal 9 2 2 5 5" xfId="9857" xr:uid="{00000000-0005-0000-0000-0000B2680000}"/>
    <cellStyle name="Normal 9 2 2 5 5 2" xfId="26797" xr:uid="{00000000-0005-0000-0000-0000B3680000}"/>
    <cellStyle name="Normal 9 2 2 5 6" xfId="18349" xr:uid="{00000000-0005-0000-0000-0000B4680000}"/>
    <cellStyle name="Normal 9 2 2 6" xfId="1583" xr:uid="{00000000-0005-0000-0000-0000B5680000}"/>
    <cellStyle name="Normal 9 2 2 6 2" xfId="3695" xr:uid="{00000000-0005-0000-0000-0000B6680000}"/>
    <cellStyle name="Normal 9 2 2 6 2 2" xfId="7921" xr:uid="{00000000-0005-0000-0000-0000B7680000}"/>
    <cellStyle name="Normal 9 2 2 6 2 2 2" xfId="16369" xr:uid="{00000000-0005-0000-0000-0000B8680000}"/>
    <cellStyle name="Normal 9 2 2 6 2 2 2 2" xfId="33309" xr:uid="{00000000-0005-0000-0000-0000B9680000}"/>
    <cellStyle name="Normal 9 2 2 6 2 2 3" xfId="24861" xr:uid="{00000000-0005-0000-0000-0000BA680000}"/>
    <cellStyle name="Normal 9 2 2 6 2 3" xfId="12145" xr:uid="{00000000-0005-0000-0000-0000BB680000}"/>
    <cellStyle name="Normal 9 2 2 6 2 3 2" xfId="29085" xr:uid="{00000000-0005-0000-0000-0000BC680000}"/>
    <cellStyle name="Normal 9 2 2 6 2 4" xfId="20637" xr:uid="{00000000-0005-0000-0000-0000BD680000}"/>
    <cellStyle name="Normal 9 2 2 6 3" xfId="5809" xr:uid="{00000000-0005-0000-0000-0000BE680000}"/>
    <cellStyle name="Normal 9 2 2 6 3 2" xfId="14257" xr:uid="{00000000-0005-0000-0000-0000BF680000}"/>
    <cellStyle name="Normal 9 2 2 6 3 2 2" xfId="31197" xr:uid="{00000000-0005-0000-0000-0000C0680000}"/>
    <cellStyle name="Normal 9 2 2 6 3 3" xfId="22749" xr:uid="{00000000-0005-0000-0000-0000C1680000}"/>
    <cellStyle name="Normal 9 2 2 6 4" xfId="10033" xr:uid="{00000000-0005-0000-0000-0000C2680000}"/>
    <cellStyle name="Normal 9 2 2 6 4 2" xfId="26973" xr:uid="{00000000-0005-0000-0000-0000C3680000}"/>
    <cellStyle name="Normal 9 2 2 6 5" xfId="18525" xr:uid="{00000000-0005-0000-0000-0000C4680000}"/>
    <cellStyle name="Normal 9 2 2 7" xfId="2639" xr:uid="{00000000-0005-0000-0000-0000C5680000}"/>
    <cellStyle name="Normal 9 2 2 7 2" xfId="6865" xr:uid="{00000000-0005-0000-0000-0000C6680000}"/>
    <cellStyle name="Normal 9 2 2 7 2 2" xfId="15313" xr:uid="{00000000-0005-0000-0000-0000C7680000}"/>
    <cellStyle name="Normal 9 2 2 7 2 2 2" xfId="32253" xr:uid="{00000000-0005-0000-0000-0000C8680000}"/>
    <cellStyle name="Normal 9 2 2 7 2 3" xfId="23805" xr:uid="{00000000-0005-0000-0000-0000C9680000}"/>
    <cellStyle name="Normal 9 2 2 7 3" xfId="11089" xr:uid="{00000000-0005-0000-0000-0000CA680000}"/>
    <cellStyle name="Normal 9 2 2 7 3 2" xfId="28029" xr:uid="{00000000-0005-0000-0000-0000CB680000}"/>
    <cellStyle name="Normal 9 2 2 7 4" xfId="19581" xr:uid="{00000000-0005-0000-0000-0000CC680000}"/>
    <cellStyle name="Normal 9 2 2 8" xfId="4752" xr:uid="{00000000-0005-0000-0000-0000CD680000}"/>
    <cellStyle name="Normal 9 2 2 8 2" xfId="13201" xr:uid="{00000000-0005-0000-0000-0000CE680000}"/>
    <cellStyle name="Normal 9 2 2 8 2 2" xfId="30141" xr:uid="{00000000-0005-0000-0000-0000CF680000}"/>
    <cellStyle name="Normal 9 2 2 8 3" xfId="21693" xr:uid="{00000000-0005-0000-0000-0000D0680000}"/>
    <cellStyle name="Normal 9 2 2 9" xfId="8977" xr:uid="{00000000-0005-0000-0000-0000D1680000}"/>
    <cellStyle name="Normal 9 2 2 9 2" xfId="25917" xr:uid="{00000000-0005-0000-0000-0000D2680000}"/>
    <cellStyle name="Normal 9 2 3" xfId="408" xr:uid="{00000000-0005-0000-0000-0000D3680000}"/>
    <cellStyle name="Normal 9 2 3 10" xfId="17470" xr:uid="{00000000-0005-0000-0000-0000D4680000}"/>
    <cellStyle name="Normal 9 2 3 2" xfId="698" xr:uid="{00000000-0005-0000-0000-0000D5680000}"/>
    <cellStyle name="Normal 9 2 3 2 2" xfId="1050" xr:uid="{00000000-0005-0000-0000-0000D6680000}"/>
    <cellStyle name="Normal 9 2 3 2 2 2" xfId="2112" xr:uid="{00000000-0005-0000-0000-0000D7680000}"/>
    <cellStyle name="Normal 9 2 3 2 2 2 2" xfId="4224" xr:uid="{00000000-0005-0000-0000-0000D8680000}"/>
    <cellStyle name="Normal 9 2 3 2 2 2 2 2" xfId="8450" xr:uid="{00000000-0005-0000-0000-0000D9680000}"/>
    <cellStyle name="Normal 9 2 3 2 2 2 2 2 2" xfId="16898" xr:uid="{00000000-0005-0000-0000-0000DA680000}"/>
    <cellStyle name="Normal 9 2 3 2 2 2 2 2 2 2" xfId="33838" xr:uid="{00000000-0005-0000-0000-0000DB680000}"/>
    <cellStyle name="Normal 9 2 3 2 2 2 2 2 3" xfId="25390" xr:uid="{00000000-0005-0000-0000-0000DC680000}"/>
    <cellStyle name="Normal 9 2 3 2 2 2 2 3" xfId="12674" xr:uid="{00000000-0005-0000-0000-0000DD680000}"/>
    <cellStyle name="Normal 9 2 3 2 2 2 2 3 2" xfId="29614" xr:uid="{00000000-0005-0000-0000-0000DE680000}"/>
    <cellStyle name="Normal 9 2 3 2 2 2 2 4" xfId="21166" xr:uid="{00000000-0005-0000-0000-0000DF680000}"/>
    <cellStyle name="Normal 9 2 3 2 2 2 3" xfId="6338" xr:uid="{00000000-0005-0000-0000-0000E0680000}"/>
    <cellStyle name="Normal 9 2 3 2 2 2 3 2" xfId="14786" xr:uid="{00000000-0005-0000-0000-0000E1680000}"/>
    <cellStyle name="Normal 9 2 3 2 2 2 3 2 2" xfId="31726" xr:uid="{00000000-0005-0000-0000-0000E2680000}"/>
    <cellStyle name="Normal 9 2 3 2 2 2 3 3" xfId="23278" xr:uid="{00000000-0005-0000-0000-0000E3680000}"/>
    <cellStyle name="Normal 9 2 3 2 2 2 4" xfId="10562" xr:uid="{00000000-0005-0000-0000-0000E4680000}"/>
    <cellStyle name="Normal 9 2 3 2 2 2 4 2" xfId="27502" xr:uid="{00000000-0005-0000-0000-0000E5680000}"/>
    <cellStyle name="Normal 9 2 3 2 2 2 5" xfId="19054" xr:uid="{00000000-0005-0000-0000-0000E6680000}"/>
    <cellStyle name="Normal 9 2 3 2 2 3" xfId="3168" xr:uid="{00000000-0005-0000-0000-0000E7680000}"/>
    <cellStyle name="Normal 9 2 3 2 2 3 2" xfId="7394" xr:uid="{00000000-0005-0000-0000-0000E8680000}"/>
    <cellStyle name="Normal 9 2 3 2 2 3 2 2" xfId="15842" xr:uid="{00000000-0005-0000-0000-0000E9680000}"/>
    <cellStyle name="Normal 9 2 3 2 2 3 2 2 2" xfId="32782" xr:uid="{00000000-0005-0000-0000-0000EA680000}"/>
    <cellStyle name="Normal 9 2 3 2 2 3 2 3" xfId="24334" xr:uid="{00000000-0005-0000-0000-0000EB680000}"/>
    <cellStyle name="Normal 9 2 3 2 2 3 3" xfId="11618" xr:uid="{00000000-0005-0000-0000-0000EC680000}"/>
    <cellStyle name="Normal 9 2 3 2 2 3 3 2" xfId="28558" xr:uid="{00000000-0005-0000-0000-0000ED680000}"/>
    <cellStyle name="Normal 9 2 3 2 2 3 4" xfId="20110" xr:uid="{00000000-0005-0000-0000-0000EE680000}"/>
    <cellStyle name="Normal 9 2 3 2 2 4" xfId="5282" xr:uid="{00000000-0005-0000-0000-0000EF680000}"/>
    <cellStyle name="Normal 9 2 3 2 2 4 2" xfId="13730" xr:uid="{00000000-0005-0000-0000-0000F0680000}"/>
    <cellStyle name="Normal 9 2 3 2 2 4 2 2" xfId="30670" xr:uid="{00000000-0005-0000-0000-0000F1680000}"/>
    <cellStyle name="Normal 9 2 3 2 2 4 3" xfId="22222" xr:uid="{00000000-0005-0000-0000-0000F2680000}"/>
    <cellStyle name="Normal 9 2 3 2 2 5" xfId="9506" xr:uid="{00000000-0005-0000-0000-0000F3680000}"/>
    <cellStyle name="Normal 9 2 3 2 2 5 2" xfId="26446" xr:uid="{00000000-0005-0000-0000-0000F4680000}"/>
    <cellStyle name="Normal 9 2 3 2 2 6" xfId="17998" xr:uid="{00000000-0005-0000-0000-0000F5680000}"/>
    <cellStyle name="Normal 9 2 3 2 3" xfId="1760" xr:uid="{00000000-0005-0000-0000-0000F6680000}"/>
    <cellStyle name="Normal 9 2 3 2 3 2" xfId="3872" xr:uid="{00000000-0005-0000-0000-0000F7680000}"/>
    <cellStyle name="Normal 9 2 3 2 3 2 2" xfId="8098" xr:uid="{00000000-0005-0000-0000-0000F8680000}"/>
    <cellStyle name="Normal 9 2 3 2 3 2 2 2" xfId="16546" xr:uid="{00000000-0005-0000-0000-0000F9680000}"/>
    <cellStyle name="Normal 9 2 3 2 3 2 2 2 2" xfId="33486" xr:uid="{00000000-0005-0000-0000-0000FA680000}"/>
    <cellStyle name="Normal 9 2 3 2 3 2 2 3" xfId="25038" xr:uid="{00000000-0005-0000-0000-0000FB680000}"/>
    <cellStyle name="Normal 9 2 3 2 3 2 3" xfId="12322" xr:uid="{00000000-0005-0000-0000-0000FC680000}"/>
    <cellStyle name="Normal 9 2 3 2 3 2 3 2" xfId="29262" xr:uid="{00000000-0005-0000-0000-0000FD680000}"/>
    <cellStyle name="Normal 9 2 3 2 3 2 4" xfId="20814" xr:uid="{00000000-0005-0000-0000-0000FE680000}"/>
    <cellStyle name="Normal 9 2 3 2 3 3" xfId="5986" xr:uid="{00000000-0005-0000-0000-0000FF680000}"/>
    <cellStyle name="Normal 9 2 3 2 3 3 2" xfId="14434" xr:uid="{00000000-0005-0000-0000-000000690000}"/>
    <cellStyle name="Normal 9 2 3 2 3 3 2 2" xfId="31374" xr:uid="{00000000-0005-0000-0000-000001690000}"/>
    <cellStyle name="Normal 9 2 3 2 3 3 3" xfId="22926" xr:uid="{00000000-0005-0000-0000-000002690000}"/>
    <cellStyle name="Normal 9 2 3 2 3 4" xfId="10210" xr:uid="{00000000-0005-0000-0000-000003690000}"/>
    <cellStyle name="Normal 9 2 3 2 3 4 2" xfId="27150" xr:uid="{00000000-0005-0000-0000-000004690000}"/>
    <cellStyle name="Normal 9 2 3 2 3 5" xfId="18702" xr:uid="{00000000-0005-0000-0000-000005690000}"/>
    <cellStyle name="Normal 9 2 3 2 4" xfId="2816" xr:uid="{00000000-0005-0000-0000-000006690000}"/>
    <cellStyle name="Normal 9 2 3 2 4 2" xfId="7042" xr:uid="{00000000-0005-0000-0000-000007690000}"/>
    <cellStyle name="Normal 9 2 3 2 4 2 2" xfId="15490" xr:uid="{00000000-0005-0000-0000-000008690000}"/>
    <cellStyle name="Normal 9 2 3 2 4 2 2 2" xfId="32430" xr:uid="{00000000-0005-0000-0000-000009690000}"/>
    <cellStyle name="Normal 9 2 3 2 4 2 3" xfId="23982" xr:uid="{00000000-0005-0000-0000-00000A690000}"/>
    <cellStyle name="Normal 9 2 3 2 4 3" xfId="11266" xr:uid="{00000000-0005-0000-0000-00000B690000}"/>
    <cellStyle name="Normal 9 2 3 2 4 3 2" xfId="28206" xr:uid="{00000000-0005-0000-0000-00000C690000}"/>
    <cellStyle name="Normal 9 2 3 2 4 4" xfId="19758" xr:uid="{00000000-0005-0000-0000-00000D690000}"/>
    <cellStyle name="Normal 9 2 3 2 5" xfId="4930" xr:uid="{00000000-0005-0000-0000-00000E690000}"/>
    <cellStyle name="Normal 9 2 3 2 5 2" xfId="13378" xr:uid="{00000000-0005-0000-0000-00000F690000}"/>
    <cellStyle name="Normal 9 2 3 2 5 2 2" xfId="30318" xr:uid="{00000000-0005-0000-0000-000010690000}"/>
    <cellStyle name="Normal 9 2 3 2 5 3" xfId="21870" xr:uid="{00000000-0005-0000-0000-000011690000}"/>
    <cellStyle name="Normal 9 2 3 2 6" xfId="9154" xr:uid="{00000000-0005-0000-0000-000012690000}"/>
    <cellStyle name="Normal 9 2 3 2 6 2" xfId="26094" xr:uid="{00000000-0005-0000-0000-000013690000}"/>
    <cellStyle name="Normal 9 2 3 2 7" xfId="17646" xr:uid="{00000000-0005-0000-0000-000014690000}"/>
    <cellStyle name="Normal 9 2 3 3" xfId="874" xr:uid="{00000000-0005-0000-0000-000015690000}"/>
    <cellStyle name="Normal 9 2 3 3 2" xfId="1936" xr:uid="{00000000-0005-0000-0000-000016690000}"/>
    <cellStyle name="Normal 9 2 3 3 2 2" xfId="4048" xr:uid="{00000000-0005-0000-0000-000017690000}"/>
    <cellStyle name="Normal 9 2 3 3 2 2 2" xfId="8274" xr:uid="{00000000-0005-0000-0000-000018690000}"/>
    <cellStyle name="Normal 9 2 3 3 2 2 2 2" xfId="16722" xr:uid="{00000000-0005-0000-0000-000019690000}"/>
    <cellStyle name="Normal 9 2 3 3 2 2 2 2 2" xfId="33662" xr:uid="{00000000-0005-0000-0000-00001A690000}"/>
    <cellStyle name="Normal 9 2 3 3 2 2 2 3" xfId="25214" xr:uid="{00000000-0005-0000-0000-00001B690000}"/>
    <cellStyle name="Normal 9 2 3 3 2 2 3" xfId="12498" xr:uid="{00000000-0005-0000-0000-00001C690000}"/>
    <cellStyle name="Normal 9 2 3 3 2 2 3 2" xfId="29438" xr:uid="{00000000-0005-0000-0000-00001D690000}"/>
    <cellStyle name="Normal 9 2 3 3 2 2 4" xfId="20990" xr:uid="{00000000-0005-0000-0000-00001E690000}"/>
    <cellStyle name="Normal 9 2 3 3 2 3" xfId="6162" xr:uid="{00000000-0005-0000-0000-00001F690000}"/>
    <cellStyle name="Normal 9 2 3 3 2 3 2" xfId="14610" xr:uid="{00000000-0005-0000-0000-000020690000}"/>
    <cellStyle name="Normal 9 2 3 3 2 3 2 2" xfId="31550" xr:uid="{00000000-0005-0000-0000-000021690000}"/>
    <cellStyle name="Normal 9 2 3 3 2 3 3" xfId="23102" xr:uid="{00000000-0005-0000-0000-000022690000}"/>
    <cellStyle name="Normal 9 2 3 3 2 4" xfId="10386" xr:uid="{00000000-0005-0000-0000-000023690000}"/>
    <cellStyle name="Normal 9 2 3 3 2 4 2" xfId="27326" xr:uid="{00000000-0005-0000-0000-000024690000}"/>
    <cellStyle name="Normal 9 2 3 3 2 5" xfId="18878" xr:uid="{00000000-0005-0000-0000-000025690000}"/>
    <cellStyle name="Normal 9 2 3 3 3" xfId="2992" xr:uid="{00000000-0005-0000-0000-000026690000}"/>
    <cellStyle name="Normal 9 2 3 3 3 2" xfId="7218" xr:uid="{00000000-0005-0000-0000-000027690000}"/>
    <cellStyle name="Normal 9 2 3 3 3 2 2" xfId="15666" xr:uid="{00000000-0005-0000-0000-000028690000}"/>
    <cellStyle name="Normal 9 2 3 3 3 2 2 2" xfId="32606" xr:uid="{00000000-0005-0000-0000-000029690000}"/>
    <cellStyle name="Normal 9 2 3 3 3 2 3" xfId="24158" xr:uid="{00000000-0005-0000-0000-00002A690000}"/>
    <cellStyle name="Normal 9 2 3 3 3 3" xfId="11442" xr:uid="{00000000-0005-0000-0000-00002B690000}"/>
    <cellStyle name="Normal 9 2 3 3 3 3 2" xfId="28382" xr:uid="{00000000-0005-0000-0000-00002C690000}"/>
    <cellStyle name="Normal 9 2 3 3 3 4" xfId="19934" xr:uid="{00000000-0005-0000-0000-00002D690000}"/>
    <cellStyle name="Normal 9 2 3 3 4" xfId="5106" xr:uid="{00000000-0005-0000-0000-00002E690000}"/>
    <cellStyle name="Normal 9 2 3 3 4 2" xfId="13554" xr:uid="{00000000-0005-0000-0000-00002F690000}"/>
    <cellStyle name="Normal 9 2 3 3 4 2 2" xfId="30494" xr:uid="{00000000-0005-0000-0000-000030690000}"/>
    <cellStyle name="Normal 9 2 3 3 4 3" xfId="22046" xr:uid="{00000000-0005-0000-0000-000031690000}"/>
    <cellStyle name="Normal 9 2 3 3 5" xfId="9330" xr:uid="{00000000-0005-0000-0000-000032690000}"/>
    <cellStyle name="Normal 9 2 3 3 5 2" xfId="26270" xr:uid="{00000000-0005-0000-0000-000033690000}"/>
    <cellStyle name="Normal 9 2 3 3 6" xfId="17822" xr:uid="{00000000-0005-0000-0000-000034690000}"/>
    <cellStyle name="Normal 9 2 3 4" xfId="1226" xr:uid="{00000000-0005-0000-0000-000035690000}"/>
    <cellStyle name="Normal 9 2 3 4 2" xfId="2288" xr:uid="{00000000-0005-0000-0000-000036690000}"/>
    <cellStyle name="Normal 9 2 3 4 2 2" xfId="4400" xr:uid="{00000000-0005-0000-0000-000037690000}"/>
    <cellStyle name="Normal 9 2 3 4 2 2 2" xfId="8626" xr:uid="{00000000-0005-0000-0000-000038690000}"/>
    <cellStyle name="Normal 9 2 3 4 2 2 2 2" xfId="17074" xr:uid="{00000000-0005-0000-0000-000039690000}"/>
    <cellStyle name="Normal 9 2 3 4 2 2 2 2 2" xfId="34014" xr:uid="{00000000-0005-0000-0000-00003A690000}"/>
    <cellStyle name="Normal 9 2 3 4 2 2 2 3" xfId="25566" xr:uid="{00000000-0005-0000-0000-00003B690000}"/>
    <cellStyle name="Normal 9 2 3 4 2 2 3" xfId="12850" xr:uid="{00000000-0005-0000-0000-00003C690000}"/>
    <cellStyle name="Normal 9 2 3 4 2 2 3 2" xfId="29790" xr:uid="{00000000-0005-0000-0000-00003D690000}"/>
    <cellStyle name="Normal 9 2 3 4 2 2 4" xfId="21342" xr:uid="{00000000-0005-0000-0000-00003E690000}"/>
    <cellStyle name="Normal 9 2 3 4 2 3" xfId="6514" xr:uid="{00000000-0005-0000-0000-00003F690000}"/>
    <cellStyle name="Normal 9 2 3 4 2 3 2" xfId="14962" xr:uid="{00000000-0005-0000-0000-000040690000}"/>
    <cellStyle name="Normal 9 2 3 4 2 3 2 2" xfId="31902" xr:uid="{00000000-0005-0000-0000-000041690000}"/>
    <cellStyle name="Normal 9 2 3 4 2 3 3" xfId="23454" xr:uid="{00000000-0005-0000-0000-000042690000}"/>
    <cellStyle name="Normal 9 2 3 4 2 4" xfId="10738" xr:uid="{00000000-0005-0000-0000-000043690000}"/>
    <cellStyle name="Normal 9 2 3 4 2 4 2" xfId="27678" xr:uid="{00000000-0005-0000-0000-000044690000}"/>
    <cellStyle name="Normal 9 2 3 4 2 5" xfId="19230" xr:uid="{00000000-0005-0000-0000-000045690000}"/>
    <cellStyle name="Normal 9 2 3 4 3" xfId="3344" xr:uid="{00000000-0005-0000-0000-000046690000}"/>
    <cellStyle name="Normal 9 2 3 4 3 2" xfId="7570" xr:uid="{00000000-0005-0000-0000-000047690000}"/>
    <cellStyle name="Normal 9 2 3 4 3 2 2" xfId="16018" xr:uid="{00000000-0005-0000-0000-000048690000}"/>
    <cellStyle name="Normal 9 2 3 4 3 2 2 2" xfId="32958" xr:uid="{00000000-0005-0000-0000-000049690000}"/>
    <cellStyle name="Normal 9 2 3 4 3 2 3" xfId="24510" xr:uid="{00000000-0005-0000-0000-00004A690000}"/>
    <cellStyle name="Normal 9 2 3 4 3 3" xfId="11794" xr:uid="{00000000-0005-0000-0000-00004B690000}"/>
    <cellStyle name="Normal 9 2 3 4 3 3 2" xfId="28734" xr:uid="{00000000-0005-0000-0000-00004C690000}"/>
    <cellStyle name="Normal 9 2 3 4 3 4" xfId="20286" xr:uid="{00000000-0005-0000-0000-00004D690000}"/>
    <cellStyle name="Normal 9 2 3 4 4" xfId="5458" xr:uid="{00000000-0005-0000-0000-00004E690000}"/>
    <cellStyle name="Normal 9 2 3 4 4 2" xfId="13906" xr:uid="{00000000-0005-0000-0000-00004F690000}"/>
    <cellStyle name="Normal 9 2 3 4 4 2 2" xfId="30846" xr:uid="{00000000-0005-0000-0000-000050690000}"/>
    <cellStyle name="Normal 9 2 3 4 4 3" xfId="22398" xr:uid="{00000000-0005-0000-0000-000051690000}"/>
    <cellStyle name="Normal 9 2 3 4 5" xfId="9682" xr:uid="{00000000-0005-0000-0000-000052690000}"/>
    <cellStyle name="Normal 9 2 3 4 5 2" xfId="26622" xr:uid="{00000000-0005-0000-0000-000053690000}"/>
    <cellStyle name="Normal 9 2 3 4 6" xfId="18174" xr:uid="{00000000-0005-0000-0000-000054690000}"/>
    <cellStyle name="Normal 9 2 3 5" xfId="1408" xr:uid="{00000000-0005-0000-0000-000055690000}"/>
    <cellStyle name="Normal 9 2 3 5 2" xfId="2464" xr:uid="{00000000-0005-0000-0000-000056690000}"/>
    <cellStyle name="Normal 9 2 3 5 2 2" xfId="4576" xr:uid="{00000000-0005-0000-0000-000057690000}"/>
    <cellStyle name="Normal 9 2 3 5 2 2 2" xfId="8802" xr:uid="{00000000-0005-0000-0000-000058690000}"/>
    <cellStyle name="Normal 9 2 3 5 2 2 2 2" xfId="17250" xr:uid="{00000000-0005-0000-0000-000059690000}"/>
    <cellStyle name="Normal 9 2 3 5 2 2 2 2 2" xfId="34190" xr:uid="{00000000-0005-0000-0000-00005A690000}"/>
    <cellStyle name="Normal 9 2 3 5 2 2 2 3" xfId="25742" xr:uid="{00000000-0005-0000-0000-00005B690000}"/>
    <cellStyle name="Normal 9 2 3 5 2 2 3" xfId="13026" xr:uid="{00000000-0005-0000-0000-00005C690000}"/>
    <cellStyle name="Normal 9 2 3 5 2 2 3 2" xfId="29966" xr:uid="{00000000-0005-0000-0000-00005D690000}"/>
    <cellStyle name="Normal 9 2 3 5 2 2 4" xfId="21518" xr:uid="{00000000-0005-0000-0000-00005E690000}"/>
    <cellStyle name="Normal 9 2 3 5 2 3" xfId="6690" xr:uid="{00000000-0005-0000-0000-00005F690000}"/>
    <cellStyle name="Normal 9 2 3 5 2 3 2" xfId="15138" xr:uid="{00000000-0005-0000-0000-000060690000}"/>
    <cellStyle name="Normal 9 2 3 5 2 3 2 2" xfId="32078" xr:uid="{00000000-0005-0000-0000-000061690000}"/>
    <cellStyle name="Normal 9 2 3 5 2 3 3" xfId="23630" xr:uid="{00000000-0005-0000-0000-000062690000}"/>
    <cellStyle name="Normal 9 2 3 5 2 4" xfId="10914" xr:uid="{00000000-0005-0000-0000-000063690000}"/>
    <cellStyle name="Normal 9 2 3 5 2 4 2" xfId="27854" xr:uid="{00000000-0005-0000-0000-000064690000}"/>
    <cellStyle name="Normal 9 2 3 5 2 5" xfId="19406" xr:uid="{00000000-0005-0000-0000-000065690000}"/>
    <cellStyle name="Normal 9 2 3 5 3" xfId="3520" xr:uid="{00000000-0005-0000-0000-000066690000}"/>
    <cellStyle name="Normal 9 2 3 5 3 2" xfId="7746" xr:uid="{00000000-0005-0000-0000-000067690000}"/>
    <cellStyle name="Normal 9 2 3 5 3 2 2" xfId="16194" xr:uid="{00000000-0005-0000-0000-000068690000}"/>
    <cellStyle name="Normal 9 2 3 5 3 2 2 2" xfId="33134" xr:uid="{00000000-0005-0000-0000-000069690000}"/>
    <cellStyle name="Normal 9 2 3 5 3 2 3" xfId="24686" xr:uid="{00000000-0005-0000-0000-00006A690000}"/>
    <cellStyle name="Normal 9 2 3 5 3 3" xfId="11970" xr:uid="{00000000-0005-0000-0000-00006B690000}"/>
    <cellStyle name="Normal 9 2 3 5 3 3 2" xfId="28910" xr:uid="{00000000-0005-0000-0000-00006C690000}"/>
    <cellStyle name="Normal 9 2 3 5 3 4" xfId="20462" xr:uid="{00000000-0005-0000-0000-00006D690000}"/>
    <cellStyle name="Normal 9 2 3 5 4" xfId="5634" xr:uid="{00000000-0005-0000-0000-00006E690000}"/>
    <cellStyle name="Normal 9 2 3 5 4 2" xfId="14082" xr:uid="{00000000-0005-0000-0000-00006F690000}"/>
    <cellStyle name="Normal 9 2 3 5 4 2 2" xfId="31022" xr:uid="{00000000-0005-0000-0000-000070690000}"/>
    <cellStyle name="Normal 9 2 3 5 4 3" xfId="22574" xr:uid="{00000000-0005-0000-0000-000071690000}"/>
    <cellStyle name="Normal 9 2 3 5 5" xfId="9858" xr:uid="{00000000-0005-0000-0000-000072690000}"/>
    <cellStyle name="Normal 9 2 3 5 5 2" xfId="26798" xr:uid="{00000000-0005-0000-0000-000073690000}"/>
    <cellStyle name="Normal 9 2 3 5 6" xfId="18350" xr:uid="{00000000-0005-0000-0000-000074690000}"/>
    <cellStyle name="Normal 9 2 3 6" xfId="1584" xr:uid="{00000000-0005-0000-0000-000075690000}"/>
    <cellStyle name="Normal 9 2 3 6 2" xfId="3696" xr:uid="{00000000-0005-0000-0000-000076690000}"/>
    <cellStyle name="Normal 9 2 3 6 2 2" xfId="7922" xr:uid="{00000000-0005-0000-0000-000077690000}"/>
    <cellStyle name="Normal 9 2 3 6 2 2 2" xfId="16370" xr:uid="{00000000-0005-0000-0000-000078690000}"/>
    <cellStyle name="Normal 9 2 3 6 2 2 2 2" xfId="33310" xr:uid="{00000000-0005-0000-0000-000079690000}"/>
    <cellStyle name="Normal 9 2 3 6 2 2 3" xfId="24862" xr:uid="{00000000-0005-0000-0000-00007A690000}"/>
    <cellStyle name="Normal 9 2 3 6 2 3" xfId="12146" xr:uid="{00000000-0005-0000-0000-00007B690000}"/>
    <cellStyle name="Normal 9 2 3 6 2 3 2" xfId="29086" xr:uid="{00000000-0005-0000-0000-00007C690000}"/>
    <cellStyle name="Normal 9 2 3 6 2 4" xfId="20638" xr:uid="{00000000-0005-0000-0000-00007D690000}"/>
    <cellStyle name="Normal 9 2 3 6 3" xfId="5810" xr:uid="{00000000-0005-0000-0000-00007E690000}"/>
    <cellStyle name="Normal 9 2 3 6 3 2" xfId="14258" xr:uid="{00000000-0005-0000-0000-00007F690000}"/>
    <cellStyle name="Normal 9 2 3 6 3 2 2" xfId="31198" xr:uid="{00000000-0005-0000-0000-000080690000}"/>
    <cellStyle name="Normal 9 2 3 6 3 3" xfId="22750" xr:uid="{00000000-0005-0000-0000-000081690000}"/>
    <cellStyle name="Normal 9 2 3 6 4" xfId="10034" xr:uid="{00000000-0005-0000-0000-000082690000}"/>
    <cellStyle name="Normal 9 2 3 6 4 2" xfId="26974" xr:uid="{00000000-0005-0000-0000-000083690000}"/>
    <cellStyle name="Normal 9 2 3 6 5" xfId="18526" xr:uid="{00000000-0005-0000-0000-000084690000}"/>
    <cellStyle name="Normal 9 2 3 7" xfId="2640" xr:uid="{00000000-0005-0000-0000-000085690000}"/>
    <cellStyle name="Normal 9 2 3 7 2" xfId="6866" xr:uid="{00000000-0005-0000-0000-000086690000}"/>
    <cellStyle name="Normal 9 2 3 7 2 2" xfId="15314" xr:uid="{00000000-0005-0000-0000-000087690000}"/>
    <cellStyle name="Normal 9 2 3 7 2 2 2" xfId="32254" xr:uid="{00000000-0005-0000-0000-000088690000}"/>
    <cellStyle name="Normal 9 2 3 7 2 3" xfId="23806" xr:uid="{00000000-0005-0000-0000-000089690000}"/>
    <cellStyle name="Normal 9 2 3 7 3" xfId="11090" xr:uid="{00000000-0005-0000-0000-00008A690000}"/>
    <cellStyle name="Normal 9 2 3 7 3 2" xfId="28030" xr:uid="{00000000-0005-0000-0000-00008B690000}"/>
    <cellStyle name="Normal 9 2 3 7 4" xfId="19582" xr:uid="{00000000-0005-0000-0000-00008C690000}"/>
    <cellStyle name="Normal 9 2 3 8" xfId="4753" xr:uid="{00000000-0005-0000-0000-00008D690000}"/>
    <cellStyle name="Normal 9 2 3 8 2" xfId="13202" xr:uid="{00000000-0005-0000-0000-00008E690000}"/>
    <cellStyle name="Normal 9 2 3 8 2 2" xfId="30142" xr:uid="{00000000-0005-0000-0000-00008F690000}"/>
    <cellStyle name="Normal 9 2 3 8 3" xfId="21694" xr:uid="{00000000-0005-0000-0000-000090690000}"/>
    <cellStyle name="Normal 9 2 3 9" xfId="8978" xr:uid="{00000000-0005-0000-0000-000091690000}"/>
    <cellStyle name="Normal 9 2 3 9 2" xfId="25918" xr:uid="{00000000-0005-0000-0000-000092690000}"/>
    <cellStyle name="Normal 9 2 4" xfId="696" xr:uid="{00000000-0005-0000-0000-000093690000}"/>
    <cellStyle name="Normal 9 2 4 2" xfId="1048" xr:uid="{00000000-0005-0000-0000-000094690000}"/>
    <cellStyle name="Normal 9 2 4 2 2" xfId="2110" xr:uid="{00000000-0005-0000-0000-000095690000}"/>
    <cellStyle name="Normal 9 2 4 2 2 2" xfId="4222" xr:uid="{00000000-0005-0000-0000-000096690000}"/>
    <cellStyle name="Normal 9 2 4 2 2 2 2" xfId="8448" xr:uid="{00000000-0005-0000-0000-000097690000}"/>
    <cellStyle name="Normal 9 2 4 2 2 2 2 2" xfId="16896" xr:uid="{00000000-0005-0000-0000-000098690000}"/>
    <cellStyle name="Normal 9 2 4 2 2 2 2 2 2" xfId="33836" xr:uid="{00000000-0005-0000-0000-000099690000}"/>
    <cellStyle name="Normal 9 2 4 2 2 2 2 3" xfId="25388" xr:uid="{00000000-0005-0000-0000-00009A690000}"/>
    <cellStyle name="Normal 9 2 4 2 2 2 3" xfId="12672" xr:uid="{00000000-0005-0000-0000-00009B690000}"/>
    <cellStyle name="Normal 9 2 4 2 2 2 3 2" xfId="29612" xr:uid="{00000000-0005-0000-0000-00009C690000}"/>
    <cellStyle name="Normal 9 2 4 2 2 2 4" xfId="21164" xr:uid="{00000000-0005-0000-0000-00009D690000}"/>
    <cellStyle name="Normal 9 2 4 2 2 3" xfId="6336" xr:uid="{00000000-0005-0000-0000-00009E690000}"/>
    <cellStyle name="Normal 9 2 4 2 2 3 2" xfId="14784" xr:uid="{00000000-0005-0000-0000-00009F690000}"/>
    <cellStyle name="Normal 9 2 4 2 2 3 2 2" xfId="31724" xr:uid="{00000000-0005-0000-0000-0000A0690000}"/>
    <cellStyle name="Normal 9 2 4 2 2 3 3" xfId="23276" xr:uid="{00000000-0005-0000-0000-0000A1690000}"/>
    <cellStyle name="Normal 9 2 4 2 2 4" xfId="10560" xr:uid="{00000000-0005-0000-0000-0000A2690000}"/>
    <cellStyle name="Normal 9 2 4 2 2 4 2" xfId="27500" xr:uid="{00000000-0005-0000-0000-0000A3690000}"/>
    <cellStyle name="Normal 9 2 4 2 2 5" xfId="19052" xr:uid="{00000000-0005-0000-0000-0000A4690000}"/>
    <cellStyle name="Normal 9 2 4 2 3" xfId="3166" xr:uid="{00000000-0005-0000-0000-0000A5690000}"/>
    <cellStyle name="Normal 9 2 4 2 3 2" xfId="7392" xr:uid="{00000000-0005-0000-0000-0000A6690000}"/>
    <cellStyle name="Normal 9 2 4 2 3 2 2" xfId="15840" xr:uid="{00000000-0005-0000-0000-0000A7690000}"/>
    <cellStyle name="Normal 9 2 4 2 3 2 2 2" xfId="32780" xr:uid="{00000000-0005-0000-0000-0000A8690000}"/>
    <cellStyle name="Normal 9 2 4 2 3 2 3" xfId="24332" xr:uid="{00000000-0005-0000-0000-0000A9690000}"/>
    <cellStyle name="Normal 9 2 4 2 3 3" xfId="11616" xr:uid="{00000000-0005-0000-0000-0000AA690000}"/>
    <cellStyle name="Normal 9 2 4 2 3 3 2" xfId="28556" xr:uid="{00000000-0005-0000-0000-0000AB690000}"/>
    <cellStyle name="Normal 9 2 4 2 3 4" xfId="20108" xr:uid="{00000000-0005-0000-0000-0000AC690000}"/>
    <cellStyle name="Normal 9 2 4 2 4" xfId="5280" xr:uid="{00000000-0005-0000-0000-0000AD690000}"/>
    <cellStyle name="Normal 9 2 4 2 4 2" xfId="13728" xr:uid="{00000000-0005-0000-0000-0000AE690000}"/>
    <cellStyle name="Normal 9 2 4 2 4 2 2" xfId="30668" xr:uid="{00000000-0005-0000-0000-0000AF690000}"/>
    <cellStyle name="Normal 9 2 4 2 4 3" xfId="22220" xr:uid="{00000000-0005-0000-0000-0000B0690000}"/>
    <cellStyle name="Normal 9 2 4 2 5" xfId="9504" xr:uid="{00000000-0005-0000-0000-0000B1690000}"/>
    <cellStyle name="Normal 9 2 4 2 5 2" xfId="26444" xr:uid="{00000000-0005-0000-0000-0000B2690000}"/>
    <cellStyle name="Normal 9 2 4 2 6" xfId="17996" xr:uid="{00000000-0005-0000-0000-0000B3690000}"/>
    <cellStyle name="Normal 9 2 4 3" xfId="1758" xr:uid="{00000000-0005-0000-0000-0000B4690000}"/>
    <cellStyle name="Normal 9 2 4 3 2" xfId="3870" xr:uid="{00000000-0005-0000-0000-0000B5690000}"/>
    <cellStyle name="Normal 9 2 4 3 2 2" xfId="8096" xr:uid="{00000000-0005-0000-0000-0000B6690000}"/>
    <cellStyle name="Normal 9 2 4 3 2 2 2" xfId="16544" xr:uid="{00000000-0005-0000-0000-0000B7690000}"/>
    <cellStyle name="Normal 9 2 4 3 2 2 2 2" xfId="33484" xr:uid="{00000000-0005-0000-0000-0000B8690000}"/>
    <cellStyle name="Normal 9 2 4 3 2 2 3" xfId="25036" xr:uid="{00000000-0005-0000-0000-0000B9690000}"/>
    <cellStyle name="Normal 9 2 4 3 2 3" xfId="12320" xr:uid="{00000000-0005-0000-0000-0000BA690000}"/>
    <cellStyle name="Normal 9 2 4 3 2 3 2" xfId="29260" xr:uid="{00000000-0005-0000-0000-0000BB690000}"/>
    <cellStyle name="Normal 9 2 4 3 2 4" xfId="20812" xr:uid="{00000000-0005-0000-0000-0000BC690000}"/>
    <cellStyle name="Normal 9 2 4 3 3" xfId="5984" xr:uid="{00000000-0005-0000-0000-0000BD690000}"/>
    <cellStyle name="Normal 9 2 4 3 3 2" xfId="14432" xr:uid="{00000000-0005-0000-0000-0000BE690000}"/>
    <cellStyle name="Normal 9 2 4 3 3 2 2" xfId="31372" xr:uid="{00000000-0005-0000-0000-0000BF690000}"/>
    <cellStyle name="Normal 9 2 4 3 3 3" xfId="22924" xr:uid="{00000000-0005-0000-0000-0000C0690000}"/>
    <cellStyle name="Normal 9 2 4 3 4" xfId="10208" xr:uid="{00000000-0005-0000-0000-0000C1690000}"/>
    <cellStyle name="Normal 9 2 4 3 4 2" xfId="27148" xr:uid="{00000000-0005-0000-0000-0000C2690000}"/>
    <cellStyle name="Normal 9 2 4 3 5" xfId="18700" xr:uid="{00000000-0005-0000-0000-0000C3690000}"/>
    <cellStyle name="Normal 9 2 4 4" xfId="2814" xr:uid="{00000000-0005-0000-0000-0000C4690000}"/>
    <cellStyle name="Normal 9 2 4 4 2" xfId="7040" xr:uid="{00000000-0005-0000-0000-0000C5690000}"/>
    <cellStyle name="Normal 9 2 4 4 2 2" xfId="15488" xr:uid="{00000000-0005-0000-0000-0000C6690000}"/>
    <cellStyle name="Normal 9 2 4 4 2 2 2" xfId="32428" xr:uid="{00000000-0005-0000-0000-0000C7690000}"/>
    <cellStyle name="Normal 9 2 4 4 2 3" xfId="23980" xr:uid="{00000000-0005-0000-0000-0000C8690000}"/>
    <cellStyle name="Normal 9 2 4 4 3" xfId="11264" xr:uid="{00000000-0005-0000-0000-0000C9690000}"/>
    <cellStyle name="Normal 9 2 4 4 3 2" xfId="28204" xr:uid="{00000000-0005-0000-0000-0000CA690000}"/>
    <cellStyle name="Normal 9 2 4 4 4" xfId="19756" xr:uid="{00000000-0005-0000-0000-0000CB690000}"/>
    <cellStyle name="Normal 9 2 4 5" xfId="4928" xr:uid="{00000000-0005-0000-0000-0000CC690000}"/>
    <cellStyle name="Normal 9 2 4 5 2" xfId="13376" xr:uid="{00000000-0005-0000-0000-0000CD690000}"/>
    <cellStyle name="Normal 9 2 4 5 2 2" xfId="30316" xr:uid="{00000000-0005-0000-0000-0000CE690000}"/>
    <cellStyle name="Normal 9 2 4 5 3" xfId="21868" xr:uid="{00000000-0005-0000-0000-0000CF690000}"/>
    <cellStyle name="Normal 9 2 4 6" xfId="9152" xr:uid="{00000000-0005-0000-0000-0000D0690000}"/>
    <cellStyle name="Normal 9 2 4 6 2" xfId="26092" xr:uid="{00000000-0005-0000-0000-0000D1690000}"/>
    <cellStyle name="Normal 9 2 4 7" xfId="17644" xr:uid="{00000000-0005-0000-0000-0000D2690000}"/>
    <cellStyle name="Normal 9 2 5" xfId="872" xr:uid="{00000000-0005-0000-0000-0000D3690000}"/>
    <cellStyle name="Normal 9 2 5 2" xfId="1934" xr:uid="{00000000-0005-0000-0000-0000D4690000}"/>
    <cellStyle name="Normal 9 2 5 2 2" xfId="4046" xr:uid="{00000000-0005-0000-0000-0000D5690000}"/>
    <cellStyle name="Normal 9 2 5 2 2 2" xfId="8272" xr:uid="{00000000-0005-0000-0000-0000D6690000}"/>
    <cellStyle name="Normal 9 2 5 2 2 2 2" xfId="16720" xr:uid="{00000000-0005-0000-0000-0000D7690000}"/>
    <cellStyle name="Normal 9 2 5 2 2 2 2 2" xfId="33660" xr:uid="{00000000-0005-0000-0000-0000D8690000}"/>
    <cellStyle name="Normal 9 2 5 2 2 2 3" xfId="25212" xr:uid="{00000000-0005-0000-0000-0000D9690000}"/>
    <cellStyle name="Normal 9 2 5 2 2 3" xfId="12496" xr:uid="{00000000-0005-0000-0000-0000DA690000}"/>
    <cellStyle name="Normal 9 2 5 2 2 3 2" xfId="29436" xr:uid="{00000000-0005-0000-0000-0000DB690000}"/>
    <cellStyle name="Normal 9 2 5 2 2 4" xfId="20988" xr:uid="{00000000-0005-0000-0000-0000DC690000}"/>
    <cellStyle name="Normal 9 2 5 2 3" xfId="6160" xr:uid="{00000000-0005-0000-0000-0000DD690000}"/>
    <cellStyle name="Normal 9 2 5 2 3 2" xfId="14608" xr:uid="{00000000-0005-0000-0000-0000DE690000}"/>
    <cellStyle name="Normal 9 2 5 2 3 2 2" xfId="31548" xr:uid="{00000000-0005-0000-0000-0000DF690000}"/>
    <cellStyle name="Normal 9 2 5 2 3 3" xfId="23100" xr:uid="{00000000-0005-0000-0000-0000E0690000}"/>
    <cellStyle name="Normal 9 2 5 2 4" xfId="10384" xr:uid="{00000000-0005-0000-0000-0000E1690000}"/>
    <cellStyle name="Normal 9 2 5 2 4 2" xfId="27324" xr:uid="{00000000-0005-0000-0000-0000E2690000}"/>
    <cellStyle name="Normal 9 2 5 2 5" xfId="18876" xr:uid="{00000000-0005-0000-0000-0000E3690000}"/>
    <cellStyle name="Normal 9 2 5 3" xfId="2990" xr:uid="{00000000-0005-0000-0000-0000E4690000}"/>
    <cellStyle name="Normal 9 2 5 3 2" xfId="7216" xr:uid="{00000000-0005-0000-0000-0000E5690000}"/>
    <cellStyle name="Normal 9 2 5 3 2 2" xfId="15664" xr:uid="{00000000-0005-0000-0000-0000E6690000}"/>
    <cellStyle name="Normal 9 2 5 3 2 2 2" xfId="32604" xr:uid="{00000000-0005-0000-0000-0000E7690000}"/>
    <cellStyle name="Normal 9 2 5 3 2 3" xfId="24156" xr:uid="{00000000-0005-0000-0000-0000E8690000}"/>
    <cellStyle name="Normal 9 2 5 3 3" xfId="11440" xr:uid="{00000000-0005-0000-0000-0000E9690000}"/>
    <cellStyle name="Normal 9 2 5 3 3 2" xfId="28380" xr:uid="{00000000-0005-0000-0000-0000EA690000}"/>
    <cellStyle name="Normal 9 2 5 3 4" xfId="19932" xr:uid="{00000000-0005-0000-0000-0000EB690000}"/>
    <cellStyle name="Normal 9 2 5 4" xfId="5104" xr:uid="{00000000-0005-0000-0000-0000EC690000}"/>
    <cellStyle name="Normal 9 2 5 4 2" xfId="13552" xr:uid="{00000000-0005-0000-0000-0000ED690000}"/>
    <cellStyle name="Normal 9 2 5 4 2 2" xfId="30492" xr:uid="{00000000-0005-0000-0000-0000EE690000}"/>
    <cellStyle name="Normal 9 2 5 4 3" xfId="22044" xr:uid="{00000000-0005-0000-0000-0000EF690000}"/>
    <cellStyle name="Normal 9 2 5 5" xfId="9328" xr:uid="{00000000-0005-0000-0000-0000F0690000}"/>
    <cellStyle name="Normal 9 2 5 5 2" xfId="26268" xr:uid="{00000000-0005-0000-0000-0000F1690000}"/>
    <cellStyle name="Normal 9 2 5 6" xfId="17820" xr:uid="{00000000-0005-0000-0000-0000F2690000}"/>
    <cellStyle name="Normal 9 2 6" xfId="1224" xr:uid="{00000000-0005-0000-0000-0000F3690000}"/>
    <cellStyle name="Normal 9 2 6 2" xfId="2286" xr:uid="{00000000-0005-0000-0000-0000F4690000}"/>
    <cellStyle name="Normal 9 2 6 2 2" xfId="4398" xr:uid="{00000000-0005-0000-0000-0000F5690000}"/>
    <cellStyle name="Normal 9 2 6 2 2 2" xfId="8624" xr:uid="{00000000-0005-0000-0000-0000F6690000}"/>
    <cellStyle name="Normal 9 2 6 2 2 2 2" xfId="17072" xr:uid="{00000000-0005-0000-0000-0000F7690000}"/>
    <cellStyle name="Normal 9 2 6 2 2 2 2 2" xfId="34012" xr:uid="{00000000-0005-0000-0000-0000F8690000}"/>
    <cellStyle name="Normal 9 2 6 2 2 2 3" xfId="25564" xr:uid="{00000000-0005-0000-0000-0000F9690000}"/>
    <cellStyle name="Normal 9 2 6 2 2 3" xfId="12848" xr:uid="{00000000-0005-0000-0000-0000FA690000}"/>
    <cellStyle name="Normal 9 2 6 2 2 3 2" xfId="29788" xr:uid="{00000000-0005-0000-0000-0000FB690000}"/>
    <cellStyle name="Normal 9 2 6 2 2 4" xfId="21340" xr:uid="{00000000-0005-0000-0000-0000FC690000}"/>
    <cellStyle name="Normal 9 2 6 2 3" xfId="6512" xr:uid="{00000000-0005-0000-0000-0000FD690000}"/>
    <cellStyle name="Normal 9 2 6 2 3 2" xfId="14960" xr:uid="{00000000-0005-0000-0000-0000FE690000}"/>
    <cellStyle name="Normal 9 2 6 2 3 2 2" xfId="31900" xr:uid="{00000000-0005-0000-0000-0000FF690000}"/>
    <cellStyle name="Normal 9 2 6 2 3 3" xfId="23452" xr:uid="{00000000-0005-0000-0000-0000006A0000}"/>
    <cellStyle name="Normal 9 2 6 2 4" xfId="10736" xr:uid="{00000000-0005-0000-0000-0000016A0000}"/>
    <cellStyle name="Normal 9 2 6 2 4 2" xfId="27676" xr:uid="{00000000-0005-0000-0000-0000026A0000}"/>
    <cellStyle name="Normal 9 2 6 2 5" xfId="19228" xr:uid="{00000000-0005-0000-0000-0000036A0000}"/>
    <cellStyle name="Normal 9 2 6 3" xfId="3342" xr:uid="{00000000-0005-0000-0000-0000046A0000}"/>
    <cellStyle name="Normal 9 2 6 3 2" xfId="7568" xr:uid="{00000000-0005-0000-0000-0000056A0000}"/>
    <cellStyle name="Normal 9 2 6 3 2 2" xfId="16016" xr:uid="{00000000-0005-0000-0000-0000066A0000}"/>
    <cellStyle name="Normal 9 2 6 3 2 2 2" xfId="32956" xr:uid="{00000000-0005-0000-0000-0000076A0000}"/>
    <cellStyle name="Normal 9 2 6 3 2 3" xfId="24508" xr:uid="{00000000-0005-0000-0000-0000086A0000}"/>
    <cellStyle name="Normal 9 2 6 3 3" xfId="11792" xr:uid="{00000000-0005-0000-0000-0000096A0000}"/>
    <cellStyle name="Normal 9 2 6 3 3 2" xfId="28732" xr:uid="{00000000-0005-0000-0000-00000A6A0000}"/>
    <cellStyle name="Normal 9 2 6 3 4" xfId="20284" xr:uid="{00000000-0005-0000-0000-00000B6A0000}"/>
    <cellStyle name="Normal 9 2 6 4" xfId="5456" xr:uid="{00000000-0005-0000-0000-00000C6A0000}"/>
    <cellStyle name="Normal 9 2 6 4 2" xfId="13904" xr:uid="{00000000-0005-0000-0000-00000D6A0000}"/>
    <cellStyle name="Normal 9 2 6 4 2 2" xfId="30844" xr:uid="{00000000-0005-0000-0000-00000E6A0000}"/>
    <cellStyle name="Normal 9 2 6 4 3" xfId="22396" xr:uid="{00000000-0005-0000-0000-00000F6A0000}"/>
    <cellStyle name="Normal 9 2 6 5" xfId="9680" xr:uid="{00000000-0005-0000-0000-0000106A0000}"/>
    <cellStyle name="Normal 9 2 6 5 2" xfId="26620" xr:uid="{00000000-0005-0000-0000-0000116A0000}"/>
    <cellStyle name="Normal 9 2 6 6" xfId="18172" xr:uid="{00000000-0005-0000-0000-0000126A0000}"/>
    <cellStyle name="Normal 9 2 7" xfId="1406" xr:uid="{00000000-0005-0000-0000-0000136A0000}"/>
    <cellStyle name="Normal 9 2 7 2" xfId="2462" xr:uid="{00000000-0005-0000-0000-0000146A0000}"/>
    <cellStyle name="Normal 9 2 7 2 2" xfId="4574" xr:uid="{00000000-0005-0000-0000-0000156A0000}"/>
    <cellStyle name="Normal 9 2 7 2 2 2" xfId="8800" xr:uid="{00000000-0005-0000-0000-0000166A0000}"/>
    <cellStyle name="Normal 9 2 7 2 2 2 2" xfId="17248" xr:uid="{00000000-0005-0000-0000-0000176A0000}"/>
    <cellStyle name="Normal 9 2 7 2 2 2 2 2" xfId="34188" xr:uid="{00000000-0005-0000-0000-0000186A0000}"/>
    <cellStyle name="Normal 9 2 7 2 2 2 3" xfId="25740" xr:uid="{00000000-0005-0000-0000-0000196A0000}"/>
    <cellStyle name="Normal 9 2 7 2 2 3" xfId="13024" xr:uid="{00000000-0005-0000-0000-00001A6A0000}"/>
    <cellStyle name="Normal 9 2 7 2 2 3 2" xfId="29964" xr:uid="{00000000-0005-0000-0000-00001B6A0000}"/>
    <cellStyle name="Normal 9 2 7 2 2 4" xfId="21516" xr:uid="{00000000-0005-0000-0000-00001C6A0000}"/>
    <cellStyle name="Normal 9 2 7 2 3" xfId="6688" xr:uid="{00000000-0005-0000-0000-00001D6A0000}"/>
    <cellStyle name="Normal 9 2 7 2 3 2" xfId="15136" xr:uid="{00000000-0005-0000-0000-00001E6A0000}"/>
    <cellStyle name="Normal 9 2 7 2 3 2 2" xfId="32076" xr:uid="{00000000-0005-0000-0000-00001F6A0000}"/>
    <cellStyle name="Normal 9 2 7 2 3 3" xfId="23628" xr:uid="{00000000-0005-0000-0000-0000206A0000}"/>
    <cellStyle name="Normal 9 2 7 2 4" xfId="10912" xr:uid="{00000000-0005-0000-0000-0000216A0000}"/>
    <cellStyle name="Normal 9 2 7 2 4 2" xfId="27852" xr:uid="{00000000-0005-0000-0000-0000226A0000}"/>
    <cellStyle name="Normal 9 2 7 2 5" xfId="19404" xr:uid="{00000000-0005-0000-0000-0000236A0000}"/>
    <cellStyle name="Normal 9 2 7 3" xfId="3518" xr:uid="{00000000-0005-0000-0000-0000246A0000}"/>
    <cellStyle name="Normal 9 2 7 3 2" xfId="7744" xr:uid="{00000000-0005-0000-0000-0000256A0000}"/>
    <cellStyle name="Normal 9 2 7 3 2 2" xfId="16192" xr:uid="{00000000-0005-0000-0000-0000266A0000}"/>
    <cellStyle name="Normal 9 2 7 3 2 2 2" xfId="33132" xr:uid="{00000000-0005-0000-0000-0000276A0000}"/>
    <cellStyle name="Normal 9 2 7 3 2 3" xfId="24684" xr:uid="{00000000-0005-0000-0000-0000286A0000}"/>
    <cellStyle name="Normal 9 2 7 3 3" xfId="11968" xr:uid="{00000000-0005-0000-0000-0000296A0000}"/>
    <cellStyle name="Normal 9 2 7 3 3 2" xfId="28908" xr:uid="{00000000-0005-0000-0000-00002A6A0000}"/>
    <cellStyle name="Normal 9 2 7 3 4" xfId="20460" xr:uid="{00000000-0005-0000-0000-00002B6A0000}"/>
    <cellStyle name="Normal 9 2 7 4" xfId="5632" xr:uid="{00000000-0005-0000-0000-00002C6A0000}"/>
    <cellStyle name="Normal 9 2 7 4 2" xfId="14080" xr:uid="{00000000-0005-0000-0000-00002D6A0000}"/>
    <cellStyle name="Normal 9 2 7 4 2 2" xfId="31020" xr:uid="{00000000-0005-0000-0000-00002E6A0000}"/>
    <cellStyle name="Normal 9 2 7 4 3" xfId="22572" xr:uid="{00000000-0005-0000-0000-00002F6A0000}"/>
    <cellStyle name="Normal 9 2 7 5" xfId="9856" xr:uid="{00000000-0005-0000-0000-0000306A0000}"/>
    <cellStyle name="Normal 9 2 7 5 2" xfId="26796" xr:uid="{00000000-0005-0000-0000-0000316A0000}"/>
    <cellStyle name="Normal 9 2 7 6" xfId="18348" xr:uid="{00000000-0005-0000-0000-0000326A0000}"/>
    <cellStyle name="Normal 9 2 8" xfId="1582" xr:uid="{00000000-0005-0000-0000-0000336A0000}"/>
    <cellStyle name="Normal 9 2 8 2" xfId="3694" xr:uid="{00000000-0005-0000-0000-0000346A0000}"/>
    <cellStyle name="Normal 9 2 8 2 2" xfId="7920" xr:uid="{00000000-0005-0000-0000-0000356A0000}"/>
    <cellStyle name="Normal 9 2 8 2 2 2" xfId="16368" xr:uid="{00000000-0005-0000-0000-0000366A0000}"/>
    <cellStyle name="Normal 9 2 8 2 2 2 2" xfId="33308" xr:uid="{00000000-0005-0000-0000-0000376A0000}"/>
    <cellStyle name="Normal 9 2 8 2 2 3" xfId="24860" xr:uid="{00000000-0005-0000-0000-0000386A0000}"/>
    <cellStyle name="Normal 9 2 8 2 3" xfId="12144" xr:uid="{00000000-0005-0000-0000-0000396A0000}"/>
    <cellStyle name="Normal 9 2 8 2 3 2" xfId="29084" xr:uid="{00000000-0005-0000-0000-00003A6A0000}"/>
    <cellStyle name="Normal 9 2 8 2 4" xfId="20636" xr:uid="{00000000-0005-0000-0000-00003B6A0000}"/>
    <cellStyle name="Normal 9 2 8 3" xfId="5808" xr:uid="{00000000-0005-0000-0000-00003C6A0000}"/>
    <cellStyle name="Normal 9 2 8 3 2" xfId="14256" xr:uid="{00000000-0005-0000-0000-00003D6A0000}"/>
    <cellStyle name="Normal 9 2 8 3 2 2" xfId="31196" xr:uid="{00000000-0005-0000-0000-00003E6A0000}"/>
    <cellStyle name="Normal 9 2 8 3 3" xfId="22748" xr:uid="{00000000-0005-0000-0000-00003F6A0000}"/>
    <cellStyle name="Normal 9 2 8 4" xfId="10032" xr:uid="{00000000-0005-0000-0000-0000406A0000}"/>
    <cellStyle name="Normal 9 2 8 4 2" xfId="26972" xr:uid="{00000000-0005-0000-0000-0000416A0000}"/>
    <cellStyle name="Normal 9 2 8 5" xfId="18524" xr:uid="{00000000-0005-0000-0000-0000426A0000}"/>
    <cellStyle name="Normal 9 2 9" xfId="2638" xr:uid="{00000000-0005-0000-0000-0000436A0000}"/>
    <cellStyle name="Normal 9 2 9 2" xfId="6864" xr:uid="{00000000-0005-0000-0000-0000446A0000}"/>
    <cellStyle name="Normal 9 2 9 2 2" xfId="15312" xr:uid="{00000000-0005-0000-0000-0000456A0000}"/>
    <cellStyle name="Normal 9 2 9 2 2 2" xfId="32252" xr:uid="{00000000-0005-0000-0000-0000466A0000}"/>
    <cellStyle name="Normal 9 2 9 2 3" xfId="23804" xr:uid="{00000000-0005-0000-0000-0000476A0000}"/>
    <cellStyle name="Normal 9 2 9 3" xfId="11088" xr:uid="{00000000-0005-0000-0000-0000486A0000}"/>
    <cellStyle name="Normal 9 2 9 3 2" xfId="28028" xr:uid="{00000000-0005-0000-0000-0000496A0000}"/>
    <cellStyle name="Normal 9 2 9 4" xfId="19580" xr:uid="{00000000-0005-0000-0000-00004A6A0000}"/>
    <cellStyle name="Normal 9 3" xfId="409" xr:uid="{00000000-0005-0000-0000-00004B6A0000}"/>
    <cellStyle name="Normal 9 3 10" xfId="4754" xr:uid="{00000000-0005-0000-0000-00004C6A0000}"/>
    <cellStyle name="Normal 9 3 10 2" xfId="13203" xr:uid="{00000000-0005-0000-0000-00004D6A0000}"/>
    <cellStyle name="Normal 9 3 10 2 2" xfId="30143" xr:uid="{00000000-0005-0000-0000-00004E6A0000}"/>
    <cellStyle name="Normal 9 3 10 3" xfId="21695" xr:uid="{00000000-0005-0000-0000-00004F6A0000}"/>
    <cellStyle name="Normal 9 3 11" xfId="8979" xr:uid="{00000000-0005-0000-0000-0000506A0000}"/>
    <cellStyle name="Normal 9 3 11 2" xfId="25919" xr:uid="{00000000-0005-0000-0000-0000516A0000}"/>
    <cellStyle name="Normal 9 3 12" xfId="17471" xr:uid="{00000000-0005-0000-0000-0000526A0000}"/>
    <cellStyle name="Normal 9 3 2" xfId="410" xr:uid="{00000000-0005-0000-0000-0000536A0000}"/>
    <cellStyle name="Normal 9 3 2 10" xfId="17472" xr:uid="{00000000-0005-0000-0000-0000546A0000}"/>
    <cellStyle name="Normal 9 3 2 2" xfId="700" xr:uid="{00000000-0005-0000-0000-0000556A0000}"/>
    <cellStyle name="Normal 9 3 2 2 2" xfId="1052" xr:uid="{00000000-0005-0000-0000-0000566A0000}"/>
    <cellStyle name="Normal 9 3 2 2 2 2" xfId="2114" xr:uid="{00000000-0005-0000-0000-0000576A0000}"/>
    <cellStyle name="Normal 9 3 2 2 2 2 2" xfId="4226" xr:uid="{00000000-0005-0000-0000-0000586A0000}"/>
    <cellStyle name="Normal 9 3 2 2 2 2 2 2" xfId="8452" xr:uid="{00000000-0005-0000-0000-0000596A0000}"/>
    <cellStyle name="Normal 9 3 2 2 2 2 2 2 2" xfId="16900" xr:uid="{00000000-0005-0000-0000-00005A6A0000}"/>
    <cellStyle name="Normal 9 3 2 2 2 2 2 2 2 2" xfId="33840" xr:uid="{00000000-0005-0000-0000-00005B6A0000}"/>
    <cellStyle name="Normal 9 3 2 2 2 2 2 2 3" xfId="25392" xr:uid="{00000000-0005-0000-0000-00005C6A0000}"/>
    <cellStyle name="Normal 9 3 2 2 2 2 2 3" xfId="12676" xr:uid="{00000000-0005-0000-0000-00005D6A0000}"/>
    <cellStyle name="Normal 9 3 2 2 2 2 2 3 2" xfId="29616" xr:uid="{00000000-0005-0000-0000-00005E6A0000}"/>
    <cellStyle name="Normal 9 3 2 2 2 2 2 4" xfId="21168" xr:uid="{00000000-0005-0000-0000-00005F6A0000}"/>
    <cellStyle name="Normal 9 3 2 2 2 2 3" xfId="6340" xr:uid="{00000000-0005-0000-0000-0000606A0000}"/>
    <cellStyle name="Normal 9 3 2 2 2 2 3 2" xfId="14788" xr:uid="{00000000-0005-0000-0000-0000616A0000}"/>
    <cellStyle name="Normal 9 3 2 2 2 2 3 2 2" xfId="31728" xr:uid="{00000000-0005-0000-0000-0000626A0000}"/>
    <cellStyle name="Normal 9 3 2 2 2 2 3 3" xfId="23280" xr:uid="{00000000-0005-0000-0000-0000636A0000}"/>
    <cellStyle name="Normal 9 3 2 2 2 2 4" xfId="10564" xr:uid="{00000000-0005-0000-0000-0000646A0000}"/>
    <cellStyle name="Normal 9 3 2 2 2 2 4 2" xfId="27504" xr:uid="{00000000-0005-0000-0000-0000656A0000}"/>
    <cellStyle name="Normal 9 3 2 2 2 2 5" xfId="19056" xr:uid="{00000000-0005-0000-0000-0000666A0000}"/>
    <cellStyle name="Normal 9 3 2 2 2 3" xfId="3170" xr:uid="{00000000-0005-0000-0000-0000676A0000}"/>
    <cellStyle name="Normal 9 3 2 2 2 3 2" xfId="7396" xr:uid="{00000000-0005-0000-0000-0000686A0000}"/>
    <cellStyle name="Normal 9 3 2 2 2 3 2 2" xfId="15844" xr:uid="{00000000-0005-0000-0000-0000696A0000}"/>
    <cellStyle name="Normal 9 3 2 2 2 3 2 2 2" xfId="32784" xr:uid="{00000000-0005-0000-0000-00006A6A0000}"/>
    <cellStyle name="Normal 9 3 2 2 2 3 2 3" xfId="24336" xr:uid="{00000000-0005-0000-0000-00006B6A0000}"/>
    <cellStyle name="Normal 9 3 2 2 2 3 3" xfId="11620" xr:uid="{00000000-0005-0000-0000-00006C6A0000}"/>
    <cellStyle name="Normal 9 3 2 2 2 3 3 2" xfId="28560" xr:uid="{00000000-0005-0000-0000-00006D6A0000}"/>
    <cellStyle name="Normal 9 3 2 2 2 3 4" xfId="20112" xr:uid="{00000000-0005-0000-0000-00006E6A0000}"/>
    <cellStyle name="Normal 9 3 2 2 2 4" xfId="5284" xr:uid="{00000000-0005-0000-0000-00006F6A0000}"/>
    <cellStyle name="Normal 9 3 2 2 2 4 2" xfId="13732" xr:uid="{00000000-0005-0000-0000-0000706A0000}"/>
    <cellStyle name="Normal 9 3 2 2 2 4 2 2" xfId="30672" xr:uid="{00000000-0005-0000-0000-0000716A0000}"/>
    <cellStyle name="Normal 9 3 2 2 2 4 3" xfId="22224" xr:uid="{00000000-0005-0000-0000-0000726A0000}"/>
    <cellStyle name="Normal 9 3 2 2 2 5" xfId="9508" xr:uid="{00000000-0005-0000-0000-0000736A0000}"/>
    <cellStyle name="Normal 9 3 2 2 2 5 2" xfId="26448" xr:uid="{00000000-0005-0000-0000-0000746A0000}"/>
    <cellStyle name="Normal 9 3 2 2 2 6" xfId="18000" xr:uid="{00000000-0005-0000-0000-0000756A0000}"/>
    <cellStyle name="Normal 9 3 2 2 3" xfId="1762" xr:uid="{00000000-0005-0000-0000-0000766A0000}"/>
    <cellStyle name="Normal 9 3 2 2 3 2" xfId="3874" xr:uid="{00000000-0005-0000-0000-0000776A0000}"/>
    <cellStyle name="Normal 9 3 2 2 3 2 2" xfId="8100" xr:uid="{00000000-0005-0000-0000-0000786A0000}"/>
    <cellStyle name="Normal 9 3 2 2 3 2 2 2" xfId="16548" xr:uid="{00000000-0005-0000-0000-0000796A0000}"/>
    <cellStyle name="Normal 9 3 2 2 3 2 2 2 2" xfId="33488" xr:uid="{00000000-0005-0000-0000-00007A6A0000}"/>
    <cellStyle name="Normal 9 3 2 2 3 2 2 3" xfId="25040" xr:uid="{00000000-0005-0000-0000-00007B6A0000}"/>
    <cellStyle name="Normal 9 3 2 2 3 2 3" xfId="12324" xr:uid="{00000000-0005-0000-0000-00007C6A0000}"/>
    <cellStyle name="Normal 9 3 2 2 3 2 3 2" xfId="29264" xr:uid="{00000000-0005-0000-0000-00007D6A0000}"/>
    <cellStyle name="Normal 9 3 2 2 3 2 4" xfId="20816" xr:uid="{00000000-0005-0000-0000-00007E6A0000}"/>
    <cellStyle name="Normal 9 3 2 2 3 3" xfId="5988" xr:uid="{00000000-0005-0000-0000-00007F6A0000}"/>
    <cellStyle name="Normal 9 3 2 2 3 3 2" xfId="14436" xr:uid="{00000000-0005-0000-0000-0000806A0000}"/>
    <cellStyle name="Normal 9 3 2 2 3 3 2 2" xfId="31376" xr:uid="{00000000-0005-0000-0000-0000816A0000}"/>
    <cellStyle name="Normal 9 3 2 2 3 3 3" xfId="22928" xr:uid="{00000000-0005-0000-0000-0000826A0000}"/>
    <cellStyle name="Normal 9 3 2 2 3 4" xfId="10212" xr:uid="{00000000-0005-0000-0000-0000836A0000}"/>
    <cellStyle name="Normal 9 3 2 2 3 4 2" xfId="27152" xr:uid="{00000000-0005-0000-0000-0000846A0000}"/>
    <cellStyle name="Normal 9 3 2 2 3 5" xfId="18704" xr:uid="{00000000-0005-0000-0000-0000856A0000}"/>
    <cellStyle name="Normal 9 3 2 2 4" xfId="2818" xr:uid="{00000000-0005-0000-0000-0000866A0000}"/>
    <cellStyle name="Normal 9 3 2 2 4 2" xfId="7044" xr:uid="{00000000-0005-0000-0000-0000876A0000}"/>
    <cellStyle name="Normal 9 3 2 2 4 2 2" xfId="15492" xr:uid="{00000000-0005-0000-0000-0000886A0000}"/>
    <cellStyle name="Normal 9 3 2 2 4 2 2 2" xfId="32432" xr:uid="{00000000-0005-0000-0000-0000896A0000}"/>
    <cellStyle name="Normal 9 3 2 2 4 2 3" xfId="23984" xr:uid="{00000000-0005-0000-0000-00008A6A0000}"/>
    <cellStyle name="Normal 9 3 2 2 4 3" xfId="11268" xr:uid="{00000000-0005-0000-0000-00008B6A0000}"/>
    <cellStyle name="Normal 9 3 2 2 4 3 2" xfId="28208" xr:uid="{00000000-0005-0000-0000-00008C6A0000}"/>
    <cellStyle name="Normal 9 3 2 2 4 4" xfId="19760" xr:uid="{00000000-0005-0000-0000-00008D6A0000}"/>
    <cellStyle name="Normal 9 3 2 2 5" xfId="4932" xr:uid="{00000000-0005-0000-0000-00008E6A0000}"/>
    <cellStyle name="Normal 9 3 2 2 5 2" xfId="13380" xr:uid="{00000000-0005-0000-0000-00008F6A0000}"/>
    <cellStyle name="Normal 9 3 2 2 5 2 2" xfId="30320" xr:uid="{00000000-0005-0000-0000-0000906A0000}"/>
    <cellStyle name="Normal 9 3 2 2 5 3" xfId="21872" xr:uid="{00000000-0005-0000-0000-0000916A0000}"/>
    <cellStyle name="Normal 9 3 2 2 6" xfId="9156" xr:uid="{00000000-0005-0000-0000-0000926A0000}"/>
    <cellStyle name="Normal 9 3 2 2 6 2" xfId="26096" xr:uid="{00000000-0005-0000-0000-0000936A0000}"/>
    <cellStyle name="Normal 9 3 2 2 7" xfId="17648" xr:uid="{00000000-0005-0000-0000-0000946A0000}"/>
    <cellStyle name="Normal 9 3 2 3" xfId="876" xr:uid="{00000000-0005-0000-0000-0000956A0000}"/>
    <cellStyle name="Normal 9 3 2 3 2" xfId="1938" xr:uid="{00000000-0005-0000-0000-0000966A0000}"/>
    <cellStyle name="Normal 9 3 2 3 2 2" xfId="4050" xr:uid="{00000000-0005-0000-0000-0000976A0000}"/>
    <cellStyle name="Normal 9 3 2 3 2 2 2" xfId="8276" xr:uid="{00000000-0005-0000-0000-0000986A0000}"/>
    <cellStyle name="Normal 9 3 2 3 2 2 2 2" xfId="16724" xr:uid="{00000000-0005-0000-0000-0000996A0000}"/>
    <cellStyle name="Normal 9 3 2 3 2 2 2 2 2" xfId="33664" xr:uid="{00000000-0005-0000-0000-00009A6A0000}"/>
    <cellStyle name="Normal 9 3 2 3 2 2 2 3" xfId="25216" xr:uid="{00000000-0005-0000-0000-00009B6A0000}"/>
    <cellStyle name="Normal 9 3 2 3 2 2 3" xfId="12500" xr:uid="{00000000-0005-0000-0000-00009C6A0000}"/>
    <cellStyle name="Normal 9 3 2 3 2 2 3 2" xfId="29440" xr:uid="{00000000-0005-0000-0000-00009D6A0000}"/>
    <cellStyle name="Normal 9 3 2 3 2 2 4" xfId="20992" xr:uid="{00000000-0005-0000-0000-00009E6A0000}"/>
    <cellStyle name="Normal 9 3 2 3 2 3" xfId="6164" xr:uid="{00000000-0005-0000-0000-00009F6A0000}"/>
    <cellStyle name="Normal 9 3 2 3 2 3 2" xfId="14612" xr:uid="{00000000-0005-0000-0000-0000A06A0000}"/>
    <cellStyle name="Normal 9 3 2 3 2 3 2 2" xfId="31552" xr:uid="{00000000-0005-0000-0000-0000A16A0000}"/>
    <cellStyle name="Normal 9 3 2 3 2 3 3" xfId="23104" xr:uid="{00000000-0005-0000-0000-0000A26A0000}"/>
    <cellStyle name="Normal 9 3 2 3 2 4" xfId="10388" xr:uid="{00000000-0005-0000-0000-0000A36A0000}"/>
    <cellStyle name="Normal 9 3 2 3 2 4 2" xfId="27328" xr:uid="{00000000-0005-0000-0000-0000A46A0000}"/>
    <cellStyle name="Normal 9 3 2 3 2 5" xfId="18880" xr:uid="{00000000-0005-0000-0000-0000A56A0000}"/>
    <cellStyle name="Normal 9 3 2 3 3" xfId="2994" xr:uid="{00000000-0005-0000-0000-0000A66A0000}"/>
    <cellStyle name="Normal 9 3 2 3 3 2" xfId="7220" xr:uid="{00000000-0005-0000-0000-0000A76A0000}"/>
    <cellStyle name="Normal 9 3 2 3 3 2 2" xfId="15668" xr:uid="{00000000-0005-0000-0000-0000A86A0000}"/>
    <cellStyle name="Normal 9 3 2 3 3 2 2 2" xfId="32608" xr:uid="{00000000-0005-0000-0000-0000A96A0000}"/>
    <cellStyle name="Normal 9 3 2 3 3 2 3" xfId="24160" xr:uid="{00000000-0005-0000-0000-0000AA6A0000}"/>
    <cellStyle name="Normal 9 3 2 3 3 3" xfId="11444" xr:uid="{00000000-0005-0000-0000-0000AB6A0000}"/>
    <cellStyle name="Normal 9 3 2 3 3 3 2" xfId="28384" xr:uid="{00000000-0005-0000-0000-0000AC6A0000}"/>
    <cellStyle name="Normal 9 3 2 3 3 4" xfId="19936" xr:uid="{00000000-0005-0000-0000-0000AD6A0000}"/>
    <cellStyle name="Normal 9 3 2 3 4" xfId="5108" xr:uid="{00000000-0005-0000-0000-0000AE6A0000}"/>
    <cellStyle name="Normal 9 3 2 3 4 2" xfId="13556" xr:uid="{00000000-0005-0000-0000-0000AF6A0000}"/>
    <cellStyle name="Normal 9 3 2 3 4 2 2" xfId="30496" xr:uid="{00000000-0005-0000-0000-0000B06A0000}"/>
    <cellStyle name="Normal 9 3 2 3 4 3" xfId="22048" xr:uid="{00000000-0005-0000-0000-0000B16A0000}"/>
    <cellStyle name="Normal 9 3 2 3 5" xfId="9332" xr:uid="{00000000-0005-0000-0000-0000B26A0000}"/>
    <cellStyle name="Normal 9 3 2 3 5 2" xfId="26272" xr:uid="{00000000-0005-0000-0000-0000B36A0000}"/>
    <cellStyle name="Normal 9 3 2 3 6" xfId="17824" xr:uid="{00000000-0005-0000-0000-0000B46A0000}"/>
    <cellStyle name="Normal 9 3 2 4" xfId="1228" xr:uid="{00000000-0005-0000-0000-0000B56A0000}"/>
    <cellStyle name="Normal 9 3 2 4 2" xfId="2290" xr:uid="{00000000-0005-0000-0000-0000B66A0000}"/>
    <cellStyle name="Normal 9 3 2 4 2 2" xfId="4402" xr:uid="{00000000-0005-0000-0000-0000B76A0000}"/>
    <cellStyle name="Normal 9 3 2 4 2 2 2" xfId="8628" xr:uid="{00000000-0005-0000-0000-0000B86A0000}"/>
    <cellStyle name="Normal 9 3 2 4 2 2 2 2" xfId="17076" xr:uid="{00000000-0005-0000-0000-0000B96A0000}"/>
    <cellStyle name="Normal 9 3 2 4 2 2 2 2 2" xfId="34016" xr:uid="{00000000-0005-0000-0000-0000BA6A0000}"/>
    <cellStyle name="Normal 9 3 2 4 2 2 2 3" xfId="25568" xr:uid="{00000000-0005-0000-0000-0000BB6A0000}"/>
    <cellStyle name="Normal 9 3 2 4 2 2 3" xfId="12852" xr:uid="{00000000-0005-0000-0000-0000BC6A0000}"/>
    <cellStyle name="Normal 9 3 2 4 2 2 3 2" xfId="29792" xr:uid="{00000000-0005-0000-0000-0000BD6A0000}"/>
    <cellStyle name="Normal 9 3 2 4 2 2 4" xfId="21344" xr:uid="{00000000-0005-0000-0000-0000BE6A0000}"/>
    <cellStyle name="Normal 9 3 2 4 2 3" xfId="6516" xr:uid="{00000000-0005-0000-0000-0000BF6A0000}"/>
    <cellStyle name="Normal 9 3 2 4 2 3 2" xfId="14964" xr:uid="{00000000-0005-0000-0000-0000C06A0000}"/>
    <cellStyle name="Normal 9 3 2 4 2 3 2 2" xfId="31904" xr:uid="{00000000-0005-0000-0000-0000C16A0000}"/>
    <cellStyle name="Normal 9 3 2 4 2 3 3" xfId="23456" xr:uid="{00000000-0005-0000-0000-0000C26A0000}"/>
    <cellStyle name="Normal 9 3 2 4 2 4" xfId="10740" xr:uid="{00000000-0005-0000-0000-0000C36A0000}"/>
    <cellStyle name="Normal 9 3 2 4 2 4 2" xfId="27680" xr:uid="{00000000-0005-0000-0000-0000C46A0000}"/>
    <cellStyle name="Normal 9 3 2 4 2 5" xfId="19232" xr:uid="{00000000-0005-0000-0000-0000C56A0000}"/>
    <cellStyle name="Normal 9 3 2 4 3" xfId="3346" xr:uid="{00000000-0005-0000-0000-0000C66A0000}"/>
    <cellStyle name="Normal 9 3 2 4 3 2" xfId="7572" xr:uid="{00000000-0005-0000-0000-0000C76A0000}"/>
    <cellStyle name="Normal 9 3 2 4 3 2 2" xfId="16020" xr:uid="{00000000-0005-0000-0000-0000C86A0000}"/>
    <cellStyle name="Normal 9 3 2 4 3 2 2 2" xfId="32960" xr:uid="{00000000-0005-0000-0000-0000C96A0000}"/>
    <cellStyle name="Normal 9 3 2 4 3 2 3" xfId="24512" xr:uid="{00000000-0005-0000-0000-0000CA6A0000}"/>
    <cellStyle name="Normal 9 3 2 4 3 3" xfId="11796" xr:uid="{00000000-0005-0000-0000-0000CB6A0000}"/>
    <cellStyle name="Normal 9 3 2 4 3 3 2" xfId="28736" xr:uid="{00000000-0005-0000-0000-0000CC6A0000}"/>
    <cellStyle name="Normal 9 3 2 4 3 4" xfId="20288" xr:uid="{00000000-0005-0000-0000-0000CD6A0000}"/>
    <cellStyle name="Normal 9 3 2 4 4" xfId="5460" xr:uid="{00000000-0005-0000-0000-0000CE6A0000}"/>
    <cellStyle name="Normal 9 3 2 4 4 2" xfId="13908" xr:uid="{00000000-0005-0000-0000-0000CF6A0000}"/>
    <cellStyle name="Normal 9 3 2 4 4 2 2" xfId="30848" xr:uid="{00000000-0005-0000-0000-0000D06A0000}"/>
    <cellStyle name="Normal 9 3 2 4 4 3" xfId="22400" xr:uid="{00000000-0005-0000-0000-0000D16A0000}"/>
    <cellStyle name="Normal 9 3 2 4 5" xfId="9684" xr:uid="{00000000-0005-0000-0000-0000D26A0000}"/>
    <cellStyle name="Normal 9 3 2 4 5 2" xfId="26624" xr:uid="{00000000-0005-0000-0000-0000D36A0000}"/>
    <cellStyle name="Normal 9 3 2 4 6" xfId="18176" xr:uid="{00000000-0005-0000-0000-0000D46A0000}"/>
    <cellStyle name="Normal 9 3 2 5" xfId="1410" xr:uid="{00000000-0005-0000-0000-0000D56A0000}"/>
    <cellStyle name="Normal 9 3 2 5 2" xfId="2466" xr:uid="{00000000-0005-0000-0000-0000D66A0000}"/>
    <cellStyle name="Normal 9 3 2 5 2 2" xfId="4578" xr:uid="{00000000-0005-0000-0000-0000D76A0000}"/>
    <cellStyle name="Normal 9 3 2 5 2 2 2" xfId="8804" xr:uid="{00000000-0005-0000-0000-0000D86A0000}"/>
    <cellStyle name="Normal 9 3 2 5 2 2 2 2" xfId="17252" xr:uid="{00000000-0005-0000-0000-0000D96A0000}"/>
    <cellStyle name="Normal 9 3 2 5 2 2 2 2 2" xfId="34192" xr:uid="{00000000-0005-0000-0000-0000DA6A0000}"/>
    <cellStyle name="Normal 9 3 2 5 2 2 2 3" xfId="25744" xr:uid="{00000000-0005-0000-0000-0000DB6A0000}"/>
    <cellStyle name="Normal 9 3 2 5 2 2 3" xfId="13028" xr:uid="{00000000-0005-0000-0000-0000DC6A0000}"/>
    <cellStyle name="Normal 9 3 2 5 2 2 3 2" xfId="29968" xr:uid="{00000000-0005-0000-0000-0000DD6A0000}"/>
    <cellStyle name="Normal 9 3 2 5 2 2 4" xfId="21520" xr:uid="{00000000-0005-0000-0000-0000DE6A0000}"/>
    <cellStyle name="Normal 9 3 2 5 2 3" xfId="6692" xr:uid="{00000000-0005-0000-0000-0000DF6A0000}"/>
    <cellStyle name="Normal 9 3 2 5 2 3 2" xfId="15140" xr:uid="{00000000-0005-0000-0000-0000E06A0000}"/>
    <cellStyle name="Normal 9 3 2 5 2 3 2 2" xfId="32080" xr:uid="{00000000-0005-0000-0000-0000E16A0000}"/>
    <cellStyle name="Normal 9 3 2 5 2 3 3" xfId="23632" xr:uid="{00000000-0005-0000-0000-0000E26A0000}"/>
    <cellStyle name="Normal 9 3 2 5 2 4" xfId="10916" xr:uid="{00000000-0005-0000-0000-0000E36A0000}"/>
    <cellStyle name="Normal 9 3 2 5 2 4 2" xfId="27856" xr:uid="{00000000-0005-0000-0000-0000E46A0000}"/>
    <cellStyle name="Normal 9 3 2 5 2 5" xfId="19408" xr:uid="{00000000-0005-0000-0000-0000E56A0000}"/>
    <cellStyle name="Normal 9 3 2 5 3" xfId="3522" xr:uid="{00000000-0005-0000-0000-0000E66A0000}"/>
    <cellStyle name="Normal 9 3 2 5 3 2" xfId="7748" xr:uid="{00000000-0005-0000-0000-0000E76A0000}"/>
    <cellStyle name="Normal 9 3 2 5 3 2 2" xfId="16196" xr:uid="{00000000-0005-0000-0000-0000E86A0000}"/>
    <cellStyle name="Normal 9 3 2 5 3 2 2 2" xfId="33136" xr:uid="{00000000-0005-0000-0000-0000E96A0000}"/>
    <cellStyle name="Normal 9 3 2 5 3 2 3" xfId="24688" xr:uid="{00000000-0005-0000-0000-0000EA6A0000}"/>
    <cellStyle name="Normal 9 3 2 5 3 3" xfId="11972" xr:uid="{00000000-0005-0000-0000-0000EB6A0000}"/>
    <cellStyle name="Normal 9 3 2 5 3 3 2" xfId="28912" xr:uid="{00000000-0005-0000-0000-0000EC6A0000}"/>
    <cellStyle name="Normal 9 3 2 5 3 4" xfId="20464" xr:uid="{00000000-0005-0000-0000-0000ED6A0000}"/>
    <cellStyle name="Normal 9 3 2 5 4" xfId="5636" xr:uid="{00000000-0005-0000-0000-0000EE6A0000}"/>
    <cellStyle name="Normal 9 3 2 5 4 2" xfId="14084" xr:uid="{00000000-0005-0000-0000-0000EF6A0000}"/>
    <cellStyle name="Normal 9 3 2 5 4 2 2" xfId="31024" xr:uid="{00000000-0005-0000-0000-0000F06A0000}"/>
    <cellStyle name="Normal 9 3 2 5 4 3" xfId="22576" xr:uid="{00000000-0005-0000-0000-0000F16A0000}"/>
    <cellStyle name="Normal 9 3 2 5 5" xfId="9860" xr:uid="{00000000-0005-0000-0000-0000F26A0000}"/>
    <cellStyle name="Normal 9 3 2 5 5 2" xfId="26800" xr:uid="{00000000-0005-0000-0000-0000F36A0000}"/>
    <cellStyle name="Normal 9 3 2 5 6" xfId="18352" xr:uid="{00000000-0005-0000-0000-0000F46A0000}"/>
    <cellStyle name="Normal 9 3 2 6" xfId="1586" xr:uid="{00000000-0005-0000-0000-0000F56A0000}"/>
    <cellStyle name="Normal 9 3 2 6 2" xfId="3698" xr:uid="{00000000-0005-0000-0000-0000F66A0000}"/>
    <cellStyle name="Normal 9 3 2 6 2 2" xfId="7924" xr:uid="{00000000-0005-0000-0000-0000F76A0000}"/>
    <cellStyle name="Normal 9 3 2 6 2 2 2" xfId="16372" xr:uid="{00000000-0005-0000-0000-0000F86A0000}"/>
    <cellStyle name="Normal 9 3 2 6 2 2 2 2" xfId="33312" xr:uid="{00000000-0005-0000-0000-0000F96A0000}"/>
    <cellStyle name="Normal 9 3 2 6 2 2 3" xfId="24864" xr:uid="{00000000-0005-0000-0000-0000FA6A0000}"/>
    <cellStyle name="Normal 9 3 2 6 2 3" xfId="12148" xr:uid="{00000000-0005-0000-0000-0000FB6A0000}"/>
    <cellStyle name="Normal 9 3 2 6 2 3 2" xfId="29088" xr:uid="{00000000-0005-0000-0000-0000FC6A0000}"/>
    <cellStyle name="Normal 9 3 2 6 2 4" xfId="20640" xr:uid="{00000000-0005-0000-0000-0000FD6A0000}"/>
    <cellStyle name="Normal 9 3 2 6 3" xfId="5812" xr:uid="{00000000-0005-0000-0000-0000FE6A0000}"/>
    <cellStyle name="Normal 9 3 2 6 3 2" xfId="14260" xr:uid="{00000000-0005-0000-0000-0000FF6A0000}"/>
    <cellStyle name="Normal 9 3 2 6 3 2 2" xfId="31200" xr:uid="{00000000-0005-0000-0000-0000006B0000}"/>
    <cellStyle name="Normal 9 3 2 6 3 3" xfId="22752" xr:uid="{00000000-0005-0000-0000-0000016B0000}"/>
    <cellStyle name="Normal 9 3 2 6 4" xfId="10036" xr:uid="{00000000-0005-0000-0000-0000026B0000}"/>
    <cellStyle name="Normal 9 3 2 6 4 2" xfId="26976" xr:uid="{00000000-0005-0000-0000-0000036B0000}"/>
    <cellStyle name="Normal 9 3 2 6 5" xfId="18528" xr:uid="{00000000-0005-0000-0000-0000046B0000}"/>
    <cellStyle name="Normal 9 3 2 7" xfId="2642" xr:uid="{00000000-0005-0000-0000-0000056B0000}"/>
    <cellStyle name="Normal 9 3 2 7 2" xfId="6868" xr:uid="{00000000-0005-0000-0000-0000066B0000}"/>
    <cellStyle name="Normal 9 3 2 7 2 2" xfId="15316" xr:uid="{00000000-0005-0000-0000-0000076B0000}"/>
    <cellStyle name="Normal 9 3 2 7 2 2 2" xfId="32256" xr:uid="{00000000-0005-0000-0000-0000086B0000}"/>
    <cellStyle name="Normal 9 3 2 7 2 3" xfId="23808" xr:uid="{00000000-0005-0000-0000-0000096B0000}"/>
    <cellStyle name="Normal 9 3 2 7 3" xfId="11092" xr:uid="{00000000-0005-0000-0000-00000A6B0000}"/>
    <cellStyle name="Normal 9 3 2 7 3 2" xfId="28032" xr:uid="{00000000-0005-0000-0000-00000B6B0000}"/>
    <cellStyle name="Normal 9 3 2 7 4" xfId="19584" xr:uid="{00000000-0005-0000-0000-00000C6B0000}"/>
    <cellStyle name="Normal 9 3 2 8" xfId="4755" xr:uid="{00000000-0005-0000-0000-00000D6B0000}"/>
    <cellStyle name="Normal 9 3 2 8 2" xfId="13204" xr:uid="{00000000-0005-0000-0000-00000E6B0000}"/>
    <cellStyle name="Normal 9 3 2 8 2 2" xfId="30144" xr:uid="{00000000-0005-0000-0000-00000F6B0000}"/>
    <cellStyle name="Normal 9 3 2 8 3" xfId="21696" xr:uid="{00000000-0005-0000-0000-0000106B0000}"/>
    <cellStyle name="Normal 9 3 2 9" xfId="8980" xr:uid="{00000000-0005-0000-0000-0000116B0000}"/>
    <cellStyle name="Normal 9 3 2 9 2" xfId="25920" xr:uid="{00000000-0005-0000-0000-0000126B0000}"/>
    <cellStyle name="Normal 9 3 3" xfId="411" xr:uid="{00000000-0005-0000-0000-0000136B0000}"/>
    <cellStyle name="Normal 9 3 3 10" xfId="17473" xr:uid="{00000000-0005-0000-0000-0000146B0000}"/>
    <cellStyle name="Normal 9 3 3 2" xfId="701" xr:uid="{00000000-0005-0000-0000-0000156B0000}"/>
    <cellStyle name="Normal 9 3 3 2 2" xfId="1053" xr:uid="{00000000-0005-0000-0000-0000166B0000}"/>
    <cellStyle name="Normal 9 3 3 2 2 2" xfId="2115" xr:uid="{00000000-0005-0000-0000-0000176B0000}"/>
    <cellStyle name="Normal 9 3 3 2 2 2 2" xfId="4227" xr:uid="{00000000-0005-0000-0000-0000186B0000}"/>
    <cellStyle name="Normal 9 3 3 2 2 2 2 2" xfId="8453" xr:uid="{00000000-0005-0000-0000-0000196B0000}"/>
    <cellStyle name="Normal 9 3 3 2 2 2 2 2 2" xfId="16901" xr:uid="{00000000-0005-0000-0000-00001A6B0000}"/>
    <cellStyle name="Normal 9 3 3 2 2 2 2 2 2 2" xfId="33841" xr:uid="{00000000-0005-0000-0000-00001B6B0000}"/>
    <cellStyle name="Normal 9 3 3 2 2 2 2 2 3" xfId="25393" xr:uid="{00000000-0005-0000-0000-00001C6B0000}"/>
    <cellStyle name="Normal 9 3 3 2 2 2 2 3" xfId="12677" xr:uid="{00000000-0005-0000-0000-00001D6B0000}"/>
    <cellStyle name="Normal 9 3 3 2 2 2 2 3 2" xfId="29617" xr:uid="{00000000-0005-0000-0000-00001E6B0000}"/>
    <cellStyle name="Normal 9 3 3 2 2 2 2 4" xfId="21169" xr:uid="{00000000-0005-0000-0000-00001F6B0000}"/>
    <cellStyle name="Normal 9 3 3 2 2 2 3" xfId="6341" xr:uid="{00000000-0005-0000-0000-0000206B0000}"/>
    <cellStyle name="Normal 9 3 3 2 2 2 3 2" xfId="14789" xr:uid="{00000000-0005-0000-0000-0000216B0000}"/>
    <cellStyle name="Normal 9 3 3 2 2 2 3 2 2" xfId="31729" xr:uid="{00000000-0005-0000-0000-0000226B0000}"/>
    <cellStyle name="Normal 9 3 3 2 2 2 3 3" xfId="23281" xr:uid="{00000000-0005-0000-0000-0000236B0000}"/>
    <cellStyle name="Normal 9 3 3 2 2 2 4" xfId="10565" xr:uid="{00000000-0005-0000-0000-0000246B0000}"/>
    <cellStyle name="Normal 9 3 3 2 2 2 4 2" xfId="27505" xr:uid="{00000000-0005-0000-0000-0000256B0000}"/>
    <cellStyle name="Normal 9 3 3 2 2 2 5" xfId="19057" xr:uid="{00000000-0005-0000-0000-0000266B0000}"/>
    <cellStyle name="Normal 9 3 3 2 2 3" xfId="3171" xr:uid="{00000000-0005-0000-0000-0000276B0000}"/>
    <cellStyle name="Normal 9 3 3 2 2 3 2" xfId="7397" xr:uid="{00000000-0005-0000-0000-0000286B0000}"/>
    <cellStyle name="Normal 9 3 3 2 2 3 2 2" xfId="15845" xr:uid="{00000000-0005-0000-0000-0000296B0000}"/>
    <cellStyle name="Normal 9 3 3 2 2 3 2 2 2" xfId="32785" xr:uid="{00000000-0005-0000-0000-00002A6B0000}"/>
    <cellStyle name="Normal 9 3 3 2 2 3 2 3" xfId="24337" xr:uid="{00000000-0005-0000-0000-00002B6B0000}"/>
    <cellStyle name="Normal 9 3 3 2 2 3 3" xfId="11621" xr:uid="{00000000-0005-0000-0000-00002C6B0000}"/>
    <cellStyle name="Normal 9 3 3 2 2 3 3 2" xfId="28561" xr:uid="{00000000-0005-0000-0000-00002D6B0000}"/>
    <cellStyle name="Normal 9 3 3 2 2 3 4" xfId="20113" xr:uid="{00000000-0005-0000-0000-00002E6B0000}"/>
    <cellStyle name="Normal 9 3 3 2 2 4" xfId="5285" xr:uid="{00000000-0005-0000-0000-00002F6B0000}"/>
    <cellStyle name="Normal 9 3 3 2 2 4 2" xfId="13733" xr:uid="{00000000-0005-0000-0000-0000306B0000}"/>
    <cellStyle name="Normal 9 3 3 2 2 4 2 2" xfId="30673" xr:uid="{00000000-0005-0000-0000-0000316B0000}"/>
    <cellStyle name="Normal 9 3 3 2 2 4 3" xfId="22225" xr:uid="{00000000-0005-0000-0000-0000326B0000}"/>
    <cellStyle name="Normal 9 3 3 2 2 5" xfId="9509" xr:uid="{00000000-0005-0000-0000-0000336B0000}"/>
    <cellStyle name="Normal 9 3 3 2 2 5 2" xfId="26449" xr:uid="{00000000-0005-0000-0000-0000346B0000}"/>
    <cellStyle name="Normal 9 3 3 2 2 6" xfId="18001" xr:uid="{00000000-0005-0000-0000-0000356B0000}"/>
    <cellStyle name="Normal 9 3 3 2 3" xfId="1763" xr:uid="{00000000-0005-0000-0000-0000366B0000}"/>
    <cellStyle name="Normal 9 3 3 2 3 2" xfId="3875" xr:uid="{00000000-0005-0000-0000-0000376B0000}"/>
    <cellStyle name="Normal 9 3 3 2 3 2 2" xfId="8101" xr:uid="{00000000-0005-0000-0000-0000386B0000}"/>
    <cellStyle name="Normal 9 3 3 2 3 2 2 2" xfId="16549" xr:uid="{00000000-0005-0000-0000-0000396B0000}"/>
    <cellStyle name="Normal 9 3 3 2 3 2 2 2 2" xfId="33489" xr:uid="{00000000-0005-0000-0000-00003A6B0000}"/>
    <cellStyle name="Normal 9 3 3 2 3 2 2 3" xfId="25041" xr:uid="{00000000-0005-0000-0000-00003B6B0000}"/>
    <cellStyle name="Normal 9 3 3 2 3 2 3" xfId="12325" xr:uid="{00000000-0005-0000-0000-00003C6B0000}"/>
    <cellStyle name="Normal 9 3 3 2 3 2 3 2" xfId="29265" xr:uid="{00000000-0005-0000-0000-00003D6B0000}"/>
    <cellStyle name="Normal 9 3 3 2 3 2 4" xfId="20817" xr:uid="{00000000-0005-0000-0000-00003E6B0000}"/>
    <cellStyle name="Normal 9 3 3 2 3 3" xfId="5989" xr:uid="{00000000-0005-0000-0000-00003F6B0000}"/>
    <cellStyle name="Normal 9 3 3 2 3 3 2" xfId="14437" xr:uid="{00000000-0005-0000-0000-0000406B0000}"/>
    <cellStyle name="Normal 9 3 3 2 3 3 2 2" xfId="31377" xr:uid="{00000000-0005-0000-0000-0000416B0000}"/>
    <cellStyle name="Normal 9 3 3 2 3 3 3" xfId="22929" xr:uid="{00000000-0005-0000-0000-0000426B0000}"/>
    <cellStyle name="Normal 9 3 3 2 3 4" xfId="10213" xr:uid="{00000000-0005-0000-0000-0000436B0000}"/>
    <cellStyle name="Normal 9 3 3 2 3 4 2" xfId="27153" xr:uid="{00000000-0005-0000-0000-0000446B0000}"/>
    <cellStyle name="Normal 9 3 3 2 3 5" xfId="18705" xr:uid="{00000000-0005-0000-0000-0000456B0000}"/>
    <cellStyle name="Normal 9 3 3 2 4" xfId="2819" xr:uid="{00000000-0005-0000-0000-0000466B0000}"/>
    <cellStyle name="Normal 9 3 3 2 4 2" xfId="7045" xr:uid="{00000000-0005-0000-0000-0000476B0000}"/>
    <cellStyle name="Normal 9 3 3 2 4 2 2" xfId="15493" xr:uid="{00000000-0005-0000-0000-0000486B0000}"/>
    <cellStyle name="Normal 9 3 3 2 4 2 2 2" xfId="32433" xr:uid="{00000000-0005-0000-0000-0000496B0000}"/>
    <cellStyle name="Normal 9 3 3 2 4 2 3" xfId="23985" xr:uid="{00000000-0005-0000-0000-00004A6B0000}"/>
    <cellStyle name="Normal 9 3 3 2 4 3" xfId="11269" xr:uid="{00000000-0005-0000-0000-00004B6B0000}"/>
    <cellStyle name="Normal 9 3 3 2 4 3 2" xfId="28209" xr:uid="{00000000-0005-0000-0000-00004C6B0000}"/>
    <cellStyle name="Normal 9 3 3 2 4 4" xfId="19761" xr:uid="{00000000-0005-0000-0000-00004D6B0000}"/>
    <cellStyle name="Normal 9 3 3 2 5" xfId="4933" xr:uid="{00000000-0005-0000-0000-00004E6B0000}"/>
    <cellStyle name="Normal 9 3 3 2 5 2" xfId="13381" xr:uid="{00000000-0005-0000-0000-00004F6B0000}"/>
    <cellStyle name="Normal 9 3 3 2 5 2 2" xfId="30321" xr:uid="{00000000-0005-0000-0000-0000506B0000}"/>
    <cellStyle name="Normal 9 3 3 2 5 3" xfId="21873" xr:uid="{00000000-0005-0000-0000-0000516B0000}"/>
    <cellStyle name="Normal 9 3 3 2 6" xfId="9157" xr:uid="{00000000-0005-0000-0000-0000526B0000}"/>
    <cellStyle name="Normal 9 3 3 2 6 2" xfId="26097" xr:uid="{00000000-0005-0000-0000-0000536B0000}"/>
    <cellStyle name="Normal 9 3 3 2 7" xfId="17649" xr:uid="{00000000-0005-0000-0000-0000546B0000}"/>
    <cellStyle name="Normal 9 3 3 3" xfId="877" xr:uid="{00000000-0005-0000-0000-0000556B0000}"/>
    <cellStyle name="Normal 9 3 3 3 2" xfId="1939" xr:uid="{00000000-0005-0000-0000-0000566B0000}"/>
    <cellStyle name="Normal 9 3 3 3 2 2" xfId="4051" xr:uid="{00000000-0005-0000-0000-0000576B0000}"/>
    <cellStyle name="Normal 9 3 3 3 2 2 2" xfId="8277" xr:uid="{00000000-0005-0000-0000-0000586B0000}"/>
    <cellStyle name="Normal 9 3 3 3 2 2 2 2" xfId="16725" xr:uid="{00000000-0005-0000-0000-0000596B0000}"/>
    <cellStyle name="Normal 9 3 3 3 2 2 2 2 2" xfId="33665" xr:uid="{00000000-0005-0000-0000-00005A6B0000}"/>
    <cellStyle name="Normal 9 3 3 3 2 2 2 3" xfId="25217" xr:uid="{00000000-0005-0000-0000-00005B6B0000}"/>
    <cellStyle name="Normal 9 3 3 3 2 2 3" xfId="12501" xr:uid="{00000000-0005-0000-0000-00005C6B0000}"/>
    <cellStyle name="Normal 9 3 3 3 2 2 3 2" xfId="29441" xr:uid="{00000000-0005-0000-0000-00005D6B0000}"/>
    <cellStyle name="Normal 9 3 3 3 2 2 4" xfId="20993" xr:uid="{00000000-0005-0000-0000-00005E6B0000}"/>
    <cellStyle name="Normal 9 3 3 3 2 3" xfId="6165" xr:uid="{00000000-0005-0000-0000-00005F6B0000}"/>
    <cellStyle name="Normal 9 3 3 3 2 3 2" xfId="14613" xr:uid="{00000000-0005-0000-0000-0000606B0000}"/>
    <cellStyle name="Normal 9 3 3 3 2 3 2 2" xfId="31553" xr:uid="{00000000-0005-0000-0000-0000616B0000}"/>
    <cellStyle name="Normal 9 3 3 3 2 3 3" xfId="23105" xr:uid="{00000000-0005-0000-0000-0000626B0000}"/>
    <cellStyle name="Normal 9 3 3 3 2 4" xfId="10389" xr:uid="{00000000-0005-0000-0000-0000636B0000}"/>
    <cellStyle name="Normal 9 3 3 3 2 4 2" xfId="27329" xr:uid="{00000000-0005-0000-0000-0000646B0000}"/>
    <cellStyle name="Normal 9 3 3 3 2 5" xfId="18881" xr:uid="{00000000-0005-0000-0000-0000656B0000}"/>
    <cellStyle name="Normal 9 3 3 3 3" xfId="2995" xr:uid="{00000000-0005-0000-0000-0000666B0000}"/>
    <cellStyle name="Normal 9 3 3 3 3 2" xfId="7221" xr:uid="{00000000-0005-0000-0000-0000676B0000}"/>
    <cellStyle name="Normal 9 3 3 3 3 2 2" xfId="15669" xr:uid="{00000000-0005-0000-0000-0000686B0000}"/>
    <cellStyle name="Normal 9 3 3 3 3 2 2 2" xfId="32609" xr:uid="{00000000-0005-0000-0000-0000696B0000}"/>
    <cellStyle name="Normal 9 3 3 3 3 2 3" xfId="24161" xr:uid="{00000000-0005-0000-0000-00006A6B0000}"/>
    <cellStyle name="Normal 9 3 3 3 3 3" xfId="11445" xr:uid="{00000000-0005-0000-0000-00006B6B0000}"/>
    <cellStyle name="Normal 9 3 3 3 3 3 2" xfId="28385" xr:uid="{00000000-0005-0000-0000-00006C6B0000}"/>
    <cellStyle name="Normal 9 3 3 3 3 4" xfId="19937" xr:uid="{00000000-0005-0000-0000-00006D6B0000}"/>
    <cellStyle name="Normal 9 3 3 3 4" xfId="5109" xr:uid="{00000000-0005-0000-0000-00006E6B0000}"/>
    <cellStyle name="Normal 9 3 3 3 4 2" xfId="13557" xr:uid="{00000000-0005-0000-0000-00006F6B0000}"/>
    <cellStyle name="Normal 9 3 3 3 4 2 2" xfId="30497" xr:uid="{00000000-0005-0000-0000-0000706B0000}"/>
    <cellStyle name="Normal 9 3 3 3 4 3" xfId="22049" xr:uid="{00000000-0005-0000-0000-0000716B0000}"/>
    <cellStyle name="Normal 9 3 3 3 5" xfId="9333" xr:uid="{00000000-0005-0000-0000-0000726B0000}"/>
    <cellStyle name="Normal 9 3 3 3 5 2" xfId="26273" xr:uid="{00000000-0005-0000-0000-0000736B0000}"/>
    <cellStyle name="Normal 9 3 3 3 6" xfId="17825" xr:uid="{00000000-0005-0000-0000-0000746B0000}"/>
    <cellStyle name="Normal 9 3 3 4" xfId="1229" xr:uid="{00000000-0005-0000-0000-0000756B0000}"/>
    <cellStyle name="Normal 9 3 3 4 2" xfId="2291" xr:uid="{00000000-0005-0000-0000-0000766B0000}"/>
    <cellStyle name="Normal 9 3 3 4 2 2" xfId="4403" xr:uid="{00000000-0005-0000-0000-0000776B0000}"/>
    <cellStyle name="Normal 9 3 3 4 2 2 2" xfId="8629" xr:uid="{00000000-0005-0000-0000-0000786B0000}"/>
    <cellStyle name="Normal 9 3 3 4 2 2 2 2" xfId="17077" xr:uid="{00000000-0005-0000-0000-0000796B0000}"/>
    <cellStyle name="Normal 9 3 3 4 2 2 2 2 2" xfId="34017" xr:uid="{00000000-0005-0000-0000-00007A6B0000}"/>
    <cellStyle name="Normal 9 3 3 4 2 2 2 3" xfId="25569" xr:uid="{00000000-0005-0000-0000-00007B6B0000}"/>
    <cellStyle name="Normal 9 3 3 4 2 2 3" xfId="12853" xr:uid="{00000000-0005-0000-0000-00007C6B0000}"/>
    <cellStyle name="Normal 9 3 3 4 2 2 3 2" xfId="29793" xr:uid="{00000000-0005-0000-0000-00007D6B0000}"/>
    <cellStyle name="Normal 9 3 3 4 2 2 4" xfId="21345" xr:uid="{00000000-0005-0000-0000-00007E6B0000}"/>
    <cellStyle name="Normal 9 3 3 4 2 3" xfId="6517" xr:uid="{00000000-0005-0000-0000-00007F6B0000}"/>
    <cellStyle name="Normal 9 3 3 4 2 3 2" xfId="14965" xr:uid="{00000000-0005-0000-0000-0000806B0000}"/>
    <cellStyle name="Normal 9 3 3 4 2 3 2 2" xfId="31905" xr:uid="{00000000-0005-0000-0000-0000816B0000}"/>
    <cellStyle name="Normal 9 3 3 4 2 3 3" xfId="23457" xr:uid="{00000000-0005-0000-0000-0000826B0000}"/>
    <cellStyle name="Normal 9 3 3 4 2 4" xfId="10741" xr:uid="{00000000-0005-0000-0000-0000836B0000}"/>
    <cellStyle name="Normal 9 3 3 4 2 4 2" xfId="27681" xr:uid="{00000000-0005-0000-0000-0000846B0000}"/>
    <cellStyle name="Normal 9 3 3 4 2 5" xfId="19233" xr:uid="{00000000-0005-0000-0000-0000856B0000}"/>
    <cellStyle name="Normal 9 3 3 4 3" xfId="3347" xr:uid="{00000000-0005-0000-0000-0000866B0000}"/>
    <cellStyle name="Normal 9 3 3 4 3 2" xfId="7573" xr:uid="{00000000-0005-0000-0000-0000876B0000}"/>
    <cellStyle name="Normal 9 3 3 4 3 2 2" xfId="16021" xr:uid="{00000000-0005-0000-0000-0000886B0000}"/>
    <cellStyle name="Normal 9 3 3 4 3 2 2 2" xfId="32961" xr:uid="{00000000-0005-0000-0000-0000896B0000}"/>
    <cellStyle name="Normal 9 3 3 4 3 2 3" xfId="24513" xr:uid="{00000000-0005-0000-0000-00008A6B0000}"/>
    <cellStyle name="Normal 9 3 3 4 3 3" xfId="11797" xr:uid="{00000000-0005-0000-0000-00008B6B0000}"/>
    <cellStyle name="Normal 9 3 3 4 3 3 2" xfId="28737" xr:uid="{00000000-0005-0000-0000-00008C6B0000}"/>
    <cellStyle name="Normal 9 3 3 4 3 4" xfId="20289" xr:uid="{00000000-0005-0000-0000-00008D6B0000}"/>
    <cellStyle name="Normal 9 3 3 4 4" xfId="5461" xr:uid="{00000000-0005-0000-0000-00008E6B0000}"/>
    <cellStyle name="Normal 9 3 3 4 4 2" xfId="13909" xr:uid="{00000000-0005-0000-0000-00008F6B0000}"/>
    <cellStyle name="Normal 9 3 3 4 4 2 2" xfId="30849" xr:uid="{00000000-0005-0000-0000-0000906B0000}"/>
    <cellStyle name="Normal 9 3 3 4 4 3" xfId="22401" xr:uid="{00000000-0005-0000-0000-0000916B0000}"/>
    <cellStyle name="Normal 9 3 3 4 5" xfId="9685" xr:uid="{00000000-0005-0000-0000-0000926B0000}"/>
    <cellStyle name="Normal 9 3 3 4 5 2" xfId="26625" xr:uid="{00000000-0005-0000-0000-0000936B0000}"/>
    <cellStyle name="Normal 9 3 3 4 6" xfId="18177" xr:uid="{00000000-0005-0000-0000-0000946B0000}"/>
    <cellStyle name="Normal 9 3 3 5" xfId="1411" xr:uid="{00000000-0005-0000-0000-0000956B0000}"/>
    <cellStyle name="Normal 9 3 3 5 2" xfId="2467" xr:uid="{00000000-0005-0000-0000-0000966B0000}"/>
    <cellStyle name="Normal 9 3 3 5 2 2" xfId="4579" xr:uid="{00000000-0005-0000-0000-0000976B0000}"/>
    <cellStyle name="Normal 9 3 3 5 2 2 2" xfId="8805" xr:uid="{00000000-0005-0000-0000-0000986B0000}"/>
    <cellStyle name="Normal 9 3 3 5 2 2 2 2" xfId="17253" xr:uid="{00000000-0005-0000-0000-0000996B0000}"/>
    <cellStyle name="Normal 9 3 3 5 2 2 2 2 2" xfId="34193" xr:uid="{00000000-0005-0000-0000-00009A6B0000}"/>
    <cellStyle name="Normal 9 3 3 5 2 2 2 3" xfId="25745" xr:uid="{00000000-0005-0000-0000-00009B6B0000}"/>
    <cellStyle name="Normal 9 3 3 5 2 2 3" xfId="13029" xr:uid="{00000000-0005-0000-0000-00009C6B0000}"/>
    <cellStyle name="Normal 9 3 3 5 2 2 3 2" xfId="29969" xr:uid="{00000000-0005-0000-0000-00009D6B0000}"/>
    <cellStyle name="Normal 9 3 3 5 2 2 4" xfId="21521" xr:uid="{00000000-0005-0000-0000-00009E6B0000}"/>
    <cellStyle name="Normal 9 3 3 5 2 3" xfId="6693" xr:uid="{00000000-0005-0000-0000-00009F6B0000}"/>
    <cellStyle name="Normal 9 3 3 5 2 3 2" xfId="15141" xr:uid="{00000000-0005-0000-0000-0000A06B0000}"/>
    <cellStyle name="Normal 9 3 3 5 2 3 2 2" xfId="32081" xr:uid="{00000000-0005-0000-0000-0000A16B0000}"/>
    <cellStyle name="Normal 9 3 3 5 2 3 3" xfId="23633" xr:uid="{00000000-0005-0000-0000-0000A26B0000}"/>
    <cellStyle name="Normal 9 3 3 5 2 4" xfId="10917" xr:uid="{00000000-0005-0000-0000-0000A36B0000}"/>
    <cellStyle name="Normal 9 3 3 5 2 4 2" xfId="27857" xr:uid="{00000000-0005-0000-0000-0000A46B0000}"/>
    <cellStyle name="Normal 9 3 3 5 2 5" xfId="19409" xr:uid="{00000000-0005-0000-0000-0000A56B0000}"/>
    <cellStyle name="Normal 9 3 3 5 3" xfId="3523" xr:uid="{00000000-0005-0000-0000-0000A66B0000}"/>
    <cellStyle name="Normal 9 3 3 5 3 2" xfId="7749" xr:uid="{00000000-0005-0000-0000-0000A76B0000}"/>
    <cellStyle name="Normal 9 3 3 5 3 2 2" xfId="16197" xr:uid="{00000000-0005-0000-0000-0000A86B0000}"/>
    <cellStyle name="Normal 9 3 3 5 3 2 2 2" xfId="33137" xr:uid="{00000000-0005-0000-0000-0000A96B0000}"/>
    <cellStyle name="Normal 9 3 3 5 3 2 3" xfId="24689" xr:uid="{00000000-0005-0000-0000-0000AA6B0000}"/>
    <cellStyle name="Normal 9 3 3 5 3 3" xfId="11973" xr:uid="{00000000-0005-0000-0000-0000AB6B0000}"/>
    <cellStyle name="Normal 9 3 3 5 3 3 2" xfId="28913" xr:uid="{00000000-0005-0000-0000-0000AC6B0000}"/>
    <cellStyle name="Normal 9 3 3 5 3 4" xfId="20465" xr:uid="{00000000-0005-0000-0000-0000AD6B0000}"/>
    <cellStyle name="Normal 9 3 3 5 4" xfId="5637" xr:uid="{00000000-0005-0000-0000-0000AE6B0000}"/>
    <cellStyle name="Normal 9 3 3 5 4 2" xfId="14085" xr:uid="{00000000-0005-0000-0000-0000AF6B0000}"/>
    <cellStyle name="Normal 9 3 3 5 4 2 2" xfId="31025" xr:uid="{00000000-0005-0000-0000-0000B06B0000}"/>
    <cellStyle name="Normal 9 3 3 5 4 3" xfId="22577" xr:uid="{00000000-0005-0000-0000-0000B16B0000}"/>
    <cellStyle name="Normal 9 3 3 5 5" xfId="9861" xr:uid="{00000000-0005-0000-0000-0000B26B0000}"/>
    <cellStyle name="Normal 9 3 3 5 5 2" xfId="26801" xr:uid="{00000000-0005-0000-0000-0000B36B0000}"/>
    <cellStyle name="Normal 9 3 3 5 6" xfId="18353" xr:uid="{00000000-0005-0000-0000-0000B46B0000}"/>
    <cellStyle name="Normal 9 3 3 6" xfId="1587" xr:uid="{00000000-0005-0000-0000-0000B56B0000}"/>
    <cellStyle name="Normal 9 3 3 6 2" xfId="3699" xr:uid="{00000000-0005-0000-0000-0000B66B0000}"/>
    <cellStyle name="Normal 9 3 3 6 2 2" xfId="7925" xr:uid="{00000000-0005-0000-0000-0000B76B0000}"/>
    <cellStyle name="Normal 9 3 3 6 2 2 2" xfId="16373" xr:uid="{00000000-0005-0000-0000-0000B86B0000}"/>
    <cellStyle name="Normal 9 3 3 6 2 2 2 2" xfId="33313" xr:uid="{00000000-0005-0000-0000-0000B96B0000}"/>
    <cellStyle name="Normal 9 3 3 6 2 2 3" xfId="24865" xr:uid="{00000000-0005-0000-0000-0000BA6B0000}"/>
    <cellStyle name="Normal 9 3 3 6 2 3" xfId="12149" xr:uid="{00000000-0005-0000-0000-0000BB6B0000}"/>
    <cellStyle name="Normal 9 3 3 6 2 3 2" xfId="29089" xr:uid="{00000000-0005-0000-0000-0000BC6B0000}"/>
    <cellStyle name="Normal 9 3 3 6 2 4" xfId="20641" xr:uid="{00000000-0005-0000-0000-0000BD6B0000}"/>
    <cellStyle name="Normal 9 3 3 6 3" xfId="5813" xr:uid="{00000000-0005-0000-0000-0000BE6B0000}"/>
    <cellStyle name="Normal 9 3 3 6 3 2" xfId="14261" xr:uid="{00000000-0005-0000-0000-0000BF6B0000}"/>
    <cellStyle name="Normal 9 3 3 6 3 2 2" xfId="31201" xr:uid="{00000000-0005-0000-0000-0000C06B0000}"/>
    <cellStyle name="Normal 9 3 3 6 3 3" xfId="22753" xr:uid="{00000000-0005-0000-0000-0000C16B0000}"/>
    <cellStyle name="Normal 9 3 3 6 4" xfId="10037" xr:uid="{00000000-0005-0000-0000-0000C26B0000}"/>
    <cellStyle name="Normal 9 3 3 6 4 2" xfId="26977" xr:uid="{00000000-0005-0000-0000-0000C36B0000}"/>
    <cellStyle name="Normal 9 3 3 6 5" xfId="18529" xr:uid="{00000000-0005-0000-0000-0000C46B0000}"/>
    <cellStyle name="Normal 9 3 3 7" xfId="2643" xr:uid="{00000000-0005-0000-0000-0000C56B0000}"/>
    <cellStyle name="Normal 9 3 3 7 2" xfId="6869" xr:uid="{00000000-0005-0000-0000-0000C66B0000}"/>
    <cellStyle name="Normal 9 3 3 7 2 2" xfId="15317" xr:uid="{00000000-0005-0000-0000-0000C76B0000}"/>
    <cellStyle name="Normal 9 3 3 7 2 2 2" xfId="32257" xr:uid="{00000000-0005-0000-0000-0000C86B0000}"/>
    <cellStyle name="Normal 9 3 3 7 2 3" xfId="23809" xr:uid="{00000000-0005-0000-0000-0000C96B0000}"/>
    <cellStyle name="Normal 9 3 3 7 3" xfId="11093" xr:uid="{00000000-0005-0000-0000-0000CA6B0000}"/>
    <cellStyle name="Normal 9 3 3 7 3 2" xfId="28033" xr:uid="{00000000-0005-0000-0000-0000CB6B0000}"/>
    <cellStyle name="Normal 9 3 3 7 4" xfId="19585" xr:uid="{00000000-0005-0000-0000-0000CC6B0000}"/>
    <cellStyle name="Normal 9 3 3 8" xfId="4756" xr:uid="{00000000-0005-0000-0000-0000CD6B0000}"/>
    <cellStyle name="Normal 9 3 3 8 2" xfId="13205" xr:uid="{00000000-0005-0000-0000-0000CE6B0000}"/>
    <cellStyle name="Normal 9 3 3 8 2 2" xfId="30145" xr:uid="{00000000-0005-0000-0000-0000CF6B0000}"/>
    <cellStyle name="Normal 9 3 3 8 3" xfId="21697" xr:uid="{00000000-0005-0000-0000-0000D06B0000}"/>
    <cellStyle name="Normal 9 3 3 9" xfId="8981" xr:uid="{00000000-0005-0000-0000-0000D16B0000}"/>
    <cellStyle name="Normal 9 3 3 9 2" xfId="25921" xr:uid="{00000000-0005-0000-0000-0000D26B0000}"/>
    <cellStyle name="Normal 9 3 4" xfId="699" xr:uid="{00000000-0005-0000-0000-0000D36B0000}"/>
    <cellStyle name="Normal 9 3 4 2" xfId="1051" xr:uid="{00000000-0005-0000-0000-0000D46B0000}"/>
    <cellStyle name="Normal 9 3 4 2 2" xfId="2113" xr:uid="{00000000-0005-0000-0000-0000D56B0000}"/>
    <cellStyle name="Normal 9 3 4 2 2 2" xfId="4225" xr:uid="{00000000-0005-0000-0000-0000D66B0000}"/>
    <cellStyle name="Normal 9 3 4 2 2 2 2" xfId="8451" xr:uid="{00000000-0005-0000-0000-0000D76B0000}"/>
    <cellStyle name="Normal 9 3 4 2 2 2 2 2" xfId="16899" xr:uid="{00000000-0005-0000-0000-0000D86B0000}"/>
    <cellStyle name="Normal 9 3 4 2 2 2 2 2 2" xfId="33839" xr:uid="{00000000-0005-0000-0000-0000D96B0000}"/>
    <cellStyle name="Normal 9 3 4 2 2 2 2 3" xfId="25391" xr:uid="{00000000-0005-0000-0000-0000DA6B0000}"/>
    <cellStyle name="Normal 9 3 4 2 2 2 3" xfId="12675" xr:uid="{00000000-0005-0000-0000-0000DB6B0000}"/>
    <cellStyle name="Normal 9 3 4 2 2 2 3 2" xfId="29615" xr:uid="{00000000-0005-0000-0000-0000DC6B0000}"/>
    <cellStyle name="Normal 9 3 4 2 2 2 4" xfId="21167" xr:uid="{00000000-0005-0000-0000-0000DD6B0000}"/>
    <cellStyle name="Normal 9 3 4 2 2 3" xfId="6339" xr:uid="{00000000-0005-0000-0000-0000DE6B0000}"/>
    <cellStyle name="Normal 9 3 4 2 2 3 2" xfId="14787" xr:uid="{00000000-0005-0000-0000-0000DF6B0000}"/>
    <cellStyle name="Normal 9 3 4 2 2 3 2 2" xfId="31727" xr:uid="{00000000-0005-0000-0000-0000E06B0000}"/>
    <cellStyle name="Normal 9 3 4 2 2 3 3" xfId="23279" xr:uid="{00000000-0005-0000-0000-0000E16B0000}"/>
    <cellStyle name="Normal 9 3 4 2 2 4" xfId="10563" xr:uid="{00000000-0005-0000-0000-0000E26B0000}"/>
    <cellStyle name="Normal 9 3 4 2 2 4 2" xfId="27503" xr:uid="{00000000-0005-0000-0000-0000E36B0000}"/>
    <cellStyle name="Normal 9 3 4 2 2 5" xfId="19055" xr:uid="{00000000-0005-0000-0000-0000E46B0000}"/>
    <cellStyle name="Normal 9 3 4 2 3" xfId="3169" xr:uid="{00000000-0005-0000-0000-0000E56B0000}"/>
    <cellStyle name="Normal 9 3 4 2 3 2" xfId="7395" xr:uid="{00000000-0005-0000-0000-0000E66B0000}"/>
    <cellStyle name="Normal 9 3 4 2 3 2 2" xfId="15843" xr:uid="{00000000-0005-0000-0000-0000E76B0000}"/>
    <cellStyle name="Normal 9 3 4 2 3 2 2 2" xfId="32783" xr:uid="{00000000-0005-0000-0000-0000E86B0000}"/>
    <cellStyle name="Normal 9 3 4 2 3 2 3" xfId="24335" xr:uid="{00000000-0005-0000-0000-0000E96B0000}"/>
    <cellStyle name="Normal 9 3 4 2 3 3" xfId="11619" xr:uid="{00000000-0005-0000-0000-0000EA6B0000}"/>
    <cellStyle name="Normal 9 3 4 2 3 3 2" xfId="28559" xr:uid="{00000000-0005-0000-0000-0000EB6B0000}"/>
    <cellStyle name="Normal 9 3 4 2 3 4" xfId="20111" xr:uid="{00000000-0005-0000-0000-0000EC6B0000}"/>
    <cellStyle name="Normal 9 3 4 2 4" xfId="5283" xr:uid="{00000000-0005-0000-0000-0000ED6B0000}"/>
    <cellStyle name="Normal 9 3 4 2 4 2" xfId="13731" xr:uid="{00000000-0005-0000-0000-0000EE6B0000}"/>
    <cellStyle name="Normal 9 3 4 2 4 2 2" xfId="30671" xr:uid="{00000000-0005-0000-0000-0000EF6B0000}"/>
    <cellStyle name="Normal 9 3 4 2 4 3" xfId="22223" xr:uid="{00000000-0005-0000-0000-0000F06B0000}"/>
    <cellStyle name="Normal 9 3 4 2 5" xfId="9507" xr:uid="{00000000-0005-0000-0000-0000F16B0000}"/>
    <cellStyle name="Normal 9 3 4 2 5 2" xfId="26447" xr:uid="{00000000-0005-0000-0000-0000F26B0000}"/>
    <cellStyle name="Normal 9 3 4 2 6" xfId="17999" xr:uid="{00000000-0005-0000-0000-0000F36B0000}"/>
    <cellStyle name="Normal 9 3 4 3" xfId="1761" xr:uid="{00000000-0005-0000-0000-0000F46B0000}"/>
    <cellStyle name="Normal 9 3 4 3 2" xfId="3873" xr:uid="{00000000-0005-0000-0000-0000F56B0000}"/>
    <cellStyle name="Normal 9 3 4 3 2 2" xfId="8099" xr:uid="{00000000-0005-0000-0000-0000F66B0000}"/>
    <cellStyle name="Normal 9 3 4 3 2 2 2" xfId="16547" xr:uid="{00000000-0005-0000-0000-0000F76B0000}"/>
    <cellStyle name="Normal 9 3 4 3 2 2 2 2" xfId="33487" xr:uid="{00000000-0005-0000-0000-0000F86B0000}"/>
    <cellStyle name="Normal 9 3 4 3 2 2 3" xfId="25039" xr:uid="{00000000-0005-0000-0000-0000F96B0000}"/>
    <cellStyle name="Normal 9 3 4 3 2 3" xfId="12323" xr:uid="{00000000-0005-0000-0000-0000FA6B0000}"/>
    <cellStyle name="Normal 9 3 4 3 2 3 2" xfId="29263" xr:uid="{00000000-0005-0000-0000-0000FB6B0000}"/>
    <cellStyle name="Normal 9 3 4 3 2 4" xfId="20815" xr:uid="{00000000-0005-0000-0000-0000FC6B0000}"/>
    <cellStyle name="Normal 9 3 4 3 3" xfId="5987" xr:uid="{00000000-0005-0000-0000-0000FD6B0000}"/>
    <cellStyle name="Normal 9 3 4 3 3 2" xfId="14435" xr:uid="{00000000-0005-0000-0000-0000FE6B0000}"/>
    <cellStyle name="Normal 9 3 4 3 3 2 2" xfId="31375" xr:uid="{00000000-0005-0000-0000-0000FF6B0000}"/>
    <cellStyle name="Normal 9 3 4 3 3 3" xfId="22927" xr:uid="{00000000-0005-0000-0000-0000006C0000}"/>
    <cellStyle name="Normal 9 3 4 3 4" xfId="10211" xr:uid="{00000000-0005-0000-0000-0000016C0000}"/>
    <cellStyle name="Normal 9 3 4 3 4 2" xfId="27151" xr:uid="{00000000-0005-0000-0000-0000026C0000}"/>
    <cellStyle name="Normal 9 3 4 3 5" xfId="18703" xr:uid="{00000000-0005-0000-0000-0000036C0000}"/>
    <cellStyle name="Normal 9 3 4 4" xfId="2817" xr:uid="{00000000-0005-0000-0000-0000046C0000}"/>
    <cellStyle name="Normal 9 3 4 4 2" xfId="7043" xr:uid="{00000000-0005-0000-0000-0000056C0000}"/>
    <cellStyle name="Normal 9 3 4 4 2 2" xfId="15491" xr:uid="{00000000-0005-0000-0000-0000066C0000}"/>
    <cellStyle name="Normal 9 3 4 4 2 2 2" xfId="32431" xr:uid="{00000000-0005-0000-0000-0000076C0000}"/>
    <cellStyle name="Normal 9 3 4 4 2 3" xfId="23983" xr:uid="{00000000-0005-0000-0000-0000086C0000}"/>
    <cellStyle name="Normal 9 3 4 4 3" xfId="11267" xr:uid="{00000000-0005-0000-0000-0000096C0000}"/>
    <cellStyle name="Normal 9 3 4 4 3 2" xfId="28207" xr:uid="{00000000-0005-0000-0000-00000A6C0000}"/>
    <cellStyle name="Normal 9 3 4 4 4" xfId="19759" xr:uid="{00000000-0005-0000-0000-00000B6C0000}"/>
    <cellStyle name="Normal 9 3 4 5" xfId="4931" xr:uid="{00000000-0005-0000-0000-00000C6C0000}"/>
    <cellStyle name="Normal 9 3 4 5 2" xfId="13379" xr:uid="{00000000-0005-0000-0000-00000D6C0000}"/>
    <cellStyle name="Normal 9 3 4 5 2 2" xfId="30319" xr:uid="{00000000-0005-0000-0000-00000E6C0000}"/>
    <cellStyle name="Normal 9 3 4 5 3" xfId="21871" xr:uid="{00000000-0005-0000-0000-00000F6C0000}"/>
    <cellStyle name="Normal 9 3 4 6" xfId="9155" xr:uid="{00000000-0005-0000-0000-0000106C0000}"/>
    <cellStyle name="Normal 9 3 4 6 2" xfId="26095" xr:uid="{00000000-0005-0000-0000-0000116C0000}"/>
    <cellStyle name="Normal 9 3 4 7" xfId="17647" xr:uid="{00000000-0005-0000-0000-0000126C0000}"/>
    <cellStyle name="Normal 9 3 5" xfId="875" xr:uid="{00000000-0005-0000-0000-0000136C0000}"/>
    <cellStyle name="Normal 9 3 5 2" xfId="1937" xr:uid="{00000000-0005-0000-0000-0000146C0000}"/>
    <cellStyle name="Normal 9 3 5 2 2" xfId="4049" xr:uid="{00000000-0005-0000-0000-0000156C0000}"/>
    <cellStyle name="Normal 9 3 5 2 2 2" xfId="8275" xr:uid="{00000000-0005-0000-0000-0000166C0000}"/>
    <cellStyle name="Normal 9 3 5 2 2 2 2" xfId="16723" xr:uid="{00000000-0005-0000-0000-0000176C0000}"/>
    <cellStyle name="Normal 9 3 5 2 2 2 2 2" xfId="33663" xr:uid="{00000000-0005-0000-0000-0000186C0000}"/>
    <cellStyle name="Normal 9 3 5 2 2 2 3" xfId="25215" xr:uid="{00000000-0005-0000-0000-0000196C0000}"/>
    <cellStyle name="Normal 9 3 5 2 2 3" xfId="12499" xr:uid="{00000000-0005-0000-0000-00001A6C0000}"/>
    <cellStyle name="Normal 9 3 5 2 2 3 2" xfId="29439" xr:uid="{00000000-0005-0000-0000-00001B6C0000}"/>
    <cellStyle name="Normal 9 3 5 2 2 4" xfId="20991" xr:uid="{00000000-0005-0000-0000-00001C6C0000}"/>
    <cellStyle name="Normal 9 3 5 2 3" xfId="6163" xr:uid="{00000000-0005-0000-0000-00001D6C0000}"/>
    <cellStyle name="Normal 9 3 5 2 3 2" xfId="14611" xr:uid="{00000000-0005-0000-0000-00001E6C0000}"/>
    <cellStyle name="Normal 9 3 5 2 3 2 2" xfId="31551" xr:uid="{00000000-0005-0000-0000-00001F6C0000}"/>
    <cellStyle name="Normal 9 3 5 2 3 3" xfId="23103" xr:uid="{00000000-0005-0000-0000-0000206C0000}"/>
    <cellStyle name="Normal 9 3 5 2 4" xfId="10387" xr:uid="{00000000-0005-0000-0000-0000216C0000}"/>
    <cellStyle name="Normal 9 3 5 2 4 2" xfId="27327" xr:uid="{00000000-0005-0000-0000-0000226C0000}"/>
    <cellStyle name="Normal 9 3 5 2 5" xfId="18879" xr:uid="{00000000-0005-0000-0000-0000236C0000}"/>
    <cellStyle name="Normal 9 3 5 3" xfId="2993" xr:uid="{00000000-0005-0000-0000-0000246C0000}"/>
    <cellStyle name="Normal 9 3 5 3 2" xfId="7219" xr:uid="{00000000-0005-0000-0000-0000256C0000}"/>
    <cellStyle name="Normal 9 3 5 3 2 2" xfId="15667" xr:uid="{00000000-0005-0000-0000-0000266C0000}"/>
    <cellStyle name="Normal 9 3 5 3 2 2 2" xfId="32607" xr:uid="{00000000-0005-0000-0000-0000276C0000}"/>
    <cellStyle name="Normal 9 3 5 3 2 3" xfId="24159" xr:uid="{00000000-0005-0000-0000-0000286C0000}"/>
    <cellStyle name="Normal 9 3 5 3 3" xfId="11443" xr:uid="{00000000-0005-0000-0000-0000296C0000}"/>
    <cellStyle name="Normal 9 3 5 3 3 2" xfId="28383" xr:uid="{00000000-0005-0000-0000-00002A6C0000}"/>
    <cellStyle name="Normal 9 3 5 3 4" xfId="19935" xr:uid="{00000000-0005-0000-0000-00002B6C0000}"/>
    <cellStyle name="Normal 9 3 5 4" xfId="5107" xr:uid="{00000000-0005-0000-0000-00002C6C0000}"/>
    <cellStyle name="Normal 9 3 5 4 2" xfId="13555" xr:uid="{00000000-0005-0000-0000-00002D6C0000}"/>
    <cellStyle name="Normal 9 3 5 4 2 2" xfId="30495" xr:uid="{00000000-0005-0000-0000-00002E6C0000}"/>
    <cellStyle name="Normal 9 3 5 4 3" xfId="22047" xr:uid="{00000000-0005-0000-0000-00002F6C0000}"/>
    <cellStyle name="Normal 9 3 5 5" xfId="9331" xr:uid="{00000000-0005-0000-0000-0000306C0000}"/>
    <cellStyle name="Normal 9 3 5 5 2" xfId="26271" xr:uid="{00000000-0005-0000-0000-0000316C0000}"/>
    <cellStyle name="Normal 9 3 5 6" xfId="17823" xr:uid="{00000000-0005-0000-0000-0000326C0000}"/>
    <cellStyle name="Normal 9 3 6" xfId="1227" xr:uid="{00000000-0005-0000-0000-0000336C0000}"/>
    <cellStyle name="Normal 9 3 6 2" xfId="2289" xr:uid="{00000000-0005-0000-0000-0000346C0000}"/>
    <cellStyle name="Normal 9 3 6 2 2" xfId="4401" xr:uid="{00000000-0005-0000-0000-0000356C0000}"/>
    <cellStyle name="Normal 9 3 6 2 2 2" xfId="8627" xr:uid="{00000000-0005-0000-0000-0000366C0000}"/>
    <cellStyle name="Normal 9 3 6 2 2 2 2" xfId="17075" xr:uid="{00000000-0005-0000-0000-0000376C0000}"/>
    <cellStyle name="Normal 9 3 6 2 2 2 2 2" xfId="34015" xr:uid="{00000000-0005-0000-0000-0000386C0000}"/>
    <cellStyle name="Normal 9 3 6 2 2 2 3" xfId="25567" xr:uid="{00000000-0005-0000-0000-0000396C0000}"/>
    <cellStyle name="Normal 9 3 6 2 2 3" xfId="12851" xr:uid="{00000000-0005-0000-0000-00003A6C0000}"/>
    <cellStyle name="Normal 9 3 6 2 2 3 2" xfId="29791" xr:uid="{00000000-0005-0000-0000-00003B6C0000}"/>
    <cellStyle name="Normal 9 3 6 2 2 4" xfId="21343" xr:uid="{00000000-0005-0000-0000-00003C6C0000}"/>
    <cellStyle name="Normal 9 3 6 2 3" xfId="6515" xr:uid="{00000000-0005-0000-0000-00003D6C0000}"/>
    <cellStyle name="Normal 9 3 6 2 3 2" xfId="14963" xr:uid="{00000000-0005-0000-0000-00003E6C0000}"/>
    <cellStyle name="Normal 9 3 6 2 3 2 2" xfId="31903" xr:uid="{00000000-0005-0000-0000-00003F6C0000}"/>
    <cellStyle name="Normal 9 3 6 2 3 3" xfId="23455" xr:uid="{00000000-0005-0000-0000-0000406C0000}"/>
    <cellStyle name="Normal 9 3 6 2 4" xfId="10739" xr:uid="{00000000-0005-0000-0000-0000416C0000}"/>
    <cellStyle name="Normal 9 3 6 2 4 2" xfId="27679" xr:uid="{00000000-0005-0000-0000-0000426C0000}"/>
    <cellStyle name="Normal 9 3 6 2 5" xfId="19231" xr:uid="{00000000-0005-0000-0000-0000436C0000}"/>
    <cellStyle name="Normal 9 3 6 3" xfId="3345" xr:uid="{00000000-0005-0000-0000-0000446C0000}"/>
    <cellStyle name="Normal 9 3 6 3 2" xfId="7571" xr:uid="{00000000-0005-0000-0000-0000456C0000}"/>
    <cellStyle name="Normal 9 3 6 3 2 2" xfId="16019" xr:uid="{00000000-0005-0000-0000-0000466C0000}"/>
    <cellStyle name="Normal 9 3 6 3 2 2 2" xfId="32959" xr:uid="{00000000-0005-0000-0000-0000476C0000}"/>
    <cellStyle name="Normal 9 3 6 3 2 3" xfId="24511" xr:uid="{00000000-0005-0000-0000-0000486C0000}"/>
    <cellStyle name="Normal 9 3 6 3 3" xfId="11795" xr:uid="{00000000-0005-0000-0000-0000496C0000}"/>
    <cellStyle name="Normal 9 3 6 3 3 2" xfId="28735" xr:uid="{00000000-0005-0000-0000-00004A6C0000}"/>
    <cellStyle name="Normal 9 3 6 3 4" xfId="20287" xr:uid="{00000000-0005-0000-0000-00004B6C0000}"/>
    <cellStyle name="Normal 9 3 6 4" xfId="5459" xr:uid="{00000000-0005-0000-0000-00004C6C0000}"/>
    <cellStyle name="Normal 9 3 6 4 2" xfId="13907" xr:uid="{00000000-0005-0000-0000-00004D6C0000}"/>
    <cellStyle name="Normal 9 3 6 4 2 2" xfId="30847" xr:uid="{00000000-0005-0000-0000-00004E6C0000}"/>
    <cellStyle name="Normal 9 3 6 4 3" xfId="22399" xr:uid="{00000000-0005-0000-0000-00004F6C0000}"/>
    <cellStyle name="Normal 9 3 6 5" xfId="9683" xr:uid="{00000000-0005-0000-0000-0000506C0000}"/>
    <cellStyle name="Normal 9 3 6 5 2" xfId="26623" xr:uid="{00000000-0005-0000-0000-0000516C0000}"/>
    <cellStyle name="Normal 9 3 6 6" xfId="18175" xr:uid="{00000000-0005-0000-0000-0000526C0000}"/>
    <cellStyle name="Normal 9 3 7" xfId="1409" xr:uid="{00000000-0005-0000-0000-0000536C0000}"/>
    <cellStyle name="Normal 9 3 7 2" xfId="2465" xr:uid="{00000000-0005-0000-0000-0000546C0000}"/>
    <cellStyle name="Normal 9 3 7 2 2" xfId="4577" xr:uid="{00000000-0005-0000-0000-0000556C0000}"/>
    <cellStyle name="Normal 9 3 7 2 2 2" xfId="8803" xr:uid="{00000000-0005-0000-0000-0000566C0000}"/>
    <cellStyle name="Normal 9 3 7 2 2 2 2" xfId="17251" xr:uid="{00000000-0005-0000-0000-0000576C0000}"/>
    <cellStyle name="Normal 9 3 7 2 2 2 2 2" xfId="34191" xr:uid="{00000000-0005-0000-0000-0000586C0000}"/>
    <cellStyle name="Normal 9 3 7 2 2 2 3" xfId="25743" xr:uid="{00000000-0005-0000-0000-0000596C0000}"/>
    <cellStyle name="Normal 9 3 7 2 2 3" xfId="13027" xr:uid="{00000000-0005-0000-0000-00005A6C0000}"/>
    <cellStyle name="Normal 9 3 7 2 2 3 2" xfId="29967" xr:uid="{00000000-0005-0000-0000-00005B6C0000}"/>
    <cellStyle name="Normal 9 3 7 2 2 4" xfId="21519" xr:uid="{00000000-0005-0000-0000-00005C6C0000}"/>
    <cellStyle name="Normal 9 3 7 2 3" xfId="6691" xr:uid="{00000000-0005-0000-0000-00005D6C0000}"/>
    <cellStyle name="Normal 9 3 7 2 3 2" xfId="15139" xr:uid="{00000000-0005-0000-0000-00005E6C0000}"/>
    <cellStyle name="Normal 9 3 7 2 3 2 2" xfId="32079" xr:uid="{00000000-0005-0000-0000-00005F6C0000}"/>
    <cellStyle name="Normal 9 3 7 2 3 3" xfId="23631" xr:uid="{00000000-0005-0000-0000-0000606C0000}"/>
    <cellStyle name="Normal 9 3 7 2 4" xfId="10915" xr:uid="{00000000-0005-0000-0000-0000616C0000}"/>
    <cellStyle name="Normal 9 3 7 2 4 2" xfId="27855" xr:uid="{00000000-0005-0000-0000-0000626C0000}"/>
    <cellStyle name="Normal 9 3 7 2 5" xfId="19407" xr:uid="{00000000-0005-0000-0000-0000636C0000}"/>
    <cellStyle name="Normal 9 3 7 3" xfId="3521" xr:uid="{00000000-0005-0000-0000-0000646C0000}"/>
    <cellStyle name="Normal 9 3 7 3 2" xfId="7747" xr:uid="{00000000-0005-0000-0000-0000656C0000}"/>
    <cellStyle name="Normal 9 3 7 3 2 2" xfId="16195" xr:uid="{00000000-0005-0000-0000-0000666C0000}"/>
    <cellStyle name="Normal 9 3 7 3 2 2 2" xfId="33135" xr:uid="{00000000-0005-0000-0000-0000676C0000}"/>
    <cellStyle name="Normal 9 3 7 3 2 3" xfId="24687" xr:uid="{00000000-0005-0000-0000-0000686C0000}"/>
    <cellStyle name="Normal 9 3 7 3 3" xfId="11971" xr:uid="{00000000-0005-0000-0000-0000696C0000}"/>
    <cellStyle name="Normal 9 3 7 3 3 2" xfId="28911" xr:uid="{00000000-0005-0000-0000-00006A6C0000}"/>
    <cellStyle name="Normal 9 3 7 3 4" xfId="20463" xr:uid="{00000000-0005-0000-0000-00006B6C0000}"/>
    <cellStyle name="Normal 9 3 7 4" xfId="5635" xr:uid="{00000000-0005-0000-0000-00006C6C0000}"/>
    <cellStyle name="Normal 9 3 7 4 2" xfId="14083" xr:uid="{00000000-0005-0000-0000-00006D6C0000}"/>
    <cellStyle name="Normal 9 3 7 4 2 2" xfId="31023" xr:uid="{00000000-0005-0000-0000-00006E6C0000}"/>
    <cellStyle name="Normal 9 3 7 4 3" xfId="22575" xr:uid="{00000000-0005-0000-0000-00006F6C0000}"/>
    <cellStyle name="Normal 9 3 7 5" xfId="9859" xr:uid="{00000000-0005-0000-0000-0000706C0000}"/>
    <cellStyle name="Normal 9 3 7 5 2" xfId="26799" xr:uid="{00000000-0005-0000-0000-0000716C0000}"/>
    <cellStyle name="Normal 9 3 7 6" xfId="18351" xr:uid="{00000000-0005-0000-0000-0000726C0000}"/>
    <cellStyle name="Normal 9 3 8" xfId="1585" xr:uid="{00000000-0005-0000-0000-0000736C0000}"/>
    <cellStyle name="Normal 9 3 8 2" xfId="3697" xr:uid="{00000000-0005-0000-0000-0000746C0000}"/>
    <cellStyle name="Normal 9 3 8 2 2" xfId="7923" xr:uid="{00000000-0005-0000-0000-0000756C0000}"/>
    <cellStyle name="Normal 9 3 8 2 2 2" xfId="16371" xr:uid="{00000000-0005-0000-0000-0000766C0000}"/>
    <cellStyle name="Normal 9 3 8 2 2 2 2" xfId="33311" xr:uid="{00000000-0005-0000-0000-0000776C0000}"/>
    <cellStyle name="Normal 9 3 8 2 2 3" xfId="24863" xr:uid="{00000000-0005-0000-0000-0000786C0000}"/>
    <cellStyle name="Normal 9 3 8 2 3" xfId="12147" xr:uid="{00000000-0005-0000-0000-0000796C0000}"/>
    <cellStyle name="Normal 9 3 8 2 3 2" xfId="29087" xr:uid="{00000000-0005-0000-0000-00007A6C0000}"/>
    <cellStyle name="Normal 9 3 8 2 4" xfId="20639" xr:uid="{00000000-0005-0000-0000-00007B6C0000}"/>
    <cellStyle name="Normal 9 3 8 3" xfId="5811" xr:uid="{00000000-0005-0000-0000-00007C6C0000}"/>
    <cellStyle name="Normal 9 3 8 3 2" xfId="14259" xr:uid="{00000000-0005-0000-0000-00007D6C0000}"/>
    <cellStyle name="Normal 9 3 8 3 2 2" xfId="31199" xr:uid="{00000000-0005-0000-0000-00007E6C0000}"/>
    <cellStyle name="Normal 9 3 8 3 3" xfId="22751" xr:uid="{00000000-0005-0000-0000-00007F6C0000}"/>
    <cellStyle name="Normal 9 3 8 4" xfId="10035" xr:uid="{00000000-0005-0000-0000-0000806C0000}"/>
    <cellStyle name="Normal 9 3 8 4 2" xfId="26975" xr:uid="{00000000-0005-0000-0000-0000816C0000}"/>
    <cellStyle name="Normal 9 3 8 5" xfId="18527" xr:uid="{00000000-0005-0000-0000-0000826C0000}"/>
    <cellStyle name="Normal 9 3 9" xfId="2641" xr:uid="{00000000-0005-0000-0000-0000836C0000}"/>
    <cellStyle name="Normal 9 3 9 2" xfId="6867" xr:uid="{00000000-0005-0000-0000-0000846C0000}"/>
    <cellStyle name="Normal 9 3 9 2 2" xfId="15315" xr:uid="{00000000-0005-0000-0000-0000856C0000}"/>
    <cellStyle name="Normal 9 3 9 2 2 2" xfId="32255" xr:uid="{00000000-0005-0000-0000-0000866C0000}"/>
    <cellStyle name="Normal 9 3 9 2 3" xfId="23807" xr:uid="{00000000-0005-0000-0000-0000876C0000}"/>
    <cellStyle name="Normal 9 3 9 3" xfId="11091" xr:uid="{00000000-0005-0000-0000-0000886C0000}"/>
    <cellStyle name="Normal 9 3 9 3 2" xfId="28031" xr:uid="{00000000-0005-0000-0000-0000896C0000}"/>
    <cellStyle name="Normal 9 3 9 4" xfId="19583" xr:uid="{00000000-0005-0000-0000-00008A6C0000}"/>
    <cellStyle name="Normal 9 4" xfId="412" xr:uid="{00000000-0005-0000-0000-00008B6C0000}"/>
    <cellStyle name="Normal 9 5" xfId="413" xr:uid="{00000000-0005-0000-0000-00008C6C0000}"/>
    <cellStyle name="Note 2" xfId="414" xr:uid="{00000000-0005-0000-0000-00008E6C0000}"/>
    <cellStyle name="Output 2" xfId="415" xr:uid="{00000000-0005-0000-0000-00008F6C0000}"/>
    <cellStyle name="Percent [0]" xfId="416" xr:uid="{00000000-0005-0000-0000-0000906C0000}"/>
    <cellStyle name="Percent [0] 2" xfId="417" xr:uid="{00000000-0005-0000-0000-0000916C0000}"/>
    <cellStyle name="Percent [00]" xfId="418" xr:uid="{00000000-0005-0000-0000-0000926C0000}"/>
    <cellStyle name="Percent [00] 2" xfId="419" xr:uid="{00000000-0005-0000-0000-0000936C0000}"/>
    <cellStyle name="Percent [2]" xfId="420" xr:uid="{00000000-0005-0000-0000-0000946C0000}"/>
    <cellStyle name="Percent 10" xfId="421" xr:uid="{00000000-0005-0000-0000-0000956C0000}"/>
    <cellStyle name="Percent 10 10" xfId="1588" xr:uid="{00000000-0005-0000-0000-0000966C0000}"/>
    <cellStyle name="Percent 10 10 2" xfId="3700" xr:uid="{00000000-0005-0000-0000-0000976C0000}"/>
    <cellStyle name="Percent 10 10 2 2" xfId="7926" xr:uid="{00000000-0005-0000-0000-0000986C0000}"/>
    <cellStyle name="Percent 10 10 2 2 2" xfId="16374" xr:uid="{00000000-0005-0000-0000-0000996C0000}"/>
    <cellStyle name="Percent 10 10 2 2 2 2" xfId="33314" xr:uid="{00000000-0005-0000-0000-00009A6C0000}"/>
    <cellStyle name="Percent 10 10 2 2 3" xfId="24866" xr:uid="{00000000-0005-0000-0000-00009B6C0000}"/>
    <cellStyle name="Percent 10 10 2 3" xfId="12150" xr:uid="{00000000-0005-0000-0000-00009C6C0000}"/>
    <cellStyle name="Percent 10 10 2 3 2" xfId="29090" xr:uid="{00000000-0005-0000-0000-00009D6C0000}"/>
    <cellStyle name="Percent 10 10 2 4" xfId="20642" xr:uid="{00000000-0005-0000-0000-00009E6C0000}"/>
    <cellStyle name="Percent 10 10 3" xfId="5814" xr:uid="{00000000-0005-0000-0000-00009F6C0000}"/>
    <cellStyle name="Percent 10 10 3 2" xfId="14262" xr:uid="{00000000-0005-0000-0000-0000A06C0000}"/>
    <cellStyle name="Percent 10 10 3 2 2" xfId="31202" xr:uid="{00000000-0005-0000-0000-0000A16C0000}"/>
    <cellStyle name="Percent 10 10 3 3" xfId="22754" xr:uid="{00000000-0005-0000-0000-0000A26C0000}"/>
    <cellStyle name="Percent 10 10 4" xfId="10038" xr:uid="{00000000-0005-0000-0000-0000A36C0000}"/>
    <cellStyle name="Percent 10 10 4 2" xfId="26978" xr:uid="{00000000-0005-0000-0000-0000A46C0000}"/>
    <cellStyle name="Percent 10 10 5" xfId="18530" xr:uid="{00000000-0005-0000-0000-0000A56C0000}"/>
    <cellStyle name="Percent 10 11" xfId="2644" xr:uid="{00000000-0005-0000-0000-0000A66C0000}"/>
    <cellStyle name="Percent 10 11 2" xfId="6870" xr:uid="{00000000-0005-0000-0000-0000A76C0000}"/>
    <cellStyle name="Percent 10 11 2 2" xfId="15318" xr:uid="{00000000-0005-0000-0000-0000A86C0000}"/>
    <cellStyle name="Percent 10 11 2 2 2" xfId="32258" xr:uid="{00000000-0005-0000-0000-0000A96C0000}"/>
    <cellStyle name="Percent 10 11 2 3" xfId="23810" xr:uid="{00000000-0005-0000-0000-0000AA6C0000}"/>
    <cellStyle name="Percent 10 11 3" xfId="11094" xr:uid="{00000000-0005-0000-0000-0000AB6C0000}"/>
    <cellStyle name="Percent 10 11 3 2" xfId="28034" xr:uid="{00000000-0005-0000-0000-0000AC6C0000}"/>
    <cellStyle name="Percent 10 11 4" xfId="19586" xr:uid="{00000000-0005-0000-0000-0000AD6C0000}"/>
    <cellStyle name="Percent 10 12" xfId="4757" xr:uid="{00000000-0005-0000-0000-0000AE6C0000}"/>
    <cellStyle name="Percent 10 12 2" xfId="13206" xr:uid="{00000000-0005-0000-0000-0000AF6C0000}"/>
    <cellStyle name="Percent 10 12 2 2" xfId="30146" xr:uid="{00000000-0005-0000-0000-0000B06C0000}"/>
    <cellStyle name="Percent 10 12 3" xfId="21698" xr:uid="{00000000-0005-0000-0000-0000B16C0000}"/>
    <cellStyle name="Percent 10 13" xfId="8982" xr:uid="{00000000-0005-0000-0000-0000B26C0000}"/>
    <cellStyle name="Percent 10 13 2" xfId="25922" xr:uid="{00000000-0005-0000-0000-0000B36C0000}"/>
    <cellStyle name="Percent 10 14" xfId="17474" xr:uid="{00000000-0005-0000-0000-0000B46C0000}"/>
    <cellStyle name="Percent 10 2" xfId="422" xr:uid="{00000000-0005-0000-0000-0000B56C0000}"/>
    <cellStyle name="Percent 10 2 10" xfId="4758" xr:uid="{00000000-0005-0000-0000-0000B66C0000}"/>
    <cellStyle name="Percent 10 2 10 2" xfId="13207" xr:uid="{00000000-0005-0000-0000-0000B76C0000}"/>
    <cellStyle name="Percent 10 2 10 2 2" xfId="30147" xr:uid="{00000000-0005-0000-0000-0000B86C0000}"/>
    <cellStyle name="Percent 10 2 10 3" xfId="21699" xr:uid="{00000000-0005-0000-0000-0000B96C0000}"/>
    <cellStyle name="Percent 10 2 11" xfId="8983" xr:uid="{00000000-0005-0000-0000-0000BA6C0000}"/>
    <cellStyle name="Percent 10 2 11 2" xfId="25923" xr:uid="{00000000-0005-0000-0000-0000BB6C0000}"/>
    <cellStyle name="Percent 10 2 12" xfId="17475" xr:uid="{00000000-0005-0000-0000-0000BC6C0000}"/>
    <cellStyle name="Percent 10 2 2" xfId="423" xr:uid="{00000000-0005-0000-0000-0000BD6C0000}"/>
    <cellStyle name="Percent 10 2 2 10" xfId="17476" xr:uid="{00000000-0005-0000-0000-0000BE6C0000}"/>
    <cellStyle name="Percent 10 2 2 2" xfId="704" xr:uid="{00000000-0005-0000-0000-0000BF6C0000}"/>
    <cellStyle name="Percent 10 2 2 2 2" xfId="1056" xr:uid="{00000000-0005-0000-0000-0000C06C0000}"/>
    <cellStyle name="Percent 10 2 2 2 2 2" xfId="2118" xr:uid="{00000000-0005-0000-0000-0000C16C0000}"/>
    <cellStyle name="Percent 10 2 2 2 2 2 2" xfId="4230" xr:uid="{00000000-0005-0000-0000-0000C26C0000}"/>
    <cellStyle name="Percent 10 2 2 2 2 2 2 2" xfId="8456" xr:uid="{00000000-0005-0000-0000-0000C36C0000}"/>
    <cellStyle name="Percent 10 2 2 2 2 2 2 2 2" xfId="16904" xr:uid="{00000000-0005-0000-0000-0000C46C0000}"/>
    <cellStyle name="Percent 10 2 2 2 2 2 2 2 2 2" xfId="33844" xr:uid="{00000000-0005-0000-0000-0000C56C0000}"/>
    <cellStyle name="Percent 10 2 2 2 2 2 2 2 3" xfId="25396" xr:uid="{00000000-0005-0000-0000-0000C66C0000}"/>
    <cellStyle name="Percent 10 2 2 2 2 2 2 3" xfId="12680" xr:uid="{00000000-0005-0000-0000-0000C76C0000}"/>
    <cellStyle name="Percent 10 2 2 2 2 2 2 3 2" xfId="29620" xr:uid="{00000000-0005-0000-0000-0000C86C0000}"/>
    <cellStyle name="Percent 10 2 2 2 2 2 2 4" xfId="21172" xr:uid="{00000000-0005-0000-0000-0000C96C0000}"/>
    <cellStyle name="Percent 10 2 2 2 2 2 3" xfId="6344" xr:uid="{00000000-0005-0000-0000-0000CA6C0000}"/>
    <cellStyle name="Percent 10 2 2 2 2 2 3 2" xfId="14792" xr:uid="{00000000-0005-0000-0000-0000CB6C0000}"/>
    <cellStyle name="Percent 10 2 2 2 2 2 3 2 2" xfId="31732" xr:uid="{00000000-0005-0000-0000-0000CC6C0000}"/>
    <cellStyle name="Percent 10 2 2 2 2 2 3 3" xfId="23284" xr:uid="{00000000-0005-0000-0000-0000CD6C0000}"/>
    <cellStyle name="Percent 10 2 2 2 2 2 4" xfId="10568" xr:uid="{00000000-0005-0000-0000-0000CE6C0000}"/>
    <cellStyle name="Percent 10 2 2 2 2 2 4 2" xfId="27508" xr:uid="{00000000-0005-0000-0000-0000CF6C0000}"/>
    <cellStyle name="Percent 10 2 2 2 2 2 5" xfId="19060" xr:uid="{00000000-0005-0000-0000-0000D06C0000}"/>
    <cellStyle name="Percent 10 2 2 2 2 3" xfId="3174" xr:uid="{00000000-0005-0000-0000-0000D16C0000}"/>
    <cellStyle name="Percent 10 2 2 2 2 3 2" xfId="7400" xr:uid="{00000000-0005-0000-0000-0000D26C0000}"/>
    <cellStyle name="Percent 10 2 2 2 2 3 2 2" xfId="15848" xr:uid="{00000000-0005-0000-0000-0000D36C0000}"/>
    <cellStyle name="Percent 10 2 2 2 2 3 2 2 2" xfId="32788" xr:uid="{00000000-0005-0000-0000-0000D46C0000}"/>
    <cellStyle name="Percent 10 2 2 2 2 3 2 3" xfId="24340" xr:uid="{00000000-0005-0000-0000-0000D56C0000}"/>
    <cellStyle name="Percent 10 2 2 2 2 3 3" xfId="11624" xr:uid="{00000000-0005-0000-0000-0000D66C0000}"/>
    <cellStyle name="Percent 10 2 2 2 2 3 3 2" xfId="28564" xr:uid="{00000000-0005-0000-0000-0000D76C0000}"/>
    <cellStyle name="Percent 10 2 2 2 2 3 4" xfId="20116" xr:uid="{00000000-0005-0000-0000-0000D86C0000}"/>
    <cellStyle name="Percent 10 2 2 2 2 4" xfId="5288" xr:uid="{00000000-0005-0000-0000-0000D96C0000}"/>
    <cellStyle name="Percent 10 2 2 2 2 4 2" xfId="13736" xr:uid="{00000000-0005-0000-0000-0000DA6C0000}"/>
    <cellStyle name="Percent 10 2 2 2 2 4 2 2" xfId="30676" xr:uid="{00000000-0005-0000-0000-0000DB6C0000}"/>
    <cellStyle name="Percent 10 2 2 2 2 4 3" xfId="22228" xr:uid="{00000000-0005-0000-0000-0000DC6C0000}"/>
    <cellStyle name="Percent 10 2 2 2 2 5" xfId="9512" xr:uid="{00000000-0005-0000-0000-0000DD6C0000}"/>
    <cellStyle name="Percent 10 2 2 2 2 5 2" xfId="26452" xr:uid="{00000000-0005-0000-0000-0000DE6C0000}"/>
    <cellStyle name="Percent 10 2 2 2 2 6" xfId="18004" xr:uid="{00000000-0005-0000-0000-0000DF6C0000}"/>
    <cellStyle name="Percent 10 2 2 2 3" xfId="1766" xr:uid="{00000000-0005-0000-0000-0000E06C0000}"/>
    <cellStyle name="Percent 10 2 2 2 3 2" xfId="3878" xr:uid="{00000000-0005-0000-0000-0000E16C0000}"/>
    <cellStyle name="Percent 10 2 2 2 3 2 2" xfId="8104" xr:uid="{00000000-0005-0000-0000-0000E26C0000}"/>
    <cellStyle name="Percent 10 2 2 2 3 2 2 2" xfId="16552" xr:uid="{00000000-0005-0000-0000-0000E36C0000}"/>
    <cellStyle name="Percent 10 2 2 2 3 2 2 2 2" xfId="33492" xr:uid="{00000000-0005-0000-0000-0000E46C0000}"/>
    <cellStyle name="Percent 10 2 2 2 3 2 2 3" xfId="25044" xr:uid="{00000000-0005-0000-0000-0000E56C0000}"/>
    <cellStyle name="Percent 10 2 2 2 3 2 3" xfId="12328" xr:uid="{00000000-0005-0000-0000-0000E66C0000}"/>
    <cellStyle name="Percent 10 2 2 2 3 2 3 2" xfId="29268" xr:uid="{00000000-0005-0000-0000-0000E76C0000}"/>
    <cellStyle name="Percent 10 2 2 2 3 2 4" xfId="20820" xr:uid="{00000000-0005-0000-0000-0000E86C0000}"/>
    <cellStyle name="Percent 10 2 2 2 3 3" xfId="5992" xr:uid="{00000000-0005-0000-0000-0000E96C0000}"/>
    <cellStyle name="Percent 10 2 2 2 3 3 2" xfId="14440" xr:uid="{00000000-0005-0000-0000-0000EA6C0000}"/>
    <cellStyle name="Percent 10 2 2 2 3 3 2 2" xfId="31380" xr:uid="{00000000-0005-0000-0000-0000EB6C0000}"/>
    <cellStyle name="Percent 10 2 2 2 3 3 3" xfId="22932" xr:uid="{00000000-0005-0000-0000-0000EC6C0000}"/>
    <cellStyle name="Percent 10 2 2 2 3 4" xfId="10216" xr:uid="{00000000-0005-0000-0000-0000ED6C0000}"/>
    <cellStyle name="Percent 10 2 2 2 3 4 2" xfId="27156" xr:uid="{00000000-0005-0000-0000-0000EE6C0000}"/>
    <cellStyle name="Percent 10 2 2 2 3 5" xfId="18708" xr:uid="{00000000-0005-0000-0000-0000EF6C0000}"/>
    <cellStyle name="Percent 10 2 2 2 4" xfId="2822" xr:uid="{00000000-0005-0000-0000-0000F06C0000}"/>
    <cellStyle name="Percent 10 2 2 2 4 2" xfId="7048" xr:uid="{00000000-0005-0000-0000-0000F16C0000}"/>
    <cellStyle name="Percent 10 2 2 2 4 2 2" xfId="15496" xr:uid="{00000000-0005-0000-0000-0000F26C0000}"/>
    <cellStyle name="Percent 10 2 2 2 4 2 2 2" xfId="32436" xr:uid="{00000000-0005-0000-0000-0000F36C0000}"/>
    <cellStyle name="Percent 10 2 2 2 4 2 3" xfId="23988" xr:uid="{00000000-0005-0000-0000-0000F46C0000}"/>
    <cellStyle name="Percent 10 2 2 2 4 3" xfId="11272" xr:uid="{00000000-0005-0000-0000-0000F56C0000}"/>
    <cellStyle name="Percent 10 2 2 2 4 3 2" xfId="28212" xr:uid="{00000000-0005-0000-0000-0000F66C0000}"/>
    <cellStyle name="Percent 10 2 2 2 4 4" xfId="19764" xr:uid="{00000000-0005-0000-0000-0000F76C0000}"/>
    <cellStyle name="Percent 10 2 2 2 5" xfId="4936" xr:uid="{00000000-0005-0000-0000-0000F86C0000}"/>
    <cellStyle name="Percent 10 2 2 2 5 2" xfId="13384" xr:uid="{00000000-0005-0000-0000-0000F96C0000}"/>
    <cellStyle name="Percent 10 2 2 2 5 2 2" xfId="30324" xr:uid="{00000000-0005-0000-0000-0000FA6C0000}"/>
    <cellStyle name="Percent 10 2 2 2 5 3" xfId="21876" xr:uid="{00000000-0005-0000-0000-0000FB6C0000}"/>
    <cellStyle name="Percent 10 2 2 2 6" xfId="9160" xr:uid="{00000000-0005-0000-0000-0000FC6C0000}"/>
    <cellStyle name="Percent 10 2 2 2 6 2" xfId="26100" xr:uid="{00000000-0005-0000-0000-0000FD6C0000}"/>
    <cellStyle name="Percent 10 2 2 2 7" xfId="17652" xr:uid="{00000000-0005-0000-0000-0000FE6C0000}"/>
    <cellStyle name="Percent 10 2 2 3" xfId="880" xr:uid="{00000000-0005-0000-0000-0000FF6C0000}"/>
    <cellStyle name="Percent 10 2 2 3 2" xfId="1942" xr:uid="{00000000-0005-0000-0000-0000006D0000}"/>
    <cellStyle name="Percent 10 2 2 3 2 2" xfId="4054" xr:uid="{00000000-0005-0000-0000-0000016D0000}"/>
    <cellStyle name="Percent 10 2 2 3 2 2 2" xfId="8280" xr:uid="{00000000-0005-0000-0000-0000026D0000}"/>
    <cellStyle name="Percent 10 2 2 3 2 2 2 2" xfId="16728" xr:uid="{00000000-0005-0000-0000-0000036D0000}"/>
    <cellStyle name="Percent 10 2 2 3 2 2 2 2 2" xfId="33668" xr:uid="{00000000-0005-0000-0000-0000046D0000}"/>
    <cellStyle name="Percent 10 2 2 3 2 2 2 3" xfId="25220" xr:uid="{00000000-0005-0000-0000-0000056D0000}"/>
    <cellStyle name="Percent 10 2 2 3 2 2 3" xfId="12504" xr:uid="{00000000-0005-0000-0000-0000066D0000}"/>
    <cellStyle name="Percent 10 2 2 3 2 2 3 2" xfId="29444" xr:uid="{00000000-0005-0000-0000-0000076D0000}"/>
    <cellStyle name="Percent 10 2 2 3 2 2 4" xfId="20996" xr:uid="{00000000-0005-0000-0000-0000086D0000}"/>
    <cellStyle name="Percent 10 2 2 3 2 3" xfId="6168" xr:uid="{00000000-0005-0000-0000-0000096D0000}"/>
    <cellStyle name="Percent 10 2 2 3 2 3 2" xfId="14616" xr:uid="{00000000-0005-0000-0000-00000A6D0000}"/>
    <cellStyle name="Percent 10 2 2 3 2 3 2 2" xfId="31556" xr:uid="{00000000-0005-0000-0000-00000B6D0000}"/>
    <cellStyle name="Percent 10 2 2 3 2 3 3" xfId="23108" xr:uid="{00000000-0005-0000-0000-00000C6D0000}"/>
    <cellStyle name="Percent 10 2 2 3 2 4" xfId="10392" xr:uid="{00000000-0005-0000-0000-00000D6D0000}"/>
    <cellStyle name="Percent 10 2 2 3 2 4 2" xfId="27332" xr:uid="{00000000-0005-0000-0000-00000E6D0000}"/>
    <cellStyle name="Percent 10 2 2 3 2 5" xfId="18884" xr:uid="{00000000-0005-0000-0000-00000F6D0000}"/>
    <cellStyle name="Percent 10 2 2 3 3" xfId="2998" xr:uid="{00000000-0005-0000-0000-0000106D0000}"/>
    <cellStyle name="Percent 10 2 2 3 3 2" xfId="7224" xr:uid="{00000000-0005-0000-0000-0000116D0000}"/>
    <cellStyle name="Percent 10 2 2 3 3 2 2" xfId="15672" xr:uid="{00000000-0005-0000-0000-0000126D0000}"/>
    <cellStyle name="Percent 10 2 2 3 3 2 2 2" xfId="32612" xr:uid="{00000000-0005-0000-0000-0000136D0000}"/>
    <cellStyle name="Percent 10 2 2 3 3 2 3" xfId="24164" xr:uid="{00000000-0005-0000-0000-0000146D0000}"/>
    <cellStyle name="Percent 10 2 2 3 3 3" xfId="11448" xr:uid="{00000000-0005-0000-0000-0000156D0000}"/>
    <cellStyle name="Percent 10 2 2 3 3 3 2" xfId="28388" xr:uid="{00000000-0005-0000-0000-0000166D0000}"/>
    <cellStyle name="Percent 10 2 2 3 3 4" xfId="19940" xr:uid="{00000000-0005-0000-0000-0000176D0000}"/>
    <cellStyle name="Percent 10 2 2 3 4" xfId="5112" xr:uid="{00000000-0005-0000-0000-0000186D0000}"/>
    <cellStyle name="Percent 10 2 2 3 4 2" xfId="13560" xr:uid="{00000000-0005-0000-0000-0000196D0000}"/>
    <cellStyle name="Percent 10 2 2 3 4 2 2" xfId="30500" xr:uid="{00000000-0005-0000-0000-00001A6D0000}"/>
    <cellStyle name="Percent 10 2 2 3 4 3" xfId="22052" xr:uid="{00000000-0005-0000-0000-00001B6D0000}"/>
    <cellStyle name="Percent 10 2 2 3 5" xfId="9336" xr:uid="{00000000-0005-0000-0000-00001C6D0000}"/>
    <cellStyle name="Percent 10 2 2 3 5 2" xfId="26276" xr:uid="{00000000-0005-0000-0000-00001D6D0000}"/>
    <cellStyle name="Percent 10 2 2 3 6" xfId="17828" xr:uid="{00000000-0005-0000-0000-00001E6D0000}"/>
    <cellStyle name="Percent 10 2 2 4" xfId="1232" xr:uid="{00000000-0005-0000-0000-00001F6D0000}"/>
    <cellStyle name="Percent 10 2 2 4 2" xfId="2294" xr:uid="{00000000-0005-0000-0000-0000206D0000}"/>
    <cellStyle name="Percent 10 2 2 4 2 2" xfId="4406" xr:uid="{00000000-0005-0000-0000-0000216D0000}"/>
    <cellStyle name="Percent 10 2 2 4 2 2 2" xfId="8632" xr:uid="{00000000-0005-0000-0000-0000226D0000}"/>
    <cellStyle name="Percent 10 2 2 4 2 2 2 2" xfId="17080" xr:uid="{00000000-0005-0000-0000-0000236D0000}"/>
    <cellStyle name="Percent 10 2 2 4 2 2 2 2 2" xfId="34020" xr:uid="{00000000-0005-0000-0000-0000246D0000}"/>
    <cellStyle name="Percent 10 2 2 4 2 2 2 3" xfId="25572" xr:uid="{00000000-0005-0000-0000-0000256D0000}"/>
    <cellStyle name="Percent 10 2 2 4 2 2 3" xfId="12856" xr:uid="{00000000-0005-0000-0000-0000266D0000}"/>
    <cellStyle name="Percent 10 2 2 4 2 2 3 2" xfId="29796" xr:uid="{00000000-0005-0000-0000-0000276D0000}"/>
    <cellStyle name="Percent 10 2 2 4 2 2 4" xfId="21348" xr:uid="{00000000-0005-0000-0000-0000286D0000}"/>
    <cellStyle name="Percent 10 2 2 4 2 3" xfId="6520" xr:uid="{00000000-0005-0000-0000-0000296D0000}"/>
    <cellStyle name="Percent 10 2 2 4 2 3 2" xfId="14968" xr:uid="{00000000-0005-0000-0000-00002A6D0000}"/>
    <cellStyle name="Percent 10 2 2 4 2 3 2 2" xfId="31908" xr:uid="{00000000-0005-0000-0000-00002B6D0000}"/>
    <cellStyle name="Percent 10 2 2 4 2 3 3" xfId="23460" xr:uid="{00000000-0005-0000-0000-00002C6D0000}"/>
    <cellStyle name="Percent 10 2 2 4 2 4" xfId="10744" xr:uid="{00000000-0005-0000-0000-00002D6D0000}"/>
    <cellStyle name="Percent 10 2 2 4 2 4 2" xfId="27684" xr:uid="{00000000-0005-0000-0000-00002E6D0000}"/>
    <cellStyle name="Percent 10 2 2 4 2 5" xfId="19236" xr:uid="{00000000-0005-0000-0000-00002F6D0000}"/>
    <cellStyle name="Percent 10 2 2 4 3" xfId="3350" xr:uid="{00000000-0005-0000-0000-0000306D0000}"/>
    <cellStyle name="Percent 10 2 2 4 3 2" xfId="7576" xr:uid="{00000000-0005-0000-0000-0000316D0000}"/>
    <cellStyle name="Percent 10 2 2 4 3 2 2" xfId="16024" xr:uid="{00000000-0005-0000-0000-0000326D0000}"/>
    <cellStyle name="Percent 10 2 2 4 3 2 2 2" xfId="32964" xr:uid="{00000000-0005-0000-0000-0000336D0000}"/>
    <cellStyle name="Percent 10 2 2 4 3 2 3" xfId="24516" xr:uid="{00000000-0005-0000-0000-0000346D0000}"/>
    <cellStyle name="Percent 10 2 2 4 3 3" xfId="11800" xr:uid="{00000000-0005-0000-0000-0000356D0000}"/>
    <cellStyle name="Percent 10 2 2 4 3 3 2" xfId="28740" xr:uid="{00000000-0005-0000-0000-0000366D0000}"/>
    <cellStyle name="Percent 10 2 2 4 3 4" xfId="20292" xr:uid="{00000000-0005-0000-0000-0000376D0000}"/>
    <cellStyle name="Percent 10 2 2 4 4" xfId="5464" xr:uid="{00000000-0005-0000-0000-0000386D0000}"/>
    <cellStyle name="Percent 10 2 2 4 4 2" xfId="13912" xr:uid="{00000000-0005-0000-0000-0000396D0000}"/>
    <cellStyle name="Percent 10 2 2 4 4 2 2" xfId="30852" xr:uid="{00000000-0005-0000-0000-00003A6D0000}"/>
    <cellStyle name="Percent 10 2 2 4 4 3" xfId="22404" xr:uid="{00000000-0005-0000-0000-00003B6D0000}"/>
    <cellStyle name="Percent 10 2 2 4 5" xfId="9688" xr:uid="{00000000-0005-0000-0000-00003C6D0000}"/>
    <cellStyle name="Percent 10 2 2 4 5 2" xfId="26628" xr:uid="{00000000-0005-0000-0000-00003D6D0000}"/>
    <cellStyle name="Percent 10 2 2 4 6" xfId="18180" xr:uid="{00000000-0005-0000-0000-00003E6D0000}"/>
    <cellStyle name="Percent 10 2 2 5" xfId="1414" xr:uid="{00000000-0005-0000-0000-00003F6D0000}"/>
    <cellStyle name="Percent 10 2 2 5 2" xfId="2470" xr:uid="{00000000-0005-0000-0000-0000406D0000}"/>
    <cellStyle name="Percent 10 2 2 5 2 2" xfId="4582" xr:uid="{00000000-0005-0000-0000-0000416D0000}"/>
    <cellStyle name="Percent 10 2 2 5 2 2 2" xfId="8808" xr:uid="{00000000-0005-0000-0000-0000426D0000}"/>
    <cellStyle name="Percent 10 2 2 5 2 2 2 2" xfId="17256" xr:uid="{00000000-0005-0000-0000-0000436D0000}"/>
    <cellStyle name="Percent 10 2 2 5 2 2 2 2 2" xfId="34196" xr:uid="{00000000-0005-0000-0000-0000446D0000}"/>
    <cellStyle name="Percent 10 2 2 5 2 2 2 3" xfId="25748" xr:uid="{00000000-0005-0000-0000-0000456D0000}"/>
    <cellStyle name="Percent 10 2 2 5 2 2 3" xfId="13032" xr:uid="{00000000-0005-0000-0000-0000466D0000}"/>
    <cellStyle name="Percent 10 2 2 5 2 2 3 2" xfId="29972" xr:uid="{00000000-0005-0000-0000-0000476D0000}"/>
    <cellStyle name="Percent 10 2 2 5 2 2 4" xfId="21524" xr:uid="{00000000-0005-0000-0000-0000486D0000}"/>
    <cellStyle name="Percent 10 2 2 5 2 3" xfId="6696" xr:uid="{00000000-0005-0000-0000-0000496D0000}"/>
    <cellStyle name="Percent 10 2 2 5 2 3 2" xfId="15144" xr:uid="{00000000-0005-0000-0000-00004A6D0000}"/>
    <cellStyle name="Percent 10 2 2 5 2 3 2 2" xfId="32084" xr:uid="{00000000-0005-0000-0000-00004B6D0000}"/>
    <cellStyle name="Percent 10 2 2 5 2 3 3" xfId="23636" xr:uid="{00000000-0005-0000-0000-00004C6D0000}"/>
    <cellStyle name="Percent 10 2 2 5 2 4" xfId="10920" xr:uid="{00000000-0005-0000-0000-00004D6D0000}"/>
    <cellStyle name="Percent 10 2 2 5 2 4 2" xfId="27860" xr:uid="{00000000-0005-0000-0000-00004E6D0000}"/>
    <cellStyle name="Percent 10 2 2 5 2 5" xfId="19412" xr:uid="{00000000-0005-0000-0000-00004F6D0000}"/>
    <cellStyle name="Percent 10 2 2 5 3" xfId="3526" xr:uid="{00000000-0005-0000-0000-0000506D0000}"/>
    <cellStyle name="Percent 10 2 2 5 3 2" xfId="7752" xr:uid="{00000000-0005-0000-0000-0000516D0000}"/>
    <cellStyle name="Percent 10 2 2 5 3 2 2" xfId="16200" xr:uid="{00000000-0005-0000-0000-0000526D0000}"/>
    <cellStyle name="Percent 10 2 2 5 3 2 2 2" xfId="33140" xr:uid="{00000000-0005-0000-0000-0000536D0000}"/>
    <cellStyle name="Percent 10 2 2 5 3 2 3" xfId="24692" xr:uid="{00000000-0005-0000-0000-0000546D0000}"/>
    <cellStyle name="Percent 10 2 2 5 3 3" xfId="11976" xr:uid="{00000000-0005-0000-0000-0000556D0000}"/>
    <cellStyle name="Percent 10 2 2 5 3 3 2" xfId="28916" xr:uid="{00000000-0005-0000-0000-0000566D0000}"/>
    <cellStyle name="Percent 10 2 2 5 3 4" xfId="20468" xr:uid="{00000000-0005-0000-0000-0000576D0000}"/>
    <cellStyle name="Percent 10 2 2 5 4" xfId="5640" xr:uid="{00000000-0005-0000-0000-0000586D0000}"/>
    <cellStyle name="Percent 10 2 2 5 4 2" xfId="14088" xr:uid="{00000000-0005-0000-0000-0000596D0000}"/>
    <cellStyle name="Percent 10 2 2 5 4 2 2" xfId="31028" xr:uid="{00000000-0005-0000-0000-00005A6D0000}"/>
    <cellStyle name="Percent 10 2 2 5 4 3" xfId="22580" xr:uid="{00000000-0005-0000-0000-00005B6D0000}"/>
    <cellStyle name="Percent 10 2 2 5 5" xfId="9864" xr:uid="{00000000-0005-0000-0000-00005C6D0000}"/>
    <cellStyle name="Percent 10 2 2 5 5 2" xfId="26804" xr:uid="{00000000-0005-0000-0000-00005D6D0000}"/>
    <cellStyle name="Percent 10 2 2 5 6" xfId="18356" xr:uid="{00000000-0005-0000-0000-00005E6D0000}"/>
    <cellStyle name="Percent 10 2 2 6" xfId="1590" xr:uid="{00000000-0005-0000-0000-00005F6D0000}"/>
    <cellStyle name="Percent 10 2 2 6 2" xfId="3702" xr:uid="{00000000-0005-0000-0000-0000606D0000}"/>
    <cellStyle name="Percent 10 2 2 6 2 2" xfId="7928" xr:uid="{00000000-0005-0000-0000-0000616D0000}"/>
    <cellStyle name="Percent 10 2 2 6 2 2 2" xfId="16376" xr:uid="{00000000-0005-0000-0000-0000626D0000}"/>
    <cellStyle name="Percent 10 2 2 6 2 2 2 2" xfId="33316" xr:uid="{00000000-0005-0000-0000-0000636D0000}"/>
    <cellStyle name="Percent 10 2 2 6 2 2 3" xfId="24868" xr:uid="{00000000-0005-0000-0000-0000646D0000}"/>
    <cellStyle name="Percent 10 2 2 6 2 3" xfId="12152" xr:uid="{00000000-0005-0000-0000-0000656D0000}"/>
    <cellStyle name="Percent 10 2 2 6 2 3 2" xfId="29092" xr:uid="{00000000-0005-0000-0000-0000666D0000}"/>
    <cellStyle name="Percent 10 2 2 6 2 4" xfId="20644" xr:uid="{00000000-0005-0000-0000-0000676D0000}"/>
    <cellStyle name="Percent 10 2 2 6 3" xfId="5816" xr:uid="{00000000-0005-0000-0000-0000686D0000}"/>
    <cellStyle name="Percent 10 2 2 6 3 2" xfId="14264" xr:uid="{00000000-0005-0000-0000-0000696D0000}"/>
    <cellStyle name="Percent 10 2 2 6 3 2 2" xfId="31204" xr:uid="{00000000-0005-0000-0000-00006A6D0000}"/>
    <cellStyle name="Percent 10 2 2 6 3 3" xfId="22756" xr:uid="{00000000-0005-0000-0000-00006B6D0000}"/>
    <cellStyle name="Percent 10 2 2 6 4" xfId="10040" xr:uid="{00000000-0005-0000-0000-00006C6D0000}"/>
    <cellStyle name="Percent 10 2 2 6 4 2" xfId="26980" xr:uid="{00000000-0005-0000-0000-00006D6D0000}"/>
    <cellStyle name="Percent 10 2 2 6 5" xfId="18532" xr:uid="{00000000-0005-0000-0000-00006E6D0000}"/>
    <cellStyle name="Percent 10 2 2 7" xfId="2646" xr:uid="{00000000-0005-0000-0000-00006F6D0000}"/>
    <cellStyle name="Percent 10 2 2 7 2" xfId="6872" xr:uid="{00000000-0005-0000-0000-0000706D0000}"/>
    <cellStyle name="Percent 10 2 2 7 2 2" xfId="15320" xr:uid="{00000000-0005-0000-0000-0000716D0000}"/>
    <cellStyle name="Percent 10 2 2 7 2 2 2" xfId="32260" xr:uid="{00000000-0005-0000-0000-0000726D0000}"/>
    <cellStyle name="Percent 10 2 2 7 2 3" xfId="23812" xr:uid="{00000000-0005-0000-0000-0000736D0000}"/>
    <cellStyle name="Percent 10 2 2 7 3" xfId="11096" xr:uid="{00000000-0005-0000-0000-0000746D0000}"/>
    <cellStyle name="Percent 10 2 2 7 3 2" xfId="28036" xr:uid="{00000000-0005-0000-0000-0000756D0000}"/>
    <cellStyle name="Percent 10 2 2 7 4" xfId="19588" xr:uid="{00000000-0005-0000-0000-0000766D0000}"/>
    <cellStyle name="Percent 10 2 2 8" xfId="4759" xr:uid="{00000000-0005-0000-0000-0000776D0000}"/>
    <cellStyle name="Percent 10 2 2 8 2" xfId="13208" xr:uid="{00000000-0005-0000-0000-0000786D0000}"/>
    <cellStyle name="Percent 10 2 2 8 2 2" xfId="30148" xr:uid="{00000000-0005-0000-0000-0000796D0000}"/>
    <cellStyle name="Percent 10 2 2 8 3" xfId="21700" xr:uid="{00000000-0005-0000-0000-00007A6D0000}"/>
    <cellStyle name="Percent 10 2 2 9" xfId="8984" xr:uid="{00000000-0005-0000-0000-00007B6D0000}"/>
    <cellStyle name="Percent 10 2 2 9 2" xfId="25924" xr:uid="{00000000-0005-0000-0000-00007C6D0000}"/>
    <cellStyle name="Percent 10 2 3" xfId="424" xr:uid="{00000000-0005-0000-0000-00007D6D0000}"/>
    <cellStyle name="Percent 10 2 3 10" xfId="17477" xr:uid="{00000000-0005-0000-0000-00007E6D0000}"/>
    <cellStyle name="Percent 10 2 3 2" xfId="705" xr:uid="{00000000-0005-0000-0000-00007F6D0000}"/>
    <cellStyle name="Percent 10 2 3 2 2" xfId="1057" xr:uid="{00000000-0005-0000-0000-0000806D0000}"/>
    <cellStyle name="Percent 10 2 3 2 2 2" xfId="2119" xr:uid="{00000000-0005-0000-0000-0000816D0000}"/>
    <cellStyle name="Percent 10 2 3 2 2 2 2" xfId="4231" xr:uid="{00000000-0005-0000-0000-0000826D0000}"/>
    <cellStyle name="Percent 10 2 3 2 2 2 2 2" xfId="8457" xr:uid="{00000000-0005-0000-0000-0000836D0000}"/>
    <cellStyle name="Percent 10 2 3 2 2 2 2 2 2" xfId="16905" xr:uid="{00000000-0005-0000-0000-0000846D0000}"/>
    <cellStyle name="Percent 10 2 3 2 2 2 2 2 2 2" xfId="33845" xr:uid="{00000000-0005-0000-0000-0000856D0000}"/>
    <cellStyle name="Percent 10 2 3 2 2 2 2 2 3" xfId="25397" xr:uid="{00000000-0005-0000-0000-0000866D0000}"/>
    <cellStyle name="Percent 10 2 3 2 2 2 2 3" xfId="12681" xr:uid="{00000000-0005-0000-0000-0000876D0000}"/>
    <cellStyle name="Percent 10 2 3 2 2 2 2 3 2" xfId="29621" xr:uid="{00000000-0005-0000-0000-0000886D0000}"/>
    <cellStyle name="Percent 10 2 3 2 2 2 2 4" xfId="21173" xr:uid="{00000000-0005-0000-0000-0000896D0000}"/>
    <cellStyle name="Percent 10 2 3 2 2 2 3" xfId="6345" xr:uid="{00000000-0005-0000-0000-00008A6D0000}"/>
    <cellStyle name="Percent 10 2 3 2 2 2 3 2" xfId="14793" xr:uid="{00000000-0005-0000-0000-00008B6D0000}"/>
    <cellStyle name="Percent 10 2 3 2 2 2 3 2 2" xfId="31733" xr:uid="{00000000-0005-0000-0000-00008C6D0000}"/>
    <cellStyle name="Percent 10 2 3 2 2 2 3 3" xfId="23285" xr:uid="{00000000-0005-0000-0000-00008D6D0000}"/>
    <cellStyle name="Percent 10 2 3 2 2 2 4" xfId="10569" xr:uid="{00000000-0005-0000-0000-00008E6D0000}"/>
    <cellStyle name="Percent 10 2 3 2 2 2 4 2" xfId="27509" xr:uid="{00000000-0005-0000-0000-00008F6D0000}"/>
    <cellStyle name="Percent 10 2 3 2 2 2 5" xfId="19061" xr:uid="{00000000-0005-0000-0000-0000906D0000}"/>
    <cellStyle name="Percent 10 2 3 2 2 3" xfId="3175" xr:uid="{00000000-0005-0000-0000-0000916D0000}"/>
    <cellStyle name="Percent 10 2 3 2 2 3 2" xfId="7401" xr:uid="{00000000-0005-0000-0000-0000926D0000}"/>
    <cellStyle name="Percent 10 2 3 2 2 3 2 2" xfId="15849" xr:uid="{00000000-0005-0000-0000-0000936D0000}"/>
    <cellStyle name="Percent 10 2 3 2 2 3 2 2 2" xfId="32789" xr:uid="{00000000-0005-0000-0000-0000946D0000}"/>
    <cellStyle name="Percent 10 2 3 2 2 3 2 3" xfId="24341" xr:uid="{00000000-0005-0000-0000-0000956D0000}"/>
    <cellStyle name="Percent 10 2 3 2 2 3 3" xfId="11625" xr:uid="{00000000-0005-0000-0000-0000966D0000}"/>
    <cellStyle name="Percent 10 2 3 2 2 3 3 2" xfId="28565" xr:uid="{00000000-0005-0000-0000-0000976D0000}"/>
    <cellStyle name="Percent 10 2 3 2 2 3 4" xfId="20117" xr:uid="{00000000-0005-0000-0000-0000986D0000}"/>
    <cellStyle name="Percent 10 2 3 2 2 4" xfId="5289" xr:uid="{00000000-0005-0000-0000-0000996D0000}"/>
    <cellStyle name="Percent 10 2 3 2 2 4 2" xfId="13737" xr:uid="{00000000-0005-0000-0000-00009A6D0000}"/>
    <cellStyle name="Percent 10 2 3 2 2 4 2 2" xfId="30677" xr:uid="{00000000-0005-0000-0000-00009B6D0000}"/>
    <cellStyle name="Percent 10 2 3 2 2 4 3" xfId="22229" xr:uid="{00000000-0005-0000-0000-00009C6D0000}"/>
    <cellStyle name="Percent 10 2 3 2 2 5" xfId="9513" xr:uid="{00000000-0005-0000-0000-00009D6D0000}"/>
    <cellStyle name="Percent 10 2 3 2 2 5 2" xfId="26453" xr:uid="{00000000-0005-0000-0000-00009E6D0000}"/>
    <cellStyle name="Percent 10 2 3 2 2 6" xfId="18005" xr:uid="{00000000-0005-0000-0000-00009F6D0000}"/>
    <cellStyle name="Percent 10 2 3 2 3" xfId="1767" xr:uid="{00000000-0005-0000-0000-0000A06D0000}"/>
    <cellStyle name="Percent 10 2 3 2 3 2" xfId="3879" xr:uid="{00000000-0005-0000-0000-0000A16D0000}"/>
    <cellStyle name="Percent 10 2 3 2 3 2 2" xfId="8105" xr:uid="{00000000-0005-0000-0000-0000A26D0000}"/>
    <cellStyle name="Percent 10 2 3 2 3 2 2 2" xfId="16553" xr:uid="{00000000-0005-0000-0000-0000A36D0000}"/>
    <cellStyle name="Percent 10 2 3 2 3 2 2 2 2" xfId="33493" xr:uid="{00000000-0005-0000-0000-0000A46D0000}"/>
    <cellStyle name="Percent 10 2 3 2 3 2 2 3" xfId="25045" xr:uid="{00000000-0005-0000-0000-0000A56D0000}"/>
    <cellStyle name="Percent 10 2 3 2 3 2 3" xfId="12329" xr:uid="{00000000-0005-0000-0000-0000A66D0000}"/>
    <cellStyle name="Percent 10 2 3 2 3 2 3 2" xfId="29269" xr:uid="{00000000-0005-0000-0000-0000A76D0000}"/>
    <cellStyle name="Percent 10 2 3 2 3 2 4" xfId="20821" xr:uid="{00000000-0005-0000-0000-0000A86D0000}"/>
    <cellStyle name="Percent 10 2 3 2 3 3" xfId="5993" xr:uid="{00000000-0005-0000-0000-0000A96D0000}"/>
    <cellStyle name="Percent 10 2 3 2 3 3 2" xfId="14441" xr:uid="{00000000-0005-0000-0000-0000AA6D0000}"/>
    <cellStyle name="Percent 10 2 3 2 3 3 2 2" xfId="31381" xr:uid="{00000000-0005-0000-0000-0000AB6D0000}"/>
    <cellStyle name="Percent 10 2 3 2 3 3 3" xfId="22933" xr:uid="{00000000-0005-0000-0000-0000AC6D0000}"/>
    <cellStyle name="Percent 10 2 3 2 3 4" xfId="10217" xr:uid="{00000000-0005-0000-0000-0000AD6D0000}"/>
    <cellStyle name="Percent 10 2 3 2 3 4 2" xfId="27157" xr:uid="{00000000-0005-0000-0000-0000AE6D0000}"/>
    <cellStyle name="Percent 10 2 3 2 3 5" xfId="18709" xr:uid="{00000000-0005-0000-0000-0000AF6D0000}"/>
    <cellStyle name="Percent 10 2 3 2 4" xfId="2823" xr:uid="{00000000-0005-0000-0000-0000B06D0000}"/>
    <cellStyle name="Percent 10 2 3 2 4 2" xfId="7049" xr:uid="{00000000-0005-0000-0000-0000B16D0000}"/>
    <cellStyle name="Percent 10 2 3 2 4 2 2" xfId="15497" xr:uid="{00000000-0005-0000-0000-0000B26D0000}"/>
    <cellStyle name="Percent 10 2 3 2 4 2 2 2" xfId="32437" xr:uid="{00000000-0005-0000-0000-0000B36D0000}"/>
    <cellStyle name="Percent 10 2 3 2 4 2 3" xfId="23989" xr:uid="{00000000-0005-0000-0000-0000B46D0000}"/>
    <cellStyle name="Percent 10 2 3 2 4 3" xfId="11273" xr:uid="{00000000-0005-0000-0000-0000B56D0000}"/>
    <cellStyle name="Percent 10 2 3 2 4 3 2" xfId="28213" xr:uid="{00000000-0005-0000-0000-0000B66D0000}"/>
    <cellStyle name="Percent 10 2 3 2 4 4" xfId="19765" xr:uid="{00000000-0005-0000-0000-0000B76D0000}"/>
    <cellStyle name="Percent 10 2 3 2 5" xfId="4937" xr:uid="{00000000-0005-0000-0000-0000B86D0000}"/>
    <cellStyle name="Percent 10 2 3 2 5 2" xfId="13385" xr:uid="{00000000-0005-0000-0000-0000B96D0000}"/>
    <cellStyle name="Percent 10 2 3 2 5 2 2" xfId="30325" xr:uid="{00000000-0005-0000-0000-0000BA6D0000}"/>
    <cellStyle name="Percent 10 2 3 2 5 3" xfId="21877" xr:uid="{00000000-0005-0000-0000-0000BB6D0000}"/>
    <cellStyle name="Percent 10 2 3 2 6" xfId="9161" xr:uid="{00000000-0005-0000-0000-0000BC6D0000}"/>
    <cellStyle name="Percent 10 2 3 2 6 2" xfId="26101" xr:uid="{00000000-0005-0000-0000-0000BD6D0000}"/>
    <cellStyle name="Percent 10 2 3 2 7" xfId="17653" xr:uid="{00000000-0005-0000-0000-0000BE6D0000}"/>
    <cellStyle name="Percent 10 2 3 3" xfId="881" xr:uid="{00000000-0005-0000-0000-0000BF6D0000}"/>
    <cellStyle name="Percent 10 2 3 3 2" xfId="1943" xr:uid="{00000000-0005-0000-0000-0000C06D0000}"/>
    <cellStyle name="Percent 10 2 3 3 2 2" xfId="4055" xr:uid="{00000000-0005-0000-0000-0000C16D0000}"/>
    <cellStyle name="Percent 10 2 3 3 2 2 2" xfId="8281" xr:uid="{00000000-0005-0000-0000-0000C26D0000}"/>
    <cellStyle name="Percent 10 2 3 3 2 2 2 2" xfId="16729" xr:uid="{00000000-0005-0000-0000-0000C36D0000}"/>
    <cellStyle name="Percent 10 2 3 3 2 2 2 2 2" xfId="33669" xr:uid="{00000000-0005-0000-0000-0000C46D0000}"/>
    <cellStyle name="Percent 10 2 3 3 2 2 2 3" xfId="25221" xr:uid="{00000000-0005-0000-0000-0000C56D0000}"/>
    <cellStyle name="Percent 10 2 3 3 2 2 3" xfId="12505" xr:uid="{00000000-0005-0000-0000-0000C66D0000}"/>
    <cellStyle name="Percent 10 2 3 3 2 2 3 2" xfId="29445" xr:uid="{00000000-0005-0000-0000-0000C76D0000}"/>
    <cellStyle name="Percent 10 2 3 3 2 2 4" xfId="20997" xr:uid="{00000000-0005-0000-0000-0000C86D0000}"/>
    <cellStyle name="Percent 10 2 3 3 2 3" xfId="6169" xr:uid="{00000000-0005-0000-0000-0000C96D0000}"/>
    <cellStyle name="Percent 10 2 3 3 2 3 2" xfId="14617" xr:uid="{00000000-0005-0000-0000-0000CA6D0000}"/>
    <cellStyle name="Percent 10 2 3 3 2 3 2 2" xfId="31557" xr:uid="{00000000-0005-0000-0000-0000CB6D0000}"/>
    <cellStyle name="Percent 10 2 3 3 2 3 3" xfId="23109" xr:uid="{00000000-0005-0000-0000-0000CC6D0000}"/>
    <cellStyle name="Percent 10 2 3 3 2 4" xfId="10393" xr:uid="{00000000-0005-0000-0000-0000CD6D0000}"/>
    <cellStyle name="Percent 10 2 3 3 2 4 2" xfId="27333" xr:uid="{00000000-0005-0000-0000-0000CE6D0000}"/>
    <cellStyle name="Percent 10 2 3 3 2 5" xfId="18885" xr:uid="{00000000-0005-0000-0000-0000CF6D0000}"/>
    <cellStyle name="Percent 10 2 3 3 3" xfId="2999" xr:uid="{00000000-0005-0000-0000-0000D06D0000}"/>
    <cellStyle name="Percent 10 2 3 3 3 2" xfId="7225" xr:uid="{00000000-0005-0000-0000-0000D16D0000}"/>
    <cellStyle name="Percent 10 2 3 3 3 2 2" xfId="15673" xr:uid="{00000000-0005-0000-0000-0000D26D0000}"/>
    <cellStyle name="Percent 10 2 3 3 3 2 2 2" xfId="32613" xr:uid="{00000000-0005-0000-0000-0000D36D0000}"/>
    <cellStyle name="Percent 10 2 3 3 3 2 3" xfId="24165" xr:uid="{00000000-0005-0000-0000-0000D46D0000}"/>
    <cellStyle name="Percent 10 2 3 3 3 3" xfId="11449" xr:uid="{00000000-0005-0000-0000-0000D56D0000}"/>
    <cellStyle name="Percent 10 2 3 3 3 3 2" xfId="28389" xr:uid="{00000000-0005-0000-0000-0000D66D0000}"/>
    <cellStyle name="Percent 10 2 3 3 3 4" xfId="19941" xr:uid="{00000000-0005-0000-0000-0000D76D0000}"/>
    <cellStyle name="Percent 10 2 3 3 4" xfId="5113" xr:uid="{00000000-0005-0000-0000-0000D86D0000}"/>
    <cellStyle name="Percent 10 2 3 3 4 2" xfId="13561" xr:uid="{00000000-0005-0000-0000-0000D96D0000}"/>
    <cellStyle name="Percent 10 2 3 3 4 2 2" xfId="30501" xr:uid="{00000000-0005-0000-0000-0000DA6D0000}"/>
    <cellStyle name="Percent 10 2 3 3 4 3" xfId="22053" xr:uid="{00000000-0005-0000-0000-0000DB6D0000}"/>
    <cellStyle name="Percent 10 2 3 3 5" xfId="9337" xr:uid="{00000000-0005-0000-0000-0000DC6D0000}"/>
    <cellStyle name="Percent 10 2 3 3 5 2" xfId="26277" xr:uid="{00000000-0005-0000-0000-0000DD6D0000}"/>
    <cellStyle name="Percent 10 2 3 3 6" xfId="17829" xr:uid="{00000000-0005-0000-0000-0000DE6D0000}"/>
    <cellStyle name="Percent 10 2 3 4" xfId="1233" xr:uid="{00000000-0005-0000-0000-0000DF6D0000}"/>
    <cellStyle name="Percent 10 2 3 4 2" xfId="2295" xr:uid="{00000000-0005-0000-0000-0000E06D0000}"/>
    <cellStyle name="Percent 10 2 3 4 2 2" xfId="4407" xr:uid="{00000000-0005-0000-0000-0000E16D0000}"/>
    <cellStyle name="Percent 10 2 3 4 2 2 2" xfId="8633" xr:uid="{00000000-0005-0000-0000-0000E26D0000}"/>
    <cellStyle name="Percent 10 2 3 4 2 2 2 2" xfId="17081" xr:uid="{00000000-0005-0000-0000-0000E36D0000}"/>
    <cellStyle name="Percent 10 2 3 4 2 2 2 2 2" xfId="34021" xr:uid="{00000000-0005-0000-0000-0000E46D0000}"/>
    <cellStyle name="Percent 10 2 3 4 2 2 2 3" xfId="25573" xr:uid="{00000000-0005-0000-0000-0000E56D0000}"/>
    <cellStyle name="Percent 10 2 3 4 2 2 3" xfId="12857" xr:uid="{00000000-0005-0000-0000-0000E66D0000}"/>
    <cellStyle name="Percent 10 2 3 4 2 2 3 2" xfId="29797" xr:uid="{00000000-0005-0000-0000-0000E76D0000}"/>
    <cellStyle name="Percent 10 2 3 4 2 2 4" xfId="21349" xr:uid="{00000000-0005-0000-0000-0000E86D0000}"/>
    <cellStyle name="Percent 10 2 3 4 2 3" xfId="6521" xr:uid="{00000000-0005-0000-0000-0000E96D0000}"/>
    <cellStyle name="Percent 10 2 3 4 2 3 2" xfId="14969" xr:uid="{00000000-0005-0000-0000-0000EA6D0000}"/>
    <cellStyle name="Percent 10 2 3 4 2 3 2 2" xfId="31909" xr:uid="{00000000-0005-0000-0000-0000EB6D0000}"/>
    <cellStyle name="Percent 10 2 3 4 2 3 3" xfId="23461" xr:uid="{00000000-0005-0000-0000-0000EC6D0000}"/>
    <cellStyle name="Percent 10 2 3 4 2 4" xfId="10745" xr:uid="{00000000-0005-0000-0000-0000ED6D0000}"/>
    <cellStyle name="Percent 10 2 3 4 2 4 2" xfId="27685" xr:uid="{00000000-0005-0000-0000-0000EE6D0000}"/>
    <cellStyle name="Percent 10 2 3 4 2 5" xfId="19237" xr:uid="{00000000-0005-0000-0000-0000EF6D0000}"/>
    <cellStyle name="Percent 10 2 3 4 3" xfId="3351" xr:uid="{00000000-0005-0000-0000-0000F06D0000}"/>
    <cellStyle name="Percent 10 2 3 4 3 2" xfId="7577" xr:uid="{00000000-0005-0000-0000-0000F16D0000}"/>
    <cellStyle name="Percent 10 2 3 4 3 2 2" xfId="16025" xr:uid="{00000000-0005-0000-0000-0000F26D0000}"/>
    <cellStyle name="Percent 10 2 3 4 3 2 2 2" xfId="32965" xr:uid="{00000000-0005-0000-0000-0000F36D0000}"/>
    <cellStyle name="Percent 10 2 3 4 3 2 3" xfId="24517" xr:uid="{00000000-0005-0000-0000-0000F46D0000}"/>
    <cellStyle name="Percent 10 2 3 4 3 3" xfId="11801" xr:uid="{00000000-0005-0000-0000-0000F56D0000}"/>
    <cellStyle name="Percent 10 2 3 4 3 3 2" xfId="28741" xr:uid="{00000000-0005-0000-0000-0000F66D0000}"/>
    <cellStyle name="Percent 10 2 3 4 3 4" xfId="20293" xr:uid="{00000000-0005-0000-0000-0000F76D0000}"/>
    <cellStyle name="Percent 10 2 3 4 4" xfId="5465" xr:uid="{00000000-0005-0000-0000-0000F86D0000}"/>
    <cellStyle name="Percent 10 2 3 4 4 2" xfId="13913" xr:uid="{00000000-0005-0000-0000-0000F96D0000}"/>
    <cellStyle name="Percent 10 2 3 4 4 2 2" xfId="30853" xr:uid="{00000000-0005-0000-0000-0000FA6D0000}"/>
    <cellStyle name="Percent 10 2 3 4 4 3" xfId="22405" xr:uid="{00000000-0005-0000-0000-0000FB6D0000}"/>
    <cellStyle name="Percent 10 2 3 4 5" xfId="9689" xr:uid="{00000000-0005-0000-0000-0000FC6D0000}"/>
    <cellStyle name="Percent 10 2 3 4 5 2" xfId="26629" xr:uid="{00000000-0005-0000-0000-0000FD6D0000}"/>
    <cellStyle name="Percent 10 2 3 4 6" xfId="18181" xr:uid="{00000000-0005-0000-0000-0000FE6D0000}"/>
    <cellStyle name="Percent 10 2 3 5" xfId="1415" xr:uid="{00000000-0005-0000-0000-0000FF6D0000}"/>
    <cellStyle name="Percent 10 2 3 5 2" xfId="2471" xr:uid="{00000000-0005-0000-0000-0000006E0000}"/>
    <cellStyle name="Percent 10 2 3 5 2 2" xfId="4583" xr:uid="{00000000-0005-0000-0000-0000016E0000}"/>
    <cellStyle name="Percent 10 2 3 5 2 2 2" xfId="8809" xr:uid="{00000000-0005-0000-0000-0000026E0000}"/>
    <cellStyle name="Percent 10 2 3 5 2 2 2 2" xfId="17257" xr:uid="{00000000-0005-0000-0000-0000036E0000}"/>
    <cellStyle name="Percent 10 2 3 5 2 2 2 2 2" xfId="34197" xr:uid="{00000000-0005-0000-0000-0000046E0000}"/>
    <cellStyle name="Percent 10 2 3 5 2 2 2 3" xfId="25749" xr:uid="{00000000-0005-0000-0000-0000056E0000}"/>
    <cellStyle name="Percent 10 2 3 5 2 2 3" xfId="13033" xr:uid="{00000000-0005-0000-0000-0000066E0000}"/>
    <cellStyle name="Percent 10 2 3 5 2 2 3 2" xfId="29973" xr:uid="{00000000-0005-0000-0000-0000076E0000}"/>
    <cellStyle name="Percent 10 2 3 5 2 2 4" xfId="21525" xr:uid="{00000000-0005-0000-0000-0000086E0000}"/>
    <cellStyle name="Percent 10 2 3 5 2 3" xfId="6697" xr:uid="{00000000-0005-0000-0000-0000096E0000}"/>
    <cellStyle name="Percent 10 2 3 5 2 3 2" xfId="15145" xr:uid="{00000000-0005-0000-0000-00000A6E0000}"/>
    <cellStyle name="Percent 10 2 3 5 2 3 2 2" xfId="32085" xr:uid="{00000000-0005-0000-0000-00000B6E0000}"/>
    <cellStyle name="Percent 10 2 3 5 2 3 3" xfId="23637" xr:uid="{00000000-0005-0000-0000-00000C6E0000}"/>
    <cellStyle name="Percent 10 2 3 5 2 4" xfId="10921" xr:uid="{00000000-0005-0000-0000-00000D6E0000}"/>
    <cellStyle name="Percent 10 2 3 5 2 4 2" xfId="27861" xr:uid="{00000000-0005-0000-0000-00000E6E0000}"/>
    <cellStyle name="Percent 10 2 3 5 2 5" xfId="19413" xr:uid="{00000000-0005-0000-0000-00000F6E0000}"/>
    <cellStyle name="Percent 10 2 3 5 3" xfId="3527" xr:uid="{00000000-0005-0000-0000-0000106E0000}"/>
    <cellStyle name="Percent 10 2 3 5 3 2" xfId="7753" xr:uid="{00000000-0005-0000-0000-0000116E0000}"/>
    <cellStyle name="Percent 10 2 3 5 3 2 2" xfId="16201" xr:uid="{00000000-0005-0000-0000-0000126E0000}"/>
    <cellStyle name="Percent 10 2 3 5 3 2 2 2" xfId="33141" xr:uid="{00000000-0005-0000-0000-0000136E0000}"/>
    <cellStyle name="Percent 10 2 3 5 3 2 3" xfId="24693" xr:uid="{00000000-0005-0000-0000-0000146E0000}"/>
    <cellStyle name="Percent 10 2 3 5 3 3" xfId="11977" xr:uid="{00000000-0005-0000-0000-0000156E0000}"/>
    <cellStyle name="Percent 10 2 3 5 3 3 2" xfId="28917" xr:uid="{00000000-0005-0000-0000-0000166E0000}"/>
    <cellStyle name="Percent 10 2 3 5 3 4" xfId="20469" xr:uid="{00000000-0005-0000-0000-0000176E0000}"/>
    <cellStyle name="Percent 10 2 3 5 4" xfId="5641" xr:uid="{00000000-0005-0000-0000-0000186E0000}"/>
    <cellStyle name="Percent 10 2 3 5 4 2" xfId="14089" xr:uid="{00000000-0005-0000-0000-0000196E0000}"/>
    <cellStyle name="Percent 10 2 3 5 4 2 2" xfId="31029" xr:uid="{00000000-0005-0000-0000-00001A6E0000}"/>
    <cellStyle name="Percent 10 2 3 5 4 3" xfId="22581" xr:uid="{00000000-0005-0000-0000-00001B6E0000}"/>
    <cellStyle name="Percent 10 2 3 5 5" xfId="9865" xr:uid="{00000000-0005-0000-0000-00001C6E0000}"/>
    <cellStyle name="Percent 10 2 3 5 5 2" xfId="26805" xr:uid="{00000000-0005-0000-0000-00001D6E0000}"/>
    <cellStyle name="Percent 10 2 3 5 6" xfId="18357" xr:uid="{00000000-0005-0000-0000-00001E6E0000}"/>
    <cellStyle name="Percent 10 2 3 6" xfId="1591" xr:uid="{00000000-0005-0000-0000-00001F6E0000}"/>
    <cellStyle name="Percent 10 2 3 6 2" xfId="3703" xr:uid="{00000000-0005-0000-0000-0000206E0000}"/>
    <cellStyle name="Percent 10 2 3 6 2 2" xfId="7929" xr:uid="{00000000-0005-0000-0000-0000216E0000}"/>
    <cellStyle name="Percent 10 2 3 6 2 2 2" xfId="16377" xr:uid="{00000000-0005-0000-0000-0000226E0000}"/>
    <cellStyle name="Percent 10 2 3 6 2 2 2 2" xfId="33317" xr:uid="{00000000-0005-0000-0000-0000236E0000}"/>
    <cellStyle name="Percent 10 2 3 6 2 2 3" xfId="24869" xr:uid="{00000000-0005-0000-0000-0000246E0000}"/>
    <cellStyle name="Percent 10 2 3 6 2 3" xfId="12153" xr:uid="{00000000-0005-0000-0000-0000256E0000}"/>
    <cellStyle name="Percent 10 2 3 6 2 3 2" xfId="29093" xr:uid="{00000000-0005-0000-0000-0000266E0000}"/>
    <cellStyle name="Percent 10 2 3 6 2 4" xfId="20645" xr:uid="{00000000-0005-0000-0000-0000276E0000}"/>
    <cellStyle name="Percent 10 2 3 6 3" xfId="5817" xr:uid="{00000000-0005-0000-0000-0000286E0000}"/>
    <cellStyle name="Percent 10 2 3 6 3 2" xfId="14265" xr:uid="{00000000-0005-0000-0000-0000296E0000}"/>
    <cellStyle name="Percent 10 2 3 6 3 2 2" xfId="31205" xr:uid="{00000000-0005-0000-0000-00002A6E0000}"/>
    <cellStyle name="Percent 10 2 3 6 3 3" xfId="22757" xr:uid="{00000000-0005-0000-0000-00002B6E0000}"/>
    <cellStyle name="Percent 10 2 3 6 4" xfId="10041" xr:uid="{00000000-0005-0000-0000-00002C6E0000}"/>
    <cellStyle name="Percent 10 2 3 6 4 2" xfId="26981" xr:uid="{00000000-0005-0000-0000-00002D6E0000}"/>
    <cellStyle name="Percent 10 2 3 6 5" xfId="18533" xr:uid="{00000000-0005-0000-0000-00002E6E0000}"/>
    <cellStyle name="Percent 10 2 3 7" xfId="2647" xr:uid="{00000000-0005-0000-0000-00002F6E0000}"/>
    <cellStyle name="Percent 10 2 3 7 2" xfId="6873" xr:uid="{00000000-0005-0000-0000-0000306E0000}"/>
    <cellStyle name="Percent 10 2 3 7 2 2" xfId="15321" xr:uid="{00000000-0005-0000-0000-0000316E0000}"/>
    <cellStyle name="Percent 10 2 3 7 2 2 2" xfId="32261" xr:uid="{00000000-0005-0000-0000-0000326E0000}"/>
    <cellStyle name="Percent 10 2 3 7 2 3" xfId="23813" xr:uid="{00000000-0005-0000-0000-0000336E0000}"/>
    <cellStyle name="Percent 10 2 3 7 3" xfId="11097" xr:uid="{00000000-0005-0000-0000-0000346E0000}"/>
    <cellStyle name="Percent 10 2 3 7 3 2" xfId="28037" xr:uid="{00000000-0005-0000-0000-0000356E0000}"/>
    <cellStyle name="Percent 10 2 3 7 4" xfId="19589" xr:uid="{00000000-0005-0000-0000-0000366E0000}"/>
    <cellStyle name="Percent 10 2 3 8" xfId="4760" xr:uid="{00000000-0005-0000-0000-0000376E0000}"/>
    <cellStyle name="Percent 10 2 3 8 2" xfId="13209" xr:uid="{00000000-0005-0000-0000-0000386E0000}"/>
    <cellStyle name="Percent 10 2 3 8 2 2" xfId="30149" xr:uid="{00000000-0005-0000-0000-0000396E0000}"/>
    <cellStyle name="Percent 10 2 3 8 3" xfId="21701" xr:uid="{00000000-0005-0000-0000-00003A6E0000}"/>
    <cellStyle name="Percent 10 2 3 9" xfId="8985" xr:uid="{00000000-0005-0000-0000-00003B6E0000}"/>
    <cellStyle name="Percent 10 2 3 9 2" xfId="25925" xr:uid="{00000000-0005-0000-0000-00003C6E0000}"/>
    <cellStyle name="Percent 10 2 4" xfId="703" xr:uid="{00000000-0005-0000-0000-00003D6E0000}"/>
    <cellStyle name="Percent 10 2 4 2" xfId="1055" xr:uid="{00000000-0005-0000-0000-00003E6E0000}"/>
    <cellStyle name="Percent 10 2 4 2 2" xfId="2117" xr:uid="{00000000-0005-0000-0000-00003F6E0000}"/>
    <cellStyle name="Percent 10 2 4 2 2 2" xfId="4229" xr:uid="{00000000-0005-0000-0000-0000406E0000}"/>
    <cellStyle name="Percent 10 2 4 2 2 2 2" xfId="8455" xr:uid="{00000000-0005-0000-0000-0000416E0000}"/>
    <cellStyle name="Percent 10 2 4 2 2 2 2 2" xfId="16903" xr:uid="{00000000-0005-0000-0000-0000426E0000}"/>
    <cellStyle name="Percent 10 2 4 2 2 2 2 2 2" xfId="33843" xr:uid="{00000000-0005-0000-0000-0000436E0000}"/>
    <cellStyle name="Percent 10 2 4 2 2 2 2 3" xfId="25395" xr:uid="{00000000-0005-0000-0000-0000446E0000}"/>
    <cellStyle name="Percent 10 2 4 2 2 2 3" xfId="12679" xr:uid="{00000000-0005-0000-0000-0000456E0000}"/>
    <cellStyle name="Percent 10 2 4 2 2 2 3 2" xfId="29619" xr:uid="{00000000-0005-0000-0000-0000466E0000}"/>
    <cellStyle name="Percent 10 2 4 2 2 2 4" xfId="21171" xr:uid="{00000000-0005-0000-0000-0000476E0000}"/>
    <cellStyle name="Percent 10 2 4 2 2 3" xfId="6343" xr:uid="{00000000-0005-0000-0000-0000486E0000}"/>
    <cellStyle name="Percent 10 2 4 2 2 3 2" xfId="14791" xr:uid="{00000000-0005-0000-0000-0000496E0000}"/>
    <cellStyle name="Percent 10 2 4 2 2 3 2 2" xfId="31731" xr:uid="{00000000-0005-0000-0000-00004A6E0000}"/>
    <cellStyle name="Percent 10 2 4 2 2 3 3" xfId="23283" xr:uid="{00000000-0005-0000-0000-00004B6E0000}"/>
    <cellStyle name="Percent 10 2 4 2 2 4" xfId="10567" xr:uid="{00000000-0005-0000-0000-00004C6E0000}"/>
    <cellStyle name="Percent 10 2 4 2 2 4 2" xfId="27507" xr:uid="{00000000-0005-0000-0000-00004D6E0000}"/>
    <cellStyle name="Percent 10 2 4 2 2 5" xfId="19059" xr:uid="{00000000-0005-0000-0000-00004E6E0000}"/>
    <cellStyle name="Percent 10 2 4 2 3" xfId="3173" xr:uid="{00000000-0005-0000-0000-00004F6E0000}"/>
    <cellStyle name="Percent 10 2 4 2 3 2" xfId="7399" xr:uid="{00000000-0005-0000-0000-0000506E0000}"/>
    <cellStyle name="Percent 10 2 4 2 3 2 2" xfId="15847" xr:uid="{00000000-0005-0000-0000-0000516E0000}"/>
    <cellStyle name="Percent 10 2 4 2 3 2 2 2" xfId="32787" xr:uid="{00000000-0005-0000-0000-0000526E0000}"/>
    <cellStyle name="Percent 10 2 4 2 3 2 3" xfId="24339" xr:uid="{00000000-0005-0000-0000-0000536E0000}"/>
    <cellStyle name="Percent 10 2 4 2 3 3" xfId="11623" xr:uid="{00000000-0005-0000-0000-0000546E0000}"/>
    <cellStyle name="Percent 10 2 4 2 3 3 2" xfId="28563" xr:uid="{00000000-0005-0000-0000-0000556E0000}"/>
    <cellStyle name="Percent 10 2 4 2 3 4" xfId="20115" xr:uid="{00000000-0005-0000-0000-0000566E0000}"/>
    <cellStyle name="Percent 10 2 4 2 4" xfId="5287" xr:uid="{00000000-0005-0000-0000-0000576E0000}"/>
    <cellStyle name="Percent 10 2 4 2 4 2" xfId="13735" xr:uid="{00000000-0005-0000-0000-0000586E0000}"/>
    <cellStyle name="Percent 10 2 4 2 4 2 2" xfId="30675" xr:uid="{00000000-0005-0000-0000-0000596E0000}"/>
    <cellStyle name="Percent 10 2 4 2 4 3" xfId="22227" xr:uid="{00000000-0005-0000-0000-00005A6E0000}"/>
    <cellStyle name="Percent 10 2 4 2 5" xfId="9511" xr:uid="{00000000-0005-0000-0000-00005B6E0000}"/>
    <cellStyle name="Percent 10 2 4 2 5 2" xfId="26451" xr:uid="{00000000-0005-0000-0000-00005C6E0000}"/>
    <cellStyle name="Percent 10 2 4 2 6" xfId="18003" xr:uid="{00000000-0005-0000-0000-00005D6E0000}"/>
    <cellStyle name="Percent 10 2 4 3" xfId="1765" xr:uid="{00000000-0005-0000-0000-00005E6E0000}"/>
    <cellStyle name="Percent 10 2 4 3 2" xfId="3877" xr:uid="{00000000-0005-0000-0000-00005F6E0000}"/>
    <cellStyle name="Percent 10 2 4 3 2 2" xfId="8103" xr:uid="{00000000-0005-0000-0000-0000606E0000}"/>
    <cellStyle name="Percent 10 2 4 3 2 2 2" xfId="16551" xr:uid="{00000000-0005-0000-0000-0000616E0000}"/>
    <cellStyle name="Percent 10 2 4 3 2 2 2 2" xfId="33491" xr:uid="{00000000-0005-0000-0000-0000626E0000}"/>
    <cellStyle name="Percent 10 2 4 3 2 2 3" xfId="25043" xr:uid="{00000000-0005-0000-0000-0000636E0000}"/>
    <cellStyle name="Percent 10 2 4 3 2 3" xfId="12327" xr:uid="{00000000-0005-0000-0000-0000646E0000}"/>
    <cellStyle name="Percent 10 2 4 3 2 3 2" xfId="29267" xr:uid="{00000000-0005-0000-0000-0000656E0000}"/>
    <cellStyle name="Percent 10 2 4 3 2 4" xfId="20819" xr:uid="{00000000-0005-0000-0000-0000666E0000}"/>
    <cellStyle name="Percent 10 2 4 3 3" xfId="5991" xr:uid="{00000000-0005-0000-0000-0000676E0000}"/>
    <cellStyle name="Percent 10 2 4 3 3 2" xfId="14439" xr:uid="{00000000-0005-0000-0000-0000686E0000}"/>
    <cellStyle name="Percent 10 2 4 3 3 2 2" xfId="31379" xr:uid="{00000000-0005-0000-0000-0000696E0000}"/>
    <cellStyle name="Percent 10 2 4 3 3 3" xfId="22931" xr:uid="{00000000-0005-0000-0000-00006A6E0000}"/>
    <cellStyle name="Percent 10 2 4 3 4" xfId="10215" xr:uid="{00000000-0005-0000-0000-00006B6E0000}"/>
    <cellStyle name="Percent 10 2 4 3 4 2" xfId="27155" xr:uid="{00000000-0005-0000-0000-00006C6E0000}"/>
    <cellStyle name="Percent 10 2 4 3 5" xfId="18707" xr:uid="{00000000-0005-0000-0000-00006D6E0000}"/>
    <cellStyle name="Percent 10 2 4 4" xfId="2821" xr:uid="{00000000-0005-0000-0000-00006E6E0000}"/>
    <cellStyle name="Percent 10 2 4 4 2" xfId="7047" xr:uid="{00000000-0005-0000-0000-00006F6E0000}"/>
    <cellStyle name="Percent 10 2 4 4 2 2" xfId="15495" xr:uid="{00000000-0005-0000-0000-0000706E0000}"/>
    <cellStyle name="Percent 10 2 4 4 2 2 2" xfId="32435" xr:uid="{00000000-0005-0000-0000-0000716E0000}"/>
    <cellStyle name="Percent 10 2 4 4 2 3" xfId="23987" xr:uid="{00000000-0005-0000-0000-0000726E0000}"/>
    <cellStyle name="Percent 10 2 4 4 3" xfId="11271" xr:uid="{00000000-0005-0000-0000-0000736E0000}"/>
    <cellStyle name="Percent 10 2 4 4 3 2" xfId="28211" xr:uid="{00000000-0005-0000-0000-0000746E0000}"/>
    <cellStyle name="Percent 10 2 4 4 4" xfId="19763" xr:uid="{00000000-0005-0000-0000-0000756E0000}"/>
    <cellStyle name="Percent 10 2 4 5" xfId="4935" xr:uid="{00000000-0005-0000-0000-0000766E0000}"/>
    <cellStyle name="Percent 10 2 4 5 2" xfId="13383" xr:uid="{00000000-0005-0000-0000-0000776E0000}"/>
    <cellStyle name="Percent 10 2 4 5 2 2" xfId="30323" xr:uid="{00000000-0005-0000-0000-0000786E0000}"/>
    <cellStyle name="Percent 10 2 4 5 3" xfId="21875" xr:uid="{00000000-0005-0000-0000-0000796E0000}"/>
    <cellStyle name="Percent 10 2 4 6" xfId="9159" xr:uid="{00000000-0005-0000-0000-00007A6E0000}"/>
    <cellStyle name="Percent 10 2 4 6 2" xfId="26099" xr:uid="{00000000-0005-0000-0000-00007B6E0000}"/>
    <cellStyle name="Percent 10 2 4 7" xfId="17651" xr:uid="{00000000-0005-0000-0000-00007C6E0000}"/>
    <cellStyle name="Percent 10 2 5" xfId="879" xr:uid="{00000000-0005-0000-0000-00007D6E0000}"/>
    <cellStyle name="Percent 10 2 5 2" xfId="1941" xr:uid="{00000000-0005-0000-0000-00007E6E0000}"/>
    <cellStyle name="Percent 10 2 5 2 2" xfId="4053" xr:uid="{00000000-0005-0000-0000-00007F6E0000}"/>
    <cellStyle name="Percent 10 2 5 2 2 2" xfId="8279" xr:uid="{00000000-0005-0000-0000-0000806E0000}"/>
    <cellStyle name="Percent 10 2 5 2 2 2 2" xfId="16727" xr:uid="{00000000-0005-0000-0000-0000816E0000}"/>
    <cellStyle name="Percent 10 2 5 2 2 2 2 2" xfId="33667" xr:uid="{00000000-0005-0000-0000-0000826E0000}"/>
    <cellStyle name="Percent 10 2 5 2 2 2 3" xfId="25219" xr:uid="{00000000-0005-0000-0000-0000836E0000}"/>
    <cellStyle name="Percent 10 2 5 2 2 3" xfId="12503" xr:uid="{00000000-0005-0000-0000-0000846E0000}"/>
    <cellStyle name="Percent 10 2 5 2 2 3 2" xfId="29443" xr:uid="{00000000-0005-0000-0000-0000856E0000}"/>
    <cellStyle name="Percent 10 2 5 2 2 4" xfId="20995" xr:uid="{00000000-0005-0000-0000-0000866E0000}"/>
    <cellStyle name="Percent 10 2 5 2 3" xfId="6167" xr:uid="{00000000-0005-0000-0000-0000876E0000}"/>
    <cellStyle name="Percent 10 2 5 2 3 2" xfId="14615" xr:uid="{00000000-0005-0000-0000-0000886E0000}"/>
    <cellStyle name="Percent 10 2 5 2 3 2 2" xfId="31555" xr:uid="{00000000-0005-0000-0000-0000896E0000}"/>
    <cellStyle name="Percent 10 2 5 2 3 3" xfId="23107" xr:uid="{00000000-0005-0000-0000-00008A6E0000}"/>
    <cellStyle name="Percent 10 2 5 2 4" xfId="10391" xr:uid="{00000000-0005-0000-0000-00008B6E0000}"/>
    <cellStyle name="Percent 10 2 5 2 4 2" xfId="27331" xr:uid="{00000000-0005-0000-0000-00008C6E0000}"/>
    <cellStyle name="Percent 10 2 5 2 5" xfId="18883" xr:uid="{00000000-0005-0000-0000-00008D6E0000}"/>
    <cellStyle name="Percent 10 2 5 3" xfId="2997" xr:uid="{00000000-0005-0000-0000-00008E6E0000}"/>
    <cellStyle name="Percent 10 2 5 3 2" xfId="7223" xr:uid="{00000000-0005-0000-0000-00008F6E0000}"/>
    <cellStyle name="Percent 10 2 5 3 2 2" xfId="15671" xr:uid="{00000000-0005-0000-0000-0000906E0000}"/>
    <cellStyle name="Percent 10 2 5 3 2 2 2" xfId="32611" xr:uid="{00000000-0005-0000-0000-0000916E0000}"/>
    <cellStyle name="Percent 10 2 5 3 2 3" xfId="24163" xr:uid="{00000000-0005-0000-0000-0000926E0000}"/>
    <cellStyle name="Percent 10 2 5 3 3" xfId="11447" xr:uid="{00000000-0005-0000-0000-0000936E0000}"/>
    <cellStyle name="Percent 10 2 5 3 3 2" xfId="28387" xr:uid="{00000000-0005-0000-0000-0000946E0000}"/>
    <cellStyle name="Percent 10 2 5 3 4" xfId="19939" xr:uid="{00000000-0005-0000-0000-0000956E0000}"/>
    <cellStyle name="Percent 10 2 5 4" xfId="5111" xr:uid="{00000000-0005-0000-0000-0000966E0000}"/>
    <cellStyle name="Percent 10 2 5 4 2" xfId="13559" xr:uid="{00000000-0005-0000-0000-0000976E0000}"/>
    <cellStyle name="Percent 10 2 5 4 2 2" xfId="30499" xr:uid="{00000000-0005-0000-0000-0000986E0000}"/>
    <cellStyle name="Percent 10 2 5 4 3" xfId="22051" xr:uid="{00000000-0005-0000-0000-0000996E0000}"/>
    <cellStyle name="Percent 10 2 5 5" xfId="9335" xr:uid="{00000000-0005-0000-0000-00009A6E0000}"/>
    <cellStyle name="Percent 10 2 5 5 2" xfId="26275" xr:uid="{00000000-0005-0000-0000-00009B6E0000}"/>
    <cellStyle name="Percent 10 2 5 6" xfId="17827" xr:uid="{00000000-0005-0000-0000-00009C6E0000}"/>
    <cellStyle name="Percent 10 2 6" xfId="1231" xr:uid="{00000000-0005-0000-0000-00009D6E0000}"/>
    <cellStyle name="Percent 10 2 6 2" xfId="2293" xr:uid="{00000000-0005-0000-0000-00009E6E0000}"/>
    <cellStyle name="Percent 10 2 6 2 2" xfId="4405" xr:uid="{00000000-0005-0000-0000-00009F6E0000}"/>
    <cellStyle name="Percent 10 2 6 2 2 2" xfId="8631" xr:uid="{00000000-0005-0000-0000-0000A06E0000}"/>
    <cellStyle name="Percent 10 2 6 2 2 2 2" xfId="17079" xr:uid="{00000000-0005-0000-0000-0000A16E0000}"/>
    <cellStyle name="Percent 10 2 6 2 2 2 2 2" xfId="34019" xr:uid="{00000000-0005-0000-0000-0000A26E0000}"/>
    <cellStyle name="Percent 10 2 6 2 2 2 3" xfId="25571" xr:uid="{00000000-0005-0000-0000-0000A36E0000}"/>
    <cellStyle name="Percent 10 2 6 2 2 3" xfId="12855" xr:uid="{00000000-0005-0000-0000-0000A46E0000}"/>
    <cellStyle name="Percent 10 2 6 2 2 3 2" xfId="29795" xr:uid="{00000000-0005-0000-0000-0000A56E0000}"/>
    <cellStyle name="Percent 10 2 6 2 2 4" xfId="21347" xr:uid="{00000000-0005-0000-0000-0000A66E0000}"/>
    <cellStyle name="Percent 10 2 6 2 3" xfId="6519" xr:uid="{00000000-0005-0000-0000-0000A76E0000}"/>
    <cellStyle name="Percent 10 2 6 2 3 2" xfId="14967" xr:uid="{00000000-0005-0000-0000-0000A86E0000}"/>
    <cellStyle name="Percent 10 2 6 2 3 2 2" xfId="31907" xr:uid="{00000000-0005-0000-0000-0000A96E0000}"/>
    <cellStyle name="Percent 10 2 6 2 3 3" xfId="23459" xr:uid="{00000000-0005-0000-0000-0000AA6E0000}"/>
    <cellStyle name="Percent 10 2 6 2 4" xfId="10743" xr:uid="{00000000-0005-0000-0000-0000AB6E0000}"/>
    <cellStyle name="Percent 10 2 6 2 4 2" xfId="27683" xr:uid="{00000000-0005-0000-0000-0000AC6E0000}"/>
    <cellStyle name="Percent 10 2 6 2 5" xfId="19235" xr:uid="{00000000-0005-0000-0000-0000AD6E0000}"/>
    <cellStyle name="Percent 10 2 6 3" xfId="3349" xr:uid="{00000000-0005-0000-0000-0000AE6E0000}"/>
    <cellStyle name="Percent 10 2 6 3 2" xfId="7575" xr:uid="{00000000-0005-0000-0000-0000AF6E0000}"/>
    <cellStyle name="Percent 10 2 6 3 2 2" xfId="16023" xr:uid="{00000000-0005-0000-0000-0000B06E0000}"/>
    <cellStyle name="Percent 10 2 6 3 2 2 2" xfId="32963" xr:uid="{00000000-0005-0000-0000-0000B16E0000}"/>
    <cellStyle name="Percent 10 2 6 3 2 3" xfId="24515" xr:uid="{00000000-0005-0000-0000-0000B26E0000}"/>
    <cellStyle name="Percent 10 2 6 3 3" xfId="11799" xr:uid="{00000000-0005-0000-0000-0000B36E0000}"/>
    <cellStyle name="Percent 10 2 6 3 3 2" xfId="28739" xr:uid="{00000000-0005-0000-0000-0000B46E0000}"/>
    <cellStyle name="Percent 10 2 6 3 4" xfId="20291" xr:uid="{00000000-0005-0000-0000-0000B56E0000}"/>
    <cellStyle name="Percent 10 2 6 4" xfId="5463" xr:uid="{00000000-0005-0000-0000-0000B66E0000}"/>
    <cellStyle name="Percent 10 2 6 4 2" xfId="13911" xr:uid="{00000000-0005-0000-0000-0000B76E0000}"/>
    <cellStyle name="Percent 10 2 6 4 2 2" xfId="30851" xr:uid="{00000000-0005-0000-0000-0000B86E0000}"/>
    <cellStyle name="Percent 10 2 6 4 3" xfId="22403" xr:uid="{00000000-0005-0000-0000-0000B96E0000}"/>
    <cellStyle name="Percent 10 2 6 5" xfId="9687" xr:uid="{00000000-0005-0000-0000-0000BA6E0000}"/>
    <cellStyle name="Percent 10 2 6 5 2" xfId="26627" xr:uid="{00000000-0005-0000-0000-0000BB6E0000}"/>
    <cellStyle name="Percent 10 2 6 6" xfId="18179" xr:uid="{00000000-0005-0000-0000-0000BC6E0000}"/>
    <cellStyle name="Percent 10 2 7" xfId="1413" xr:uid="{00000000-0005-0000-0000-0000BD6E0000}"/>
    <cellStyle name="Percent 10 2 7 2" xfId="2469" xr:uid="{00000000-0005-0000-0000-0000BE6E0000}"/>
    <cellStyle name="Percent 10 2 7 2 2" xfId="4581" xr:uid="{00000000-0005-0000-0000-0000BF6E0000}"/>
    <cellStyle name="Percent 10 2 7 2 2 2" xfId="8807" xr:uid="{00000000-0005-0000-0000-0000C06E0000}"/>
    <cellStyle name="Percent 10 2 7 2 2 2 2" xfId="17255" xr:uid="{00000000-0005-0000-0000-0000C16E0000}"/>
    <cellStyle name="Percent 10 2 7 2 2 2 2 2" xfId="34195" xr:uid="{00000000-0005-0000-0000-0000C26E0000}"/>
    <cellStyle name="Percent 10 2 7 2 2 2 3" xfId="25747" xr:uid="{00000000-0005-0000-0000-0000C36E0000}"/>
    <cellStyle name="Percent 10 2 7 2 2 3" xfId="13031" xr:uid="{00000000-0005-0000-0000-0000C46E0000}"/>
    <cellStyle name="Percent 10 2 7 2 2 3 2" xfId="29971" xr:uid="{00000000-0005-0000-0000-0000C56E0000}"/>
    <cellStyle name="Percent 10 2 7 2 2 4" xfId="21523" xr:uid="{00000000-0005-0000-0000-0000C66E0000}"/>
    <cellStyle name="Percent 10 2 7 2 3" xfId="6695" xr:uid="{00000000-0005-0000-0000-0000C76E0000}"/>
    <cellStyle name="Percent 10 2 7 2 3 2" xfId="15143" xr:uid="{00000000-0005-0000-0000-0000C86E0000}"/>
    <cellStyle name="Percent 10 2 7 2 3 2 2" xfId="32083" xr:uid="{00000000-0005-0000-0000-0000C96E0000}"/>
    <cellStyle name="Percent 10 2 7 2 3 3" xfId="23635" xr:uid="{00000000-0005-0000-0000-0000CA6E0000}"/>
    <cellStyle name="Percent 10 2 7 2 4" xfId="10919" xr:uid="{00000000-0005-0000-0000-0000CB6E0000}"/>
    <cellStyle name="Percent 10 2 7 2 4 2" xfId="27859" xr:uid="{00000000-0005-0000-0000-0000CC6E0000}"/>
    <cellStyle name="Percent 10 2 7 2 5" xfId="19411" xr:uid="{00000000-0005-0000-0000-0000CD6E0000}"/>
    <cellStyle name="Percent 10 2 7 3" xfId="3525" xr:uid="{00000000-0005-0000-0000-0000CE6E0000}"/>
    <cellStyle name="Percent 10 2 7 3 2" xfId="7751" xr:uid="{00000000-0005-0000-0000-0000CF6E0000}"/>
    <cellStyle name="Percent 10 2 7 3 2 2" xfId="16199" xr:uid="{00000000-0005-0000-0000-0000D06E0000}"/>
    <cellStyle name="Percent 10 2 7 3 2 2 2" xfId="33139" xr:uid="{00000000-0005-0000-0000-0000D16E0000}"/>
    <cellStyle name="Percent 10 2 7 3 2 3" xfId="24691" xr:uid="{00000000-0005-0000-0000-0000D26E0000}"/>
    <cellStyle name="Percent 10 2 7 3 3" xfId="11975" xr:uid="{00000000-0005-0000-0000-0000D36E0000}"/>
    <cellStyle name="Percent 10 2 7 3 3 2" xfId="28915" xr:uid="{00000000-0005-0000-0000-0000D46E0000}"/>
    <cellStyle name="Percent 10 2 7 3 4" xfId="20467" xr:uid="{00000000-0005-0000-0000-0000D56E0000}"/>
    <cellStyle name="Percent 10 2 7 4" xfId="5639" xr:uid="{00000000-0005-0000-0000-0000D66E0000}"/>
    <cellStyle name="Percent 10 2 7 4 2" xfId="14087" xr:uid="{00000000-0005-0000-0000-0000D76E0000}"/>
    <cellStyle name="Percent 10 2 7 4 2 2" xfId="31027" xr:uid="{00000000-0005-0000-0000-0000D86E0000}"/>
    <cellStyle name="Percent 10 2 7 4 3" xfId="22579" xr:uid="{00000000-0005-0000-0000-0000D96E0000}"/>
    <cellStyle name="Percent 10 2 7 5" xfId="9863" xr:uid="{00000000-0005-0000-0000-0000DA6E0000}"/>
    <cellStyle name="Percent 10 2 7 5 2" xfId="26803" xr:uid="{00000000-0005-0000-0000-0000DB6E0000}"/>
    <cellStyle name="Percent 10 2 7 6" xfId="18355" xr:uid="{00000000-0005-0000-0000-0000DC6E0000}"/>
    <cellStyle name="Percent 10 2 8" xfId="1589" xr:uid="{00000000-0005-0000-0000-0000DD6E0000}"/>
    <cellStyle name="Percent 10 2 8 2" xfId="3701" xr:uid="{00000000-0005-0000-0000-0000DE6E0000}"/>
    <cellStyle name="Percent 10 2 8 2 2" xfId="7927" xr:uid="{00000000-0005-0000-0000-0000DF6E0000}"/>
    <cellStyle name="Percent 10 2 8 2 2 2" xfId="16375" xr:uid="{00000000-0005-0000-0000-0000E06E0000}"/>
    <cellStyle name="Percent 10 2 8 2 2 2 2" xfId="33315" xr:uid="{00000000-0005-0000-0000-0000E16E0000}"/>
    <cellStyle name="Percent 10 2 8 2 2 3" xfId="24867" xr:uid="{00000000-0005-0000-0000-0000E26E0000}"/>
    <cellStyle name="Percent 10 2 8 2 3" xfId="12151" xr:uid="{00000000-0005-0000-0000-0000E36E0000}"/>
    <cellStyle name="Percent 10 2 8 2 3 2" xfId="29091" xr:uid="{00000000-0005-0000-0000-0000E46E0000}"/>
    <cellStyle name="Percent 10 2 8 2 4" xfId="20643" xr:uid="{00000000-0005-0000-0000-0000E56E0000}"/>
    <cellStyle name="Percent 10 2 8 3" xfId="5815" xr:uid="{00000000-0005-0000-0000-0000E66E0000}"/>
    <cellStyle name="Percent 10 2 8 3 2" xfId="14263" xr:uid="{00000000-0005-0000-0000-0000E76E0000}"/>
    <cellStyle name="Percent 10 2 8 3 2 2" xfId="31203" xr:uid="{00000000-0005-0000-0000-0000E86E0000}"/>
    <cellStyle name="Percent 10 2 8 3 3" xfId="22755" xr:uid="{00000000-0005-0000-0000-0000E96E0000}"/>
    <cellStyle name="Percent 10 2 8 4" xfId="10039" xr:uid="{00000000-0005-0000-0000-0000EA6E0000}"/>
    <cellStyle name="Percent 10 2 8 4 2" xfId="26979" xr:uid="{00000000-0005-0000-0000-0000EB6E0000}"/>
    <cellStyle name="Percent 10 2 8 5" xfId="18531" xr:uid="{00000000-0005-0000-0000-0000EC6E0000}"/>
    <cellStyle name="Percent 10 2 9" xfId="2645" xr:uid="{00000000-0005-0000-0000-0000ED6E0000}"/>
    <cellStyle name="Percent 10 2 9 2" xfId="6871" xr:uid="{00000000-0005-0000-0000-0000EE6E0000}"/>
    <cellStyle name="Percent 10 2 9 2 2" xfId="15319" xr:uid="{00000000-0005-0000-0000-0000EF6E0000}"/>
    <cellStyle name="Percent 10 2 9 2 2 2" xfId="32259" xr:uid="{00000000-0005-0000-0000-0000F06E0000}"/>
    <cellStyle name="Percent 10 2 9 2 3" xfId="23811" xr:uid="{00000000-0005-0000-0000-0000F16E0000}"/>
    <cellStyle name="Percent 10 2 9 3" xfId="11095" xr:uid="{00000000-0005-0000-0000-0000F26E0000}"/>
    <cellStyle name="Percent 10 2 9 3 2" xfId="28035" xr:uid="{00000000-0005-0000-0000-0000F36E0000}"/>
    <cellStyle name="Percent 10 2 9 4" xfId="19587" xr:uid="{00000000-0005-0000-0000-0000F46E0000}"/>
    <cellStyle name="Percent 10 3" xfId="425" xr:uid="{00000000-0005-0000-0000-0000F56E0000}"/>
    <cellStyle name="Percent 10 4" xfId="426" xr:uid="{00000000-0005-0000-0000-0000F66E0000}"/>
    <cellStyle name="Percent 10 4 10" xfId="17478" xr:uid="{00000000-0005-0000-0000-0000F76E0000}"/>
    <cellStyle name="Percent 10 4 2" xfId="706" xr:uid="{00000000-0005-0000-0000-0000F86E0000}"/>
    <cellStyle name="Percent 10 4 2 2" xfId="1058" xr:uid="{00000000-0005-0000-0000-0000F96E0000}"/>
    <cellStyle name="Percent 10 4 2 2 2" xfId="2120" xr:uid="{00000000-0005-0000-0000-0000FA6E0000}"/>
    <cellStyle name="Percent 10 4 2 2 2 2" xfId="4232" xr:uid="{00000000-0005-0000-0000-0000FB6E0000}"/>
    <cellStyle name="Percent 10 4 2 2 2 2 2" xfId="8458" xr:uid="{00000000-0005-0000-0000-0000FC6E0000}"/>
    <cellStyle name="Percent 10 4 2 2 2 2 2 2" xfId="16906" xr:uid="{00000000-0005-0000-0000-0000FD6E0000}"/>
    <cellStyle name="Percent 10 4 2 2 2 2 2 2 2" xfId="33846" xr:uid="{00000000-0005-0000-0000-0000FE6E0000}"/>
    <cellStyle name="Percent 10 4 2 2 2 2 2 3" xfId="25398" xr:uid="{00000000-0005-0000-0000-0000FF6E0000}"/>
    <cellStyle name="Percent 10 4 2 2 2 2 3" xfId="12682" xr:uid="{00000000-0005-0000-0000-0000006F0000}"/>
    <cellStyle name="Percent 10 4 2 2 2 2 3 2" xfId="29622" xr:uid="{00000000-0005-0000-0000-0000016F0000}"/>
    <cellStyle name="Percent 10 4 2 2 2 2 4" xfId="21174" xr:uid="{00000000-0005-0000-0000-0000026F0000}"/>
    <cellStyle name="Percent 10 4 2 2 2 3" xfId="6346" xr:uid="{00000000-0005-0000-0000-0000036F0000}"/>
    <cellStyle name="Percent 10 4 2 2 2 3 2" xfId="14794" xr:uid="{00000000-0005-0000-0000-0000046F0000}"/>
    <cellStyle name="Percent 10 4 2 2 2 3 2 2" xfId="31734" xr:uid="{00000000-0005-0000-0000-0000056F0000}"/>
    <cellStyle name="Percent 10 4 2 2 2 3 3" xfId="23286" xr:uid="{00000000-0005-0000-0000-0000066F0000}"/>
    <cellStyle name="Percent 10 4 2 2 2 4" xfId="10570" xr:uid="{00000000-0005-0000-0000-0000076F0000}"/>
    <cellStyle name="Percent 10 4 2 2 2 4 2" xfId="27510" xr:uid="{00000000-0005-0000-0000-0000086F0000}"/>
    <cellStyle name="Percent 10 4 2 2 2 5" xfId="19062" xr:uid="{00000000-0005-0000-0000-0000096F0000}"/>
    <cellStyle name="Percent 10 4 2 2 3" xfId="3176" xr:uid="{00000000-0005-0000-0000-00000A6F0000}"/>
    <cellStyle name="Percent 10 4 2 2 3 2" xfId="7402" xr:uid="{00000000-0005-0000-0000-00000B6F0000}"/>
    <cellStyle name="Percent 10 4 2 2 3 2 2" xfId="15850" xr:uid="{00000000-0005-0000-0000-00000C6F0000}"/>
    <cellStyle name="Percent 10 4 2 2 3 2 2 2" xfId="32790" xr:uid="{00000000-0005-0000-0000-00000D6F0000}"/>
    <cellStyle name="Percent 10 4 2 2 3 2 3" xfId="24342" xr:uid="{00000000-0005-0000-0000-00000E6F0000}"/>
    <cellStyle name="Percent 10 4 2 2 3 3" xfId="11626" xr:uid="{00000000-0005-0000-0000-00000F6F0000}"/>
    <cellStyle name="Percent 10 4 2 2 3 3 2" xfId="28566" xr:uid="{00000000-0005-0000-0000-0000106F0000}"/>
    <cellStyle name="Percent 10 4 2 2 3 4" xfId="20118" xr:uid="{00000000-0005-0000-0000-0000116F0000}"/>
    <cellStyle name="Percent 10 4 2 2 4" xfId="5290" xr:uid="{00000000-0005-0000-0000-0000126F0000}"/>
    <cellStyle name="Percent 10 4 2 2 4 2" xfId="13738" xr:uid="{00000000-0005-0000-0000-0000136F0000}"/>
    <cellStyle name="Percent 10 4 2 2 4 2 2" xfId="30678" xr:uid="{00000000-0005-0000-0000-0000146F0000}"/>
    <cellStyle name="Percent 10 4 2 2 4 3" xfId="22230" xr:uid="{00000000-0005-0000-0000-0000156F0000}"/>
    <cellStyle name="Percent 10 4 2 2 5" xfId="9514" xr:uid="{00000000-0005-0000-0000-0000166F0000}"/>
    <cellStyle name="Percent 10 4 2 2 5 2" xfId="26454" xr:uid="{00000000-0005-0000-0000-0000176F0000}"/>
    <cellStyle name="Percent 10 4 2 2 6" xfId="18006" xr:uid="{00000000-0005-0000-0000-0000186F0000}"/>
    <cellStyle name="Percent 10 4 2 3" xfId="1768" xr:uid="{00000000-0005-0000-0000-0000196F0000}"/>
    <cellStyle name="Percent 10 4 2 3 2" xfId="3880" xr:uid="{00000000-0005-0000-0000-00001A6F0000}"/>
    <cellStyle name="Percent 10 4 2 3 2 2" xfId="8106" xr:uid="{00000000-0005-0000-0000-00001B6F0000}"/>
    <cellStyle name="Percent 10 4 2 3 2 2 2" xfId="16554" xr:uid="{00000000-0005-0000-0000-00001C6F0000}"/>
    <cellStyle name="Percent 10 4 2 3 2 2 2 2" xfId="33494" xr:uid="{00000000-0005-0000-0000-00001D6F0000}"/>
    <cellStyle name="Percent 10 4 2 3 2 2 3" xfId="25046" xr:uid="{00000000-0005-0000-0000-00001E6F0000}"/>
    <cellStyle name="Percent 10 4 2 3 2 3" xfId="12330" xr:uid="{00000000-0005-0000-0000-00001F6F0000}"/>
    <cellStyle name="Percent 10 4 2 3 2 3 2" xfId="29270" xr:uid="{00000000-0005-0000-0000-0000206F0000}"/>
    <cellStyle name="Percent 10 4 2 3 2 4" xfId="20822" xr:uid="{00000000-0005-0000-0000-0000216F0000}"/>
    <cellStyle name="Percent 10 4 2 3 3" xfId="5994" xr:uid="{00000000-0005-0000-0000-0000226F0000}"/>
    <cellStyle name="Percent 10 4 2 3 3 2" xfId="14442" xr:uid="{00000000-0005-0000-0000-0000236F0000}"/>
    <cellStyle name="Percent 10 4 2 3 3 2 2" xfId="31382" xr:uid="{00000000-0005-0000-0000-0000246F0000}"/>
    <cellStyle name="Percent 10 4 2 3 3 3" xfId="22934" xr:uid="{00000000-0005-0000-0000-0000256F0000}"/>
    <cellStyle name="Percent 10 4 2 3 4" xfId="10218" xr:uid="{00000000-0005-0000-0000-0000266F0000}"/>
    <cellStyle name="Percent 10 4 2 3 4 2" xfId="27158" xr:uid="{00000000-0005-0000-0000-0000276F0000}"/>
    <cellStyle name="Percent 10 4 2 3 5" xfId="18710" xr:uid="{00000000-0005-0000-0000-0000286F0000}"/>
    <cellStyle name="Percent 10 4 2 4" xfId="2824" xr:uid="{00000000-0005-0000-0000-0000296F0000}"/>
    <cellStyle name="Percent 10 4 2 4 2" xfId="7050" xr:uid="{00000000-0005-0000-0000-00002A6F0000}"/>
    <cellStyle name="Percent 10 4 2 4 2 2" xfId="15498" xr:uid="{00000000-0005-0000-0000-00002B6F0000}"/>
    <cellStyle name="Percent 10 4 2 4 2 2 2" xfId="32438" xr:uid="{00000000-0005-0000-0000-00002C6F0000}"/>
    <cellStyle name="Percent 10 4 2 4 2 3" xfId="23990" xr:uid="{00000000-0005-0000-0000-00002D6F0000}"/>
    <cellStyle name="Percent 10 4 2 4 3" xfId="11274" xr:uid="{00000000-0005-0000-0000-00002E6F0000}"/>
    <cellStyle name="Percent 10 4 2 4 3 2" xfId="28214" xr:uid="{00000000-0005-0000-0000-00002F6F0000}"/>
    <cellStyle name="Percent 10 4 2 4 4" xfId="19766" xr:uid="{00000000-0005-0000-0000-0000306F0000}"/>
    <cellStyle name="Percent 10 4 2 5" xfId="4938" xr:uid="{00000000-0005-0000-0000-0000316F0000}"/>
    <cellStyle name="Percent 10 4 2 5 2" xfId="13386" xr:uid="{00000000-0005-0000-0000-0000326F0000}"/>
    <cellStyle name="Percent 10 4 2 5 2 2" xfId="30326" xr:uid="{00000000-0005-0000-0000-0000336F0000}"/>
    <cellStyle name="Percent 10 4 2 5 3" xfId="21878" xr:uid="{00000000-0005-0000-0000-0000346F0000}"/>
    <cellStyle name="Percent 10 4 2 6" xfId="9162" xr:uid="{00000000-0005-0000-0000-0000356F0000}"/>
    <cellStyle name="Percent 10 4 2 6 2" xfId="26102" xr:uid="{00000000-0005-0000-0000-0000366F0000}"/>
    <cellStyle name="Percent 10 4 2 7" xfId="17654" xr:uid="{00000000-0005-0000-0000-0000376F0000}"/>
    <cellStyle name="Percent 10 4 3" xfId="882" xr:uid="{00000000-0005-0000-0000-0000386F0000}"/>
    <cellStyle name="Percent 10 4 3 2" xfId="1944" xr:uid="{00000000-0005-0000-0000-0000396F0000}"/>
    <cellStyle name="Percent 10 4 3 2 2" xfId="4056" xr:uid="{00000000-0005-0000-0000-00003A6F0000}"/>
    <cellStyle name="Percent 10 4 3 2 2 2" xfId="8282" xr:uid="{00000000-0005-0000-0000-00003B6F0000}"/>
    <cellStyle name="Percent 10 4 3 2 2 2 2" xfId="16730" xr:uid="{00000000-0005-0000-0000-00003C6F0000}"/>
    <cellStyle name="Percent 10 4 3 2 2 2 2 2" xfId="33670" xr:uid="{00000000-0005-0000-0000-00003D6F0000}"/>
    <cellStyle name="Percent 10 4 3 2 2 2 3" xfId="25222" xr:uid="{00000000-0005-0000-0000-00003E6F0000}"/>
    <cellStyle name="Percent 10 4 3 2 2 3" xfId="12506" xr:uid="{00000000-0005-0000-0000-00003F6F0000}"/>
    <cellStyle name="Percent 10 4 3 2 2 3 2" xfId="29446" xr:uid="{00000000-0005-0000-0000-0000406F0000}"/>
    <cellStyle name="Percent 10 4 3 2 2 4" xfId="20998" xr:uid="{00000000-0005-0000-0000-0000416F0000}"/>
    <cellStyle name="Percent 10 4 3 2 3" xfId="6170" xr:uid="{00000000-0005-0000-0000-0000426F0000}"/>
    <cellStyle name="Percent 10 4 3 2 3 2" xfId="14618" xr:uid="{00000000-0005-0000-0000-0000436F0000}"/>
    <cellStyle name="Percent 10 4 3 2 3 2 2" xfId="31558" xr:uid="{00000000-0005-0000-0000-0000446F0000}"/>
    <cellStyle name="Percent 10 4 3 2 3 3" xfId="23110" xr:uid="{00000000-0005-0000-0000-0000456F0000}"/>
    <cellStyle name="Percent 10 4 3 2 4" xfId="10394" xr:uid="{00000000-0005-0000-0000-0000466F0000}"/>
    <cellStyle name="Percent 10 4 3 2 4 2" xfId="27334" xr:uid="{00000000-0005-0000-0000-0000476F0000}"/>
    <cellStyle name="Percent 10 4 3 2 5" xfId="18886" xr:uid="{00000000-0005-0000-0000-0000486F0000}"/>
    <cellStyle name="Percent 10 4 3 3" xfId="3000" xr:uid="{00000000-0005-0000-0000-0000496F0000}"/>
    <cellStyle name="Percent 10 4 3 3 2" xfId="7226" xr:uid="{00000000-0005-0000-0000-00004A6F0000}"/>
    <cellStyle name="Percent 10 4 3 3 2 2" xfId="15674" xr:uid="{00000000-0005-0000-0000-00004B6F0000}"/>
    <cellStyle name="Percent 10 4 3 3 2 2 2" xfId="32614" xr:uid="{00000000-0005-0000-0000-00004C6F0000}"/>
    <cellStyle name="Percent 10 4 3 3 2 3" xfId="24166" xr:uid="{00000000-0005-0000-0000-00004D6F0000}"/>
    <cellStyle name="Percent 10 4 3 3 3" xfId="11450" xr:uid="{00000000-0005-0000-0000-00004E6F0000}"/>
    <cellStyle name="Percent 10 4 3 3 3 2" xfId="28390" xr:uid="{00000000-0005-0000-0000-00004F6F0000}"/>
    <cellStyle name="Percent 10 4 3 3 4" xfId="19942" xr:uid="{00000000-0005-0000-0000-0000506F0000}"/>
    <cellStyle name="Percent 10 4 3 4" xfId="5114" xr:uid="{00000000-0005-0000-0000-0000516F0000}"/>
    <cellStyle name="Percent 10 4 3 4 2" xfId="13562" xr:uid="{00000000-0005-0000-0000-0000526F0000}"/>
    <cellStyle name="Percent 10 4 3 4 2 2" xfId="30502" xr:uid="{00000000-0005-0000-0000-0000536F0000}"/>
    <cellStyle name="Percent 10 4 3 4 3" xfId="22054" xr:uid="{00000000-0005-0000-0000-0000546F0000}"/>
    <cellStyle name="Percent 10 4 3 5" xfId="9338" xr:uid="{00000000-0005-0000-0000-0000556F0000}"/>
    <cellStyle name="Percent 10 4 3 5 2" xfId="26278" xr:uid="{00000000-0005-0000-0000-0000566F0000}"/>
    <cellStyle name="Percent 10 4 3 6" xfId="17830" xr:uid="{00000000-0005-0000-0000-0000576F0000}"/>
    <cellStyle name="Percent 10 4 4" xfId="1234" xr:uid="{00000000-0005-0000-0000-0000586F0000}"/>
    <cellStyle name="Percent 10 4 4 2" xfId="2296" xr:uid="{00000000-0005-0000-0000-0000596F0000}"/>
    <cellStyle name="Percent 10 4 4 2 2" xfId="4408" xr:uid="{00000000-0005-0000-0000-00005A6F0000}"/>
    <cellStyle name="Percent 10 4 4 2 2 2" xfId="8634" xr:uid="{00000000-0005-0000-0000-00005B6F0000}"/>
    <cellStyle name="Percent 10 4 4 2 2 2 2" xfId="17082" xr:uid="{00000000-0005-0000-0000-00005C6F0000}"/>
    <cellStyle name="Percent 10 4 4 2 2 2 2 2" xfId="34022" xr:uid="{00000000-0005-0000-0000-00005D6F0000}"/>
    <cellStyle name="Percent 10 4 4 2 2 2 3" xfId="25574" xr:uid="{00000000-0005-0000-0000-00005E6F0000}"/>
    <cellStyle name="Percent 10 4 4 2 2 3" xfId="12858" xr:uid="{00000000-0005-0000-0000-00005F6F0000}"/>
    <cellStyle name="Percent 10 4 4 2 2 3 2" xfId="29798" xr:uid="{00000000-0005-0000-0000-0000606F0000}"/>
    <cellStyle name="Percent 10 4 4 2 2 4" xfId="21350" xr:uid="{00000000-0005-0000-0000-0000616F0000}"/>
    <cellStyle name="Percent 10 4 4 2 3" xfId="6522" xr:uid="{00000000-0005-0000-0000-0000626F0000}"/>
    <cellStyle name="Percent 10 4 4 2 3 2" xfId="14970" xr:uid="{00000000-0005-0000-0000-0000636F0000}"/>
    <cellStyle name="Percent 10 4 4 2 3 2 2" xfId="31910" xr:uid="{00000000-0005-0000-0000-0000646F0000}"/>
    <cellStyle name="Percent 10 4 4 2 3 3" xfId="23462" xr:uid="{00000000-0005-0000-0000-0000656F0000}"/>
    <cellStyle name="Percent 10 4 4 2 4" xfId="10746" xr:uid="{00000000-0005-0000-0000-0000666F0000}"/>
    <cellStyle name="Percent 10 4 4 2 4 2" xfId="27686" xr:uid="{00000000-0005-0000-0000-0000676F0000}"/>
    <cellStyle name="Percent 10 4 4 2 5" xfId="19238" xr:uid="{00000000-0005-0000-0000-0000686F0000}"/>
    <cellStyle name="Percent 10 4 4 3" xfId="3352" xr:uid="{00000000-0005-0000-0000-0000696F0000}"/>
    <cellStyle name="Percent 10 4 4 3 2" xfId="7578" xr:uid="{00000000-0005-0000-0000-00006A6F0000}"/>
    <cellStyle name="Percent 10 4 4 3 2 2" xfId="16026" xr:uid="{00000000-0005-0000-0000-00006B6F0000}"/>
    <cellStyle name="Percent 10 4 4 3 2 2 2" xfId="32966" xr:uid="{00000000-0005-0000-0000-00006C6F0000}"/>
    <cellStyle name="Percent 10 4 4 3 2 3" xfId="24518" xr:uid="{00000000-0005-0000-0000-00006D6F0000}"/>
    <cellStyle name="Percent 10 4 4 3 3" xfId="11802" xr:uid="{00000000-0005-0000-0000-00006E6F0000}"/>
    <cellStyle name="Percent 10 4 4 3 3 2" xfId="28742" xr:uid="{00000000-0005-0000-0000-00006F6F0000}"/>
    <cellStyle name="Percent 10 4 4 3 4" xfId="20294" xr:uid="{00000000-0005-0000-0000-0000706F0000}"/>
    <cellStyle name="Percent 10 4 4 4" xfId="5466" xr:uid="{00000000-0005-0000-0000-0000716F0000}"/>
    <cellStyle name="Percent 10 4 4 4 2" xfId="13914" xr:uid="{00000000-0005-0000-0000-0000726F0000}"/>
    <cellStyle name="Percent 10 4 4 4 2 2" xfId="30854" xr:uid="{00000000-0005-0000-0000-0000736F0000}"/>
    <cellStyle name="Percent 10 4 4 4 3" xfId="22406" xr:uid="{00000000-0005-0000-0000-0000746F0000}"/>
    <cellStyle name="Percent 10 4 4 5" xfId="9690" xr:uid="{00000000-0005-0000-0000-0000756F0000}"/>
    <cellStyle name="Percent 10 4 4 5 2" xfId="26630" xr:uid="{00000000-0005-0000-0000-0000766F0000}"/>
    <cellStyle name="Percent 10 4 4 6" xfId="18182" xr:uid="{00000000-0005-0000-0000-0000776F0000}"/>
    <cellStyle name="Percent 10 4 5" xfId="1416" xr:uid="{00000000-0005-0000-0000-0000786F0000}"/>
    <cellStyle name="Percent 10 4 5 2" xfId="2472" xr:uid="{00000000-0005-0000-0000-0000796F0000}"/>
    <cellStyle name="Percent 10 4 5 2 2" xfId="4584" xr:uid="{00000000-0005-0000-0000-00007A6F0000}"/>
    <cellStyle name="Percent 10 4 5 2 2 2" xfId="8810" xr:uid="{00000000-0005-0000-0000-00007B6F0000}"/>
    <cellStyle name="Percent 10 4 5 2 2 2 2" xfId="17258" xr:uid="{00000000-0005-0000-0000-00007C6F0000}"/>
    <cellStyle name="Percent 10 4 5 2 2 2 2 2" xfId="34198" xr:uid="{00000000-0005-0000-0000-00007D6F0000}"/>
    <cellStyle name="Percent 10 4 5 2 2 2 3" xfId="25750" xr:uid="{00000000-0005-0000-0000-00007E6F0000}"/>
    <cellStyle name="Percent 10 4 5 2 2 3" xfId="13034" xr:uid="{00000000-0005-0000-0000-00007F6F0000}"/>
    <cellStyle name="Percent 10 4 5 2 2 3 2" xfId="29974" xr:uid="{00000000-0005-0000-0000-0000806F0000}"/>
    <cellStyle name="Percent 10 4 5 2 2 4" xfId="21526" xr:uid="{00000000-0005-0000-0000-0000816F0000}"/>
    <cellStyle name="Percent 10 4 5 2 3" xfId="6698" xr:uid="{00000000-0005-0000-0000-0000826F0000}"/>
    <cellStyle name="Percent 10 4 5 2 3 2" xfId="15146" xr:uid="{00000000-0005-0000-0000-0000836F0000}"/>
    <cellStyle name="Percent 10 4 5 2 3 2 2" xfId="32086" xr:uid="{00000000-0005-0000-0000-0000846F0000}"/>
    <cellStyle name="Percent 10 4 5 2 3 3" xfId="23638" xr:uid="{00000000-0005-0000-0000-0000856F0000}"/>
    <cellStyle name="Percent 10 4 5 2 4" xfId="10922" xr:uid="{00000000-0005-0000-0000-0000866F0000}"/>
    <cellStyle name="Percent 10 4 5 2 4 2" xfId="27862" xr:uid="{00000000-0005-0000-0000-0000876F0000}"/>
    <cellStyle name="Percent 10 4 5 2 5" xfId="19414" xr:uid="{00000000-0005-0000-0000-0000886F0000}"/>
    <cellStyle name="Percent 10 4 5 3" xfId="3528" xr:uid="{00000000-0005-0000-0000-0000896F0000}"/>
    <cellStyle name="Percent 10 4 5 3 2" xfId="7754" xr:uid="{00000000-0005-0000-0000-00008A6F0000}"/>
    <cellStyle name="Percent 10 4 5 3 2 2" xfId="16202" xr:uid="{00000000-0005-0000-0000-00008B6F0000}"/>
    <cellStyle name="Percent 10 4 5 3 2 2 2" xfId="33142" xr:uid="{00000000-0005-0000-0000-00008C6F0000}"/>
    <cellStyle name="Percent 10 4 5 3 2 3" xfId="24694" xr:uid="{00000000-0005-0000-0000-00008D6F0000}"/>
    <cellStyle name="Percent 10 4 5 3 3" xfId="11978" xr:uid="{00000000-0005-0000-0000-00008E6F0000}"/>
    <cellStyle name="Percent 10 4 5 3 3 2" xfId="28918" xr:uid="{00000000-0005-0000-0000-00008F6F0000}"/>
    <cellStyle name="Percent 10 4 5 3 4" xfId="20470" xr:uid="{00000000-0005-0000-0000-0000906F0000}"/>
    <cellStyle name="Percent 10 4 5 4" xfId="5642" xr:uid="{00000000-0005-0000-0000-0000916F0000}"/>
    <cellStyle name="Percent 10 4 5 4 2" xfId="14090" xr:uid="{00000000-0005-0000-0000-0000926F0000}"/>
    <cellStyle name="Percent 10 4 5 4 2 2" xfId="31030" xr:uid="{00000000-0005-0000-0000-0000936F0000}"/>
    <cellStyle name="Percent 10 4 5 4 3" xfId="22582" xr:uid="{00000000-0005-0000-0000-0000946F0000}"/>
    <cellStyle name="Percent 10 4 5 5" xfId="9866" xr:uid="{00000000-0005-0000-0000-0000956F0000}"/>
    <cellStyle name="Percent 10 4 5 5 2" xfId="26806" xr:uid="{00000000-0005-0000-0000-0000966F0000}"/>
    <cellStyle name="Percent 10 4 5 6" xfId="18358" xr:uid="{00000000-0005-0000-0000-0000976F0000}"/>
    <cellStyle name="Percent 10 4 6" xfId="1592" xr:uid="{00000000-0005-0000-0000-0000986F0000}"/>
    <cellStyle name="Percent 10 4 6 2" xfId="3704" xr:uid="{00000000-0005-0000-0000-0000996F0000}"/>
    <cellStyle name="Percent 10 4 6 2 2" xfId="7930" xr:uid="{00000000-0005-0000-0000-00009A6F0000}"/>
    <cellStyle name="Percent 10 4 6 2 2 2" xfId="16378" xr:uid="{00000000-0005-0000-0000-00009B6F0000}"/>
    <cellStyle name="Percent 10 4 6 2 2 2 2" xfId="33318" xr:uid="{00000000-0005-0000-0000-00009C6F0000}"/>
    <cellStyle name="Percent 10 4 6 2 2 3" xfId="24870" xr:uid="{00000000-0005-0000-0000-00009D6F0000}"/>
    <cellStyle name="Percent 10 4 6 2 3" xfId="12154" xr:uid="{00000000-0005-0000-0000-00009E6F0000}"/>
    <cellStyle name="Percent 10 4 6 2 3 2" xfId="29094" xr:uid="{00000000-0005-0000-0000-00009F6F0000}"/>
    <cellStyle name="Percent 10 4 6 2 4" xfId="20646" xr:uid="{00000000-0005-0000-0000-0000A06F0000}"/>
    <cellStyle name="Percent 10 4 6 3" xfId="5818" xr:uid="{00000000-0005-0000-0000-0000A16F0000}"/>
    <cellStyle name="Percent 10 4 6 3 2" xfId="14266" xr:uid="{00000000-0005-0000-0000-0000A26F0000}"/>
    <cellStyle name="Percent 10 4 6 3 2 2" xfId="31206" xr:uid="{00000000-0005-0000-0000-0000A36F0000}"/>
    <cellStyle name="Percent 10 4 6 3 3" xfId="22758" xr:uid="{00000000-0005-0000-0000-0000A46F0000}"/>
    <cellStyle name="Percent 10 4 6 4" xfId="10042" xr:uid="{00000000-0005-0000-0000-0000A56F0000}"/>
    <cellStyle name="Percent 10 4 6 4 2" xfId="26982" xr:uid="{00000000-0005-0000-0000-0000A66F0000}"/>
    <cellStyle name="Percent 10 4 6 5" xfId="18534" xr:uid="{00000000-0005-0000-0000-0000A76F0000}"/>
    <cellStyle name="Percent 10 4 7" xfId="2648" xr:uid="{00000000-0005-0000-0000-0000A86F0000}"/>
    <cellStyle name="Percent 10 4 7 2" xfId="6874" xr:uid="{00000000-0005-0000-0000-0000A96F0000}"/>
    <cellStyle name="Percent 10 4 7 2 2" xfId="15322" xr:uid="{00000000-0005-0000-0000-0000AA6F0000}"/>
    <cellStyle name="Percent 10 4 7 2 2 2" xfId="32262" xr:uid="{00000000-0005-0000-0000-0000AB6F0000}"/>
    <cellStyle name="Percent 10 4 7 2 3" xfId="23814" xr:uid="{00000000-0005-0000-0000-0000AC6F0000}"/>
    <cellStyle name="Percent 10 4 7 3" xfId="11098" xr:uid="{00000000-0005-0000-0000-0000AD6F0000}"/>
    <cellStyle name="Percent 10 4 7 3 2" xfId="28038" xr:uid="{00000000-0005-0000-0000-0000AE6F0000}"/>
    <cellStyle name="Percent 10 4 7 4" xfId="19590" xr:uid="{00000000-0005-0000-0000-0000AF6F0000}"/>
    <cellStyle name="Percent 10 4 8" xfId="4761" xr:uid="{00000000-0005-0000-0000-0000B06F0000}"/>
    <cellStyle name="Percent 10 4 8 2" xfId="13210" xr:uid="{00000000-0005-0000-0000-0000B16F0000}"/>
    <cellStyle name="Percent 10 4 8 2 2" xfId="30150" xr:uid="{00000000-0005-0000-0000-0000B26F0000}"/>
    <cellStyle name="Percent 10 4 8 3" xfId="21702" xr:uid="{00000000-0005-0000-0000-0000B36F0000}"/>
    <cellStyle name="Percent 10 4 9" xfId="8986" xr:uid="{00000000-0005-0000-0000-0000B46F0000}"/>
    <cellStyle name="Percent 10 4 9 2" xfId="25926" xr:uid="{00000000-0005-0000-0000-0000B56F0000}"/>
    <cellStyle name="Percent 10 5" xfId="427" xr:uid="{00000000-0005-0000-0000-0000B66F0000}"/>
    <cellStyle name="Percent 10 5 10" xfId="17479" xr:uid="{00000000-0005-0000-0000-0000B76F0000}"/>
    <cellStyle name="Percent 10 5 2" xfId="707" xr:uid="{00000000-0005-0000-0000-0000B86F0000}"/>
    <cellStyle name="Percent 10 5 2 2" xfId="1059" xr:uid="{00000000-0005-0000-0000-0000B96F0000}"/>
    <cellStyle name="Percent 10 5 2 2 2" xfId="2121" xr:uid="{00000000-0005-0000-0000-0000BA6F0000}"/>
    <cellStyle name="Percent 10 5 2 2 2 2" xfId="4233" xr:uid="{00000000-0005-0000-0000-0000BB6F0000}"/>
    <cellStyle name="Percent 10 5 2 2 2 2 2" xfId="8459" xr:uid="{00000000-0005-0000-0000-0000BC6F0000}"/>
    <cellStyle name="Percent 10 5 2 2 2 2 2 2" xfId="16907" xr:uid="{00000000-0005-0000-0000-0000BD6F0000}"/>
    <cellStyle name="Percent 10 5 2 2 2 2 2 2 2" xfId="33847" xr:uid="{00000000-0005-0000-0000-0000BE6F0000}"/>
    <cellStyle name="Percent 10 5 2 2 2 2 2 3" xfId="25399" xr:uid="{00000000-0005-0000-0000-0000BF6F0000}"/>
    <cellStyle name="Percent 10 5 2 2 2 2 3" xfId="12683" xr:uid="{00000000-0005-0000-0000-0000C06F0000}"/>
    <cellStyle name="Percent 10 5 2 2 2 2 3 2" xfId="29623" xr:uid="{00000000-0005-0000-0000-0000C16F0000}"/>
    <cellStyle name="Percent 10 5 2 2 2 2 4" xfId="21175" xr:uid="{00000000-0005-0000-0000-0000C26F0000}"/>
    <cellStyle name="Percent 10 5 2 2 2 3" xfId="6347" xr:uid="{00000000-0005-0000-0000-0000C36F0000}"/>
    <cellStyle name="Percent 10 5 2 2 2 3 2" xfId="14795" xr:uid="{00000000-0005-0000-0000-0000C46F0000}"/>
    <cellStyle name="Percent 10 5 2 2 2 3 2 2" xfId="31735" xr:uid="{00000000-0005-0000-0000-0000C56F0000}"/>
    <cellStyle name="Percent 10 5 2 2 2 3 3" xfId="23287" xr:uid="{00000000-0005-0000-0000-0000C66F0000}"/>
    <cellStyle name="Percent 10 5 2 2 2 4" xfId="10571" xr:uid="{00000000-0005-0000-0000-0000C76F0000}"/>
    <cellStyle name="Percent 10 5 2 2 2 4 2" xfId="27511" xr:uid="{00000000-0005-0000-0000-0000C86F0000}"/>
    <cellStyle name="Percent 10 5 2 2 2 5" xfId="19063" xr:uid="{00000000-0005-0000-0000-0000C96F0000}"/>
    <cellStyle name="Percent 10 5 2 2 3" xfId="3177" xr:uid="{00000000-0005-0000-0000-0000CA6F0000}"/>
    <cellStyle name="Percent 10 5 2 2 3 2" xfId="7403" xr:uid="{00000000-0005-0000-0000-0000CB6F0000}"/>
    <cellStyle name="Percent 10 5 2 2 3 2 2" xfId="15851" xr:uid="{00000000-0005-0000-0000-0000CC6F0000}"/>
    <cellStyle name="Percent 10 5 2 2 3 2 2 2" xfId="32791" xr:uid="{00000000-0005-0000-0000-0000CD6F0000}"/>
    <cellStyle name="Percent 10 5 2 2 3 2 3" xfId="24343" xr:uid="{00000000-0005-0000-0000-0000CE6F0000}"/>
    <cellStyle name="Percent 10 5 2 2 3 3" xfId="11627" xr:uid="{00000000-0005-0000-0000-0000CF6F0000}"/>
    <cellStyle name="Percent 10 5 2 2 3 3 2" xfId="28567" xr:uid="{00000000-0005-0000-0000-0000D06F0000}"/>
    <cellStyle name="Percent 10 5 2 2 3 4" xfId="20119" xr:uid="{00000000-0005-0000-0000-0000D16F0000}"/>
    <cellStyle name="Percent 10 5 2 2 4" xfId="5291" xr:uid="{00000000-0005-0000-0000-0000D26F0000}"/>
    <cellStyle name="Percent 10 5 2 2 4 2" xfId="13739" xr:uid="{00000000-0005-0000-0000-0000D36F0000}"/>
    <cellStyle name="Percent 10 5 2 2 4 2 2" xfId="30679" xr:uid="{00000000-0005-0000-0000-0000D46F0000}"/>
    <cellStyle name="Percent 10 5 2 2 4 3" xfId="22231" xr:uid="{00000000-0005-0000-0000-0000D56F0000}"/>
    <cellStyle name="Percent 10 5 2 2 5" xfId="9515" xr:uid="{00000000-0005-0000-0000-0000D66F0000}"/>
    <cellStyle name="Percent 10 5 2 2 5 2" xfId="26455" xr:uid="{00000000-0005-0000-0000-0000D76F0000}"/>
    <cellStyle name="Percent 10 5 2 2 6" xfId="18007" xr:uid="{00000000-0005-0000-0000-0000D86F0000}"/>
    <cellStyle name="Percent 10 5 2 3" xfId="1769" xr:uid="{00000000-0005-0000-0000-0000D96F0000}"/>
    <cellStyle name="Percent 10 5 2 3 2" xfId="3881" xr:uid="{00000000-0005-0000-0000-0000DA6F0000}"/>
    <cellStyle name="Percent 10 5 2 3 2 2" xfId="8107" xr:uid="{00000000-0005-0000-0000-0000DB6F0000}"/>
    <cellStyle name="Percent 10 5 2 3 2 2 2" xfId="16555" xr:uid="{00000000-0005-0000-0000-0000DC6F0000}"/>
    <cellStyle name="Percent 10 5 2 3 2 2 2 2" xfId="33495" xr:uid="{00000000-0005-0000-0000-0000DD6F0000}"/>
    <cellStyle name="Percent 10 5 2 3 2 2 3" xfId="25047" xr:uid="{00000000-0005-0000-0000-0000DE6F0000}"/>
    <cellStyle name="Percent 10 5 2 3 2 3" xfId="12331" xr:uid="{00000000-0005-0000-0000-0000DF6F0000}"/>
    <cellStyle name="Percent 10 5 2 3 2 3 2" xfId="29271" xr:uid="{00000000-0005-0000-0000-0000E06F0000}"/>
    <cellStyle name="Percent 10 5 2 3 2 4" xfId="20823" xr:uid="{00000000-0005-0000-0000-0000E16F0000}"/>
    <cellStyle name="Percent 10 5 2 3 3" xfId="5995" xr:uid="{00000000-0005-0000-0000-0000E26F0000}"/>
    <cellStyle name="Percent 10 5 2 3 3 2" xfId="14443" xr:uid="{00000000-0005-0000-0000-0000E36F0000}"/>
    <cellStyle name="Percent 10 5 2 3 3 2 2" xfId="31383" xr:uid="{00000000-0005-0000-0000-0000E46F0000}"/>
    <cellStyle name="Percent 10 5 2 3 3 3" xfId="22935" xr:uid="{00000000-0005-0000-0000-0000E56F0000}"/>
    <cellStyle name="Percent 10 5 2 3 4" xfId="10219" xr:uid="{00000000-0005-0000-0000-0000E66F0000}"/>
    <cellStyle name="Percent 10 5 2 3 4 2" xfId="27159" xr:uid="{00000000-0005-0000-0000-0000E76F0000}"/>
    <cellStyle name="Percent 10 5 2 3 5" xfId="18711" xr:uid="{00000000-0005-0000-0000-0000E86F0000}"/>
    <cellStyle name="Percent 10 5 2 4" xfId="2825" xr:uid="{00000000-0005-0000-0000-0000E96F0000}"/>
    <cellStyle name="Percent 10 5 2 4 2" xfId="7051" xr:uid="{00000000-0005-0000-0000-0000EA6F0000}"/>
    <cellStyle name="Percent 10 5 2 4 2 2" xfId="15499" xr:uid="{00000000-0005-0000-0000-0000EB6F0000}"/>
    <cellStyle name="Percent 10 5 2 4 2 2 2" xfId="32439" xr:uid="{00000000-0005-0000-0000-0000EC6F0000}"/>
    <cellStyle name="Percent 10 5 2 4 2 3" xfId="23991" xr:uid="{00000000-0005-0000-0000-0000ED6F0000}"/>
    <cellStyle name="Percent 10 5 2 4 3" xfId="11275" xr:uid="{00000000-0005-0000-0000-0000EE6F0000}"/>
    <cellStyle name="Percent 10 5 2 4 3 2" xfId="28215" xr:uid="{00000000-0005-0000-0000-0000EF6F0000}"/>
    <cellStyle name="Percent 10 5 2 4 4" xfId="19767" xr:uid="{00000000-0005-0000-0000-0000F06F0000}"/>
    <cellStyle name="Percent 10 5 2 5" xfId="4939" xr:uid="{00000000-0005-0000-0000-0000F16F0000}"/>
    <cellStyle name="Percent 10 5 2 5 2" xfId="13387" xr:uid="{00000000-0005-0000-0000-0000F26F0000}"/>
    <cellStyle name="Percent 10 5 2 5 2 2" xfId="30327" xr:uid="{00000000-0005-0000-0000-0000F36F0000}"/>
    <cellStyle name="Percent 10 5 2 5 3" xfId="21879" xr:uid="{00000000-0005-0000-0000-0000F46F0000}"/>
    <cellStyle name="Percent 10 5 2 6" xfId="9163" xr:uid="{00000000-0005-0000-0000-0000F56F0000}"/>
    <cellStyle name="Percent 10 5 2 6 2" xfId="26103" xr:uid="{00000000-0005-0000-0000-0000F66F0000}"/>
    <cellStyle name="Percent 10 5 2 7" xfId="17655" xr:uid="{00000000-0005-0000-0000-0000F76F0000}"/>
    <cellStyle name="Percent 10 5 3" xfId="883" xr:uid="{00000000-0005-0000-0000-0000F86F0000}"/>
    <cellStyle name="Percent 10 5 3 2" xfId="1945" xr:uid="{00000000-0005-0000-0000-0000F96F0000}"/>
    <cellStyle name="Percent 10 5 3 2 2" xfId="4057" xr:uid="{00000000-0005-0000-0000-0000FA6F0000}"/>
    <cellStyle name="Percent 10 5 3 2 2 2" xfId="8283" xr:uid="{00000000-0005-0000-0000-0000FB6F0000}"/>
    <cellStyle name="Percent 10 5 3 2 2 2 2" xfId="16731" xr:uid="{00000000-0005-0000-0000-0000FC6F0000}"/>
    <cellStyle name="Percent 10 5 3 2 2 2 2 2" xfId="33671" xr:uid="{00000000-0005-0000-0000-0000FD6F0000}"/>
    <cellStyle name="Percent 10 5 3 2 2 2 3" xfId="25223" xr:uid="{00000000-0005-0000-0000-0000FE6F0000}"/>
    <cellStyle name="Percent 10 5 3 2 2 3" xfId="12507" xr:uid="{00000000-0005-0000-0000-0000FF6F0000}"/>
    <cellStyle name="Percent 10 5 3 2 2 3 2" xfId="29447" xr:uid="{00000000-0005-0000-0000-000000700000}"/>
    <cellStyle name="Percent 10 5 3 2 2 4" xfId="20999" xr:uid="{00000000-0005-0000-0000-000001700000}"/>
    <cellStyle name="Percent 10 5 3 2 3" xfId="6171" xr:uid="{00000000-0005-0000-0000-000002700000}"/>
    <cellStyle name="Percent 10 5 3 2 3 2" xfId="14619" xr:uid="{00000000-0005-0000-0000-000003700000}"/>
    <cellStyle name="Percent 10 5 3 2 3 2 2" xfId="31559" xr:uid="{00000000-0005-0000-0000-000004700000}"/>
    <cellStyle name="Percent 10 5 3 2 3 3" xfId="23111" xr:uid="{00000000-0005-0000-0000-000005700000}"/>
    <cellStyle name="Percent 10 5 3 2 4" xfId="10395" xr:uid="{00000000-0005-0000-0000-000006700000}"/>
    <cellStyle name="Percent 10 5 3 2 4 2" xfId="27335" xr:uid="{00000000-0005-0000-0000-000007700000}"/>
    <cellStyle name="Percent 10 5 3 2 5" xfId="18887" xr:uid="{00000000-0005-0000-0000-000008700000}"/>
    <cellStyle name="Percent 10 5 3 3" xfId="3001" xr:uid="{00000000-0005-0000-0000-000009700000}"/>
    <cellStyle name="Percent 10 5 3 3 2" xfId="7227" xr:uid="{00000000-0005-0000-0000-00000A700000}"/>
    <cellStyle name="Percent 10 5 3 3 2 2" xfId="15675" xr:uid="{00000000-0005-0000-0000-00000B700000}"/>
    <cellStyle name="Percent 10 5 3 3 2 2 2" xfId="32615" xr:uid="{00000000-0005-0000-0000-00000C700000}"/>
    <cellStyle name="Percent 10 5 3 3 2 3" xfId="24167" xr:uid="{00000000-0005-0000-0000-00000D700000}"/>
    <cellStyle name="Percent 10 5 3 3 3" xfId="11451" xr:uid="{00000000-0005-0000-0000-00000E700000}"/>
    <cellStyle name="Percent 10 5 3 3 3 2" xfId="28391" xr:uid="{00000000-0005-0000-0000-00000F700000}"/>
    <cellStyle name="Percent 10 5 3 3 4" xfId="19943" xr:uid="{00000000-0005-0000-0000-000010700000}"/>
    <cellStyle name="Percent 10 5 3 4" xfId="5115" xr:uid="{00000000-0005-0000-0000-000011700000}"/>
    <cellStyle name="Percent 10 5 3 4 2" xfId="13563" xr:uid="{00000000-0005-0000-0000-000012700000}"/>
    <cellStyle name="Percent 10 5 3 4 2 2" xfId="30503" xr:uid="{00000000-0005-0000-0000-000013700000}"/>
    <cellStyle name="Percent 10 5 3 4 3" xfId="22055" xr:uid="{00000000-0005-0000-0000-000014700000}"/>
    <cellStyle name="Percent 10 5 3 5" xfId="9339" xr:uid="{00000000-0005-0000-0000-000015700000}"/>
    <cellStyle name="Percent 10 5 3 5 2" xfId="26279" xr:uid="{00000000-0005-0000-0000-000016700000}"/>
    <cellStyle name="Percent 10 5 3 6" xfId="17831" xr:uid="{00000000-0005-0000-0000-000017700000}"/>
    <cellStyle name="Percent 10 5 4" xfId="1235" xr:uid="{00000000-0005-0000-0000-000018700000}"/>
    <cellStyle name="Percent 10 5 4 2" xfId="2297" xr:uid="{00000000-0005-0000-0000-000019700000}"/>
    <cellStyle name="Percent 10 5 4 2 2" xfId="4409" xr:uid="{00000000-0005-0000-0000-00001A700000}"/>
    <cellStyle name="Percent 10 5 4 2 2 2" xfId="8635" xr:uid="{00000000-0005-0000-0000-00001B700000}"/>
    <cellStyle name="Percent 10 5 4 2 2 2 2" xfId="17083" xr:uid="{00000000-0005-0000-0000-00001C700000}"/>
    <cellStyle name="Percent 10 5 4 2 2 2 2 2" xfId="34023" xr:uid="{00000000-0005-0000-0000-00001D700000}"/>
    <cellStyle name="Percent 10 5 4 2 2 2 3" xfId="25575" xr:uid="{00000000-0005-0000-0000-00001E700000}"/>
    <cellStyle name="Percent 10 5 4 2 2 3" xfId="12859" xr:uid="{00000000-0005-0000-0000-00001F700000}"/>
    <cellStyle name="Percent 10 5 4 2 2 3 2" xfId="29799" xr:uid="{00000000-0005-0000-0000-000020700000}"/>
    <cellStyle name="Percent 10 5 4 2 2 4" xfId="21351" xr:uid="{00000000-0005-0000-0000-000021700000}"/>
    <cellStyle name="Percent 10 5 4 2 3" xfId="6523" xr:uid="{00000000-0005-0000-0000-000022700000}"/>
    <cellStyle name="Percent 10 5 4 2 3 2" xfId="14971" xr:uid="{00000000-0005-0000-0000-000023700000}"/>
    <cellStyle name="Percent 10 5 4 2 3 2 2" xfId="31911" xr:uid="{00000000-0005-0000-0000-000024700000}"/>
    <cellStyle name="Percent 10 5 4 2 3 3" xfId="23463" xr:uid="{00000000-0005-0000-0000-000025700000}"/>
    <cellStyle name="Percent 10 5 4 2 4" xfId="10747" xr:uid="{00000000-0005-0000-0000-000026700000}"/>
    <cellStyle name="Percent 10 5 4 2 4 2" xfId="27687" xr:uid="{00000000-0005-0000-0000-000027700000}"/>
    <cellStyle name="Percent 10 5 4 2 5" xfId="19239" xr:uid="{00000000-0005-0000-0000-000028700000}"/>
    <cellStyle name="Percent 10 5 4 3" xfId="3353" xr:uid="{00000000-0005-0000-0000-000029700000}"/>
    <cellStyle name="Percent 10 5 4 3 2" xfId="7579" xr:uid="{00000000-0005-0000-0000-00002A700000}"/>
    <cellStyle name="Percent 10 5 4 3 2 2" xfId="16027" xr:uid="{00000000-0005-0000-0000-00002B700000}"/>
    <cellStyle name="Percent 10 5 4 3 2 2 2" xfId="32967" xr:uid="{00000000-0005-0000-0000-00002C700000}"/>
    <cellStyle name="Percent 10 5 4 3 2 3" xfId="24519" xr:uid="{00000000-0005-0000-0000-00002D700000}"/>
    <cellStyle name="Percent 10 5 4 3 3" xfId="11803" xr:uid="{00000000-0005-0000-0000-00002E700000}"/>
    <cellStyle name="Percent 10 5 4 3 3 2" xfId="28743" xr:uid="{00000000-0005-0000-0000-00002F700000}"/>
    <cellStyle name="Percent 10 5 4 3 4" xfId="20295" xr:uid="{00000000-0005-0000-0000-000030700000}"/>
    <cellStyle name="Percent 10 5 4 4" xfId="5467" xr:uid="{00000000-0005-0000-0000-000031700000}"/>
    <cellStyle name="Percent 10 5 4 4 2" xfId="13915" xr:uid="{00000000-0005-0000-0000-000032700000}"/>
    <cellStyle name="Percent 10 5 4 4 2 2" xfId="30855" xr:uid="{00000000-0005-0000-0000-000033700000}"/>
    <cellStyle name="Percent 10 5 4 4 3" xfId="22407" xr:uid="{00000000-0005-0000-0000-000034700000}"/>
    <cellStyle name="Percent 10 5 4 5" xfId="9691" xr:uid="{00000000-0005-0000-0000-000035700000}"/>
    <cellStyle name="Percent 10 5 4 5 2" xfId="26631" xr:uid="{00000000-0005-0000-0000-000036700000}"/>
    <cellStyle name="Percent 10 5 4 6" xfId="18183" xr:uid="{00000000-0005-0000-0000-000037700000}"/>
    <cellStyle name="Percent 10 5 5" xfId="1417" xr:uid="{00000000-0005-0000-0000-000038700000}"/>
    <cellStyle name="Percent 10 5 5 2" xfId="2473" xr:uid="{00000000-0005-0000-0000-000039700000}"/>
    <cellStyle name="Percent 10 5 5 2 2" xfId="4585" xr:uid="{00000000-0005-0000-0000-00003A700000}"/>
    <cellStyle name="Percent 10 5 5 2 2 2" xfId="8811" xr:uid="{00000000-0005-0000-0000-00003B700000}"/>
    <cellStyle name="Percent 10 5 5 2 2 2 2" xfId="17259" xr:uid="{00000000-0005-0000-0000-00003C700000}"/>
    <cellStyle name="Percent 10 5 5 2 2 2 2 2" xfId="34199" xr:uid="{00000000-0005-0000-0000-00003D700000}"/>
    <cellStyle name="Percent 10 5 5 2 2 2 3" xfId="25751" xr:uid="{00000000-0005-0000-0000-00003E700000}"/>
    <cellStyle name="Percent 10 5 5 2 2 3" xfId="13035" xr:uid="{00000000-0005-0000-0000-00003F700000}"/>
    <cellStyle name="Percent 10 5 5 2 2 3 2" xfId="29975" xr:uid="{00000000-0005-0000-0000-000040700000}"/>
    <cellStyle name="Percent 10 5 5 2 2 4" xfId="21527" xr:uid="{00000000-0005-0000-0000-000041700000}"/>
    <cellStyle name="Percent 10 5 5 2 3" xfId="6699" xr:uid="{00000000-0005-0000-0000-000042700000}"/>
    <cellStyle name="Percent 10 5 5 2 3 2" xfId="15147" xr:uid="{00000000-0005-0000-0000-000043700000}"/>
    <cellStyle name="Percent 10 5 5 2 3 2 2" xfId="32087" xr:uid="{00000000-0005-0000-0000-000044700000}"/>
    <cellStyle name="Percent 10 5 5 2 3 3" xfId="23639" xr:uid="{00000000-0005-0000-0000-000045700000}"/>
    <cellStyle name="Percent 10 5 5 2 4" xfId="10923" xr:uid="{00000000-0005-0000-0000-000046700000}"/>
    <cellStyle name="Percent 10 5 5 2 4 2" xfId="27863" xr:uid="{00000000-0005-0000-0000-000047700000}"/>
    <cellStyle name="Percent 10 5 5 2 5" xfId="19415" xr:uid="{00000000-0005-0000-0000-000048700000}"/>
    <cellStyle name="Percent 10 5 5 3" xfId="3529" xr:uid="{00000000-0005-0000-0000-000049700000}"/>
    <cellStyle name="Percent 10 5 5 3 2" xfId="7755" xr:uid="{00000000-0005-0000-0000-00004A700000}"/>
    <cellStyle name="Percent 10 5 5 3 2 2" xfId="16203" xr:uid="{00000000-0005-0000-0000-00004B700000}"/>
    <cellStyle name="Percent 10 5 5 3 2 2 2" xfId="33143" xr:uid="{00000000-0005-0000-0000-00004C700000}"/>
    <cellStyle name="Percent 10 5 5 3 2 3" xfId="24695" xr:uid="{00000000-0005-0000-0000-00004D700000}"/>
    <cellStyle name="Percent 10 5 5 3 3" xfId="11979" xr:uid="{00000000-0005-0000-0000-00004E700000}"/>
    <cellStyle name="Percent 10 5 5 3 3 2" xfId="28919" xr:uid="{00000000-0005-0000-0000-00004F700000}"/>
    <cellStyle name="Percent 10 5 5 3 4" xfId="20471" xr:uid="{00000000-0005-0000-0000-000050700000}"/>
    <cellStyle name="Percent 10 5 5 4" xfId="5643" xr:uid="{00000000-0005-0000-0000-000051700000}"/>
    <cellStyle name="Percent 10 5 5 4 2" xfId="14091" xr:uid="{00000000-0005-0000-0000-000052700000}"/>
    <cellStyle name="Percent 10 5 5 4 2 2" xfId="31031" xr:uid="{00000000-0005-0000-0000-000053700000}"/>
    <cellStyle name="Percent 10 5 5 4 3" xfId="22583" xr:uid="{00000000-0005-0000-0000-000054700000}"/>
    <cellStyle name="Percent 10 5 5 5" xfId="9867" xr:uid="{00000000-0005-0000-0000-000055700000}"/>
    <cellStyle name="Percent 10 5 5 5 2" xfId="26807" xr:uid="{00000000-0005-0000-0000-000056700000}"/>
    <cellStyle name="Percent 10 5 5 6" xfId="18359" xr:uid="{00000000-0005-0000-0000-000057700000}"/>
    <cellStyle name="Percent 10 5 6" xfId="1593" xr:uid="{00000000-0005-0000-0000-000058700000}"/>
    <cellStyle name="Percent 10 5 6 2" xfId="3705" xr:uid="{00000000-0005-0000-0000-000059700000}"/>
    <cellStyle name="Percent 10 5 6 2 2" xfId="7931" xr:uid="{00000000-0005-0000-0000-00005A700000}"/>
    <cellStyle name="Percent 10 5 6 2 2 2" xfId="16379" xr:uid="{00000000-0005-0000-0000-00005B700000}"/>
    <cellStyle name="Percent 10 5 6 2 2 2 2" xfId="33319" xr:uid="{00000000-0005-0000-0000-00005C700000}"/>
    <cellStyle name="Percent 10 5 6 2 2 3" xfId="24871" xr:uid="{00000000-0005-0000-0000-00005D700000}"/>
    <cellStyle name="Percent 10 5 6 2 3" xfId="12155" xr:uid="{00000000-0005-0000-0000-00005E700000}"/>
    <cellStyle name="Percent 10 5 6 2 3 2" xfId="29095" xr:uid="{00000000-0005-0000-0000-00005F700000}"/>
    <cellStyle name="Percent 10 5 6 2 4" xfId="20647" xr:uid="{00000000-0005-0000-0000-000060700000}"/>
    <cellStyle name="Percent 10 5 6 3" xfId="5819" xr:uid="{00000000-0005-0000-0000-000061700000}"/>
    <cellStyle name="Percent 10 5 6 3 2" xfId="14267" xr:uid="{00000000-0005-0000-0000-000062700000}"/>
    <cellStyle name="Percent 10 5 6 3 2 2" xfId="31207" xr:uid="{00000000-0005-0000-0000-000063700000}"/>
    <cellStyle name="Percent 10 5 6 3 3" xfId="22759" xr:uid="{00000000-0005-0000-0000-000064700000}"/>
    <cellStyle name="Percent 10 5 6 4" xfId="10043" xr:uid="{00000000-0005-0000-0000-000065700000}"/>
    <cellStyle name="Percent 10 5 6 4 2" xfId="26983" xr:uid="{00000000-0005-0000-0000-000066700000}"/>
    <cellStyle name="Percent 10 5 6 5" xfId="18535" xr:uid="{00000000-0005-0000-0000-000067700000}"/>
    <cellStyle name="Percent 10 5 7" xfId="2649" xr:uid="{00000000-0005-0000-0000-000068700000}"/>
    <cellStyle name="Percent 10 5 7 2" xfId="6875" xr:uid="{00000000-0005-0000-0000-000069700000}"/>
    <cellStyle name="Percent 10 5 7 2 2" xfId="15323" xr:uid="{00000000-0005-0000-0000-00006A700000}"/>
    <cellStyle name="Percent 10 5 7 2 2 2" xfId="32263" xr:uid="{00000000-0005-0000-0000-00006B700000}"/>
    <cellStyle name="Percent 10 5 7 2 3" xfId="23815" xr:uid="{00000000-0005-0000-0000-00006C700000}"/>
    <cellStyle name="Percent 10 5 7 3" xfId="11099" xr:uid="{00000000-0005-0000-0000-00006D700000}"/>
    <cellStyle name="Percent 10 5 7 3 2" xfId="28039" xr:uid="{00000000-0005-0000-0000-00006E700000}"/>
    <cellStyle name="Percent 10 5 7 4" xfId="19591" xr:uid="{00000000-0005-0000-0000-00006F700000}"/>
    <cellStyle name="Percent 10 5 8" xfId="4762" xr:uid="{00000000-0005-0000-0000-000070700000}"/>
    <cellStyle name="Percent 10 5 8 2" xfId="13211" xr:uid="{00000000-0005-0000-0000-000071700000}"/>
    <cellStyle name="Percent 10 5 8 2 2" xfId="30151" xr:uid="{00000000-0005-0000-0000-000072700000}"/>
    <cellStyle name="Percent 10 5 8 3" xfId="21703" xr:uid="{00000000-0005-0000-0000-000073700000}"/>
    <cellStyle name="Percent 10 5 9" xfId="8987" xr:uid="{00000000-0005-0000-0000-000074700000}"/>
    <cellStyle name="Percent 10 5 9 2" xfId="25927" xr:uid="{00000000-0005-0000-0000-000075700000}"/>
    <cellStyle name="Percent 10 6" xfId="702" xr:uid="{00000000-0005-0000-0000-000076700000}"/>
    <cellStyle name="Percent 10 6 2" xfId="1054" xr:uid="{00000000-0005-0000-0000-000077700000}"/>
    <cellStyle name="Percent 10 6 2 2" xfId="2116" xr:uid="{00000000-0005-0000-0000-000078700000}"/>
    <cellStyle name="Percent 10 6 2 2 2" xfId="4228" xr:uid="{00000000-0005-0000-0000-000079700000}"/>
    <cellStyle name="Percent 10 6 2 2 2 2" xfId="8454" xr:uid="{00000000-0005-0000-0000-00007A700000}"/>
    <cellStyle name="Percent 10 6 2 2 2 2 2" xfId="16902" xr:uid="{00000000-0005-0000-0000-00007B700000}"/>
    <cellStyle name="Percent 10 6 2 2 2 2 2 2" xfId="33842" xr:uid="{00000000-0005-0000-0000-00007C700000}"/>
    <cellStyle name="Percent 10 6 2 2 2 2 3" xfId="25394" xr:uid="{00000000-0005-0000-0000-00007D700000}"/>
    <cellStyle name="Percent 10 6 2 2 2 3" xfId="12678" xr:uid="{00000000-0005-0000-0000-00007E700000}"/>
    <cellStyle name="Percent 10 6 2 2 2 3 2" xfId="29618" xr:uid="{00000000-0005-0000-0000-00007F700000}"/>
    <cellStyle name="Percent 10 6 2 2 2 4" xfId="21170" xr:uid="{00000000-0005-0000-0000-000080700000}"/>
    <cellStyle name="Percent 10 6 2 2 3" xfId="6342" xr:uid="{00000000-0005-0000-0000-000081700000}"/>
    <cellStyle name="Percent 10 6 2 2 3 2" xfId="14790" xr:uid="{00000000-0005-0000-0000-000082700000}"/>
    <cellStyle name="Percent 10 6 2 2 3 2 2" xfId="31730" xr:uid="{00000000-0005-0000-0000-000083700000}"/>
    <cellStyle name="Percent 10 6 2 2 3 3" xfId="23282" xr:uid="{00000000-0005-0000-0000-000084700000}"/>
    <cellStyle name="Percent 10 6 2 2 4" xfId="10566" xr:uid="{00000000-0005-0000-0000-000085700000}"/>
    <cellStyle name="Percent 10 6 2 2 4 2" xfId="27506" xr:uid="{00000000-0005-0000-0000-000086700000}"/>
    <cellStyle name="Percent 10 6 2 2 5" xfId="19058" xr:uid="{00000000-0005-0000-0000-000087700000}"/>
    <cellStyle name="Percent 10 6 2 3" xfId="3172" xr:uid="{00000000-0005-0000-0000-000088700000}"/>
    <cellStyle name="Percent 10 6 2 3 2" xfId="7398" xr:uid="{00000000-0005-0000-0000-000089700000}"/>
    <cellStyle name="Percent 10 6 2 3 2 2" xfId="15846" xr:uid="{00000000-0005-0000-0000-00008A700000}"/>
    <cellStyle name="Percent 10 6 2 3 2 2 2" xfId="32786" xr:uid="{00000000-0005-0000-0000-00008B700000}"/>
    <cellStyle name="Percent 10 6 2 3 2 3" xfId="24338" xr:uid="{00000000-0005-0000-0000-00008C700000}"/>
    <cellStyle name="Percent 10 6 2 3 3" xfId="11622" xr:uid="{00000000-0005-0000-0000-00008D700000}"/>
    <cellStyle name="Percent 10 6 2 3 3 2" xfId="28562" xr:uid="{00000000-0005-0000-0000-00008E700000}"/>
    <cellStyle name="Percent 10 6 2 3 4" xfId="20114" xr:uid="{00000000-0005-0000-0000-00008F700000}"/>
    <cellStyle name="Percent 10 6 2 4" xfId="5286" xr:uid="{00000000-0005-0000-0000-000090700000}"/>
    <cellStyle name="Percent 10 6 2 4 2" xfId="13734" xr:uid="{00000000-0005-0000-0000-000091700000}"/>
    <cellStyle name="Percent 10 6 2 4 2 2" xfId="30674" xr:uid="{00000000-0005-0000-0000-000092700000}"/>
    <cellStyle name="Percent 10 6 2 4 3" xfId="22226" xr:uid="{00000000-0005-0000-0000-000093700000}"/>
    <cellStyle name="Percent 10 6 2 5" xfId="9510" xr:uid="{00000000-0005-0000-0000-000094700000}"/>
    <cellStyle name="Percent 10 6 2 5 2" xfId="26450" xr:uid="{00000000-0005-0000-0000-000095700000}"/>
    <cellStyle name="Percent 10 6 2 6" xfId="18002" xr:uid="{00000000-0005-0000-0000-000096700000}"/>
    <cellStyle name="Percent 10 6 3" xfId="1764" xr:uid="{00000000-0005-0000-0000-000097700000}"/>
    <cellStyle name="Percent 10 6 3 2" xfId="3876" xr:uid="{00000000-0005-0000-0000-000098700000}"/>
    <cellStyle name="Percent 10 6 3 2 2" xfId="8102" xr:uid="{00000000-0005-0000-0000-000099700000}"/>
    <cellStyle name="Percent 10 6 3 2 2 2" xfId="16550" xr:uid="{00000000-0005-0000-0000-00009A700000}"/>
    <cellStyle name="Percent 10 6 3 2 2 2 2" xfId="33490" xr:uid="{00000000-0005-0000-0000-00009B700000}"/>
    <cellStyle name="Percent 10 6 3 2 2 3" xfId="25042" xr:uid="{00000000-0005-0000-0000-00009C700000}"/>
    <cellStyle name="Percent 10 6 3 2 3" xfId="12326" xr:uid="{00000000-0005-0000-0000-00009D700000}"/>
    <cellStyle name="Percent 10 6 3 2 3 2" xfId="29266" xr:uid="{00000000-0005-0000-0000-00009E700000}"/>
    <cellStyle name="Percent 10 6 3 2 4" xfId="20818" xr:uid="{00000000-0005-0000-0000-00009F700000}"/>
    <cellStyle name="Percent 10 6 3 3" xfId="5990" xr:uid="{00000000-0005-0000-0000-0000A0700000}"/>
    <cellStyle name="Percent 10 6 3 3 2" xfId="14438" xr:uid="{00000000-0005-0000-0000-0000A1700000}"/>
    <cellStyle name="Percent 10 6 3 3 2 2" xfId="31378" xr:uid="{00000000-0005-0000-0000-0000A2700000}"/>
    <cellStyle name="Percent 10 6 3 3 3" xfId="22930" xr:uid="{00000000-0005-0000-0000-0000A3700000}"/>
    <cellStyle name="Percent 10 6 3 4" xfId="10214" xr:uid="{00000000-0005-0000-0000-0000A4700000}"/>
    <cellStyle name="Percent 10 6 3 4 2" xfId="27154" xr:uid="{00000000-0005-0000-0000-0000A5700000}"/>
    <cellStyle name="Percent 10 6 3 5" xfId="18706" xr:uid="{00000000-0005-0000-0000-0000A6700000}"/>
    <cellStyle name="Percent 10 6 4" xfId="2820" xr:uid="{00000000-0005-0000-0000-0000A7700000}"/>
    <cellStyle name="Percent 10 6 4 2" xfId="7046" xr:uid="{00000000-0005-0000-0000-0000A8700000}"/>
    <cellStyle name="Percent 10 6 4 2 2" xfId="15494" xr:uid="{00000000-0005-0000-0000-0000A9700000}"/>
    <cellStyle name="Percent 10 6 4 2 2 2" xfId="32434" xr:uid="{00000000-0005-0000-0000-0000AA700000}"/>
    <cellStyle name="Percent 10 6 4 2 3" xfId="23986" xr:uid="{00000000-0005-0000-0000-0000AB700000}"/>
    <cellStyle name="Percent 10 6 4 3" xfId="11270" xr:uid="{00000000-0005-0000-0000-0000AC700000}"/>
    <cellStyle name="Percent 10 6 4 3 2" xfId="28210" xr:uid="{00000000-0005-0000-0000-0000AD700000}"/>
    <cellStyle name="Percent 10 6 4 4" xfId="19762" xr:uid="{00000000-0005-0000-0000-0000AE700000}"/>
    <cellStyle name="Percent 10 6 5" xfId="4934" xr:uid="{00000000-0005-0000-0000-0000AF700000}"/>
    <cellStyle name="Percent 10 6 5 2" xfId="13382" xr:uid="{00000000-0005-0000-0000-0000B0700000}"/>
    <cellStyle name="Percent 10 6 5 2 2" xfId="30322" xr:uid="{00000000-0005-0000-0000-0000B1700000}"/>
    <cellStyle name="Percent 10 6 5 3" xfId="21874" xr:uid="{00000000-0005-0000-0000-0000B2700000}"/>
    <cellStyle name="Percent 10 6 6" xfId="9158" xr:uid="{00000000-0005-0000-0000-0000B3700000}"/>
    <cellStyle name="Percent 10 6 6 2" xfId="26098" xr:uid="{00000000-0005-0000-0000-0000B4700000}"/>
    <cellStyle name="Percent 10 6 7" xfId="17650" xr:uid="{00000000-0005-0000-0000-0000B5700000}"/>
    <cellStyle name="Percent 10 7" xfId="878" xr:uid="{00000000-0005-0000-0000-0000B6700000}"/>
    <cellStyle name="Percent 10 7 2" xfId="1940" xr:uid="{00000000-0005-0000-0000-0000B7700000}"/>
    <cellStyle name="Percent 10 7 2 2" xfId="4052" xr:uid="{00000000-0005-0000-0000-0000B8700000}"/>
    <cellStyle name="Percent 10 7 2 2 2" xfId="8278" xr:uid="{00000000-0005-0000-0000-0000B9700000}"/>
    <cellStyle name="Percent 10 7 2 2 2 2" xfId="16726" xr:uid="{00000000-0005-0000-0000-0000BA700000}"/>
    <cellStyle name="Percent 10 7 2 2 2 2 2" xfId="33666" xr:uid="{00000000-0005-0000-0000-0000BB700000}"/>
    <cellStyle name="Percent 10 7 2 2 2 3" xfId="25218" xr:uid="{00000000-0005-0000-0000-0000BC700000}"/>
    <cellStyle name="Percent 10 7 2 2 3" xfId="12502" xr:uid="{00000000-0005-0000-0000-0000BD700000}"/>
    <cellStyle name="Percent 10 7 2 2 3 2" xfId="29442" xr:uid="{00000000-0005-0000-0000-0000BE700000}"/>
    <cellStyle name="Percent 10 7 2 2 4" xfId="20994" xr:uid="{00000000-0005-0000-0000-0000BF700000}"/>
    <cellStyle name="Percent 10 7 2 3" xfId="6166" xr:uid="{00000000-0005-0000-0000-0000C0700000}"/>
    <cellStyle name="Percent 10 7 2 3 2" xfId="14614" xr:uid="{00000000-0005-0000-0000-0000C1700000}"/>
    <cellStyle name="Percent 10 7 2 3 2 2" xfId="31554" xr:uid="{00000000-0005-0000-0000-0000C2700000}"/>
    <cellStyle name="Percent 10 7 2 3 3" xfId="23106" xr:uid="{00000000-0005-0000-0000-0000C3700000}"/>
    <cellStyle name="Percent 10 7 2 4" xfId="10390" xr:uid="{00000000-0005-0000-0000-0000C4700000}"/>
    <cellStyle name="Percent 10 7 2 4 2" xfId="27330" xr:uid="{00000000-0005-0000-0000-0000C5700000}"/>
    <cellStyle name="Percent 10 7 2 5" xfId="18882" xr:uid="{00000000-0005-0000-0000-0000C6700000}"/>
    <cellStyle name="Percent 10 7 3" xfId="2996" xr:uid="{00000000-0005-0000-0000-0000C7700000}"/>
    <cellStyle name="Percent 10 7 3 2" xfId="7222" xr:uid="{00000000-0005-0000-0000-0000C8700000}"/>
    <cellStyle name="Percent 10 7 3 2 2" xfId="15670" xr:uid="{00000000-0005-0000-0000-0000C9700000}"/>
    <cellStyle name="Percent 10 7 3 2 2 2" xfId="32610" xr:uid="{00000000-0005-0000-0000-0000CA700000}"/>
    <cellStyle name="Percent 10 7 3 2 3" xfId="24162" xr:uid="{00000000-0005-0000-0000-0000CB700000}"/>
    <cellStyle name="Percent 10 7 3 3" xfId="11446" xr:uid="{00000000-0005-0000-0000-0000CC700000}"/>
    <cellStyle name="Percent 10 7 3 3 2" xfId="28386" xr:uid="{00000000-0005-0000-0000-0000CD700000}"/>
    <cellStyle name="Percent 10 7 3 4" xfId="19938" xr:uid="{00000000-0005-0000-0000-0000CE700000}"/>
    <cellStyle name="Percent 10 7 4" xfId="5110" xr:uid="{00000000-0005-0000-0000-0000CF700000}"/>
    <cellStyle name="Percent 10 7 4 2" xfId="13558" xr:uid="{00000000-0005-0000-0000-0000D0700000}"/>
    <cellStyle name="Percent 10 7 4 2 2" xfId="30498" xr:uid="{00000000-0005-0000-0000-0000D1700000}"/>
    <cellStyle name="Percent 10 7 4 3" xfId="22050" xr:uid="{00000000-0005-0000-0000-0000D2700000}"/>
    <cellStyle name="Percent 10 7 5" xfId="9334" xr:uid="{00000000-0005-0000-0000-0000D3700000}"/>
    <cellStyle name="Percent 10 7 5 2" xfId="26274" xr:uid="{00000000-0005-0000-0000-0000D4700000}"/>
    <cellStyle name="Percent 10 7 6" xfId="17826" xr:uid="{00000000-0005-0000-0000-0000D5700000}"/>
    <cellStyle name="Percent 10 8" xfId="1230" xr:uid="{00000000-0005-0000-0000-0000D6700000}"/>
    <cellStyle name="Percent 10 8 2" xfId="2292" xr:uid="{00000000-0005-0000-0000-0000D7700000}"/>
    <cellStyle name="Percent 10 8 2 2" xfId="4404" xr:uid="{00000000-0005-0000-0000-0000D8700000}"/>
    <cellStyle name="Percent 10 8 2 2 2" xfId="8630" xr:uid="{00000000-0005-0000-0000-0000D9700000}"/>
    <cellStyle name="Percent 10 8 2 2 2 2" xfId="17078" xr:uid="{00000000-0005-0000-0000-0000DA700000}"/>
    <cellStyle name="Percent 10 8 2 2 2 2 2" xfId="34018" xr:uid="{00000000-0005-0000-0000-0000DB700000}"/>
    <cellStyle name="Percent 10 8 2 2 2 3" xfId="25570" xr:uid="{00000000-0005-0000-0000-0000DC700000}"/>
    <cellStyle name="Percent 10 8 2 2 3" xfId="12854" xr:uid="{00000000-0005-0000-0000-0000DD700000}"/>
    <cellStyle name="Percent 10 8 2 2 3 2" xfId="29794" xr:uid="{00000000-0005-0000-0000-0000DE700000}"/>
    <cellStyle name="Percent 10 8 2 2 4" xfId="21346" xr:uid="{00000000-0005-0000-0000-0000DF700000}"/>
    <cellStyle name="Percent 10 8 2 3" xfId="6518" xr:uid="{00000000-0005-0000-0000-0000E0700000}"/>
    <cellStyle name="Percent 10 8 2 3 2" xfId="14966" xr:uid="{00000000-0005-0000-0000-0000E1700000}"/>
    <cellStyle name="Percent 10 8 2 3 2 2" xfId="31906" xr:uid="{00000000-0005-0000-0000-0000E2700000}"/>
    <cellStyle name="Percent 10 8 2 3 3" xfId="23458" xr:uid="{00000000-0005-0000-0000-0000E3700000}"/>
    <cellStyle name="Percent 10 8 2 4" xfId="10742" xr:uid="{00000000-0005-0000-0000-0000E4700000}"/>
    <cellStyle name="Percent 10 8 2 4 2" xfId="27682" xr:uid="{00000000-0005-0000-0000-0000E5700000}"/>
    <cellStyle name="Percent 10 8 2 5" xfId="19234" xr:uid="{00000000-0005-0000-0000-0000E6700000}"/>
    <cellStyle name="Percent 10 8 3" xfId="3348" xr:uid="{00000000-0005-0000-0000-0000E7700000}"/>
    <cellStyle name="Percent 10 8 3 2" xfId="7574" xr:uid="{00000000-0005-0000-0000-0000E8700000}"/>
    <cellStyle name="Percent 10 8 3 2 2" xfId="16022" xr:uid="{00000000-0005-0000-0000-0000E9700000}"/>
    <cellStyle name="Percent 10 8 3 2 2 2" xfId="32962" xr:uid="{00000000-0005-0000-0000-0000EA700000}"/>
    <cellStyle name="Percent 10 8 3 2 3" xfId="24514" xr:uid="{00000000-0005-0000-0000-0000EB700000}"/>
    <cellStyle name="Percent 10 8 3 3" xfId="11798" xr:uid="{00000000-0005-0000-0000-0000EC700000}"/>
    <cellStyle name="Percent 10 8 3 3 2" xfId="28738" xr:uid="{00000000-0005-0000-0000-0000ED700000}"/>
    <cellStyle name="Percent 10 8 3 4" xfId="20290" xr:uid="{00000000-0005-0000-0000-0000EE700000}"/>
    <cellStyle name="Percent 10 8 4" xfId="5462" xr:uid="{00000000-0005-0000-0000-0000EF700000}"/>
    <cellStyle name="Percent 10 8 4 2" xfId="13910" xr:uid="{00000000-0005-0000-0000-0000F0700000}"/>
    <cellStyle name="Percent 10 8 4 2 2" xfId="30850" xr:uid="{00000000-0005-0000-0000-0000F1700000}"/>
    <cellStyle name="Percent 10 8 4 3" xfId="22402" xr:uid="{00000000-0005-0000-0000-0000F2700000}"/>
    <cellStyle name="Percent 10 8 5" xfId="9686" xr:uid="{00000000-0005-0000-0000-0000F3700000}"/>
    <cellStyle name="Percent 10 8 5 2" xfId="26626" xr:uid="{00000000-0005-0000-0000-0000F4700000}"/>
    <cellStyle name="Percent 10 8 6" xfId="18178" xr:uid="{00000000-0005-0000-0000-0000F5700000}"/>
    <cellStyle name="Percent 10 9" xfId="1412" xr:uid="{00000000-0005-0000-0000-0000F6700000}"/>
    <cellStyle name="Percent 10 9 2" xfId="2468" xr:uid="{00000000-0005-0000-0000-0000F7700000}"/>
    <cellStyle name="Percent 10 9 2 2" xfId="4580" xr:uid="{00000000-0005-0000-0000-0000F8700000}"/>
    <cellStyle name="Percent 10 9 2 2 2" xfId="8806" xr:uid="{00000000-0005-0000-0000-0000F9700000}"/>
    <cellStyle name="Percent 10 9 2 2 2 2" xfId="17254" xr:uid="{00000000-0005-0000-0000-0000FA700000}"/>
    <cellStyle name="Percent 10 9 2 2 2 2 2" xfId="34194" xr:uid="{00000000-0005-0000-0000-0000FB700000}"/>
    <cellStyle name="Percent 10 9 2 2 2 3" xfId="25746" xr:uid="{00000000-0005-0000-0000-0000FC700000}"/>
    <cellStyle name="Percent 10 9 2 2 3" xfId="13030" xr:uid="{00000000-0005-0000-0000-0000FD700000}"/>
    <cellStyle name="Percent 10 9 2 2 3 2" xfId="29970" xr:uid="{00000000-0005-0000-0000-0000FE700000}"/>
    <cellStyle name="Percent 10 9 2 2 4" xfId="21522" xr:uid="{00000000-0005-0000-0000-0000FF700000}"/>
    <cellStyle name="Percent 10 9 2 3" xfId="6694" xr:uid="{00000000-0005-0000-0000-000000710000}"/>
    <cellStyle name="Percent 10 9 2 3 2" xfId="15142" xr:uid="{00000000-0005-0000-0000-000001710000}"/>
    <cellStyle name="Percent 10 9 2 3 2 2" xfId="32082" xr:uid="{00000000-0005-0000-0000-000002710000}"/>
    <cellStyle name="Percent 10 9 2 3 3" xfId="23634" xr:uid="{00000000-0005-0000-0000-000003710000}"/>
    <cellStyle name="Percent 10 9 2 4" xfId="10918" xr:uid="{00000000-0005-0000-0000-000004710000}"/>
    <cellStyle name="Percent 10 9 2 4 2" xfId="27858" xr:uid="{00000000-0005-0000-0000-000005710000}"/>
    <cellStyle name="Percent 10 9 2 5" xfId="19410" xr:uid="{00000000-0005-0000-0000-000006710000}"/>
    <cellStyle name="Percent 10 9 3" xfId="3524" xr:uid="{00000000-0005-0000-0000-000007710000}"/>
    <cellStyle name="Percent 10 9 3 2" xfId="7750" xr:uid="{00000000-0005-0000-0000-000008710000}"/>
    <cellStyle name="Percent 10 9 3 2 2" xfId="16198" xr:uid="{00000000-0005-0000-0000-000009710000}"/>
    <cellStyle name="Percent 10 9 3 2 2 2" xfId="33138" xr:uid="{00000000-0005-0000-0000-00000A710000}"/>
    <cellStyle name="Percent 10 9 3 2 3" xfId="24690" xr:uid="{00000000-0005-0000-0000-00000B710000}"/>
    <cellStyle name="Percent 10 9 3 3" xfId="11974" xr:uid="{00000000-0005-0000-0000-00000C710000}"/>
    <cellStyle name="Percent 10 9 3 3 2" xfId="28914" xr:uid="{00000000-0005-0000-0000-00000D710000}"/>
    <cellStyle name="Percent 10 9 3 4" xfId="20466" xr:uid="{00000000-0005-0000-0000-00000E710000}"/>
    <cellStyle name="Percent 10 9 4" xfId="5638" xr:uid="{00000000-0005-0000-0000-00000F710000}"/>
    <cellStyle name="Percent 10 9 4 2" xfId="14086" xr:uid="{00000000-0005-0000-0000-000010710000}"/>
    <cellStyle name="Percent 10 9 4 2 2" xfId="31026" xr:uid="{00000000-0005-0000-0000-000011710000}"/>
    <cellStyle name="Percent 10 9 4 3" xfId="22578" xr:uid="{00000000-0005-0000-0000-000012710000}"/>
    <cellStyle name="Percent 10 9 5" xfId="9862" xr:uid="{00000000-0005-0000-0000-000013710000}"/>
    <cellStyle name="Percent 10 9 5 2" xfId="26802" xr:uid="{00000000-0005-0000-0000-000014710000}"/>
    <cellStyle name="Percent 10 9 6" xfId="18354" xr:uid="{00000000-0005-0000-0000-000015710000}"/>
    <cellStyle name="Percent 11" xfId="428" xr:uid="{00000000-0005-0000-0000-000016710000}"/>
    <cellStyle name="Percent 11 10" xfId="1594" xr:uid="{00000000-0005-0000-0000-000017710000}"/>
    <cellStyle name="Percent 11 10 2" xfId="3706" xr:uid="{00000000-0005-0000-0000-000018710000}"/>
    <cellStyle name="Percent 11 10 2 2" xfId="7932" xr:uid="{00000000-0005-0000-0000-000019710000}"/>
    <cellStyle name="Percent 11 10 2 2 2" xfId="16380" xr:uid="{00000000-0005-0000-0000-00001A710000}"/>
    <cellStyle name="Percent 11 10 2 2 2 2" xfId="33320" xr:uid="{00000000-0005-0000-0000-00001B710000}"/>
    <cellStyle name="Percent 11 10 2 2 3" xfId="24872" xr:uid="{00000000-0005-0000-0000-00001C710000}"/>
    <cellStyle name="Percent 11 10 2 3" xfId="12156" xr:uid="{00000000-0005-0000-0000-00001D710000}"/>
    <cellStyle name="Percent 11 10 2 3 2" xfId="29096" xr:uid="{00000000-0005-0000-0000-00001E710000}"/>
    <cellStyle name="Percent 11 10 2 4" xfId="20648" xr:uid="{00000000-0005-0000-0000-00001F710000}"/>
    <cellStyle name="Percent 11 10 3" xfId="5820" xr:uid="{00000000-0005-0000-0000-000020710000}"/>
    <cellStyle name="Percent 11 10 3 2" xfId="14268" xr:uid="{00000000-0005-0000-0000-000021710000}"/>
    <cellStyle name="Percent 11 10 3 2 2" xfId="31208" xr:uid="{00000000-0005-0000-0000-000022710000}"/>
    <cellStyle name="Percent 11 10 3 3" xfId="22760" xr:uid="{00000000-0005-0000-0000-000023710000}"/>
    <cellStyle name="Percent 11 10 4" xfId="10044" xr:uid="{00000000-0005-0000-0000-000024710000}"/>
    <cellStyle name="Percent 11 10 4 2" xfId="26984" xr:uid="{00000000-0005-0000-0000-000025710000}"/>
    <cellStyle name="Percent 11 10 5" xfId="18536" xr:uid="{00000000-0005-0000-0000-000026710000}"/>
    <cellStyle name="Percent 11 11" xfId="2650" xr:uid="{00000000-0005-0000-0000-000027710000}"/>
    <cellStyle name="Percent 11 11 2" xfId="6876" xr:uid="{00000000-0005-0000-0000-000028710000}"/>
    <cellStyle name="Percent 11 11 2 2" xfId="15324" xr:uid="{00000000-0005-0000-0000-000029710000}"/>
    <cellStyle name="Percent 11 11 2 2 2" xfId="32264" xr:uid="{00000000-0005-0000-0000-00002A710000}"/>
    <cellStyle name="Percent 11 11 2 3" xfId="23816" xr:uid="{00000000-0005-0000-0000-00002B710000}"/>
    <cellStyle name="Percent 11 11 3" xfId="11100" xr:uid="{00000000-0005-0000-0000-00002C710000}"/>
    <cellStyle name="Percent 11 11 3 2" xfId="28040" xr:uid="{00000000-0005-0000-0000-00002D710000}"/>
    <cellStyle name="Percent 11 11 4" xfId="19592" xr:uid="{00000000-0005-0000-0000-00002E710000}"/>
    <cellStyle name="Percent 11 12" xfId="4763" xr:uid="{00000000-0005-0000-0000-00002F710000}"/>
    <cellStyle name="Percent 11 12 2" xfId="13212" xr:uid="{00000000-0005-0000-0000-000030710000}"/>
    <cellStyle name="Percent 11 12 2 2" xfId="30152" xr:uid="{00000000-0005-0000-0000-000031710000}"/>
    <cellStyle name="Percent 11 12 3" xfId="21704" xr:uid="{00000000-0005-0000-0000-000032710000}"/>
    <cellStyle name="Percent 11 13" xfId="8988" xr:uid="{00000000-0005-0000-0000-000033710000}"/>
    <cellStyle name="Percent 11 13 2" xfId="25928" xr:uid="{00000000-0005-0000-0000-000034710000}"/>
    <cellStyle name="Percent 11 14" xfId="17480" xr:uid="{00000000-0005-0000-0000-000035710000}"/>
    <cellStyle name="Percent 11 2" xfId="429" xr:uid="{00000000-0005-0000-0000-000036710000}"/>
    <cellStyle name="Percent 11 2 10" xfId="4764" xr:uid="{00000000-0005-0000-0000-000037710000}"/>
    <cellStyle name="Percent 11 2 10 2" xfId="13213" xr:uid="{00000000-0005-0000-0000-000038710000}"/>
    <cellStyle name="Percent 11 2 10 2 2" xfId="30153" xr:uid="{00000000-0005-0000-0000-000039710000}"/>
    <cellStyle name="Percent 11 2 10 3" xfId="21705" xr:uid="{00000000-0005-0000-0000-00003A710000}"/>
    <cellStyle name="Percent 11 2 11" xfId="8989" xr:uid="{00000000-0005-0000-0000-00003B710000}"/>
    <cellStyle name="Percent 11 2 11 2" xfId="25929" xr:uid="{00000000-0005-0000-0000-00003C710000}"/>
    <cellStyle name="Percent 11 2 12" xfId="17481" xr:uid="{00000000-0005-0000-0000-00003D710000}"/>
    <cellStyle name="Percent 11 2 2" xfId="430" xr:uid="{00000000-0005-0000-0000-00003E710000}"/>
    <cellStyle name="Percent 11 2 2 10" xfId="17482" xr:uid="{00000000-0005-0000-0000-00003F710000}"/>
    <cellStyle name="Percent 11 2 2 2" xfId="710" xr:uid="{00000000-0005-0000-0000-000040710000}"/>
    <cellStyle name="Percent 11 2 2 2 2" xfId="1062" xr:uid="{00000000-0005-0000-0000-000041710000}"/>
    <cellStyle name="Percent 11 2 2 2 2 2" xfId="2124" xr:uid="{00000000-0005-0000-0000-000042710000}"/>
    <cellStyle name="Percent 11 2 2 2 2 2 2" xfId="4236" xr:uid="{00000000-0005-0000-0000-000043710000}"/>
    <cellStyle name="Percent 11 2 2 2 2 2 2 2" xfId="8462" xr:uid="{00000000-0005-0000-0000-000044710000}"/>
    <cellStyle name="Percent 11 2 2 2 2 2 2 2 2" xfId="16910" xr:uid="{00000000-0005-0000-0000-000045710000}"/>
    <cellStyle name="Percent 11 2 2 2 2 2 2 2 2 2" xfId="33850" xr:uid="{00000000-0005-0000-0000-000046710000}"/>
    <cellStyle name="Percent 11 2 2 2 2 2 2 2 3" xfId="25402" xr:uid="{00000000-0005-0000-0000-000047710000}"/>
    <cellStyle name="Percent 11 2 2 2 2 2 2 3" xfId="12686" xr:uid="{00000000-0005-0000-0000-000048710000}"/>
    <cellStyle name="Percent 11 2 2 2 2 2 2 3 2" xfId="29626" xr:uid="{00000000-0005-0000-0000-000049710000}"/>
    <cellStyle name="Percent 11 2 2 2 2 2 2 4" xfId="21178" xr:uid="{00000000-0005-0000-0000-00004A710000}"/>
    <cellStyle name="Percent 11 2 2 2 2 2 3" xfId="6350" xr:uid="{00000000-0005-0000-0000-00004B710000}"/>
    <cellStyle name="Percent 11 2 2 2 2 2 3 2" xfId="14798" xr:uid="{00000000-0005-0000-0000-00004C710000}"/>
    <cellStyle name="Percent 11 2 2 2 2 2 3 2 2" xfId="31738" xr:uid="{00000000-0005-0000-0000-00004D710000}"/>
    <cellStyle name="Percent 11 2 2 2 2 2 3 3" xfId="23290" xr:uid="{00000000-0005-0000-0000-00004E710000}"/>
    <cellStyle name="Percent 11 2 2 2 2 2 4" xfId="10574" xr:uid="{00000000-0005-0000-0000-00004F710000}"/>
    <cellStyle name="Percent 11 2 2 2 2 2 4 2" xfId="27514" xr:uid="{00000000-0005-0000-0000-000050710000}"/>
    <cellStyle name="Percent 11 2 2 2 2 2 5" xfId="19066" xr:uid="{00000000-0005-0000-0000-000051710000}"/>
    <cellStyle name="Percent 11 2 2 2 2 3" xfId="3180" xr:uid="{00000000-0005-0000-0000-000052710000}"/>
    <cellStyle name="Percent 11 2 2 2 2 3 2" xfId="7406" xr:uid="{00000000-0005-0000-0000-000053710000}"/>
    <cellStyle name="Percent 11 2 2 2 2 3 2 2" xfId="15854" xr:uid="{00000000-0005-0000-0000-000054710000}"/>
    <cellStyle name="Percent 11 2 2 2 2 3 2 2 2" xfId="32794" xr:uid="{00000000-0005-0000-0000-000055710000}"/>
    <cellStyle name="Percent 11 2 2 2 2 3 2 3" xfId="24346" xr:uid="{00000000-0005-0000-0000-000056710000}"/>
    <cellStyle name="Percent 11 2 2 2 2 3 3" xfId="11630" xr:uid="{00000000-0005-0000-0000-000057710000}"/>
    <cellStyle name="Percent 11 2 2 2 2 3 3 2" xfId="28570" xr:uid="{00000000-0005-0000-0000-000058710000}"/>
    <cellStyle name="Percent 11 2 2 2 2 3 4" xfId="20122" xr:uid="{00000000-0005-0000-0000-000059710000}"/>
    <cellStyle name="Percent 11 2 2 2 2 4" xfId="5294" xr:uid="{00000000-0005-0000-0000-00005A710000}"/>
    <cellStyle name="Percent 11 2 2 2 2 4 2" xfId="13742" xr:uid="{00000000-0005-0000-0000-00005B710000}"/>
    <cellStyle name="Percent 11 2 2 2 2 4 2 2" xfId="30682" xr:uid="{00000000-0005-0000-0000-00005C710000}"/>
    <cellStyle name="Percent 11 2 2 2 2 4 3" xfId="22234" xr:uid="{00000000-0005-0000-0000-00005D710000}"/>
    <cellStyle name="Percent 11 2 2 2 2 5" xfId="9518" xr:uid="{00000000-0005-0000-0000-00005E710000}"/>
    <cellStyle name="Percent 11 2 2 2 2 5 2" xfId="26458" xr:uid="{00000000-0005-0000-0000-00005F710000}"/>
    <cellStyle name="Percent 11 2 2 2 2 6" xfId="18010" xr:uid="{00000000-0005-0000-0000-000060710000}"/>
    <cellStyle name="Percent 11 2 2 2 3" xfId="1772" xr:uid="{00000000-0005-0000-0000-000061710000}"/>
    <cellStyle name="Percent 11 2 2 2 3 2" xfId="3884" xr:uid="{00000000-0005-0000-0000-000062710000}"/>
    <cellStyle name="Percent 11 2 2 2 3 2 2" xfId="8110" xr:uid="{00000000-0005-0000-0000-000063710000}"/>
    <cellStyle name="Percent 11 2 2 2 3 2 2 2" xfId="16558" xr:uid="{00000000-0005-0000-0000-000064710000}"/>
    <cellStyle name="Percent 11 2 2 2 3 2 2 2 2" xfId="33498" xr:uid="{00000000-0005-0000-0000-000065710000}"/>
    <cellStyle name="Percent 11 2 2 2 3 2 2 3" xfId="25050" xr:uid="{00000000-0005-0000-0000-000066710000}"/>
    <cellStyle name="Percent 11 2 2 2 3 2 3" xfId="12334" xr:uid="{00000000-0005-0000-0000-000067710000}"/>
    <cellStyle name="Percent 11 2 2 2 3 2 3 2" xfId="29274" xr:uid="{00000000-0005-0000-0000-000068710000}"/>
    <cellStyle name="Percent 11 2 2 2 3 2 4" xfId="20826" xr:uid="{00000000-0005-0000-0000-000069710000}"/>
    <cellStyle name="Percent 11 2 2 2 3 3" xfId="5998" xr:uid="{00000000-0005-0000-0000-00006A710000}"/>
    <cellStyle name="Percent 11 2 2 2 3 3 2" xfId="14446" xr:uid="{00000000-0005-0000-0000-00006B710000}"/>
    <cellStyle name="Percent 11 2 2 2 3 3 2 2" xfId="31386" xr:uid="{00000000-0005-0000-0000-00006C710000}"/>
    <cellStyle name="Percent 11 2 2 2 3 3 3" xfId="22938" xr:uid="{00000000-0005-0000-0000-00006D710000}"/>
    <cellStyle name="Percent 11 2 2 2 3 4" xfId="10222" xr:uid="{00000000-0005-0000-0000-00006E710000}"/>
    <cellStyle name="Percent 11 2 2 2 3 4 2" xfId="27162" xr:uid="{00000000-0005-0000-0000-00006F710000}"/>
    <cellStyle name="Percent 11 2 2 2 3 5" xfId="18714" xr:uid="{00000000-0005-0000-0000-000070710000}"/>
    <cellStyle name="Percent 11 2 2 2 4" xfId="2828" xr:uid="{00000000-0005-0000-0000-000071710000}"/>
    <cellStyle name="Percent 11 2 2 2 4 2" xfId="7054" xr:uid="{00000000-0005-0000-0000-000072710000}"/>
    <cellStyle name="Percent 11 2 2 2 4 2 2" xfId="15502" xr:uid="{00000000-0005-0000-0000-000073710000}"/>
    <cellStyle name="Percent 11 2 2 2 4 2 2 2" xfId="32442" xr:uid="{00000000-0005-0000-0000-000074710000}"/>
    <cellStyle name="Percent 11 2 2 2 4 2 3" xfId="23994" xr:uid="{00000000-0005-0000-0000-000075710000}"/>
    <cellStyle name="Percent 11 2 2 2 4 3" xfId="11278" xr:uid="{00000000-0005-0000-0000-000076710000}"/>
    <cellStyle name="Percent 11 2 2 2 4 3 2" xfId="28218" xr:uid="{00000000-0005-0000-0000-000077710000}"/>
    <cellStyle name="Percent 11 2 2 2 4 4" xfId="19770" xr:uid="{00000000-0005-0000-0000-000078710000}"/>
    <cellStyle name="Percent 11 2 2 2 5" xfId="4942" xr:uid="{00000000-0005-0000-0000-000079710000}"/>
    <cellStyle name="Percent 11 2 2 2 5 2" xfId="13390" xr:uid="{00000000-0005-0000-0000-00007A710000}"/>
    <cellStyle name="Percent 11 2 2 2 5 2 2" xfId="30330" xr:uid="{00000000-0005-0000-0000-00007B710000}"/>
    <cellStyle name="Percent 11 2 2 2 5 3" xfId="21882" xr:uid="{00000000-0005-0000-0000-00007C710000}"/>
    <cellStyle name="Percent 11 2 2 2 6" xfId="9166" xr:uid="{00000000-0005-0000-0000-00007D710000}"/>
    <cellStyle name="Percent 11 2 2 2 6 2" xfId="26106" xr:uid="{00000000-0005-0000-0000-00007E710000}"/>
    <cellStyle name="Percent 11 2 2 2 7" xfId="17658" xr:uid="{00000000-0005-0000-0000-00007F710000}"/>
    <cellStyle name="Percent 11 2 2 3" xfId="886" xr:uid="{00000000-0005-0000-0000-000080710000}"/>
    <cellStyle name="Percent 11 2 2 3 2" xfId="1948" xr:uid="{00000000-0005-0000-0000-000081710000}"/>
    <cellStyle name="Percent 11 2 2 3 2 2" xfId="4060" xr:uid="{00000000-0005-0000-0000-000082710000}"/>
    <cellStyle name="Percent 11 2 2 3 2 2 2" xfId="8286" xr:uid="{00000000-0005-0000-0000-000083710000}"/>
    <cellStyle name="Percent 11 2 2 3 2 2 2 2" xfId="16734" xr:uid="{00000000-0005-0000-0000-000084710000}"/>
    <cellStyle name="Percent 11 2 2 3 2 2 2 2 2" xfId="33674" xr:uid="{00000000-0005-0000-0000-000085710000}"/>
    <cellStyle name="Percent 11 2 2 3 2 2 2 3" xfId="25226" xr:uid="{00000000-0005-0000-0000-000086710000}"/>
    <cellStyle name="Percent 11 2 2 3 2 2 3" xfId="12510" xr:uid="{00000000-0005-0000-0000-000087710000}"/>
    <cellStyle name="Percent 11 2 2 3 2 2 3 2" xfId="29450" xr:uid="{00000000-0005-0000-0000-000088710000}"/>
    <cellStyle name="Percent 11 2 2 3 2 2 4" xfId="21002" xr:uid="{00000000-0005-0000-0000-000089710000}"/>
    <cellStyle name="Percent 11 2 2 3 2 3" xfId="6174" xr:uid="{00000000-0005-0000-0000-00008A710000}"/>
    <cellStyle name="Percent 11 2 2 3 2 3 2" xfId="14622" xr:uid="{00000000-0005-0000-0000-00008B710000}"/>
    <cellStyle name="Percent 11 2 2 3 2 3 2 2" xfId="31562" xr:uid="{00000000-0005-0000-0000-00008C710000}"/>
    <cellStyle name="Percent 11 2 2 3 2 3 3" xfId="23114" xr:uid="{00000000-0005-0000-0000-00008D710000}"/>
    <cellStyle name="Percent 11 2 2 3 2 4" xfId="10398" xr:uid="{00000000-0005-0000-0000-00008E710000}"/>
    <cellStyle name="Percent 11 2 2 3 2 4 2" xfId="27338" xr:uid="{00000000-0005-0000-0000-00008F710000}"/>
    <cellStyle name="Percent 11 2 2 3 2 5" xfId="18890" xr:uid="{00000000-0005-0000-0000-000090710000}"/>
    <cellStyle name="Percent 11 2 2 3 3" xfId="3004" xr:uid="{00000000-0005-0000-0000-000091710000}"/>
    <cellStyle name="Percent 11 2 2 3 3 2" xfId="7230" xr:uid="{00000000-0005-0000-0000-000092710000}"/>
    <cellStyle name="Percent 11 2 2 3 3 2 2" xfId="15678" xr:uid="{00000000-0005-0000-0000-000093710000}"/>
    <cellStyle name="Percent 11 2 2 3 3 2 2 2" xfId="32618" xr:uid="{00000000-0005-0000-0000-000094710000}"/>
    <cellStyle name="Percent 11 2 2 3 3 2 3" xfId="24170" xr:uid="{00000000-0005-0000-0000-000095710000}"/>
    <cellStyle name="Percent 11 2 2 3 3 3" xfId="11454" xr:uid="{00000000-0005-0000-0000-000096710000}"/>
    <cellStyle name="Percent 11 2 2 3 3 3 2" xfId="28394" xr:uid="{00000000-0005-0000-0000-000097710000}"/>
    <cellStyle name="Percent 11 2 2 3 3 4" xfId="19946" xr:uid="{00000000-0005-0000-0000-000098710000}"/>
    <cellStyle name="Percent 11 2 2 3 4" xfId="5118" xr:uid="{00000000-0005-0000-0000-000099710000}"/>
    <cellStyle name="Percent 11 2 2 3 4 2" xfId="13566" xr:uid="{00000000-0005-0000-0000-00009A710000}"/>
    <cellStyle name="Percent 11 2 2 3 4 2 2" xfId="30506" xr:uid="{00000000-0005-0000-0000-00009B710000}"/>
    <cellStyle name="Percent 11 2 2 3 4 3" xfId="22058" xr:uid="{00000000-0005-0000-0000-00009C710000}"/>
    <cellStyle name="Percent 11 2 2 3 5" xfId="9342" xr:uid="{00000000-0005-0000-0000-00009D710000}"/>
    <cellStyle name="Percent 11 2 2 3 5 2" xfId="26282" xr:uid="{00000000-0005-0000-0000-00009E710000}"/>
    <cellStyle name="Percent 11 2 2 3 6" xfId="17834" xr:uid="{00000000-0005-0000-0000-00009F710000}"/>
    <cellStyle name="Percent 11 2 2 4" xfId="1238" xr:uid="{00000000-0005-0000-0000-0000A0710000}"/>
    <cellStyle name="Percent 11 2 2 4 2" xfId="2300" xr:uid="{00000000-0005-0000-0000-0000A1710000}"/>
    <cellStyle name="Percent 11 2 2 4 2 2" xfId="4412" xr:uid="{00000000-0005-0000-0000-0000A2710000}"/>
    <cellStyle name="Percent 11 2 2 4 2 2 2" xfId="8638" xr:uid="{00000000-0005-0000-0000-0000A3710000}"/>
    <cellStyle name="Percent 11 2 2 4 2 2 2 2" xfId="17086" xr:uid="{00000000-0005-0000-0000-0000A4710000}"/>
    <cellStyle name="Percent 11 2 2 4 2 2 2 2 2" xfId="34026" xr:uid="{00000000-0005-0000-0000-0000A5710000}"/>
    <cellStyle name="Percent 11 2 2 4 2 2 2 3" xfId="25578" xr:uid="{00000000-0005-0000-0000-0000A6710000}"/>
    <cellStyle name="Percent 11 2 2 4 2 2 3" xfId="12862" xr:uid="{00000000-0005-0000-0000-0000A7710000}"/>
    <cellStyle name="Percent 11 2 2 4 2 2 3 2" xfId="29802" xr:uid="{00000000-0005-0000-0000-0000A8710000}"/>
    <cellStyle name="Percent 11 2 2 4 2 2 4" xfId="21354" xr:uid="{00000000-0005-0000-0000-0000A9710000}"/>
    <cellStyle name="Percent 11 2 2 4 2 3" xfId="6526" xr:uid="{00000000-0005-0000-0000-0000AA710000}"/>
    <cellStyle name="Percent 11 2 2 4 2 3 2" xfId="14974" xr:uid="{00000000-0005-0000-0000-0000AB710000}"/>
    <cellStyle name="Percent 11 2 2 4 2 3 2 2" xfId="31914" xr:uid="{00000000-0005-0000-0000-0000AC710000}"/>
    <cellStyle name="Percent 11 2 2 4 2 3 3" xfId="23466" xr:uid="{00000000-0005-0000-0000-0000AD710000}"/>
    <cellStyle name="Percent 11 2 2 4 2 4" xfId="10750" xr:uid="{00000000-0005-0000-0000-0000AE710000}"/>
    <cellStyle name="Percent 11 2 2 4 2 4 2" xfId="27690" xr:uid="{00000000-0005-0000-0000-0000AF710000}"/>
    <cellStyle name="Percent 11 2 2 4 2 5" xfId="19242" xr:uid="{00000000-0005-0000-0000-0000B0710000}"/>
    <cellStyle name="Percent 11 2 2 4 3" xfId="3356" xr:uid="{00000000-0005-0000-0000-0000B1710000}"/>
    <cellStyle name="Percent 11 2 2 4 3 2" xfId="7582" xr:uid="{00000000-0005-0000-0000-0000B2710000}"/>
    <cellStyle name="Percent 11 2 2 4 3 2 2" xfId="16030" xr:uid="{00000000-0005-0000-0000-0000B3710000}"/>
    <cellStyle name="Percent 11 2 2 4 3 2 2 2" xfId="32970" xr:uid="{00000000-0005-0000-0000-0000B4710000}"/>
    <cellStyle name="Percent 11 2 2 4 3 2 3" xfId="24522" xr:uid="{00000000-0005-0000-0000-0000B5710000}"/>
    <cellStyle name="Percent 11 2 2 4 3 3" xfId="11806" xr:uid="{00000000-0005-0000-0000-0000B6710000}"/>
    <cellStyle name="Percent 11 2 2 4 3 3 2" xfId="28746" xr:uid="{00000000-0005-0000-0000-0000B7710000}"/>
    <cellStyle name="Percent 11 2 2 4 3 4" xfId="20298" xr:uid="{00000000-0005-0000-0000-0000B8710000}"/>
    <cellStyle name="Percent 11 2 2 4 4" xfId="5470" xr:uid="{00000000-0005-0000-0000-0000B9710000}"/>
    <cellStyle name="Percent 11 2 2 4 4 2" xfId="13918" xr:uid="{00000000-0005-0000-0000-0000BA710000}"/>
    <cellStyle name="Percent 11 2 2 4 4 2 2" xfId="30858" xr:uid="{00000000-0005-0000-0000-0000BB710000}"/>
    <cellStyle name="Percent 11 2 2 4 4 3" xfId="22410" xr:uid="{00000000-0005-0000-0000-0000BC710000}"/>
    <cellStyle name="Percent 11 2 2 4 5" xfId="9694" xr:uid="{00000000-0005-0000-0000-0000BD710000}"/>
    <cellStyle name="Percent 11 2 2 4 5 2" xfId="26634" xr:uid="{00000000-0005-0000-0000-0000BE710000}"/>
    <cellStyle name="Percent 11 2 2 4 6" xfId="18186" xr:uid="{00000000-0005-0000-0000-0000BF710000}"/>
    <cellStyle name="Percent 11 2 2 5" xfId="1420" xr:uid="{00000000-0005-0000-0000-0000C0710000}"/>
    <cellStyle name="Percent 11 2 2 5 2" xfId="2476" xr:uid="{00000000-0005-0000-0000-0000C1710000}"/>
    <cellStyle name="Percent 11 2 2 5 2 2" xfId="4588" xr:uid="{00000000-0005-0000-0000-0000C2710000}"/>
    <cellStyle name="Percent 11 2 2 5 2 2 2" xfId="8814" xr:uid="{00000000-0005-0000-0000-0000C3710000}"/>
    <cellStyle name="Percent 11 2 2 5 2 2 2 2" xfId="17262" xr:uid="{00000000-0005-0000-0000-0000C4710000}"/>
    <cellStyle name="Percent 11 2 2 5 2 2 2 2 2" xfId="34202" xr:uid="{00000000-0005-0000-0000-0000C5710000}"/>
    <cellStyle name="Percent 11 2 2 5 2 2 2 3" xfId="25754" xr:uid="{00000000-0005-0000-0000-0000C6710000}"/>
    <cellStyle name="Percent 11 2 2 5 2 2 3" xfId="13038" xr:uid="{00000000-0005-0000-0000-0000C7710000}"/>
    <cellStyle name="Percent 11 2 2 5 2 2 3 2" xfId="29978" xr:uid="{00000000-0005-0000-0000-0000C8710000}"/>
    <cellStyle name="Percent 11 2 2 5 2 2 4" xfId="21530" xr:uid="{00000000-0005-0000-0000-0000C9710000}"/>
    <cellStyle name="Percent 11 2 2 5 2 3" xfId="6702" xr:uid="{00000000-0005-0000-0000-0000CA710000}"/>
    <cellStyle name="Percent 11 2 2 5 2 3 2" xfId="15150" xr:uid="{00000000-0005-0000-0000-0000CB710000}"/>
    <cellStyle name="Percent 11 2 2 5 2 3 2 2" xfId="32090" xr:uid="{00000000-0005-0000-0000-0000CC710000}"/>
    <cellStyle name="Percent 11 2 2 5 2 3 3" xfId="23642" xr:uid="{00000000-0005-0000-0000-0000CD710000}"/>
    <cellStyle name="Percent 11 2 2 5 2 4" xfId="10926" xr:uid="{00000000-0005-0000-0000-0000CE710000}"/>
    <cellStyle name="Percent 11 2 2 5 2 4 2" xfId="27866" xr:uid="{00000000-0005-0000-0000-0000CF710000}"/>
    <cellStyle name="Percent 11 2 2 5 2 5" xfId="19418" xr:uid="{00000000-0005-0000-0000-0000D0710000}"/>
    <cellStyle name="Percent 11 2 2 5 3" xfId="3532" xr:uid="{00000000-0005-0000-0000-0000D1710000}"/>
    <cellStyle name="Percent 11 2 2 5 3 2" xfId="7758" xr:uid="{00000000-0005-0000-0000-0000D2710000}"/>
    <cellStyle name="Percent 11 2 2 5 3 2 2" xfId="16206" xr:uid="{00000000-0005-0000-0000-0000D3710000}"/>
    <cellStyle name="Percent 11 2 2 5 3 2 2 2" xfId="33146" xr:uid="{00000000-0005-0000-0000-0000D4710000}"/>
    <cellStyle name="Percent 11 2 2 5 3 2 3" xfId="24698" xr:uid="{00000000-0005-0000-0000-0000D5710000}"/>
    <cellStyle name="Percent 11 2 2 5 3 3" xfId="11982" xr:uid="{00000000-0005-0000-0000-0000D6710000}"/>
    <cellStyle name="Percent 11 2 2 5 3 3 2" xfId="28922" xr:uid="{00000000-0005-0000-0000-0000D7710000}"/>
    <cellStyle name="Percent 11 2 2 5 3 4" xfId="20474" xr:uid="{00000000-0005-0000-0000-0000D8710000}"/>
    <cellStyle name="Percent 11 2 2 5 4" xfId="5646" xr:uid="{00000000-0005-0000-0000-0000D9710000}"/>
    <cellStyle name="Percent 11 2 2 5 4 2" xfId="14094" xr:uid="{00000000-0005-0000-0000-0000DA710000}"/>
    <cellStyle name="Percent 11 2 2 5 4 2 2" xfId="31034" xr:uid="{00000000-0005-0000-0000-0000DB710000}"/>
    <cellStyle name="Percent 11 2 2 5 4 3" xfId="22586" xr:uid="{00000000-0005-0000-0000-0000DC710000}"/>
    <cellStyle name="Percent 11 2 2 5 5" xfId="9870" xr:uid="{00000000-0005-0000-0000-0000DD710000}"/>
    <cellStyle name="Percent 11 2 2 5 5 2" xfId="26810" xr:uid="{00000000-0005-0000-0000-0000DE710000}"/>
    <cellStyle name="Percent 11 2 2 5 6" xfId="18362" xr:uid="{00000000-0005-0000-0000-0000DF710000}"/>
    <cellStyle name="Percent 11 2 2 6" xfId="1596" xr:uid="{00000000-0005-0000-0000-0000E0710000}"/>
    <cellStyle name="Percent 11 2 2 6 2" xfId="3708" xr:uid="{00000000-0005-0000-0000-0000E1710000}"/>
    <cellStyle name="Percent 11 2 2 6 2 2" xfId="7934" xr:uid="{00000000-0005-0000-0000-0000E2710000}"/>
    <cellStyle name="Percent 11 2 2 6 2 2 2" xfId="16382" xr:uid="{00000000-0005-0000-0000-0000E3710000}"/>
    <cellStyle name="Percent 11 2 2 6 2 2 2 2" xfId="33322" xr:uid="{00000000-0005-0000-0000-0000E4710000}"/>
    <cellStyle name="Percent 11 2 2 6 2 2 3" xfId="24874" xr:uid="{00000000-0005-0000-0000-0000E5710000}"/>
    <cellStyle name="Percent 11 2 2 6 2 3" xfId="12158" xr:uid="{00000000-0005-0000-0000-0000E6710000}"/>
    <cellStyle name="Percent 11 2 2 6 2 3 2" xfId="29098" xr:uid="{00000000-0005-0000-0000-0000E7710000}"/>
    <cellStyle name="Percent 11 2 2 6 2 4" xfId="20650" xr:uid="{00000000-0005-0000-0000-0000E8710000}"/>
    <cellStyle name="Percent 11 2 2 6 3" xfId="5822" xr:uid="{00000000-0005-0000-0000-0000E9710000}"/>
    <cellStyle name="Percent 11 2 2 6 3 2" xfId="14270" xr:uid="{00000000-0005-0000-0000-0000EA710000}"/>
    <cellStyle name="Percent 11 2 2 6 3 2 2" xfId="31210" xr:uid="{00000000-0005-0000-0000-0000EB710000}"/>
    <cellStyle name="Percent 11 2 2 6 3 3" xfId="22762" xr:uid="{00000000-0005-0000-0000-0000EC710000}"/>
    <cellStyle name="Percent 11 2 2 6 4" xfId="10046" xr:uid="{00000000-0005-0000-0000-0000ED710000}"/>
    <cellStyle name="Percent 11 2 2 6 4 2" xfId="26986" xr:uid="{00000000-0005-0000-0000-0000EE710000}"/>
    <cellStyle name="Percent 11 2 2 6 5" xfId="18538" xr:uid="{00000000-0005-0000-0000-0000EF710000}"/>
    <cellStyle name="Percent 11 2 2 7" xfId="2652" xr:uid="{00000000-0005-0000-0000-0000F0710000}"/>
    <cellStyle name="Percent 11 2 2 7 2" xfId="6878" xr:uid="{00000000-0005-0000-0000-0000F1710000}"/>
    <cellStyle name="Percent 11 2 2 7 2 2" xfId="15326" xr:uid="{00000000-0005-0000-0000-0000F2710000}"/>
    <cellStyle name="Percent 11 2 2 7 2 2 2" xfId="32266" xr:uid="{00000000-0005-0000-0000-0000F3710000}"/>
    <cellStyle name="Percent 11 2 2 7 2 3" xfId="23818" xr:uid="{00000000-0005-0000-0000-0000F4710000}"/>
    <cellStyle name="Percent 11 2 2 7 3" xfId="11102" xr:uid="{00000000-0005-0000-0000-0000F5710000}"/>
    <cellStyle name="Percent 11 2 2 7 3 2" xfId="28042" xr:uid="{00000000-0005-0000-0000-0000F6710000}"/>
    <cellStyle name="Percent 11 2 2 7 4" xfId="19594" xr:uid="{00000000-0005-0000-0000-0000F7710000}"/>
    <cellStyle name="Percent 11 2 2 8" xfId="4765" xr:uid="{00000000-0005-0000-0000-0000F8710000}"/>
    <cellStyle name="Percent 11 2 2 8 2" xfId="13214" xr:uid="{00000000-0005-0000-0000-0000F9710000}"/>
    <cellStyle name="Percent 11 2 2 8 2 2" xfId="30154" xr:uid="{00000000-0005-0000-0000-0000FA710000}"/>
    <cellStyle name="Percent 11 2 2 8 3" xfId="21706" xr:uid="{00000000-0005-0000-0000-0000FB710000}"/>
    <cellStyle name="Percent 11 2 2 9" xfId="8990" xr:uid="{00000000-0005-0000-0000-0000FC710000}"/>
    <cellStyle name="Percent 11 2 2 9 2" xfId="25930" xr:uid="{00000000-0005-0000-0000-0000FD710000}"/>
    <cellStyle name="Percent 11 2 3" xfId="431" xr:uid="{00000000-0005-0000-0000-0000FE710000}"/>
    <cellStyle name="Percent 11 2 3 10" xfId="17483" xr:uid="{00000000-0005-0000-0000-0000FF710000}"/>
    <cellStyle name="Percent 11 2 3 2" xfId="711" xr:uid="{00000000-0005-0000-0000-000000720000}"/>
    <cellStyle name="Percent 11 2 3 2 2" xfId="1063" xr:uid="{00000000-0005-0000-0000-000001720000}"/>
    <cellStyle name="Percent 11 2 3 2 2 2" xfId="2125" xr:uid="{00000000-0005-0000-0000-000002720000}"/>
    <cellStyle name="Percent 11 2 3 2 2 2 2" xfId="4237" xr:uid="{00000000-0005-0000-0000-000003720000}"/>
    <cellStyle name="Percent 11 2 3 2 2 2 2 2" xfId="8463" xr:uid="{00000000-0005-0000-0000-000004720000}"/>
    <cellStyle name="Percent 11 2 3 2 2 2 2 2 2" xfId="16911" xr:uid="{00000000-0005-0000-0000-000005720000}"/>
    <cellStyle name="Percent 11 2 3 2 2 2 2 2 2 2" xfId="33851" xr:uid="{00000000-0005-0000-0000-000006720000}"/>
    <cellStyle name="Percent 11 2 3 2 2 2 2 2 3" xfId="25403" xr:uid="{00000000-0005-0000-0000-000007720000}"/>
    <cellStyle name="Percent 11 2 3 2 2 2 2 3" xfId="12687" xr:uid="{00000000-0005-0000-0000-000008720000}"/>
    <cellStyle name="Percent 11 2 3 2 2 2 2 3 2" xfId="29627" xr:uid="{00000000-0005-0000-0000-000009720000}"/>
    <cellStyle name="Percent 11 2 3 2 2 2 2 4" xfId="21179" xr:uid="{00000000-0005-0000-0000-00000A720000}"/>
    <cellStyle name="Percent 11 2 3 2 2 2 3" xfId="6351" xr:uid="{00000000-0005-0000-0000-00000B720000}"/>
    <cellStyle name="Percent 11 2 3 2 2 2 3 2" xfId="14799" xr:uid="{00000000-0005-0000-0000-00000C720000}"/>
    <cellStyle name="Percent 11 2 3 2 2 2 3 2 2" xfId="31739" xr:uid="{00000000-0005-0000-0000-00000D720000}"/>
    <cellStyle name="Percent 11 2 3 2 2 2 3 3" xfId="23291" xr:uid="{00000000-0005-0000-0000-00000E720000}"/>
    <cellStyle name="Percent 11 2 3 2 2 2 4" xfId="10575" xr:uid="{00000000-0005-0000-0000-00000F720000}"/>
    <cellStyle name="Percent 11 2 3 2 2 2 4 2" xfId="27515" xr:uid="{00000000-0005-0000-0000-000010720000}"/>
    <cellStyle name="Percent 11 2 3 2 2 2 5" xfId="19067" xr:uid="{00000000-0005-0000-0000-000011720000}"/>
    <cellStyle name="Percent 11 2 3 2 2 3" xfId="3181" xr:uid="{00000000-0005-0000-0000-000012720000}"/>
    <cellStyle name="Percent 11 2 3 2 2 3 2" xfId="7407" xr:uid="{00000000-0005-0000-0000-000013720000}"/>
    <cellStyle name="Percent 11 2 3 2 2 3 2 2" xfId="15855" xr:uid="{00000000-0005-0000-0000-000014720000}"/>
    <cellStyle name="Percent 11 2 3 2 2 3 2 2 2" xfId="32795" xr:uid="{00000000-0005-0000-0000-000015720000}"/>
    <cellStyle name="Percent 11 2 3 2 2 3 2 3" xfId="24347" xr:uid="{00000000-0005-0000-0000-000016720000}"/>
    <cellStyle name="Percent 11 2 3 2 2 3 3" xfId="11631" xr:uid="{00000000-0005-0000-0000-000017720000}"/>
    <cellStyle name="Percent 11 2 3 2 2 3 3 2" xfId="28571" xr:uid="{00000000-0005-0000-0000-000018720000}"/>
    <cellStyle name="Percent 11 2 3 2 2 3 4" xfId="20123" xr:uid="{00000000-0005-0000-0000-000019720000}"/>
    <cellStyle name="Percent 11 2 3 2 2 4" xfId="5295" xr:uid="{00000000-0005-0000-0000-00001A720000}"/>
    <cellStyle name="Percent 11 2 3 2 2 4 2" xfId="13743" xr:uid="{00000000-0005-0000-0000-00001B720000}"/>
    <cellStyle name="Percent 11 2 3 2 2 4 2 2" xfId="30683" xr:uid="{00000000-0005-0000-0000-00001C720000}"/>
    <cellStyle name="Percent 11 2 3 2 2 4 3" xfId="22235" xr:uid="{00000000-0005-0000-0000-00001D720000}"/>
    <cellStyle name="Percent 11 2 3 2 2 5" xfId="9519" xr:uid="{00000000-0005-0000-0000-00001E720000}"/>
    <cellStyle name="Percent 11 2 3 2 2 5 2" xfId="26459" xr:uid="{00000000-0005-0000-0000-00001F720000}"/>
    <cellStyle name="Percent 11 2 3 2 2 6" xfId="18011" xr:uid="{00000000-0005-0000-0000-000020720000}"/>
    <cellStyle name="Percent 11 2 3 2 3" xfId="1773" xr:uid="{00000000-0005-0000-0000-000021720000}"/>
    <cellStyle name="Percent 11 2 3 2 3 2" xfId="3885" xr:uid="{00000000-0005-0000-0000-000022720000}"/>
    <cellStyle name="Percent 11 2 3 2 3 2 2" xfId="8111" xr:uid="{00000000-0005-0000-0000-000023720000}"/>
    <cellStyle name="Percent 11 2 3 2 3 2 2 2" xfId="16559" xr:uid="{00000000-0005-0000-0000-000024720000}"/>
    <cellStyle name="Percent 11 2 3 2 3 2 2 2 2" xfId="33499" xr:uid="{00000000-0005-0000-0000-000025720000}"/>
    <cellStyle name="Percent 11 2 3 2 3 2 2 3" xfId="25051" xr:uid="{00000000-0005-0000-0000-000026720000}"/>
    <cellStyle name="Percent 11 2 3 2 3 2 3" xfId="12335" xr:uid="{00000000-0005-0000-0000-000027720000}"/>
    <cellStyle name="Percent 11 2 3 2 3 2 3 2" xfId="29275" xr:uid="{00000000-0005-0000-0000-000028720000}"/>
    <cellStyle name="Percent 11 2 3 2 3 2 4" xfId="20827" xr:uid="{00000000-0005-0000-0000-000029720000}"/>
    <cellStyle name="Percent 11 2 3 2 3 3" xfId="5999" xr:uid="{00000000-0005-0000-0000-00002A720000}"/>
    <cellStyle name="Percent 11 2 3 2 3 3 2" xfId="14447" xr:uid="{00000000-0005-0000-0000-00002B720000}"/>
    <cellStyle name="Percent 11 2 3 2 3 3 2 2" xfId="31387" xr:uid="{00000000-0005-0000-0000-00002C720000}"/>
    <cellStyle name="Percent 11 2 3 2 3 3 3" xfId="22939" xr:uid="{00000000-0005-0000-0000-00002D720000}"/>
    <cellStyle name="Percent 11 2 3 2 3 4" xfId="10223" xr:uid="{00000000-0005-0000-0000-00002E720000}"/>
    <cellStyle name="Percent 11 2 3 2 3 4 2" xfId="27163" xr:uid="{00000000-0005-0000-0000-00002F720000}"/>
    <cellStyle name="Percent 11 2 3 2 3 5" xfId="18715" xr:uid="{00000000-0005-0000-0000-000030720000}"/>
    <cellStyle name="Percent 11 2 3 2 4" xfId="2829" xr:uid="{00000000-0005-0000-0000-000031720000}"/>
    <cellStyle name="Percent 11 2 3 2 4 2" xfId="7055" xr:uid="{00000000-0005-0000-0000-000032720000}"/>
    <cellStyle name="Percent 11 2 3 2 4 2 2" xfId="15503" xr:uid="{00000000-0005-0000-0000-000033720000}"/>
    <cellStyle name="Percent 11 2 3 2 4 2 2 2" xfId="32443" xr:uid="{00000000-0005-0000-0000-000034720000}"/>
    <cellStyle name="Percent 11 2 3 2 4 2 3" xfId="23995" xr:uid="{00000000-0005-0000-0000-000035720000}"/>
    <cellStyle name="Percent 11 2 3 2 4 3" xfId="11279" xr:uid="{00000000-0005-0000-0000-000036720000}"/>
    <cellStyle name="Percent 11 2 3 2 4 3 2" xfId="28219" xr:uid="{00000000-0005-0000-0000-000037720000}"/>
    <cellStyle name="Percent 11 2 3 2 4 4" xfId="19771" xr:uid="{00000000-0005-0000-0000-000038720000}"/>
    <cellStyle name="Percent 11 2 3 2 5" xfId="4943" xr:uid="{00000000-0005-0000-0000-000039720000}"/>
    <cellStyle name="Percent 11 2 3 2 5 2" xfId="13391" xr:uid="{00000000-0005-0000-0000-00003A720000}"/>
    <cellStyle name="Percent 11 2 3 2 5 2 2" xfId="30331" xr:uid="{00000000-0005-0000-0000-00003B720000}"/>
    <cellStyle name="Percent 11 2 3 2 5 3" xfId="21883" xr:uid="{00000000-0005-0000-0000-00003C720000}"/>
    <cellStyle name="Percent 11 2 3 2 6" xfId="9167" xr:uid="{00000000-0005-0000-0000-00003D720000}"/>
    <cellStyle name="Percent 11 2 3 2 6 2" xfId="26107" xr:uid="{00000000-0005-0000-0000-00003E720000}"/>
    <cellStyle name="Percent 11 2 3 2 7" xfId="17659" xr:uid="{00000000-0005-0000-0000-00003F720000}"/>
    <cellStyle name="Percent 11 2 3 3" xfId="887" xr:uid="{00000000-0005-0000-0000-000040720000}"/>
    <cellStyle name="Percent 11 2 3 3 2" xfId="1949" xr:uid="{00000000-0005-0000-0000-000041720000}"/>
    <cellStyle name="Percent 11 2 3 3 2 2" xfId="4061" xr:uid="{00000000-0005-0000-0000-000042720000}"/>
    <cellStyle name="Percent 11 2 3 3 2 2 2" xfId="8287" xr:uid="{00000000-0005-0000-0000-000043720000}"/>
    <cellStyle name="Percent 11 2 3 3 2 2 2 2" xfId="16735" xr:uid="{00000000-0005-0000-0000-000044720000}"/>
    <cellStyle name="Percent 11 2 3 3 2 2 2 2 2" xfId="33675" xr:uid="{00000000-0005-0000-0000-000045720000}"/>
    <cellStyle name="Percent 11 2 3 3 2 2 2 3" xfId="25227" xr:uid="{00000000-0005-0000-0000-000046720000}"/>
    <cellStyle name="Percent 11 2 3 3 2 2 3" xfId="12511" xr:uid="{00000000-0005-0000-0000-000047720000}"/>
    <cellStyle name="Percent 11 2 3 3 2 2 3 2" xfId="29451" xr:uid="{00000000-0005-0000-0000-000048720000}"/>
    <cellStyle name="Percent 11 2 3 3 2 2 4" xfId="21003" xr:uid="{00000000-0005-0000-0000-000049720000}"/>
    <cellStyle name="Percent 11 2 3 3 2 3" xfId="6175" xr:uid="{00000000-0005-0000-0000-00004A720000}"/>
    <cellStyle name="Percent 11 2 3 3 2 3 2" xfId="14623" xr:uid="{00000000-0005-0000-0000-00004B720000}"/>
    <cellStyle name="Percent 11 2 3 3 2 3 2 2" xfId="31563" xr:uid="{00000000-0005-0000-0000-00004C720000}"/>
    <cellStyle name="Percent 11 2 3 3 2 3 3" xfId="23115" xr:uid="{00000000-0005-0000-0000-00004D720000}"/>
    <cellStyle name="Percent 11 2 3 3 2 4" xfId="10399" xr:uid="{00000000-0005-0000-0000-00004E720000}"/>
    <cellStyle name="Percent 11 2 3 3 2 4 2" xfId="27339" xr:uid="{00000000-0005-0000-0000-00004F720000}"/>
    <cellStyle name="Percent 11 2 3 3 2 5" xfId="18891" xr:uid="{00000000-0005-0000-0000-000050720000}"/>
    <cellStyle name="Percent 11 2 3 3 3" xfId="3005" xr:uid="{00000000-0005-0000-0000-000051720000}"/>
    <cellStyle name="Percent 11 2 3 3 3 2" xfId="7231" xr:uid="{00000000-0005-0000-0000-000052720000}"/>
    <cellStyle name="Percent 11 2 3 3 3 2 2" xfId="15679" xr:uid="{00000000-0005-0000-0000-000053720000}"/>
    <cellStyle name="Percent 11 2 3 3 3 2 2 2" xfId="32619" xr:uid="{00000000-0005-0000-0000-000054720000}"/>
    <cellStyle name="Percent 11 2 3 3 3 2 3" xfId="24171" xr:uid="{00000000-0005-0000-0000-000055720000}"/>
    <cellStyle name="Percent 11 2 3 3 3 3" xfId="11455" xr:uid="{00000000-0005-0000-0000-000056720000}"/>
    <cellStyle name="Percent 11 2 3 3 3 3 2" xfId="28395" xr:uid="{00000000-0005-0000-0000-000057720000}"/>
    <cellStyle name="Percent 11 2 3 3 3 4" xfId="19947" xr:uid="{00000000-0005-0000-0000-000058720000}"/>
    <cellStyle name="Percent 11 2 3 3 4" xfId="5119" xr:uid="{00000000-0005-0000-0000-000059720000}"/>
    <cellStyle name="Percent 11 2 3 3 4 2" xfId="13567" xr:uid="{00000000-0005-0000-0000-00005A720000}"/>
    <cellStyle name="Percent 11 2 3 3 4 2 2" xfId="30507" xr:uid="{00000000-0005-0000-0000-00005B720000}"/>
    <cellStyle name="Percent 11 2 3 3 4 3" xfId="22059" xr:uid="{00000000-0005-0000-0000-00005C720000}"/>
    <cellStyle name="Percent 11 2 3 3 5" xfId="9343" xr:uid="{00000000-0005-0000-0000-00005D720000}"/>
    <cellStyle name="Percent 11 2 3 3 5 2" xfId="26283" xr:uid="{00000000-0005-0000-0000-00005E720000}"/>
    <cellStyle name="Percent 11 2 3 3 6" xfId="17835" xr:uid="{00000000-0005-0000-0000-00005F720000}"/>
    <cellStyle name="Percent 11 2 3 4" xfId="1239" xr:uid="{00000000-0005-0000-0000-000060720000}"/>
    <cellStyle name="Percent 11 2 3 4 2" xfId="2301" xr:uid="{00000000-0005-0000-0000-000061720000}"/>
    <cellStyle name="Percent 11 2 3 4 2 2" xfId="4413" xr:uid="{00000000-0005-0000-0000-000062720000}"/>
    <cellStyle name="Percent 11 2 3 4 2 2 2" xfId="8639" xr:uid="{00000000-0005-0000-0000-000063720000}"/>
    <cellStyle name="Percent 11 2 3 4 2 2 2 2" xfId="17087" xr:uid="{00000000-0005-0000-0000-000064720000}"/>
    <cellStyle name="Percent 11 2 3 4 2 2 2 2 2" xfId="34027" xr:uid="{00000000-0005-0000-0000-000065720000}"/>
    <cellStyle name="Percent 11 2 3 4 2 2 2 3" xfId="25579" xr:uid="{00000000-0005-0000-0000-000066720000}"/>
    <cellStyle name="Percent 11 2 3 4 2 2 3" xfId="12863" xr:uid="{00000000-0005-0000-0000-000067720000}"/>
    <cellStyle name="Percent 11 2 3 4 2 2 3 2" xfId="29803" xr:uid="{00000000-0005-0000-0000-000068720000}"/>
    <cellStyle name="Percent 11 2 3 4 2 2 4" xfId="21355" xr:uid="{00000000-0005-0000-0000-000069720000}"/>
    <cellStyle name="Percent 11 2 3 4 2 3" xfId="6527" xr:uid="{00000000-0005-0000-0000-00006A720000}"/>
    <cellStyle name="Percent 11 2 3 4 2 3 2" xfId="14975" xr:uid="{00000000-0005-0000-0000-00006B720000}"/>
    <cellStyle name="Percent 11 2 3 4 2 3 2 2" xfId="31915" xr:uid="{00000000-0005-0000-0000-00006C720000}"/>
    <cellStyle name="Percent 11 2 3 4 2 3 3" xfId="23467" xr:uid="{00000000-0005-0000-0000-00006D720000}"/>
    <cellStyle name="Percent 11 2 3 4 2 4" xfId="10751" xr:uid="{00000000-0005-0000-0000-00006E720000}"/>
    <cellStyle name="Percent 11 2 3 4 2 4 2" xfId="27691" xr:uid="{00000000-0005-0000-0000-00006F720000}"/>
    <cellStyle name="Percent 11 2 3 4 2 5" xfId="19243" xr:uid="{00000000-0005-0000-0000-000070720000}"/>
    <cellStyle name="Percent 11 2 3 4 3" xfId="3357" xr:uid="{00000000-0005-0000-0000-000071720000}"/>
    <cellStyle name="Percent 11 2 3 4 3 2" xfId="7583" xr:uid="{00000000-0005-0000-0000-000072720000}"/>
    <cellStyle name="Percent 11 2 3 4 3 2 2" xfId="16031" xr:uid="{00000000-0005-0000-0000-000073720000}"/>
    <cellStyle name="Percent 11 2 3 4 3 2 2 2" xfId="32971" xr:uid="{00000000-0005-0000-0000-000074720000}"/>
    <cellStyle name="Percent 11 2 3 4 3 2 3" xfId="24523" xr:uid="{00000000-0005-0000-0000-000075720000}"/>
    <cellStyle name="Percent 11 2 3 4 3 3" xfId="11807" xr:uid="{00000000-0005-0000-0000-000076720000}"/>
    <cellStyle name="Percent 11 2 3 4 3 3 2" xfId="28747" xr:uid="{00000000-0005-0000-0000-000077720000}"/>
    <cellStyle name="Percent 11 2 3 4 3 4" xfId="20299" xr:uid="{00000000-0005-0000-0000-000078720000}"/>
    <cellStyle name="Percent 11 2 3 4 4" xfId="5471" xr:uid="{00000000-0005-0000-0000-000079720000}"/>
    <cellStyle name="Percent 11 2 3 4 4 2" xfId="13919" xr:uid="{00000000-0005-0000-0000-00007A720000}"/>
    <cellStyle name="Percent 11 2 3 4 4 2 2" xfId="30859" xr:uid="{00000000-0005-0000-0000-00007B720000}"/>
    <cellStyle name="Percent 11 2 3 4 4 3" xfId="22411" xr:uid="{00000000-0005-0000-0000-00007C720000}"/>
    <cellStyle name="Percent 11 2 3 4 5" xfId="9695" xr:uid="{00000000-0005-0000-0000-00007D720000}"/>
    <cellStyle name="Percent 11 2 3 4 5 2" xfId="26635" xr:uid="{00000000-0005-0000-0000-00007E720000}"/>
    <cellStyle name="Percent 11 2 3 4 6" xfId="18187" xr:uid="{00000000-0005-0000-0000-00007F720000}"/>
    <cellStyle name="Percent 11 2 3 5" xfId="1421" xr:uid="{00000000-0005-0000-0000-000080720000}"/>
    <cellStyle name="Percent 11 2 3 5 2" xfId="2477" xr:uid="{00000000-0005-0000-0000-000081720000}"/>
    <cellStyle name="Percent 11 2 3 5 2 2" xfId="4589" xr:uid="{00000000-0005-0000-0000-000082720000}"/>
    <cellStyle name="Percent 11 2 3 5 2 2 2" xfId="8815" xr:uid="{00000000-0005-0000-0000-000083720000}"/>
    <cellStyle name="Percent 11 2 3 5 2 2 2 2" xfId="17263" xr:uid="{00000000-0005-0000-0000-000084720000}"/>
    <cellStyle name="Percent 11 2 3 5 2 2 2 2 2" xfId="34203" xr:uid="{00000000-0005-0000-0000-000085720000}"/>
    <cellStyle name="Percent 11 2 3 5 2 2 2 3" xfId="25755" xr:uid="{00000000-0005-0000-0000-000086720000}"/>
    <cellStyle name="Percent 11 2 3 5 2 2 3" xfId="13039" xr:uid="{00000000-0005-0000-0000-000087720000}"/>
    <cellStyle name="Percent 11 2 3 5 2 2 3 2" xfId="29979" xr:uid="{00000000-0005-0000-0000-000088720000}"/>
    <cellStyle name="Percent 11 2 3 5 2 2 4" xfId="21531" xr:uid="{00000000-0005-0000-0000-000089720000}"/>
    <cellStyle name="Percent 11 2 3 5 2 3" xfId="6703" xr:uid="{00000000-0005-0000-0000-00008A720000}"/>
    <cellStyle name="Percent 11 2 3 5 2 3 2" xfId="15151" xr:uid="{00000000-0005-0000-0000-00008B720000}"/>
    <cellStyle name="Percent 11 2 3 5 2 3 2 2" xfId="32091" xr:uid="{00000000-0005-0000-0000-00008C720000}"/>
    <cellStyle name="Percent 11 2 3 5 2 3 3" xfId="23643" xr:uid="{00000000-0005-0000-0000-00008D720000}"/>
    <cellStyle name="Percent 11 2 3 5 2 4" xfId="10927" xr:uid="{00000000-0005-0000-0000-00008E720000}"/>
    <cellStyle name="Percent 11 2 3 5 2 4 2" xfId="27867" xr:uid="{00000000-0005-0000-0000-00008F720000}"/>
    <cellStyle name="Percent 11 2 3 5 2 5" xfId="19419" xr:uid="{00000000-0005-0000-0000-000090720000}"/>
    <cellStyle name="Percent 11 2 3 5 3" xfId="3533" xr:uid="{00000000-0005-0000-0000-000091720000}"/>
    <cellStyle name="Percent 11 2 3 5 3 2" xfId="7759" xr:uid="{00000000-0005-0000-0000-000092720000}"/>
    <cellStyle name="Percent 11 2 3 5 3 2 2" xfId="16207" xr:uid="{00000000-0005-0000-0000-000093720000}"/>
    <cellStyle name="Percent 11 2 3 5 3 2 2 2" xfId="33147" xr:uid="{00000000-0005-0000-0000-000094720000}"/>
    <cellStyle name="Percent 11 2 3 5 3 2 3" xfId="24699" xr:uid="{00000000-0005-0000-0000-000095720000}"/>
    <cellStyle name="Percent 11 2 3 5 3 3" xfId="11983" xr:uid="{00000000-0005-0000-0000-000096720000}"/>
    <cellStyle name="Percent 11 2 3 5 3 3 2" xfId="28923" xr:uid="{00000000-0005-0000-0000-000097720000}"/>
    <cellStyle name="Percent 11 2 3 5 3 4" xfId="20475" xr:uid="{00000000-0005-0000-0000-000098720000}"/>
    <cellStyle name="Percent 11 2 3 5 4" xfId="5647" xr:uid="{00000000-0005-0000-0000-000099720000}"/>
    <cellStyle name="Percent 11 2 3 5 4 2" xfId="14095" xr:uid="{00000000-0005-0000-0000-00009A720000}"/>
    <cellStyle name="Percent 11 2 3 5 4 2 2" xfId="31035" xr:uid="{00000000-0005-0000-0000-00009B720000}"/>
    <cellStyle name="Percent 11 2 3 5 4 3" xfId="22587" xr:uid="{00000000-0005-0000-0000-00009C720000}"/>
    <cellStyle name="Percent 11 2 3 5 5" xfId="9871" xr:uid="{00000000-0005-0000-0000-00009D720000}"/>
    <cellStyle name="Percent 11 2 3 5 5 2" xfId="26811" xr:uid="{00000000-0005-0000-0000-00009E720000}"/>
    <cellStyle name="Percent 11 2 3 5 6" xfId="18363" xr:uid="{00000000-0005-0000-0000-00009F720000}"/>
    <cellStyle name="Percent 11 2 3 6" xfId="1597" xr:uid="{00000000-0005-0000-0000-0000A0720000}"/>
    <cellStyle name="Percent 11 2 3 6 2" xfId="3709" xr:uid="{00000000-0005-0000-0000-0000A1720000}"/>
    <cellStyle name="Percent 11 2 3 6 2 2" xfId="7935" xr:uid="{00000000-0005-0000-0000-0000A2720000}"/>
    <cellStyle name="Percent 11 2 3 6 2 2 2" xfId="16383" xr:uid="{00000000-0005-0000-0000-0000A3720000}"/>
    <cellStyle name="Percent 11 2 3 6 2 2 2 2" xfId="33323" xr:uid="{00000000-0005-0000-0000-0000A4720000}"/>
    <cellStyle name="Percent 11 2 3 6 2 2 3" xfId="24875" xr:uid="{00000000-0005-0000-0000-0000A5720000}"/>
    <cellStyle name="Percent 11 2 3 6 2 3" xfId="12159" xr:uid="{00000000-0005-0000-0000-0000A6720000}"/>
    <cellStyle name="Percent 11 2 3 6 2 3 2" xfId="29099" xr:uid="{00000000-0005-0000-0000-0000A7720000}"/>
    <cellStyle name="Percent 11 2 3 6 2 4" xfId="20651" xr:uid="{00000000-0005-0000-0000-0000A8720000}"/>
    <cellStyle name="Percent 11 2 3 6 3" xfId="5823" xr:uid="{00000000-0005-0000-0000-0000A9720000}"/>
    <cellStyle name="Percent 11 2 3 6 3 2" xfId="14271" xr:uid="{00000000-0005-0000-0000-0000AA720000}"/>
    <cellStyle name="Percent 11 2 3 6 3 2 2" xfId="31211" xr:uid="{00000000-0005-0000-0000-0000AB720000}"/>
    <cellStyle name="Percent 11 2 3 6 3 3" xfId="22763" xr:uid="{00000000-0005-0000-0000-0000AC720000}"/>
    <cellStyle name="Percent 11 2 3 6 4" xfId="10047" xr:uid="{00000000-0005-0000-0000-0000AD720000}"/>
    <cellStyle name="Percent 11 2 3 6 4 2" xfId="26987" xr:uid="{00000000-0005-0000-0000-0000AE720000}"/>
    <cellStyle name="Percent 11 2 3 6 5" xfId="18539" xr:uid="{00000000-0005-0000-0000-0000AF720000}"/>
    <cellStyle name="Percent 11 2 3 7" xfId="2653" xr:uid="{00000000-0005-0000-0000-0000B0720000}"/>
    <cellStyle name="Percent 11 2 3 7 2" xfId="6879" xr:uid="{00000000-0005-0000-0000-0000B1720000}"/>
    <cellStyle name="Percent 11 2 3 7 2 2" xfId="15327" xr:uid="{00000000-0005-0000-0000-0000B2720000}"/>
    <cellStyle name="Percent 11 2 3 7 2 2 2" xfId="32267" xr:uid="{00000000-0005-0000-0000-0000B3720000}"/>
    <cellStyle name="Percent 11 2 3 7 2 3" xfId="23819" xr:uid="{00000000-0005-0000-0000-0000B4720000}"/>
    <cellStyle name="Percent 11 2 3 7 3" xfId="11103" xr:uid="{00000000-0005-0000-0000-0000B5720000}"/>
    <cellStyle name="Percent 11 2 3 7 3 2" xfId="28043" xr:uid="{00000000-0005-0000-0000-0000B6720000}"/>
    <cellStyle name="Percent 11 2 3 7 4" xfId="19595" xr:uid="{00000000-0005-0000-0000-0000B7720000}"/>
    <cellStyle name="Percent 11 2 3 8" xfId="4766" xr:uid="{00000000-0005-0000-0000-0000B8720000}"/>
    <cellStyle name="Percent 11 2 3 8 2" xfId="13215" xr:uid="{00000000-0005-0000-0000-0000B9720000}"/>
    <cellStyle name="Percent 11 2 3 8 2 2" xfId="30155" xr:uid="{00000000-0005-0000-0000-0000BA720000}"/>
    <cellStyle name="Percent 11 2 3 8 3" xfId="21707" xr:uid="{00000000-0005-0000-0000-0000BB720000}"/>
    <cellStyle name="Percent 11 2 3 9" xfId="8991" xr:uid="{00000000-0005-0000-0000-0000BC720000}"/>
    <cellStyle name="Percent 11 2 3 9 2" xfId="25931" xr:uid="{00000000-0005-0000-0000-0000BD720000}"/>
    <cellStyle name="Percent 11 2 4" xfId="709" xr:uid="{00000000-0005-0000-0000-0000BE720000}"/>
    <cellStyle name="Percent 11 2 4 2" xfId="1061" xr:uid="{00000000-0005-0000-0000-0000BF720000}"/>
    <cellStyle name="Percent 11 2 4 2 2" xfId="2123" xr:uid="{00000000-0005-0000-0000-0000C0720000}"/>
    <cellStyle name="Percent 11 2 4 2 2 2" xfId="4235" xr:uid="{00000000-0005-0000-0000-0000C1720000}"/>
    <cellStyle name="Percent 11 2 4 2 2 2 2" xfId="8461" xr:uid="{00000000-0005-0000-0000-0000C2720000}"/>
    <cellStyle name="Percent 11 2 4 2 2 2 2 2" xfId="16909" xr:uid="{00000000-0005-0000-0000-0000C3720000}"/>
    <cellStyle name="Percent 11 2 4 2 2 2 2 2 2" xfId="33849" xr:uid="{00000000-0005-0000-0000-0000C4720000}"/>
    <cellStyle name="Percent 11 2 4 2 2 2 2 3" xfId="25401" xr:uid="{00000000-0005-0000-0000-0000C5720000}"/>
    <cellStyle name="Percent 11 2 4 2 2 2 3" xfId="12685" xr:uid="{00000000-0005-0000-0000-0000C6720000}"/>
    <cellStyle name="Percent 11 2 4 2 2 2 3 2" xfId="29625" xr:uid="{00000000-0005-0000-0000-0000C7720000}"/>
    <cellStyle name="Percent 11 2 4 2 2 2 4" xfId="21177" xr:uid="{00000000-0005-0000-0000-0000C8720000}"/>
    <cellStyle name="Percent 11 2 4 2 2 3" xfId="6349" xr:uid="{00000000-0005-0000-0000-0000C9720000}"/>
    <cellStyle name="Percent 11 2 4 2 2 3 2" xfId="14797" xr:uid="{00000000-0005-0000-0000-0000CA720000}"/>
    <cellStyle name="Percent 11 2 4 2 2 3 2 2" xfId="31737" xr:uid="{00000000-0005-0000-0000-0000CB720000}"/>
    <cellStyle name="Percent 11 2 4 2 2 3 3" xfId="23289" xr:uid="{00000000-0005-0000-0000-0000CC720000}"/>
    <cellStyle name="Percent 11 2 4 2 2 4" xfId="10573" xr:uid="{00000000-0005-0000-0000-0000CD720000}"/>
    <cellStyle name="Percent 11 2 4 2 2 4 2" xfId="27513" xr:uid="{00000000-0005-0000-0000-0000CE720000}"/>
    <cellStyle name="Percent 11 2 4 2 2 5" xfId="19065" xr:uid="{00000000-0005-0000-0000-0000CF720000}"/>
    <cellStyle name="Percent 11 2 4 2 3" xfId="3179" xr:uid="{00000000-0005-0000-0000-0000D0720000}"/>
    <cellStyle name="Percent 11 2 4 2 3 2" xfId="7405" xr:uid="{00000000-0005-0000-0000-0000D1720000}"/>
    <cellStyle name="Percent 11 2 4 2 3 2 2" xfId="15853" xr:uid="{00000000-0005-0000-0000-0000D2720000}"/>
    <cellStyle name="Percent 11 2 4 2 3 2 2 2" xfId="32793" xr:uid="{00000000-0005-0000-0000-0000D3720000}"/>
    <cellStyle name="Percent 11 2 4 2 3 2 3" xfId="24345" xr:uid="{00000000-0005-0000-0000-0000D4720000}"/>
    <cellStyle name="Percent 11 2 4 2 3 3" xfId="11629" xr:uid="{00000000-0005-0000-0000-0000D5720000}"/>
    <cellStyle name="Percent 11 2 4 2 3 3 2" xfId="28569" xr:uid="{00000000-0005-0000-0000-0000D6720000}"/>
    <cellStyle name="Percent 11 2 4 2 3 4" xfId="20121" xr:uid="{00000000-0005-0000-0000-0000D7720000}"/>
    <cellStyle name="Percent 11 2 4 2 4" xfId="5293" xr:uid="{00000000-0005-0000-0000-0000D8720000}"/>
    <cellStyle name="Percent 11 2 4 2 4 2" xfId="13741" xr:uid="{00000000-0005-0000-0000-0000D9720000}"/>
    <cellStyle name="Percent 11 2 4 2 4 2 2" xfId="30681" xr:uid="{00000000-0005-0000-0000-0000DA720000}"/>
    <cellStyle name="Percent 11 2 4 2 4 3" xfId="22233" xr:uid="{00000000-0005-0000-0000-0000DB720000}"/>
    <cellStyle name="Percent 11 2 4 2 5" xfId="9517" xr:uid="{00000000-0005-0000-0000-0000DC720000}"/>
    <cellStyle name="Percent 11 2 4 2 5 2" xfId="26457" xr:uid="{00000000-0005-0000-0000-0000DD720000}"/>
    <cellStyle name="Percent 11 2 4 2 6" xfId="18009" xr:uid="{00000000-0005-0000-0000-0000DE720000}"/>
    <cellStyle name="Percent 11 2 4 3" xfId="1771" xr:uid="{00000000-0005-0000-0000-0000DF720000}"/>
    <cellStyle name="Percent 11 2 4 3 2" xfId="3883" xr:uid="{00000000-0005-0000-0000-0000E0720000}"/>
    <cellStyle name="Percent 11 2 4 3 2 2" xfId="8109" xr:uid="{00000000-0005-0000-0000-0000E1720000}"/>
    <cellStyle name="Percent 11 2 4 3 2 2 2" xfId="16557" xr:uid="{00000000-0005-0000-0000-0000E2720000}"/>
    <cellStyle name="Percent 11 2 4 3 2 2 2 2" xfId="33497" xr:uid="{00000000-0005-0000-0000-0000E3720000}"/>
    <cellStyle name="Percent 11 2 4 3 2 2 3" xfId="25049" xr:uid="{00000000-0005-0000-0000-0000E4720000}"/>
    <cellStyle name="Percent 11 2 4 3 2 3" xfId="12333" xr:uid="{00000000-0005-0000-0000-0000E5720000}"/>
    <cellStyle name="Percent 11 2 4 3 2 3 2" xfId="29273" xr:uid="{00000000-0005-0000-0000-0000E6720000}"/>
    <cellStyle name="Percent 11 2 4 3 2 4" xfId="20825" xr:uid="{00000000-0005-0000-0000-0000E7720000}"/>
    <cellStyle name="Percent 11 2 4 3 3" xfId="5997" xr:uid="{00000000-0005-0000-0000-0000E8720000}"/>
    <cellStyle name="Percent 11 2 4 3 3 2" xfId="14445" xr:uid="{00000000-0005-0000-0000-0000E9720000}"/>
    <cellStyle name="Percent 11 2 4 3 3 2 2" xfId="31385" xr:uid="{00000000-0005-0000-0000-0000EA720000}"/>
    <cellStyle name="Percent 11 2 4 3 3 3" xfId="22937" xr:uid="{00000000-0005-0000-0000-0000EB720000}"/>
    <cellStyle name="Percent 11 2 4 3 4" xfId="10221" xr:uid="{00000000-0005-0000-0000-0000EC720000}"/>
    <cellStyle name="Percent 11 2 4 3 4 2" xfId="27161" xr:uid="{00000000-0005-0000-0000-0000ED720000}"/>
    <cellStyle name="Percent 11 2 4 3 5" xfId="18713" xr:uid="{00000000-0005-0000-0000-0000EE720000}"/>
    <cellStyle name="Percent 11 2 4 4" xfId="2827" xr:uid="{00000000-0005-0000-0000-0000EF720000}"/>
    <cellStyle name="Percent 11 2 4 4 2" xfId="7053" xr:uid="{00000000-0005-0000-0000-0000F0720000}"/>
    <cellStyle name="Percent 11 2 4 4 2 2" xfId="15501" xr:uid="{00000000-0005-0000-0000-0000F1720000}"/>
    <cellStyle name="Percent 11 2 4 4 2 2 2" xfId="32441" xr:uid="{00000000-0005-0000-0000-0000F2720000}"/>
    <cellStyle name="Percent 11 2 4 4 2 3" xfId="23993" xr:uid="{00000000-0005-0000-0000-0000F3720000}"/>
    <cellStyle name="Percent 11 2 4 4 3" xfId="11277" xr:uid="{00000000-0005-0000-0000-0000F4720000}"/>
    <cellStyle name="Percent 11 2 4 4 3 2" xfId="28217" xr:uid="{00000000-0005-0000-0000-0000F5720000}"/>
    <cellStyle name="Percent 11 2 4 4 4" xfId="19769" xr:uid="{00000000-0005-0000-0000-0000F6720000}"/>
    <cellStyle name="Percent 11 2 4 5" xfId="4941" xr:uid="{00000000-0005-0000-0000-0000F7720000}"/>
    <cellStyle name="Percent 11 2 4 5 2" xfId="13389" xr:uid="{00000000-0005-0000-0000-0000F8720000}"/>
    <cellStyle name="Percent 11 2 4 5 2 2" xfId="30329" xr:uid="{00000000-0005-0000-0000-0000F9720000}"/>
    <cellStyle name="Percent 11 2 4 5 3" xfId="21881" xr:uid="{00000000-0005-0000-0000-0000FA720000}"/>
    <cellStyle name="Percent 11 2 4 6" xfId="9165" xr:uid="{00000000-0005-0000-0000-0000FB720000}"/>
    <cellStyle name="Percent 11 2 4 6 2" xfId="26105" xr:uid="{00000000-0005-0000-0000-0000FC720000}"/>
    <cellStyle name="Percent 11 2 4 7" xfId="17657" xr:uid="{00000000-0005-0000-0000-0000FD720000}"/>
    <cellStyle name="Percent 11 2 5" xfId="885" xr:uid="{00000000-0005-0000-0000-0000FE720000}"/>
    <cellStyle name="Percent 11 2 5 2" xfId="1947" xr:uid="{00000000-0005-0000-0000-0000FF720000}"/>
    <cellStyle name="Percent 11 2 5 2 2" xfId="4059" xr:uid="{00000000-0005-0000-0000-000000730000}"/>
    <cellStyle name="Percent 11 2 5 2 2 2" xfId="8285" xr:uid="{00000000-0005-0000-0000-000001730000}"/>
    <cellStyle name="Percent 11 2 5 2 2 2 2" xfId="16733" xr:uid="{00000000-0005-0000-0000-000002730000}"/>
    <cellStyle name="Percent 11 2 5 2 2 2 2 2" xfId="33673" xr:uid="{00000000-0005-0000-0000-000003730000}"/>
    <cellStyle name="Percent 11 2 5 2 2 2 3" xfId="25225" xr:uid="{00000000-0005-0000-0000-000004730000}"/>
    <cellStyle name="Percent 11 2 5 2 2 3" xfId="12509" xr:uid="{00000000-0005-0000-0000-000005730000}"/>
    <cellStyle name="Percent 11 2 5 2 2 3 2" xfId="29449" xr:uid="{00000000-0005-0000-0000-000006730000}"/>
    <cellStyle name="Percent 11 2 5 2 2 4" xfId="21001" xr:uid="{00000000-0005-0000-0000-000007730000}"/>
    <cellStyle name="Percent 11 2 5 2 3" xfId="6173" xr:uid="{00000000-0005-0000-0000-000008730000}"/>
    <cellStyle name="Percent 11 2 5 2 3 2" xfId="14621" xr:uid="{00000000-0005-0000-0000-000009730000}"/>
    <cellStyle name="Percent 11 2 5 2 3 2 2" xfId="31561" xr:uid="{00000000-0005-0000-0000-00000A730000}"/>
    <cellStyle name="Percent 11 2 5 2 3 3" xfId="23113" xr:uid="{00000000-0005-0000-0000-00000B730000}"/>
    <cellStyle name="Percent 11 2 5 2 4" xfId="10397" xr:uid="{00000000-0005-0000-0000-00000C730000}"/>
    <cellStyle name="Percent 11 2 5 2 4 2" xfId="27337" xr:uid="{00000000-0005-0000-0000-00000D730000}"/>
    <cellStyle name="Percent 11 2 5 2 5" xfId="18889" xr:uid="{00000000-0005-0000-0000-00000E730000}"/>
    <cellStyle name="Percent 11 2 5 3" xfId="3003" xr:uid="{00000000-0005-0000-0000-00000F730000}"/>
    <cellStyle name="Percent 11 2 5 3 2" xfId="7229" xr:uid="{00000000-0005-0000-0000-000010730000}"/>
    <cellStyle name="Percent 11 2 5 3 2 2" xfId="15677" xr:uid="{00000000-0005-0000-0000-000011730000}"/>
    <cellStyle name="Percent 11 2 5 3 2 2 2" xfId="32617" xr:uid="{00000000-0005-0000-0000-000012730000}"/>
    <cellStyle name="Percent 11 2 5 3 2 3" xfId="24169" xr:uid="{00000000-0005-0000-0000-000013730000}"/>
    <cellStyle name="Percent 11 2 5 3 3" xfId="11453" xr:uid="{00000000-0005-0000-0000-000014730000}"/>
    <cellStyle name="Percent 11 2 5 3 3 2" xfId="28393" xr:uid="{00000000-0005-0000-0000-000015730000}"/>
    <cellStyle name="Percent 11 2 5 3 4" xfId="19945" xr:uid="{00000000-0005-0000-0000-000016730000}"/>
    <cellStyle name="Percent 11 2 5 4" xfId="5117" xr:uid="{00000000-0005-0000-0000-000017730000}"/>
    <cellStyle name="Percent 11 2 5 4 2" xfId="13565" xr:uid="{00000000-0005-0000-0000-000018730000}"/>
    <cellStyle name="Percent 11 2 5 4 2 2" xfId="30505" xr:uid="{00000000-0005-0000-0000-000019730000}"/>
    <cellStyle name="Percent 11 2 5 4 3" xfId="22057" xr:uid="{00000000-0005-0000-0000-00001A730000}"/>
    <cellStyle name="Percent 11 2 5 5" xfId="9341" xr:uid="{00000000-0005-0000-0000-00001B730000}"/>
    <cellStyle name="Percent 11 2 5 5 2" xfId="26281" xr:uid="{00000000-0005-0000-0000-00001C730000}"/>
    <cellStyle name="Percent 11 2 5 6" xfId="17833" xr:uid="{00000000-0005-0000-0000-00001D730000}"/>
    <cellStyle name="Percent 11 2 6" xfId="1237" xr:uid="{00000000-0005-0000-0000-00001E730000}"/>
    <cellStyle name="Percent 11 2 6 2" xfId="2299" xr:uid="{00000000-0005-0000-0000-00001F730000}"/>
    <cellStyle name="Percent 11 2 6 2 2" xfId="4411" xr:uid="{00000000-0005-0000-0000-000020730000}"/>
    <cellStyle name="Percent 11 2 6 2 2 2" xfId="8637" xr:uid="{00000000-0005-0000-0000-000021730000}"/>
    <cellStyle name="Percent 11 2 6 2 2 2 2" xfId="17085" xr:uid="{00000000-0005-0000-0000-000022730000}"/>
    <cellStyle name="Percent 11 2 6 2 2 2 2 2" xfId="34025" xr:uid="{00000000-0005-0000-0000-000023730000}"/>
    <cellStyle name="Percent 11 2 6 2 2 2 3" xfId="25577" xr:uid="{00000000-0005-0000-0000-000024730000}"/>
    <cellStyle name="Percent 11 2 6 2 2 3" xfId="12861" xr:uid="{00000000-0005-0000-0000-000025730000}"/>
    <cellStyle name="Percent 11 2 6 2 2 3 2" xfId="29801" xr:uid="{00000000-0005-0000-0000-000026730000}"/>
    <cellStyle name="Percent 11 2 6 2 2 4" xfId="21353" xr:uid="{00000000-0005-0000-0000-000027730000}"/>
    <cellStyle name="Percent 11 2 6 2 3" xfId="6525" xr:uid="{00000000-0005-0000-0000-000028730000}"/>
    <cellStyle name="Percent 11 2 6 2 3 2" xfId="14973" xr:uid="{00000000-0005-0000-0000-000029730000}"/>
    <cellStyle name="Percent 11 2 6 2 3 2 2" xfId="31913" xr:uid="{00000000-0005-0000-0000-00002A730000}"/>
    <cellStyle name="Percent 11 2 6 2 3 3" xfId="23465" xr:uid="{00000000-0005-0000-0000-00002B730000}"/>
    <cellStyle name="Percent 11 2 6 2 4" xfId="10749" xr:uid="{00000000-0005-0000-0000-00002C730000}"/>
    <cellStyle name="Percent 11 2 6 2 4 2" xfId="27689" xr:uid="{00000000-0005-0000-0000-00002D730000}"/>
    <cellStyle name="Percent 11 2 6 2 5" xfId="19241" xr:uid="{00000000-0005-0000-0000-00002E730000}"/>
    <cellStyle name="Percent 11 2 6 3" xfId="3355" xr:uid="{00000000-0005-0000-0000-00002F730000}"/>
    <cellStyle name="Percent 11 2 6 3 2" xfId="7581" xr:uid="{00000000-0005-0000-0000-000030730000}"/>
    <cellStyle name="Percent 11 2 6 3 2 2" xfId="16029" xr:uid="{00000000-0005-0000-0000-000031730000}"/>
    <cellStyle name="Percent 11 2 6 3 2 2 2" xfId="32969" xr:uid="{00000000-0005-0000-0000-000032730000}"/>
    <cellStyle name="Percent 11 2 6 3 2 3" xfId="24521" xr:uid="{00000000-0005-0000-0000-000033730000}"/>
    <cellStyle name="Percent 11 2 6 3 3" xfId="11805" xr:uid="{00000000-0005-0000-0000-000034730000}"/>
    <cellStyle name="Percent 11 2 6 3 3 2" xfId="28745" xr:uid="{00000000-0005-0000-0000-000035730000}"/>
    <cellStyle name="Percent 11 2 6 3 4" xfId="20297" xr:uid="{00000000-0005-0000-0000-000036730000}"/>
    <cellStyle name="Percent 11 2 6 4" xfId="5469" xr:uid="{00000000-0005-0000-0000-000037730000}"/>
    <cellStyle name="Percent 11 2 6 4 2" xfId="13917" xr:uid="{00000000-0005-0000-0000-000038730000}"/>
    <cellStyle name="Percent 11 2 6 4 2 2" xfId="30857" xr:uid="{00000000-0005-0000-0000-000039730000}"/>
    <cellStyle name="Percent 11 2 6 4 3" xfId="22409" xr:uid="{00000000-0005-0000-0000-00003A730000}"/>
    <cellStyle name="Percent 11 2 6 5" xfId="9693" xr:uid="{00000000-0005-0000-0000-00003B730000}"/>
    <cellStyle name="Percent 11 2 6 5 2" xfId="26633" xr:uid="{00000000-0005-0000-0000-00003C730000}"/>
    <cellStyle name="Percent 11 2 6 6" xfId="18185" xr:uid="{00000000-0005-0000-0000-00003D730000}"/>
    <cellStyle name="Percent 11 2 7" xfId="1419" xr:uid="{00000000-0005-0000-0000-00003E730000}"/>
    <cellStyle name="Percent 11 2 7 2" xfId="2475" xr:uid="{00000000-0005-0000-0000-00003F730000}"/>
    <cellStyle name="Percent 11 2 7 2 2" xfId="4587" xr:uid="{00000000-0005-0000-0000-000040730000}"/>
    <cellStyle name="Percent 11 2 7 2 2 2" xfId="8813" xr:uid="{00000000-0005-0000-0000-000041730000}"/>
    <cellStyle name="Percent 11 2 7 2 2 2 2" xfId="17261" xr:uid="{00000000-0005-0000-0000-000042730000}"/>
    <cellStyle name="Percent 11 2 7 2 2 2 2 2" xfId="34201" xr:uid="{00000000-0005-0000-0000-000043730000}"/>
    <cellStyle name="Percent 11 2 7 2 2 2 3" xfId="25753" xr:uid="{00000000-0005-0000-0000-000044730000}"/>
    <cellStyle name="Percent 11 2 7 2 2 3" xfId="13037" xr:uid="{00000000-0005-0000-0000-000045730000}"/>
    <cellStyle name="Percent 11 2 7 2 2 3 2" xfId="29977" xr:uid="{00000000-0005-0000-0000-000046730000}"/>
    <cellStyle name="Percent 11 2 7 2 2 4" xfId="21529" xr:uid="{00000000-0005-0000-0000-000047730000}"/>
    <cellStyle name="Percent 11 2 7 2 3" xfId="6701" xr:uid="{00000000-0005-0000-0000-000048730000}"/>
    <cellStyle name="Percent 11 2 7 2 3 2" xfId="15149" xr:uid="{00000000-0005-0000-0000-000049730000}"/>
    <cellStyle name="Percent 11 2 7 2 3 2 2" xfId="32089" xr:uid="{00000000-0005-0000-0000-00004A730000}"/>
    <cellStyle name="Percent 11 2 7 2 3 3" xfId="23641" xr:uid="{00000000-0005-0000-0000-00004B730000}"/>
    <cellStyle name="Percent 11 2 7 2 4" xfId="10925" xr:uid="{00000000-0005-0000-0000-00004C730000}"/>
    <cellStyle name="Percent 11 2 7 2 4 2" xfId="27865" xr:uid="{00000000-0005-0000-0000-00004D730000}"/>
    <cellStyle name="Percent 11 2 7 2 5" xfId="19417" xr:uid="{00000000-0005-0000-0000-00004E730000}"/>
    <cellStyle name="Percent 11 2 7 3" xfId="3531" xr:uid="{00000000-0005-0000-0000-00004F730000}"/>
    <cellStyle name="Percent 11 2 7 3 2" xfId="7757" xr:uid="{00000000-0005-0000-0000-000050730000}"/>
    <cellStyle name="Percent 11 2 7 3 2 2" xfId="16205" xr:uid="{00000000-0005-0000-0000-000051730000}"/>
    <cellStyle name="Percent 11 2 7 3 2 2 2" xfId="33145" xr:uid="{00000000-0005-0000-0000-000052730000}"/>
    <cellStyle name="Percent 11 2 7 3 2 3" xfId="24697" xr:uid="{00000000-0005-0000-0000-000053730000}"/>
    <cellStyle name="Percent 11 2 7 3 3" xfId="11981" xr:uid="{00000000-0005-0000-0000-000054730000}"/>
    <cellStyle name="Percent 11 2 7 3 3 2" xfId="28921" xr:uid="{00000000-0005-0000-0000-000055730000}"/>
    <cellStyle name="Percent 11 2 7 3 4" xfId="20473" xr:uid="{00000000-0005-0000-0000-000056730000}"/>
    <cellStyle name="Percent 11 2 7 4" xfId="5645" xr:uid="{00000000-0005-0000-0000-000057730000}"/>
    <cellStyle name="Percent 11 2 7 4 2" xfId="14093" xr:uid="{00000000-0005-0000-0000-000058730000}"/>
    <cellStyle name="Percent 11 2 7 4 2 2" xfId="31033" xr:uid="{00000000-0005-0000-0000-000059730000}"/>
    <cellStyle name="Percent 11 2 7 4 3" xfId="22585" xr:uid="{00000000-0005-0000-0000-00005A730000}"/>
    <cellStyle name="Percent 11 2 7 5" xfId="9869" xr:uid="{00000000-0005-0000-0000-00005B730000}"/>
    <cellStyle name="Percent 11 2 7 5 2" xfId="26809" xr:uid="{00000000-0005-0000-0000-00005C730000}"/>
    <cellStyle name="Percent 11 2 7 6" xfId="18361" xr:uid="{00000000-0005-0000-0000-00005D730000}"/>
    <cellStyle name="Percent 11 2 8" xfId="1595" xr:uid="{00000000-0005-0000-0000-00005E730000}"/>
    <cellStyle name="Percent 11 2 8 2" xfId="3707" xr:uid="{00000000-0005-0000-0000-00005F730000}"/>
    <cellStyle name="Percent 11 2 8 2 2" xfId="7933" xr:uid="{00000000-0005-0000-0000-000060730000}"/>
    <cellStyle name="Percent 11 2 8 2 2 2" xfId="16381" xr:uid="{00000000-0005-0000-0000-000061730000}"/>
    <cellStyle name="Percent 11 2 8 2 2 2 2" xfId="33321" xr:uid="{00000000-0005-0000-0000-000062730000}"/>
    <cellStyle name="Percent 11 2 8 2 2 3" xfId="24873" xr:uid="{00000000-0005-0000-0000-000063730000}"/>
    <cellStyle name="Percent 11 2 8 2 3" xfId="12157" xr:uid="{00000000-0005-0000-0000-000064730000}"/>
    <cellStyle name="Percent 11 2 8 2 3 2" xfId="29097" xr:uid="{00000000-0005-0000-0000-000065730000}"/>
    <cellStyle name="Percent 11 2 8 2 4" xfId="20649" xr:uid="{00000000-0005-0000-0000-000066730000}"/>
    <cellStyle name="Percent 11 2 8 3" xfId="5821" xr:uid="{00000000-0005-0000-0000-000067730000}"/>
    <cellStyle name="Percent 11 2 8 3 2" xfId="14269" xr:uid="{00000000-0005-0000-0000-000068730000}"/>
    <cellStyle name="Percent 11 2 8 3 2 2" xfId="31209" xr:uid="{00000000-0005-0000-0000-000069730000}"/>
    <cellStyle name="Percent 11 2 8 3 3" xfId="22761" xr:uid="{00000000-0005-0000-0000-00006A730000}"/>
    <cellStyle name="Percent 11 2 8 4" xfId="10045" xr:uid="{00000000-0005-0000-0000-00006B730000}"/>
    <cellStyle name="Percent 11 2 8 4 2" xfId="26985" xr:uid="{00000000-0005-0000-0000-00006C730000}"/>
    <cellStyle name="Percent 11 2 8 5" xfId="18537" xr:uid="{00000000-0005-0000-0000-00006D730000}"/>
    <cellStyle name="Percent 11 2 9" xfId="2651" xr:uid="{00000000-0005-0000-0000-00006E730000}"/>
    <cellStyle name="Percent 11 2 9 2" xfId="6877" xr:uid="{00000000-0005-0000-0000-00006F730000}"/>
    <cellStyle name="Percent 11 2 9 2 2" xfId="15325" xr:uid="{00000000-0005-0000-0000-000070730000}"/>
    <cellStyle name="Percent 11 2 9 2 2 2" xfId="32265" xr:uid="{00000000-0005-0000-0000-000071730000}"/>
    <cellStyle name="Percent 11 2 9 2 3" xfId="23817" xr:uid="{00000000-0005-0000-0000-000072730000}"/>
    <cellStyle name="Percent 11 2 9 3" xfId="11101" xr:uid="{00000000-0005-0000-0000-000073730000}"/>
    <cellStyle name="Percent 11 2 9 3 2" xfId="28041" xr:uid="{00000000-0005-0000-0000-000074730000}"/>
    <cellStyle name="Percent 11 2 9 4" xfId="19593" xr:uid="{00000000-0005-0000-0000-000075730000}"/>
    <cellStyle name="Percent 11 3" xfId="432" xr:uid="{00000000-0005-0000-0000-000076730000}"/>
    <cellStyle name="Percent 11 4" xfId="433" xr:uid="{00000000-0005-0000-0000-000077730000}"/>
    <cellStyle name="Percent 11 4 10" xfId="17484" xr:uid="{00000000-0005-0000-0000-000078730000}"/>
    <cellStyle name="Percent 11 4 2" xfId="712" xr:uid="{00000000-0005-0000-0000-000079730000}"/>
    <cellStyle name="Percent 11 4 2 2" xfId="1064" xr:uid="{00000000-0005-0000-0000-00007A730000}"/>
    <cellStyle name="Percent 11 4 2 2 2" xfId="2126" xr:uid="{00000000-0005-0000-0000-00007B730000}"/>
    <cellStyle name="Percent 11 4 2 2 2 2" xfId="4238" xr:uid="{00000000-0005-0000-0000-00007C730000}"/>
    <cellStyle name="Percent 11 4 2 2 2 2 2" xfId="8464" xr:uid="{00000000-0005-0000-0000-00007D730000}"/>
    <cellStyle name="Percent 11 4 2 2 2 2 2 2" xfId="16912" xr:uid="{00000000-0005-0000-0000-00007E730000}"/>
    <cellStyle name="Percent 11 4 2 2 2 2 2 2 2" xfId="33852" xr:uid="{00000000-0005-0000-0000-00007F730000}"/>
    <cellStyle name="Percent 11 4 2 2 2 2 2 3" xfId="25404" xr:uid="{00000000-0005-0000-0000-000080730000}"/>
    <cellStyle name="Percent 11 4 2 2 2 2 3" xfId="12688" xr:uid="{00000000-0005-0000-0000-000081730000}"/>
    <cellStyle name="Percent 11 4 2 2 2 2 3 2" xfId="29628" xr:uid="{00000000-0005-0000-0000-000082730000}"/>
    <cellStyle name="Percent 11 4 2 2 2 2 4" xfId="21180" xr:uid="{00000000-0005-0000-0000-000083730000}"/>
    <cellStyle name="Percent 11 4 2 2 2 3" xfId="6352" xr:uid="{00000000-0005-0000-0000-000084730000}"/>
    <cellStyle name="Percent 11 4 2 2 2 3 2" xfId="14800" xr:uid="{00000000-0005-0000-0000-000085730000}"/>
    <cellStyle name="Percent 11 4 2 2 2 3 2 2" xfId="31740" xr:uid="{00000000-0005-0000-0000-000086730000}"/>
    <cellStyle name="Percent 11 4 2 2 2 3 3" xfId="23292" xr:uid="{00000000-0005-0000-0000-000087730000}"/>
    <cellStyle name="Percent 11 4 2 2 2 4" xfId="10576" xr:uid="{00000000-0005-0000-0000-000088730000}"/>
    <cellStyle name="Percent 11 4 2 2 2 4 2" xfId="27516" xr:uid="{00000000-0005-0000-0000-000089730000}"/>
    <cellStyle name="Percent 11 4 2 2 2 5" xfId="19068" xr:uid="{00000000-0005-0000-0000-00008A730000}"/>
    <cellStyle name="Percent 11 4 2 2 3" xfId="3182" xr:uid="{00000000-0005-0000-0000-00008B730000}"/>
    <cellStyle name="Percent 11 4 2 2 3 2" xfId="7408" xr:uid="{00000000-0005-0000-0000-00008C730000}"/>
    <cellStyle name="Percent 11 4 2 2 3 2 2" xfId="15856" xr:uid="{00000000-0005-0000-0000-00008D730000}"/>
    <cellStyle name="Percent 11 4 2 2 3 2 2 2" xfId="32796" xr:uid="{00000000-0005-0000-0000-00008E730000}"/>
    <cellStyle name="Percent 11 4 2 2 3 2 3" xfId="24348" xr:uid="{00000000-0005-0000-0000-00008F730000}"/>
    <cellStyle name="Percent 11 4 2 2 3 3" xfId="11632" xr:uid="{00000000-0005-0000-0000-000090730000}"/>
    <cellStyle name="Percent 11 4 2 2 3 3 2" xfId="28572" xr:uid="{00000000-0005-0000-0000-000091730000}"/>
    <cellStyle name="Percent 11 4 2 2 3 4" xfId="20124" xr:uid="{00000000-0005-0000-0000-000092730000}"/>
    <cellStyle name="Percent 11 4 2 2 4" xfId="5296" xr:uid="{00000000-0005-0000-0000-000093730000}"/>
    <cellStyle name="Percent 11 4 2 2 4 2" xfId="13744" xr:uid="{00000000-0005-0000-0000-000094730000}"/>
    <cellStyle name="Percent 11 4 2 2 4 2 2" xfId="30684" xr:uid="{00000000-0005-0000-0000-000095730000}"/>
    <cellStyle name="Percent 11 4 2 2 4 3" xfId="22236" xr:uid="{00000000-0005-0000-0000-000096730000}"/>
    <cellStyle name="Percent 11 4 2 2 5" xfId="9520" xr:uid="{00000000-0005-0000-0000-000097730000}"/>
    <cellStyle name="Percent 11 4 2 2 5 2" xfId="26460" xr:uid="{00000000-0005-0000-0000-000098730000}"/>
    <cellStyle name="Percent 11 4 2 2 6" xfId="18012" xr:uid="{00000000-0005-0000-0000-000099730000}"/>
    <cellStyle name="Percent 11 4 2 3" xfId="1774" xr:uid="{00000000-0005-0000-0000-00009A730000}"/>
    <cellStyle name="Percent 11 4 2 3 2" xfId="3886" xr:uid="{00000000-0005-0000-0000-00009B730000}"/>
    <cellStyle name="Percent 11 4 2 3 2 2" xfId="8112" xr:uid="{00000000-0005-0000-0000-00009C730000}"/>
    <cellStyle name="Percent 11 4 2 3 2 2 2" xfId="16560" xr:uid="{00000000-0005-0000-0000-00009D730000}"/>
    <cellStyle name="Percent 11 4 2 3 2 2 2 2" xfId="33500" xr:uid="{00000000-0005-0000-0000-00009E730000}"/>
    <cellStyle name="Percent 11 4 2 3 2 2 3" xfId="25052" xr:uid="{00000000-0005-0000-0000-00009F730000}"/>
    <cellStyle name="Percent 11 4 2 3 2 3" xfId="12336" xr:uid="{00000000-0005-0000-0000-0000A0730000}"/>
    <cellStyle name="Percent 11 4 2 3 2 3 2" xfId="29276" xr:uid="{00000000-0005-0000-0000-0000A1730000}"/>
    <cellStyle name="Percent 11 4 2 3 2 4" xfId="20828" xr:uid="{00000000-0005-0000-0000-0000A2730000}"/>
    <cellStyle name="Percent 11 4 2 3 3" xfId="6000" xr:uid="{00000000-0005-0000-0000-0000A3730000}"/>
    <cellStyle name="Percent 11 4 2 3 3 2" xfId="14448" xr:uid="{00000000-0005-0000-0000-0000A4730000}"/>
    <cellStyle name="Percent 11 4 2 3 3 2 2" xfId="31388" xr:uid="{00000000-0005-0000-0000-0000A5730000}"/>
    <cellStyle name="Percent 11 4 2 3 3 3" xfId="22940" xr:uid="{00000000-0005-0000-0000-0000A6730000}"/>
    <cellStyle name="Percent 11 4 2 3 4" xfId="10224" xr:uid="{00000000-0005-0000-0000-0000A7730000}"/>
    <cellStyle name="Percent 11 4 2 3 4 2" xfId="27164" xr:uid="{00000000-0005-0000-0000-0000A8730000}"/>
    <cellStyle name="Percent 11 4 2 3 5" xfId="18716" xr:uid="{00000000-0005-0000-0000-0000A9730000}"/>
    <cellStyle name="Percent 11 4 2 4" xfId="2830" xr:uid="{00000000-0005-0000-0000-0000AA730000}"/>
    <cellStyle name="Percent 11 4 2 4 2" xfId="7056" xr:uid="{00000000-0005-0000-0000-0000AB730000}"/>
    <cellStyle name="Percent 11 4 2 4 2 2" xfId="15504" xr:uid="{00000000-0005-0000-0000-0000AC730000}"/>
    <cellStyle name="Percent 11 4 2 4 2 2 2" xfId="32444" xr:uid="{00000000-0005-0000-0000-0000AD730000}"/>
    <cellStyle name="Percent 11 4 2 4 2 3" xfId="23996" xr:uid="{00000000-0005-0000-0000-0000AE730000}"/>
    <cellStyle name="Percent 11 4 2 4 3" xfId="11280" xr:uid="{00000000-0005-0000-0000-0000AF730000}"/>
    <cellStyle name="Percent 11 4 2 4 3 2" xfId="28220" xr:uid="{00000000-0005-0000-0000-0000B0730000}"/>
    <cellStyle name="Percent 11 4 2 4 4" xfId="19772" xr:uid="{00000000-0005-0000-0000-0000B1730000}"/>
    <cellStyle name="Percent 11 4 2 5" xfId="4944" xr:uid="{00000000-0005-0000-0000-0000B2730000}"/>
    <cellStyle name="Percent 11 4 2 5 2" xfId="13392" xr:uid="{00000000-0005-0000-0000-0000B3730000}"/>
    <cellStyle name="Percent 11 4 2 5 2 2" xfId="30332" xr:uid="{00000000-0005-0000-0000-0000B4730000}"/>
    <cellStyle name="Percent 11 4 2 5 3" xfId="21884" xr:uid="{00000000-0005-0000-0000-0000B5730000}"/>
    <cellStyle name="Percent 11 4 2 6" xfId="9168" xr:uid="{00000000-0005-0000-0000-0000B6730000}"/>
    <cellStyle name="Percent 11 4 2 6 2" xfId="26108" xr:uid="{00000000-0005-0000-0000-0000B7730000}"/>
    <cellStyle name="Percent 11 4 2 7" xfId="17660" xr:uid="{00000000-0005-0000-0000-0000B8730000}"/>
    <cellStyle name="Percent 11 4 3" xfId="888" xr:uid="{00000000-0005-0000-0000-0000B9730000}"/>
    <cellStyle name="Percent 11 4 3 2" xfId="1950" xr:uid="{00000000-0005-0000-0000-0000BA730000}"/>
    <cellStyle name="Percent 11 4 3 2 2" xfId="4062" xr:uid="{00000000-0005-0000-0000-0000BB730000}"/>
    <cellStyle name="Percent 11 4 3 2 2 2" xfId="8288" xr:uid="{00000000-0005-0000-0000-0000BC730000}"/>
    <cellStyle name="Percent 11 4 3 2 2 2 2" xfId="16736" xr:uid="{00000000-0005-0000-0000-0000BD730000}"/>
    <cellStyle name="Percent 11 4 3 2 2 2 2 2" xfId="33676" xr:uid="{00000000-0005-0000-0000-0000BE730000}"/>
    <cellStyle name="Percent 11 4 3 2 2 2 3" xfId="25228" xr:uid="{00000000-0005-0000-0000-0000BF730000}"/>
    <cellStyle name="Percent 11 4 3 2 2 3" xfId="12512" xr:uid="{00000000-0005-0000-0000-0000C0730000}"/>
    <cellStyle name="Percent 11 4 3 2 2 3 2" xfId="29452" xr:uid="{00000000-0005-0000-0000-0000C1730000}"/>
    <cellStyle name="Percent 11 4 3 2 2 4" xfId="21004" xr:uid="{00000000-0005-0000-0000-0000C2730000}"/>
    <cellStyle name="Percent 11 4 3 2 3" xfId="6176" xr:uid="{00000000-0005-0000-0000-0000C3730000}"/>
    <cellStyle name="Percent 11 4 3 2 3 2" xfId="14624" xr:uid="{00000000-0005-0000-0000-0000C4730000}"/>
    <cellStyle name="Percent 11 4 3 2 3 2 2" xfId="31564" xr:uid="{00000000-0005-0000-0000-0000C5730000}"/>
    <cellStyle name="Percent 11 4 3 2 3 3" xfId="23116" xr:uid="{00000000-0005-0000-0000-0000C6730000}"/>
    <cellStyle name="Percent 11 4 3 2 4" xfId="10400" xr:uid="{00000000-0005-0000-0000-0000C7730000}"/>
    <cellStyle name="Percent 11 4 3 2 4 2" xfId="27340" xr:uid="{00000000-0005-0000-0000-0000C8730000}"/>
    <cellStyle name="Percent 11 4 3 2 5" xfId="18892" xr:uid="{00000000-0005-0000-0000-0000C9730000}"/>
    <cellStyle name="Percent 11 4 3 3" xfId="3006" xr:uid="{00000000-0005-0000-0000-0000CA730000}"/>
    <cellStyle name="Percent 11 4 3 3 2" xfId="7232" xr:uid="{00000000-0005-0000-0000-0000CB730000}"/>
    <cellStyle name="Percent 11 4 3 3 2 2" xfId="15680" xr:uid="{00000000-0005-0000-0000-0000CC730000}"/>
    <cellStyle name="Percent 11 4 3 3 2 2 2" xfId="32620" xr:uid="{00000000-0005-0000-0000-0000CD730000}"/>
    <cellStyle name="Percent 11 4 3 3 2 3" xfId="24172" xr:uid="{00000000-0005-0000-0000-0000CE730000}"/>
    <cellStyle name="Percent 11 4 3 3 3" xfId="11456" xr:uid="{00000000-0005-0000-0000-0000CF730000}"/>
    <cellStyle name="Percent 11 4 3 3 3 2" xfId="28396" xr:uid="{00000000-0005-0000-0000-0000D0730000}"/>
    <cellStyle name="Percent 11 4 3 3 4" xfId="19948" xr:uid="{00000000-0005-0000-0000-0000D1730000}"/>
    <cellStyle name="Percent 11 4 3 4" xfId="5120" xr:uid="{00000000-0005-0000-0000-0000D2730000}"/>
    <cellStyle name="Percent 11 4 3 4 2" xfId="13568" xr:uid="{00000000-0005-0000-0000-0000D3730000}"/>
    <cellStyle name="Percent 11 4 3 4 2 2" xfId="30508" xr:uid="{00000000-0005-0000-0000-0000D4730000}"/>
    <cellStyle name="Percent 11 4 3 4 3" xfId="22060" xr:uid="{00000000-0005-0000-0000-0000D5730000}"/>
    <cellStyle name="Percent 11 4 3 5" xfId="9344" xr:uid="{00000000-0005-0000-0000-0000D6730000}"/>
    <cellStyle name="Percent 11 4 3 5 2" xfId="26284" xr:uid="{00000000-0005-0000-0000-0000D7730000}"/>
    <cellStyle name="Percent 11 4 3 6" xfId="17836" xr:uid="{00000000-0005-0000-0000-0000D8730000}"/>
    <cellStyle name="Percent 11 4 4" xfId="1240" xr:uid="{00000000-0005-0000-0000-0000D9730000}"/>
    <cellStyle name="Percent 11 4 4 2" xfId="2302" xr:uid="{00000000-0005-0000-0000-0000DA730000}"/>
    <cellStyle name="Percent 11 4 4 2 2" xfId="4414" xr:uid="{00000000-0005-0000-0000-0000DB730000}"/>
    <cellStyle name="Percent 11 4 4 2 2 2" xfId="8640" xr:uid="{00000000-0005-0000-0000-0000DC730000}"/>
    <cellStyle name="Percent 11 4 4 2 2 2 2" xfId="17088" xr:uid="{00000000-0005-0000-0000-0000DD730000}"/>
    <cellStyle name="Percent 11 4 4 2 2 2 2 2" xfId="34028" xr:uid="{00000000-0005-0000-0000-0000DE730000}"/>
    <cellStyle name="Percent 11 4 4 2 2 2 3" xfId="25580" xr:uid="{00000000-0005-0000-0000-0000DF730000}"/>
    <cellStyle name="Percent 11 4 4 2 2 3" xfId="12864" xr:uid="{00000000-0005-0000-0000-0000E0730000}"/>
    <cellStyle name="Percent 11 4 4 2 2 3 2" xfId="29804" xr:uid="{00000000-0005-0000-0000-0000E1730000}"/>
    <cellStyle name="Percent 11 4 4 2 2 4" xfId="21356" xr:uid="{00000000-0005-0000-0000-0000E2730000}"/>
    <cellStyle name="Percent 11 4 4 2 3" xfId="6528" xr:uid="{00000000-0005-0000-0000-0000E3730000}"/>
    <cellStyle name="Percent 11 4 4 2 3 2" xfId="14976" xr:uid="{00000000-0005-0000-0000-0000E4730000}"/>
    <cellStyle name="Percent 11 4 4 2 3 2 2" xfId="31916" xr:uid="{00000000-0005-0000-0000-0000E5730000}"/>
    <cellStyle name="Percent 11 4 4 2 3 3" xfId="23468" xr:uid="{00000000-0005-0000-0000-0000E6730000}"/>
    <cellStyle name="Percent 11 4 4 2 4" xfId="10752" xr:uid="{00000000-0005-0000-0000-0000E7730000}"/>
    <cellStyle name="Percent 11 4 4 2 4 2" xfId="27692" xr:uid="{00000000-0005-0000-0000-0000E8730000}"/>
    <cellStyle name="Percent 11 4 4 2 5" xfId="19244" xr:uid="{00000000-0005-0000-0000-0000E9730000}"/>
    <cellStyle name="Percent 11 4 4 3" xfId="3358" xr:uid="{00000000-0005-0000-0000-0000EA730000}"/>
    <cellStyle name="Percent 11 4 4 3 2" xfId="7584" xr:uid="{00000000-0005-0000-0000-0000EB730000}"/>
    <cellStyle name="Percent 11 4 4 3 2 2" xfId="16032" xr:uid="{00000000-0005-0000-0000-0000EC730000}"/>
    <cellStyle name="Percent 11 4 4 3 2 2 2" xfId="32972" xr:uid="{00000000-0005-0000-0000-0000ED730000}"/>
    <cellStyle name="Percent 11 4 4 3 2 3" xfId="24524" xr:uid="{00000000-0005-0000-0000-0000EE730000}"/>
    <cellStyle name="Percent 11 4 4 3 3" xfId="11808" xr:uid="{00000000-0005-0000-0000-0000EF730000}"/>
    <cellStyle name="Percent 11 4 4 3 3 2" xfId="28748" xr:uid="{00000000-0005-0000-0000-0000F0730000}"/>
    <cellStyle name="Percent 11 4 4 3 4" xfId="20300" xr:uid="{00000000-0005-0000-0000-0000F1730000}"/>
    <cellStyle name="Percent 11 4 4 4" xfId="5472" xr:uid="{00000000-0005-0000-0000-0000F2730000}"/>
    <cellStyle name="Percent 11 4 4 4 2" xfId="13920" xr:uid="{00000000-0005-0000-0000-0000F3730000}"/>
    <cellStyle name="Percent 11 4 4 4 2 2" xfId="30860" xr:uid="{00000000-0005-0000-0000-0000F4730000}"/>
    <cellStyle name="Percent 11 4 4 4 3" xfId="22412" xr:uid="{00000000-0005-0000-0000-0000F5730000}"/>
    <cellStyle name="Percent 11 4 4 5" xfId="9696" xr:uid="{00000000-0005-0000-0000-0000F6730000}"/>
    <cellStyle name="Percent 11 4 4 5 2" xfId="26636" xr:uid="{00000000-0005-0000-0000-0000F7730000}"/>
    <cellStyle name="Percent 11 4 4 6" xfId="18188" xr:uid="{00000000-0005-0000-0000-0000F8730000}"/>
    <cellStyle name="Percent 11 4 5" xfId="1422" xr:uid="{00000000-0005-0000-0000-0000F9730000}"/>
    <cellStyle name="Percent 11 4 5 2" xfId="2478" xr:uid="{00000000-0005-0000-0000-0000FA730000}"/>
    <cellStyle name="Percent 11 4 5 2 2" xfId="4590" xr:uid="{00000000-0005-0000-0000-0000FB730000}"/>
    <cellStyle name="Percent 11 4 5 2 2 2" xfId="8816" xr:uid="{00000000-0005-0000-0000-0000FC730000}"/>
    <cellStyle name="Percent 11 4 5 2 2 2 2" xfId="17264" xr:uid="{00000000-0005-0000-0000-0000FD730000}"/>
    <cellStyle name="Percent 11 4 5 2 2 2 2 2" xfId="34204" xr:uid="{00000000-0005-0000-0000-0000FE730000}"/>
    <cellStyle name="Percent 11 4 5 2 2 2 3" xfId="25756" xr:uid="{00000000-0005-0000-0000-0000FF730000}"/>
    <cellStyle name="Percent 11 4 5 2 2 3" xfId="13040" xr:uid="{00000000-0005-0000-0000-000000740000}"/>
    <cellStyle name="Percent 11 4 5 2 2 3 2" xfId="29980" xr:uid="{00000000-0005-0000-0000-000001740000}"/>
    <cellStyle name="Percent 11 4 5 2 2 4" xfId="21532" xr:uid="{00000000-0005-0000-0000-000002740000}"/>
    <cellStyle name="Percent 11 4 5 2 3" xfId="6704" xr:uid="{00000000-0005-0000-0000-000003740000}"/>
    <cellStyle name="Percent 11 4 5 2 3 2" xfId="15152" xr:uid="{00000000-0005-0000-0000-000004740000}"/>
    <cellStyle name="Percent 11 4 5 2 3 2 2" xfId="32092" xr:uid="{00000000-0005-0000-0000-000005740000}"/>
    <cellStyle name="Percent 11 4 5 2 3 3" xfId="23644" xr:uid="{00000000-0005-0000-0000-000006740000}"/>
    <cellStyle name="Percent 11 4 5 2 4" xfId="10928" xr:uid="{00000000-0005-0000-0000-000007740000}"/>
    <cellStyle name="Percent 11 4 5 2 4 2" xfId="27868" xr:uid="{00000000-0005-0000-0000-000008740000}"/>
    <cellStyle name="Percent 11 4 5 2 5" xfId="19420" xr:uid="{00000000-0005-0000-0000-000009740000}"/>
    <cellStyle name="Percent 11 4 5 3" xfId="3534" xr:uid="{00000000-0005-0000-0000-00000A740000}"/>
    <cellStyle name="Percent 11 4 5 3 2" xfId="7760" xr:uid="{00000000-0005-0000-0000-00000B740000}"/>
    <cellStyle name="Percent 11 4 5 3 2 2" xfId="16208" xr:uid="{00000000-0005-0000-0000-00000C740000}"/>
    <cellStyle name="Percent 11 4 5 3 2 2 2" xfId="33148" xr:uid="{00000000-0005-0000-0000-00000D740000}"/>
    <cellStyle name="Percent 11 4 5 3 2 3" xfId="24700" xr:uid="{00000000-0005-0000-0000-00000E740000}"/>
    <cellStyle name="Percent 11 4 5 3 3" xfId="11984" xr:uid="{00000000-0005-0000-0000-00000F740000}"/>
    <cellStyle name="Percent 11 4 5 3 3 2" xfId="28924" xr:uid="{00000000-0005-0000-0000-000010740000}"/>
    <cellStyle name="Percent 11 4 5 3 4" xfId="20476" xr:uid="{00000000-0005-0000-0000-000011740000}"/>
    <cellStyle name="Percent 11 4 5 4" xfId="5648" xr:uid="{00000000-0005-0000-0000-000012740000}"/>
    <cellStyle name="Percent 11 4 5 4 2" xfId="14096" xr:uid="{00000000-0005-0000-0000-000013740000}"/>
    <cellStyle name="Percent 11 4 5 4 2 2" xfId="31036" xr:uid="{00000000-0005-0000-0000-000014740000}"/>
    <cellStyle name="Percent 11 4 5 4 3" xfId="22588" xr:uid="{00000000-0005-0000-0000-000015740000}"/>
    <cellStyle name="Percent 11 4 5 5" xfId="9872" xr:uid="{00000000-0005-0000-0000-000016740000}"/>
    <cellStyle name="Percent 11 4 5 5 2" xfId="26812" xr:uid="{00000000-0005-0000-0000-000017740000}"/>
    <cellStyle name="Percent 11 4 5 6" xfId="18364" xr:uid="{00000000-0005-0000-0000-000018740000}"/>
    <cellStyle name="Percent 11 4 6" xfId="1598" xr:uid="{00000000-0005-0000-0000-000019740000}"/>
    <cellStyle name="Percent 11 4 6 2" xfId="3710" xr:uid="{00000000-0005-0000-0000-00001A740000}"/>
    <cellStyle name="Percent 11 4 6 2 2" xfId="7936" xr:uid="{00000000-0005-0000-0000-00001B740000}"/>
    <cellStyle name="Percent 11 4 6 2 2 2" xfId="16384" xr:uid="{00000000-0005-0000-0000-00001C740000}"/>
    <cellStyle name="Percent 11 4 6 2 2 2 2" xfId="33324" xr:uid="{00000000-0005-0000-0000-00001D740000}"/>
    <cellStyle name="Percent 11 4 6 2 2 3" xfId="24876" xr:uid="{00000000-0005-0000-0000-00001E740000}"/>
    <cellStyle name="Percent 11 4 6 2 3" xfId="12160" xr:uid="{00000000-0005-0000-0000-00001F740000}"/>
    <cellStyle name="Percent 11 4 6 2 3 2" xfId="29100" xr:uid="{00000000-0005-0000-0000-000020740000}"/>
    <cellStyle name="Percent 11 4 6 2 4" xfId="20652" xr:uid="{00000000-0005-0000-0000-000021740000}"/>
    <cellStyle name="Percent 11 4 6 3" xfId="5824" xr:uid="{00000000-0005-0000-0000-000022740000}"/>
    <cellStyle name="Percent 11 4 6 3 2" xfId="14272" xr:uid="{00000000-0005-0000-0000-000023740000}"/>
    <cellStyle name="Percent 11 4 6 3 2 2" xfId="31212" xr:uid="{00000000-0005-0000-0000-000024740000}"/>
    <cellStyle name="Percent 11 4 6 3 3" xfId="22764" xr:uid="{00000000-0005-0000-0000-000025740000}"/>
    <cellStyle name="Percent 11 4 6 4" xfId="10048" xr:uid="{00000000-0005-0000-0000-000026740000}"/>
    <cellStyle name="Percent 11 4 6 4 2" xfId="26988" xr:uid="{00000000-0005-0000-0000-000027740000}"/>
    <cellStyle name="Percent 11 4 6 5" xfId="18540" xr:uid="{00000000-0005-0000-0000-000028740000}"/>
    <cellStyle name="Percent 11 4 7" xfId="2654" xr:uid="{00000000-0005-0000-0000-000029740000}"/>
    <cellStyle name="Percent 11 4 7 2" xfId="6880" xr:uid="{00000000-0005-0000-0000-00002A740000}"/>
    <cellStyle name="Percent 11 4 7 2 2" xfId="15328" xr:uid="{00000000-0005-0000-0000-00002B740000}"/>
    <cellStyle name="Percent 11 4 7 2 2 2" xfId="32268" xr:uid="{00000000-0005-0000-0000-00002C740000}"/>
    <cellStyle name="Percent 11 4 7 2 3" xfId="23820" xr:uid="{00000000-0005-0000-0000-00002D740000}"/>
    <cellStyle name="Percent 11 4 7 3" xfId="11104" xr:uid="{00000000-0005-0000-0000-00002E740000}"/>
    <cellStyle name="Percent 11 4 7 3 2" xfId="28044" xr:uid="{00000000-0005-0000-0000-00002F740000}"/>
    <cellStyle name="Percent 11 4 7 4" xfId="19596" xr:uid="{00000000-0005-0000-0000-000030740000}"/>
    <cellStyle name="Percent 11 4 8" xfId="4767" xr:uid="{00000000-0005-0000-0000-000031740000}"/>
    <cellStyle name="Percent 11 4 8 2" xfId="13216" xr:uid="{00000000-0005-0000-0000-000032740000}"/>
    <cellStyle name="Percent 11 4 8 2 2" xfId="30156" xr:uid="{00000000-0005-0000-0000-000033740000}"/>
    <cellStyle name="Percent 11 4 8 3" xfId="21708" xr:uid="{00000000-0005-0000-0000-000034740000}"/>
    <cellStyle name="Percent 11 4 9" xfId="8992" xr:uid="{00000000-0005-0000-0000-000035740000}"/>
    <cellStyle name="Percent 11 4 9 2" xfId="25932" xr:uid="{00000000-0005-0000-0000-000036740000}"/>
    <cellStyle name="Percent 11 5" xfId="434" xr:uid="{00000000-0005-0000-0000-000037740000}"/>
    <cellStyle name="Percent 11 5 10" xfId="17485" xr:uid="{00000000-0005-0000-0000-000038740000}"/>
    <cellStyle name="Percent 11 5 2" xfId="713" xr:uid="{00000000-0005-0000-0000-000039740000}"/>
    <cellStyle name="Percent 11 5 2 2" xfId="1065" xr:uid="{00000000-0005-0000-0000-00003A740000}"/>
    <cellStyle name="Percent 11 5 2 2 2" xfId="2127" xr:uid="{00000000-0005-0000-0000-00003B740000}"/>
    <cellStyle name="Percent 11 5 2 2 2 2" xfId="4239" xr:uid="{00000000-0005-0000-0000-00003C740000}"/>
    <cellStyle name="Percent 11 5 2 2 2 2 2" xfId="8465" xr:uid="{00000000-0005-0000-0000-00003D740000}"/>
    <cellStyle name="Percent 11 5 2 2 2 2 2 2" xfId="16913" xr:uid="{00000000-0005-0000-0000-00003E740000}"/>
    <cellStyle name="Percent 11 5 2 2 2 2 2 2 2" xfId="33853" xr:uid="{00000000-0005-0000-0000-00003F740000}"/>
    <cellStyle name="Percent 11 5 2 2 2 2 2 3" xfId="25405" xr:uid="{00000000-0005-0000-0000-000040740000}"/>
    <cellStyle name="Percent 11 5 2 2 2 2 3" xfId="12689" xr:uid="{00000000-0005-0000-0000-000041740000}"/>
    <cellStyle name="Percent 11 5 2 2 2 2 3 2" xfId="29629" xr:uid="{00000000-0005-0000-0000-000042740000}"/>
    <cellStyle name="Percent 11 5 2 2 2 2 4" xfId="21181" xr:uid="{00000000-0005-0000-0000-000043740000}"/>
    <cellStyle name="Percent 11 5 2 2 2 3" xfId="6353" xr:uid="{00000000-0005-0000-0000-000044740000}"/>
    <cellStyle name="Percent 11 5 2 2 2 3 2" xfId="14801" xr:uid="{00000000-0005-0000-0000-000045740000}"/>
    <cellStyle name="Percent 11 5 2 2 2 3 2 2" xfId="31741" xr:uid="{00000000-0005-0000-0000-000046740000}"/>
    <cellStyle name="Percent 11 5 2 2 2 3 3" xfId="23293" xr:uid="{00000000-0005-0000-0000-000047740000}"/>
    <cellStyle name="Percent 11 5 2 2 2 4" xfId="10577" xr:uid="{00000000-0005-0000-0000-000048740000}"/>
    <cellStyle name="Percent 11 5 2 2 2 4 2" xfId="27517" xr:uid="{00000000-0005-0000-0000-000049740000}"/>
    <cellStyle name="Percent 11 5 2 2 2 5" xfId="19069" xr:uid="{00000000-0005-0000-0000-00004A740000}"/>
    <cellStyle name="Percent 11 5 2 2 3" xfId="3183" xr:uid="{00000000-0005-0000-0000-00004B740000}"/>
    <cellStyle name="Percent 11 5 2 2 3 2" xfId="7409" xr:uid="{00000000-0005-0000-0000-00004C740000}"/>
    <cellStyle name="Percent 11 5 2 2 3 2 2" xfId="15857" xr:uid="{00000000-0005-0000-0000-00004D740000}"/>
    <cellStyle name="Percent 11 5 2 2 3 2 2 2" xfId="32797" xr:uid="{00000000-0005-0000-0000-00004E740000}"/>
    <cellStyle name="Percent 11 5 2 2 3 2 3" xfId="24349" xr:uid="{00000000-0005-0000-0000-00004F740000}"/>
    <cellStyle name="Percent 11 5 2 2 3 3" xfId="11633" xr:uid="{00000000-0005-0000-0000-000050740000}"/>
    <cellStyle name="Percent 11 5 2 2 3 3 2" xfId="28573" xr:uid="{00000000-0005-0000-0000-000051740000}"/>
    <cellStyle name="Percent 11 5 2 2 3 4" xfId="20125" xr:uid="{00000000-0005-0000-0000-000052740000}"/>
    <cellStyle name="Percent 11 5 2 2 4" xfId="5297" xr:uid="{00000000-0005-0000-0000-000053740000}"/>
    <cellStyle name="Percent 11 5 2 2 4 2" xfId="13745" xr:uid="{00000000-0005-0000-0000-000054740000}"/>
    <cellStyle name="Percent 11 5 2 2 4 2 2" xfId="30685" xr:uid="{00000000-0005-0000-0000-000055740000}"/>
    <cellStyle name="Percent 11 5 2 2 4 3" xfId="22237" xr:uid="{00000000-0005-0000-0000-000056740000}"/>
    <cellStyle name="Percent 11 5 2 2 5" xfId="9521" xr:uid="{00000000-0005-0000-0000-000057740000}"/>
    <cellStyle name="Percent 11 5 2 2 5 2" xfId="26461" xr:uid="{00000000-0005-0000-0000-000058740000}"/>
    <cellStyle name="Percent 11 5 2 2 6" xfId="18013" xr:uid="{00000000-0005-0000-0000-000059740000}"/>
    <cellStyle name="Percent 11 5 2 3" xfId="1775" xr:uid="{00000000-0005-0000-0000-00005A740000}"/>
    <cellStyle name="Percent 11 5 2 3 2" xfId="3887" xr:uid="{00000000-0005-0000-0000-00005B740000}"/>
    <cellStyle name="Percent 11 5 2 3 2 2" xfId="8113" xr:uid="{00000000-0005-0000-0000-00005C740000}"/>
    <cellStyle name="Percent 11 5 2 3 2 2 2" xfId="16561" xr:uid="{00000000-0005-0000-0000-00005D740000}"/>
    <cellStyle name="Percent 11 5 2 3 2 2 2 2" xfId="33501" xr:uid="{00000000-0005-0000-0000-00005E740000}"/>
    <cellStyle name="Percent 11 5 2 3 2 2 3" xfId="25053" xr:uid="{00000000-0005-0000-0000-00005F740000}"/>
    <cellStyle name="Percent 11 5 2 3 2 3" xfId="12337" xr:uid="{00000000-0005-0000-0000-000060740000}"/>
    <cellStyle name="Percent 11 5 2 3 2 3 2" xfId="29277" xr:uid="{00000000-0005-0000-0000-000061740000}"/>
    <cellStyle name="Percent 11 5 2 3 2 4" xfId="20829" xr:uid="{00000000-0005-0000-0000-000062740000}"/>
    <cellStyle name="Percent 11 5 2 3 3" xfId="6001" xr:uid="{00000000-0005-0000-0000-000063740000}"/>
    <cellStyle name="Percent 11 5 2 3 3 2" xfId="14449" xr:uid="{00000000-0005-0000-0000-000064740000}"/>
    <cellStyle name="Percent 11 5 2 3 3 2 2" xfId="31389" xr:uid="{00000000-0005-0000-0000-000065740000}"/>
    <cellStyle name="Percent 11 5 2 3 3 3" xfId="22941" xr:uid="{00000000-0005-0000-0000-000066740000}"/>
    <cellStyle name="Percent 11 5 2 3 4" xfId="10225" xr:uid="{00000000-0005-0000-0000-000067740000}"/>
    <cellStyle name="Percent 11 5 2 3 4 2" xfId="27165" xr:uid="{00000000-0005-0000-0000-000068740000}"/>
    <cellStyle name="Percent 11 5 2 3 5" xfId="18717" xr:uid="{00000000-0005-0000-0000-000069740000}"/>
    <cellStyle name="Percent 11 5 2 4" xfId="2831" xr:uid="{00000000-0005-0000-0000-00006A740000}"/>
    <cellStyle name="Percent 11 5 2 4 2" xfId="7057" xr:uid="{00000000-0005-0000-0000-00006B740000}"/>
    <cellStyle name="Percent 11 5 2 4 2 2" xfId="15505" xr:uid="{00000000-0005-0000-0000-00006C740000}"/>
    <cellStyle name="Percent 11 5 2 4 2 2 2" xfId="32445" xr:uid="{00000000-0005-0000-0000-00006D740000}"/>
    <cellStyle name="Percent 11 5 2 4 2 3" xfId="23997" xr:uid="{00000000-0005-0000-0000-00006E740000}"/>
    <cellStyle name="Percent 11 5 2 4 3" xfId="11281" xr:uid="{00000000-0005-0000-0000-00006F740000}"/>
    <cellStyle name="Percent 11 5 2 4 3 2" xfId="28221" xr:uid="{00000000-0005-0000-0000-000070740000}"/>
    <cellStyle name="Percent 11 5 2 4 4" xfId="19773" xr:uid="{00000000-0005-0000-0000-000071740000}"/>
    <cellStyle name="Percent 11 5 2 5" xfId="4945" xr:uid="{00000000-0005-0000-0000-000072740000}"/>
    <cellStyle name="Percent 11 5 2 5 2" xfId="13393" xr:uid="{00000000-0005-0000-0000-000073740000}"/>
    <cellStyle name="Percent 11 5 2 5 2 2" xfId="30333" xr:uid="{00000000-0005-0000-0000-000074740000}"/>
    <cellStyle name="Percent 11 5 2 5 3" xfId="21885" xr:uid="{00000000-0005-0000-0000-000075740000}"/>
    <cellStyle name="Percent 11 5 2 6" xfId="9169" xr:uid="{00000000-0005-0000-0000-000076740000}"/>
    <cellStyle name="Percent 11 5 2 6 2" xfId="26109" xr:uid="{00000000-0005-0000-0000-000077740000}"/>
    <cellStyle name="Percent 11 5 2 7" xfId="17661" xr:uid="{00000000-0005-0000-0000-000078740000}"/>
    <cellStyle name="Percent 11 5 3" xfId="889" xr:uid="{00000000-0005-0000-0000-000079740000}"/>
    <cellStyle name="Percent 11 5 3 2" xfId="1951" xr:uid="{00000000-0005-0000-0000-00007A740000}"/>
    <cellStyle name="Percent 11 5 3 2 2" xfId="4063" xr:uid="{00000000-0005-0000-0000-00007B740000}"/>
    <cellStyle name="Percent 11 5 3 2 2 2" xfId="8289" xr:uid="{00000000-0005-0000-0000-00007C740000}"/>
    <cellStyle name="Percent 11 5 3 2 2 2 2" xfId="16737" xr:uid="{00000000-0005-0000-0000-00007D740000}"/>
    <cellStyle name="Percent 11 5 3 2 2 2 2 2" xfId="33677" xr:uid="{00000000-0005-0000-0000-00007E740000}"/>
    <cellStyle name="Percent 11 5 3 2 2 2 3" xfId="25229" xr:uid="{00000000-0005-0000-0000-00007F740000}"/>
    <cellStyle name="Percent 11 5 3 2 2 3" xfId="12513" xr:uid="{00000000-0005-0000-0000-000080740000}"/>
    <cellStyle name="Percent 11 5 3 2 2 3 2" xfId="29453" xr:uid="{00000000-0005-0000-0000-000081740000}"/>
    <cellStyle name="Percent 11 5 3 2 2 4" xfId="21005" xr:uid="{00000000-0005-0000-0000-000082740000}"/>
    <cellStyle name="Percent 11 5 3 2 3" xfId="6177" xr:uid="{00000000-0005-0000-0000-000083740000}"/>
    <cellStyle name="Percent 11 5 3 2 3 2" xfId="14625" xr:uid="{00000000-0005-0000-0000-000084740000}"/>
    <cellStyle name="Percent 11 5 3 2 3 2 2" xfId="31565" xr:uid="{00000000-0005-0000-0000-000085740000}"/>
    <cellStyle name="Percent 11 5 3 2 3 3" xfId="23117" xr:uid="{00000000-0005-0000-0000-000086740000}"/>
    <cellStyle name="Percent 11 5 3 2 4" xfId="10401" xr:uid="{00000000-0005-0000-0000-000087740000}"/>
    <cellStyle name="Percent 11 5 3 2 4 2" xfId="27341" xr:uid="{00000000-0005-0000-0000-000088740000}"/>
    <cellStyle name="Percent 11 5 3 2 5" xfId="18893" xr:uid="{00000000-0005-0000-0000-000089740000}"/>
    <cellStyle name="Percent 11 5 3 3" xfId="3007" xr:uid="{00000000-0005-0000-0000-00008A740000}"/>
    <cellStyle name="Percent 11 5 3 3 2" xfId="7233" xr:uid="{00000000-0005-0000-0000-00008B740000}"/>
    <cellStyle name="Percent 11 5 3 3 2 2" xfId="15681" xr:uid="{00000000-0005-0000-0000-00008C740000}"/>
    <cellStyle name="Percent 11 5 3 3 2 2 2" xfId="32621" xr:uid="{00000000-0005-0000-0000-00008D740000}"/>
    <cellStyle name="Percent 11 5 3 3 2 3" xfId="24173" xr:uid="{00000000-0005-0000-0000-00008E740000}"/>
    <cellStyle name="Percent 11 5 3 3 3" xfId="11457" xr:uid="{00000000-0005-0000-0000-00008F740000}"/>
    <cellStyle name="Percent 11 5 3 3 3 2" xfId="28397" xr:uid="{00000000-0005-0000-0000-000090740000}"/>
    <cellStyle name="Percent 11 5 3 3 4" xfId="19949" xr:uid="{00000000-0005-0000-0000-000091740000}"/>
    <cellStyle name="Percent 11 5 3 4" xfId="5121" xr:uid="{00000000-0005-0000-0000-000092740000}"/>
    <cellStyle name="Percent 11 5 3 4 2" xfId="13569" xr:uid="{00000000-0005-0000-0000-000093740000}"/>
    <cellStyle name="Percent 11 5 3 4 2 2" xfId="30509" xr:uid="{00000000-0005-0000-0000-000094740000}"/>
    <cellStyle name="Percent 11 5 3 4 3" xfId="22061" xr:uid="{00000000-0005-0000-0000-000095740000}"/>
    <cellStyle name="Percent 11 5 3 5" xfId="9345" xr:uid="{00000000-0005-0000-0000-000096740000}"/>
    <cellStyle name="Percent 11 5 3 5 2" xfId="26285" xr:uid="{00000000-0005-0000-0000-000097740000}"/>
    <cellStyle name="Percent 11 5 3 6" xfId="17837" xr:uid="{00000000-0005-0000-0000-000098740000}"/>
    <cellStyle name="Percent 11 5 4" xfId="1241" xr:uid="{00000000-0005-0000-0000-000099740000}"/>
    <cellStyle name="Percent 11 5 4 2" xfId="2303" xr:uid="{00000000-0005-0000-0000-00009A740000}"/>
    <cellStyle name="Percent 11 5 4 2 2" xfId="4415" xr:uid="{00000000-0005-0000-0000-00009B740000}"/>
    <cellStyle name="Percent 11 5 4 2 2 2" xfId="8641" xr:uid="{00000000-0005-0000-0000-00009C740000}"/>
    <cellStyle name="Percent 11 5 4 2 2 2 2" xfId="17089" xr:uid="{00000000-0005-0000-0000-00009D740000}"/>
    <cellStyle name="Percent 11 5 4 2 2 2 2 2" xfId="34029" xr:uid="{00000000-0005-0000-0000-00009E740000}"/>
    <cellStyle name="Percent 11 5 4 2 2 2 3" xfId="25581" xr:uid="{00000000-0005-0000-0000-00009F740000}"/>
    <cellStyle name="Percent 11 5 4 2 2 3" xfId="12865" xr:uid="{00000000-0005-0000-0000-0000A0740000}"/>
    <cellStyle name="Percent 11 5 4 2 2 3 2" xfId="29805" xr:uid="{00000000-0005-0000-0000-0000A1740000}"/>
    <cellStyle name="Percent 11 5 4 2 2 4" xfId="21357" xr:uid="{00000000-0005-0000-0000-0000A2740000}"/>
    <cellStyle name="Percent 11 5 4 2 3" xfId="6529" xr:uid="{00000000-0005-0000-0000-0000A3740000}"/>
    <cellStyle name="Percent 11 5 4 2 3 2" xfId="14977" xr:uid="{00000000-0005-0000-0000-0000A4740000}"/>
    <cellStyle name="Percent 11 5 4 2 3 2 2" xfId="31917" xr:uid="{00000000-0005-0000-0000-0000A5740000}"/>
    <cellStyle name="Percent 11 5 4 2 3 3" xfId="23469" xr:uid="{00000000-0005-0000-0000-0000A6740000}"/>
    <cellStyle name="Percent 11 5 4 2 4" xfId="10753" xr:uid="{00000000-0005-0000-0000-0000A7740000}"/>
    <cellStyle name="Percent 11 5 4 2 4 2" xfId="27693" xr:uid="{00000000-0005-0000-0000-0000A8740000}"/>
    <cellStyle name="Percent 11 5 4 2 5" xfId="19245" xr:uid="{00000000-0005-0000-0000-0000A9740000}"/>
    <cellStyle name="Percent 11 5 4 3" xfId="3359" xr:uid="{00000000-0005-0000-0000-0000AA740000}"/>
    <cellStyle name="Percent 11 5 4 3 2" xfId="7585" xr:uid="{00000000-0005-0000-0000-0000AB740000}"/>
    <cellStyle name="Percent 11 5 4 3 2 2" xfId="16033" xr:uid="{00000000-0005-0000-0000-0000AC740000}"/>
    <cellStyle name="Percent 11 5 4 3 2 2 2" xfId="32973" xr:uid="{00000000-0005-0000-0000-0000AD740000}"/>
    <cellStyle name="Percent 11 5 4 3 2 3" xfId="24525" xr:uid="{00000000-0005-0000-0000-0000AE740000}"/>
    <cellStyle name="Percent 11 5 4 3 3" xfId="11809" xr:uid="{00000000-0005-0000-0000-0000AF740000}"/>
    <cellStyle name="Percent 11 5 4 3 3 2" xfId="28749" xr:uid="{00000000-0005-0000-0000-0000B0740000}"/>
    <cellStyle name="Percent 11 5 4 3 4" xfId="20301" xr:uid="{00000000-0005-0000-0000-0000B1740000}"/>
    <cellStyle name="Percent 11 5 4 4" xfId="5473" xr:uid="{00000000-0005-0000-0000-0000B2740000}"/>
    <cellStyle name="Percent 11 5 4 4 2" xfId="13921" xr:uid="{00000000-0005-0000-0000-0000B3740000}"/>
    <cellStyle name="Percent 11 5 4 4 2 2" xfId="30861" xr:uid="{00000000-0005-0000-0000-0000B4740000}"/>
    <cellStyle name="Percent 11 5 4 4 3" xfId="22413" xr:uid="{00000000-0005-0000-0000-0000B5740000}"/>
    <cellStyle name="Percent 11 5 4 5" xfId="9697" xr:uid="{00000000-0005-0000-0000-0000B6740000}"/>
    <cellStyle name="Percent 11 5 4 5 2" xfId="26637" xr:uid="{00000000-0005-0000-0000-0000B7740000}"/>
    <cellStyle name="Percent 11 5 4 6" xfId="18189" xr:uid="{00000000-0005-0000-0000-0000B8740000}"/>
    <cellStyle name="Percent 11 5 5" xfId="1423" xr:uid="{00000000-0005-0000-0000-0000B9740000}"/>
    <cellStyle name="Percent 11 5 5 2" xfId="2479" xr:uid="{00000000-0005-0000-0000-0000BA740000}"/>
    <cellStyle name="Percent 11 5 5 2 2" xfId="4591" xr:uid="{00000000-0005-0000-0000-0000BB740000}"/>
    <cellStyle name="Percent 11 5 5 2 2 2" xfId="8817" xr:uid="{00000000-0005-0000-0000-0000BC740000}"/>
    <cellStyle name="Percent 11 5 5 2 2 2 2" xfId="17265" xr:uid="{00000000-0005-0000-0000-0000BD740000}"/>
    <cellStyle name="Percent 11 5 5 2 2 2 2 2" xfId="34205" xr:uid="{00000000-0005-0000-0000-0000BE740000}"/>
    <cellStyle name="Percent 11 5 5 2 2 2 3" xfId="25757" xr:uid="{00000000-0005-0000-0000-0000BF740000}"/>
    <cellStyle name="Percent 11 5 5 2 2 3" xfId="13041" xr:uid="{00000000-0005-0000-0000-0000C0740000}"/>
    <cellStyle name="Percent 11 5 5 2 2 3 2" xfId="29981" xr:uid="{00000000-0005-0000-0000-0000C1740000}"/>
    <cellStyle name="Percent 11 5 5 2 2 4" xfId="21533" xr:uid="{00000000-0005-0000-0000-0000C2740000}"/>
    <cellStyle name="Percent 11 5 5 2 3" xfId="6705" xr:uid="{00000000-0005-0000-0000-0000C3740000}"/>
    <cellStyle name="Percent 11 5 5 2 3 2" xfId="15153" xr:uid="{00000000-0005-0000-0000-0000C4740000}"/>
    <cellStyle name="Percent 11 5 5 2 3 2 2" xfId="32093" xr:uid="{00000000-0005-0000-0000-0000C5740000}"/>
    <cellStyle name="Percent 11 5 5 2 3 3" xfId="23645" xr:uid="{00000000-0005-0000-0000-0000C6740000}"/>
    <cellStyle name="Percent 11 5 5 2 4" xfId="10929" xr:uid="{00000000-0005-0000-0000-0000C7740000}"/>
    <cellStyle name="Percent 11 5 5 2 4 2" xfId="27869" xr:uid="{00000000-0005-0000-0000-0000C8740000}"/>
    <cellStyle name="Percent 11 5 5 2 5" xfId="19421" xr:uid="{00000000-0005-0000-0000-0000C9740000}"/>
    <cellStyle name="Percent 11 5 5 3" xfId="3535" xr:uid="{00000000-0005-0000-0000-0000CA740000}"/>
    <cellStyle name="Percent 11 5 5 3 2" xfId="7761" xr:uid="{00000000-0005-0000-0000-0000CB740000}"/>
    <cellStyle name="Percent 11 5 5 3 2 2" xfId="16209" xr:uid="{00000000-0005-0000-0000-0000CC740000}"/>
    <cellStyle name="Percent 11 5 5 3 2 2 2" xfId="33149" xr:uid="{00000000-0005-0000-0000-0000CD740000}"/>
    <cellStyle name="Percent 11 5 5 3 2 3" xfId="24701" xr:uid="{00000000-0005-0000-0000-0000CE740000}"/>
    <cellStyle name="Percent 11 5 5 3 3" xfId="11985" xr:uid="{00000000-0005-0000-0000-0000CF740000}"/>
    <cellStyle name="Percent 11 5 5 3 3 2" xfId="28925" xr:uid="{00000000-0005-0000-0000-0000D0740000}"/>
    <cellStyle name="Percent 11 5 5 3 4" xfId="20477" xr:uid="{00000000-0005-0000-0000-0000D1740000}"/>
    <cellStyle name="Percent 11 5 5 4" xfId="5649" xr:uid="{00000000-0005-0000-0000-0000D2740000}"/>
    <cellStyle name="Percent 11 5 5 4 2" xfId="14097" xr:uid="{00000000-0005-0000-0000-0000D3740000}"/>
    <cellStyle name="Percent 11 5 5 4 2 2" xfId="31037" xr:uid="{00000000-0005-0000-0000-0000D4740000}"/>
    <cellStyle name="Percent 11 5 5 4 3" xfId="22589" xr:uid="{00000000-0005-0000-0000-0000D5740000}"/>
    <cellStyle name="Percent 11 5 5 5" xfId="9873" xr:uid="{00000000-0005-0000-0000-0000D6740000}"/>
    <cellStyle name="Percent 11 5 5 5 2" xfId="26813" xr:uid="{00000000-0005-0000-0000-0000D7740000}"/>
    <cellStyle name="Percent 11 5 5 6" xfId="18365" xr:uid="{00000000-0005-0000-0000-0000D8740000}"/>
    <cellStyle name="Percent 11 5 6" xfId="1599" xr:uid="{00000000-0005-0000-0000-0000D9740000}"/>
    <cellStyle name="Percent 11 5 6 2" xfId="3711" xr:uid="{00000000-0005-0000-0000-0000DA740000}"/>
    <cellStyle name="Percent 11 5 6 2 2" xfId="7937" xr:uid="{00000000-0005-0000-0000-0000DB740000}"/>
    <cellStyle name="Percent 11 5 6 2 2 2" xfId="16385" xr:uid="{00000000-0005-0000-0000-0000DC740000}"/>
    <cellStyle name="Percent 11 5 6 2 2 2 2" xfId="33325" xr:uid="{00000000-0005-0000-0000-0000DD740000}"/>
    <cellStyle name="Percent 11 5 6 2 2 3" xfId="24877" xr:uid="{00000000-0005-0000-0000-0000DE740000}"/>
    <cellStyle name="Percent 11 5 6 2 3" xfId="12161" xr:uid="{00000000-0005-0000-0000-0000DF740000}"/>
    <cellStyle name="Percent 11 5 6 2 3 2" xfId="29101" xr:uid="{00000000-0005-0000-0000-0000E0740000}"/>
    <cellStyle name="Percent 11 5 6 2 4" xfId="20653" xr:uid="{00000000-0005-0000-0000-0000E1740000}"/>
    <cellStyle name="Percent 11 5 6 3" xfId="5825" xr:uid="{00000000-0005-0000-0000-0000E2740000}"/>
    <cellStyle name="Percent 11 5 6 3 2" xfId="14273" xr:uid="{00000000-0005-0000-0000-0000E3740000}"/>
    <cellStyle name="Percent 11 5 6 3 2 2" xfId="31213" xr:uid="{00000000-0005-0000-0000-0000E4740000}"/>
    <cellStyle name="Percent 11 5 6 3 3" xfId="22765" xr:uid="{00000000-0005-0000-0000-0000E5740000}"/>
    <cellStyle name="Percent 11 5 6 4" xfId="10049" xr:uid="{00000000-0005-0000-0000-0000E6740000}"/>
    <cellStyle name="Percent 11 5 6 4 2" xfId="26989" xr:uid="{00000000-0005-0000-0000-0000E7740000}"/>
    <cellStyle name="Percent 11 5 6 5" xfId="18541" xr:uid="{00000000-0005-0000-0000-0000E8740000}"/>
    <cellStyle name="Percent 11 5 7" xfId="2655" xr:uid="{00000000-0005-0000-0000-0000E9740000}"/>
    <cellStyle name="Percent 11 5 7 2" xfId="6881" xr:uid="{00000000-0005-0000-0000-0000EA740000}"/>
    <cellStyle name="Percent 11 5 7 2 2" xfId="15329" xr:uid="{00000000-0005-0000-0000-0000EB740000}"/>
    <cellStyle name="Percent 11 5 7 2 2 2" xfId="32269" xr:uid="{00000000-0005-0000-0000-0000EC740000}"/>
    <cellStyle name="Percent 11 5 7 2 3" xfId="23821" xr:uid="{00000000-0005-0000-0000-0000ED740000}"/>
    <cellStyle name="Percent 11 5 7 3" xfId="11105" xr:uid="{00000000-0005-0000-0000-0000EE740000}"/>
    <cellStyle name="Percent 11 5 7 3 2" xfId="28045" xr:uid="{00000000-0005-0000-0000-0000EF740000}"/>
    <cellStyle name="Percent 11 5 7 4" xfId="19597" xr:uid="{00000000-0005-0000-0000-0000F0740000}"/>
    <cellStyle name="Percent 11 5 8" xfId="4768" xr:uid="{00000000-0005-0000-0000-0000F1740000}"/>
    <cellStyle name="Percent 11 5 8 2" xfId="13217" xr:uid="{00000000-0005-0000-0000-0000F2740000}"/>
    <cellStyle name="Percent 11 5 8 2 2" xfId="30157" xr:uid="{00000000-0005-0000-0000-0000F3740000}"/>
    <cellStyle name="Percent 11 5 8 3" xfId="21709" xr:uid="{00000000-0005-0000-0000-0000F4740000}"/>
    <cellStyle name="Percent 11 5 9" xfId="8993" xr:uid="{00000000-0005-0000-0000-0000F5740000}"/>
    <cellStyle name="Percent 11 5 9 2" xfId="25933" xr:uid="{00000000-0005-0000-0000-0000F6740000}"/>
    <cellStyle name="Percent 11 6" xfId="708" xr:uid="{00000000-0005-0000-0000-0000F7740000}"/>
    <cellStyle name="Percent 11 6 2" xfId="1060" xr:uid="{00000000-0005-0000-0000-0000F8740000}"/>
    <cellStyle name="Percent 11 6 2 2" xfId="2122" xr:uid="{00000000-0005-0000-0000-0000F9740000}"/>
    <cellStyle name="Percent 11 6 2 2 2" xfId="4234" xr:uid="{00000000-0005-0000-0000-0000FA740000}"/>
    <cellStyle name="Percent 11 6 2 2 2 2" xfId="8460" xr:uid="{00000000-0005-0000-0000-0000FB740000}"/>
    <cellStyle name="Percent 11 6 2 2 2 2 2" xfId="16908" xr:uid="{00000000-0005-0000-0000-0000FC740000}"/>
    <cellStyle name="Percent 11 6 2 2 2 2 2 2" xfId="33848" xr:uid="{00000000-0005-0000-0000-0000FD740000}"/>
    <cellStyle name="Percent 11 6 2 2 2 2 3" xfId="25400" xr:uid="{00000000-0005-0000-0000-0000FE740000}"/>
    <cellStyle name="Percent 11 6 2 2 2 3" xfId="12684" xr:uid="{00000000-0005-0000-0000-0000FF740000}"/>
    <cellStyle name="Percent 11 6 2 2 2 3 2" xfId="29624" xr:uid="{00000000-0005-0000-0000-000000750000}"/>
    <cellStyle name="Percent 11 6 2 2 2 4" xfId="21176" xr:uid="{00000000-0005-0000-0000-000001750000}"/>
    <cellStyle name="Percent 11 6 2 2 3" xfId="6348" xr:uid="{00000000-0005-0000-0000-000002750000}"/>
    <cellStyle name="Percent 11 6 2 2 3 2" xfId="14796" xr:uid="{00000000-0005-0000-0000-000003750000}"/>
    <cellStyle name="Percent 11 6 2 2 3 2 2" xfId="31736" xr:uid="{00000000-0005-0000-0000-000004750000}"/>
    <cellStyle name="Percent 11 6 2 2 3 3" xfId="23288" xr:uid="{00000000-0005-0000-0000-000005750000}"/>
    <cellStyle name="Percent 11 6 2 2 4" xfId="10572" xr:uid="{00000000-0005-0000-0000-000006750000}"/>
    <cellStyle name="Percent 11 6 2 2 4 2" xfId="27512" xr:uid="{00000000-0005-0000-0000-000007750000}"/>
    <cellStyle name="Percent 11 6 2 2 5" xfId="19064" xr:uid="{00000000-0005-0000-0000-000008750000}"/>
    <cellStyle name="Percent 11 6 2 3" xfId="3178" xr:uid="{00000000-0005-0000-0000-000009750000}"/>
    <cellStyle name="Percent 11 6 2 3 2" xfId="7404" xr:uid="{00000000-0005-0000-0000-00000A750000}"/>
    <cellStyle name="Percent 11 6 2 3 2 2" xfId="15852" xr:uid="{00000000-0005-0000-0000-00000B750000}"/>
    <cellStyle name="Percent 11 6 2 3 2 2 2" xfId="32792" xr:uid="{00000000-0005-0000-0000-00000C750000}"/>
    <cellStyle name="Percent 11 6 2 3 2 3" xfId="24344" xr:uid="{00000000-0005-0000-0000-00000D750000}"/>
    <cellStyle name="Percent 11 6 2 3 3" xfId="11628" xr:uid="{00000000-0005-0000-0000-00000E750000}"/>
    <cellStyle name="Percent 11 6 2 3 3 2" xfId="28568" xr:uid="{00000000-0005-0000-0000-00000F750000}"/>
    <cellStyle name="Percent 11 6 2 3 4" xfId="20120" xr:uid="{00000000-0005-0000-0000-000010750000}"/>
    <cellStyle name="Percent 11 6 2 4" xfId="5292" xr:uid="{00000000-0005-0000-0000-000011750000}"/>
    <cellStyle name="Percent 11 6 2 4 2" xfId="13740" xr:uid="{00000000-0005-0000-0000-000012750000}"/>
    <cellStyle name="Percent 11 6 2 4 2 2" xfId="30680" xr:uid="{00000000-0005-0000-0000-000013750000}"/>
    <cellStyle name="Percent 11 6 2 4 3" xfId="22232" xr:uid="{00000000-0005-0000-0000-000014750000}"/>
    <cellStyle name="Percent 11 6 2 5" xfId="9516" xr:uid="{00000000-0005-0000-0000-000015750000}"/>
    <cellStyle name="Percent 11 6 2 5 2" xfId="26456" xr:uid="{00000000-0005-0000-0000-000016750000}"/>
    <cellStyle name="Percent 11 6 2 6" xfId="18008" xr:uid="{00000000-0005-0000-0000-000017750000}"/>
    <cellStyle name="Percent 11 6 3" xfId="1770" xr:uid="{00000000-0005-0000-0000-000018750000}"/>
    <cellStyle name="Percent 11 6 3 2" xfId="3882" xr:uid="{00000000-0005-0000-0000-000019750000}"/>
    <cellStyle name="Percent 11 6 3 2 2" xfId="8108" xr:uid="{00000000-0005-0000-0000-00001A750000}"/>
    <cellStyle name="Percent 11 6 3 2 2 2" xfId="16556" xr:uid="{00000000-0005-0000-0000-00001B750000}"/>
    <cellStyle name="Percent 11 6 3 2 2 2 2" xfId="33496" xr:uid="{00000000-0005-0000-0000-00001C750000}"/>
    <cellStyle name="Percent 11 6 3 2 2 3" xfId="25048" xr:uid="{00000000-0005-0000-0000-00001D750000}"/>
    <cellStyle name="Percent 11 6 3 2 3" xfId="12332" xr:uid="{00000000-0005-0000-0000-00001E750000}"/>
    <cellStyle name="Percent 11 6 3 2 3 2" xfId="29272" xr:uid="{00000000-0005-0000-0000-00001F750000}"/>
    <cellStyle name="Percent 11 6 3 2 4" xfId="20824" xr:uid="{00000000-0005-0000-0000-000020750000}"/>
    <cellStyle name="Percent 11 6 3 3" xfId="5996" xr:uid="{00000000-0005-0000-0000-000021750000}"/>
    <cellStyle name="Percent 11 6 3 3 2" xfId="14444" xr:uid="{00000000-0005-0000-0000-000022750000}"/>
    <cellStyle name="Percent 11 6 3 3 2 2" xfId="31384" xr:uid="{00000000-0005-0000-0000-000023750000}"/>
    <cellStyle name="Percent 11 6 3 3 3" xfId="22936" xr:uid="{00000000-0005-0000-0000-000024750000}"/>
    <cellStyle name="Percent 11 6 3 4" xfId="10220" xr:uid="{00000000-0005-0000-0000-000025750000}"/>
    <cellStyle name="Percent 11 6 3 4 2" xfId="27160" xr:uid="{00000000-0005-0000-0000-000026750000}"/>
    <cellStyle name="Percent 11 6 3 5" xfId="18712" xr:uid="{00000000-0005-0000-0000-000027750000}"/>
    <cellStyle name="Percent 11 6 4" xfId="2826" xr:uid="{00000000-0005-0000-0000-000028750000}"/>
    <cellStyle name="Percent 11 6 4 2" xfId="7052" xr:uid="{00000000-0005-0000-0000-000029750000}"/>
    <cellStyle name="Percent 11 6 4 2 2" xfId="15500" xr:uid="{00000000-0005-0000-0000-00002A750000}"/>
    <cellStyle name="Percent 11 6 4 2 2 2" xfId="32440" xr:uid="{00000000-0005-0000-0000-00002B750000}"/>
    <cellStyle name="Percent 11 6 4 2 3" xfId="23992" xr:uid="{00000000-0005-0000-0000-00002C750000}"/>
    <cellStyle name="Percent 11 6 4 3" xfId="11276" xr:uid="{00000000-0005-0000-0000-00002D750000}"/>
    <cellStyle name="Percent 11 6 4 3 2" xfId="28216" xr:uid="{00000000-0005-0000-0000-00002E750000}"/>
    <cellStyle name="Percent 11 6 4 4" xfId="19768" xr:uid="{00000000-0005-0000-0000-00002F750000}"/>
    <cellStyle name="Percent 11 6 5" xfId="4940" xr:uid="{00000000-0005-0000-0000-000030750000}"/>
    <cellStyle name="Percent 11 6 5 2" xfId="13388" xr:uid="{00000000-0005-0000-0000-000031750000}"/>
    <cellStyle name="Percent 11 6 5 2 2" xfId="30328" xr:uid="{00000000-0005-0000-0000-000032750000}"/>
    <cellStyle name="Percent 11 6 5 3" xfId="21880" xr:uid="{00000000-0005-0000-0000-000033750000}"/>
    <cellStyle name="Percent 11 6 6" xfId="9164" xr:uid="{00000000-0005-0000-0000-000034750000}"/>
    <cellStyle name="Percent 11 6 6 2" xfId="26104" xr:uid="{00000000-0005-0000-0000-000035750000}"/>
    <cellStyle name="Percent 11 6 7" xfId="17656" xr:uid="{00000000-0005-0000-0000-000036750000}"/>
    <cellStyle name="Percent 11 7" xfId="884" xr:uid="{00000000-0005-0000-0000-000037750000}"/>
    <cellStyle name="Percent 11 7 2" xfId="1946" xr:uid="{00000000-0005-0000-0000-000038750000}"/>
    <cellStyle name="Percent 11 7 2 2" xfId="4058" xr:uid="{00000000-0005-0000-0000-000039750000}"/>
    <cellStyle name="Percent 11 7 2 2 2" xfId="8284" xr:uid="{00000000-0005-0000-0000-00003A750000}"/>
    <cellStyle name="Percent 11 7 2 2 2 2" xfId="16732" xr:uid="{00000000-0005-0000-0000-00003B750000}"/>
    <cellStyle name="Percent 11 7 2 2 2 2 2" xfId="33672" xr:uid="{00000000-0005-0000-0000-00003C750000}"/>
    <cellStyle name="Percent 11 7 2 2 2 3" xfId="25224" xr:uid="{00000000-0005-0000-0000-00003D750000}"/>
    <cellStyle name="Percent 11 7 2 2 3" xfId="12508" xr:uid="{00000000-0005-0000-0000-00003E750000}"/>
    <cellStyle name="Percent 11 7 2 2 3 2" xfId="29448" xr:uid="{00000000-0005-0000-0000-00003F750000}"/>
    <cellStyle name="Percent 11 7 2 2 4" xfId="21000" xr:uid="{00000000-0005-0000-0000-000040750000}"/>
    <cellStyle name="Percent 11 7 2 3" xfId="6172" xr:uid="{00000000-0005-0000-0000-000041750000}"/>
    <cellStyle name="Percent 11 7 2 3 2" xfId="14620" xr:uid="{00000000-0005-0000-0000-000042750000}"/>
    <cellStyle name="Percent 11 7 2 3 2 2" xfId="31560" xr:uid="{00000000-0005-0000-0000-000043750000}"/>
    <cellStyle name="Percent 11 7 2 3 3" xfId="23112" xr:uid="{00000000-0005-0000-0000-000044750000}"/>
    <cellStyle name="Percent 11 7 2 4" xfId="10396" xr:uid="{00000000-0005-0000-0000-000045750000}"/>
    <cellStyle name="Percent 11 7 2 4 2" xfId="27336" xr:uid="{00000000-0005-0000-0000-000046750000}"/>
    <cellStyle name="Percent 11 7 2 5" xfId="18888" xr:uid="{00000000-0005-0000-0000-000047750000}"/>
    <cellStyle name="Percent 11 7 3" xfId="3002" xr:uid="{00000000-0005-0000-0000-000048750000}"/>
    <cellStyle name="Percent 11 7 3 2" xfId="7228" xr:uid="{00000000-0005-0000-0000-000049750000}"/>
    <cellStyle name="Percent 11 7 3 2 2" xfId="15676" xr:uid="{00000000-0005-0000-0000-00004A750000}"/>
    <cellStyle name="Percent 11 7 3 2 2 2" xfId="32616" xr:uid="{00000000-0005-0000-0000-00004B750000}"/>
    <cellStyle name="Percent 11 7 3 2 3" xfId="24168" xr:uid="{00000000-0005-0000-0000-00004C750000}"/>
    <cellStyle name="Percent 11 7 3 3" xfId="11452" xr:uid="{00000000-0005-0000-0000-00004D750000}"/>
    <cellStyle name="Percent 11 7 3 3 2" xfId="28392" xr:uid="{00000000-0005-0000-0000-00004E750000}"/>
    <cellStyle name="Percent 11 7 3 4" xfId="19944" xr:uid="{00000000-0005-0000-0000-00004F750000}"/>
    <cellStyle name="Percent 11 7 4" xfId="5116" xr:uid="{00000000-0005-0000-0000-000050750000}"/>
    <cellStyle name="Percent 11 7 4 2" xfId="13564" xr:uid="{00000000-0005-0000-0000-000051750000}"/>
    <cellStyle name="Percent 11 7 4 2 2" xfId="30504" xr:uid="{00000000-0005-0000-0000-000052750000}"/>
    <cellStyle name="Percent 11 7 4 3" xfId="22056" xr:uid="{00000000-0005-0000-0000-000053750000}"/>
    <cellStyle name="Percent 11 7 5" xfId="9340" xr:uid="{00000000-0005-0000-0000-000054750000}"/>
    <cellStyle name="Percent 11 7 5 2" xfId="26280" xr:uid="{00000000-0005-0000-0000-000055750000}"/>
    <cellStyle name="Percent 11 7 6" xfId="17832" xr:uid="{00000000-0005-0000-0000-000056750000}"/>
    <cellStyle name="Percent 11 8" xfId="1236" xr:uid="{00000000-0005-0000-0000-000057750000}"/>
    <cellStyle name="Percent 11 8 2" xfId="2298" xr:uid="{00000000-0005-0000-0000-000058750000}"/>
    <cellStyle name="Percent 11 8 2 2" xfId="4410" xr:uid="{00000000-0005-0000-0000-000059750000}"/>
    <cellStyle name="Percent 11 8 2 2 2" xfId="8636" xr:uid="{00000000-0005-0000-0000-00005A750000}"/>
    <cellStyle name="Percent 11 8 2 2 2 2" xfId="17084" xr:uid="{00000000-0005-0000-0000-00005B750000}"/>
    <cellStyle name="Percent 11 8 2 2 2 2 2" xfId="34024" xr:uid="{00000000-0005-0000-0000-00005C750000}"/>
    <cellStyle name="Percent 11 8 2 2 2 3" xfId="25576" xr:uid="{00000000-0005-0000-0000-00005D750000}"/>
    <cellStyle name="Percent 11 8 2 2 3" xfId="12860" xr:uid="{00000000-0005-0000-0000-00005E750000}"/>
    <cellStyle name="Percent 11 8 2 2 3 2" xfId="29800" xr:uid="{00000000-0005-0000-0000-00005F750000}"/>
    <cellStyle name="Percent 11 8 2 2 4" xfId="21352" xr:uid="{00000000-0005-0000-0000-000060750000}"/>
    <cellStyle name="Percent 11 8 2 3" xfId="6524" xr:uid="{00000000-0005-0000-0000-000061750000}"/>
    <cellStyle name="Percent 11 8 2 3 2" xfId="14972" xr:uid="{00000000-0005-0000-0000-000062750000}"/>
    <cellStyle name="Percent 11 8 2 3 2 2" xfId="31912" xr:uid="{00000000-0005-0000-0000-000063750000}"/>
    <cellStyle name="Percent 11 8 2 3 3" xfId="23464" xr:uid="{00000000-0005-0000-0000-000064750000}"/>
    <cellStyle name="Percent 11 8 2 4" xfId="10748" xr:uid="{00000000-0005-0000-0000-000065750000}"/>
    <cellStyle name="Percent 11 8 2 4 2" xfId="27688" xr:uid="{00000000-0005-0000-0000-000066750000}"/>
    <cellStyle name="Percent 11 8 2 5" xfId="19240" xr:uid="{00000000-0005-0000-0000-000067750000}"/>
    <cellStyle name="Percent 11 8 3" xfId="3354" xr:uid="{00000000-0005-0000-0000-000068750000}"/>
    <cellStyle name="Percent 11 8 3 2" xfId="7580" xr:uid="{00000000-0005-0000-0000-000069750000}"/>
    <cellStyle name="Percent 11 8 3 2 2" xfId="16028" xr:uid="{00000000-0005-0000-0000-00006A750000}"/>
    <cellStyle name="Percent 11 8 3 2 2 2" xfId="32968" xr:uid="{00000000-0005-0000-0000-00006B750000}"/>
    <cellStyle name="Percent 11 8 3 2 3" xfId="24520" xr:uid="{00000000-0005-0000-0000-00006C750000}"/>
    <cellStyle name="Percent 11 8 3 3" xfId="11804" xr:uid="{00000000-0005-0000-0000-00006D750000}"/>
    <cellStyle name="Percent 11 8 3 3 2" xfId="28744" xr:uid="{00000000-0005-0000-0000-00006E750000}"/>
    <cellStyle name="Percent 11 8 3 4" xfId="20296" xr:uid="{00000000-0005-0000-0000-00006F750000}"/>
    <cellStyle name="Percent 11 8 4" xfId="5468" xr:uid="{00000000-0005-0000-0000-000070750000}"/>
    <cellStyle name="Percent 11 8 4 2" xfId="13916" xr:uid="{00000000-0005-0000-0000-000071750000}"/>
    <cellStyle name="Percent 11 8 4 2 2" xfId="30856" xr:uid="{00000000-0005-0000-0000-000072750000}"/>
    <cellStyle name="Percent 11 8 4 3" xfId="22408" xr:uid="{00000000-0005-0000-0000-000073750000}"/>
    <cellStyle name="Percent 11 8 5" xfId="9692" xr:uid="{00000000-0005-0000-0000-000074750000}"/>
    <cellStyle name="Percent 11 8 5 2" xfId="26632" xr:uid="{00000000-0005-0000-0000-000075750000}"/>
    <cellStyle name="Percent 11 8 6" xfId="18184" xr:uid="{00000000-0005-0000-0000-000076750000}"/>
    <cellStyle name="Percent 11 9" xfId="1418" xr:uid="{00000000-0005-0000-0000-000077750000}"/>
    <cellStyle name="Percent 11 9 2" xfId="2474" xr:uid="{00000000-0005-0000-0000-000078750000}"/>
    <cellStyle name="Percent 11 9 2 2" xfId="4586" xr:uid="{00000000-0005-0000-0000-000079750000}"/>
    <cellStyle name="Percent 11 9 2 2 2" xfId="8812" xr:uid="{00000000-0005-0000-0000-00007A750000}"/>
    <cellStyle name="Percent 11 9 2 2 2 2" xfId="17260" xr:uid="{00000000-0005-0000-0000-00007B750000}"/>
    <cellStyle name="Percent 11 9 2 2 2 2 2" xfId="34200" xr:uid="{00000000-0005-0000-0000-00007C750000}"/>
    <cellStyle name="Percent 11 9 2 2 2 3" xfId="25752" xr:uid="{00000000-0005-0000-0000-00007D750000}"/>
    <cellStyle name="Percent 11 9 2 2 3" xfId="13036" xr:uid="{00000000-0005-0000-0000-00007E750000}"/>
    <cellStyle name="Percent 11 9 2 2 3 2" xfId="29976" xr:uid="{00000000-0005-0000-0000-00007F750000}"/>
    <cellStyle name="Percent 11 9 2 2 4" xfId="21528" xr:uid="{00000000-0005-0000-0000-000080750000}"/>
    <cellStyle name="Percent 11 9 2 3" xfId="6700" xr:uid="{00000000-0005-0000-0000-000081750000}"/>
    <cellStyle name="Percent 11 9 2 3 2" xfId="15148" xr:uid="{00000000-0005-0000-0000-000082750000}"/>
    <cellStyle name="Percent 11 9 2 3 2 2" xfId="32088" xr:uid="{00000000-0005-0000-0000-000083750000}"/>
    <cellStyle name="Percent 11 9 2 3 3" xfId="23640" xr:uid="{00000000-0005-0000-0000-000084750000}"/>
    <cellStyle name="Percent 11 9 2 4" xfId="10924" xr:uid="{00000000-0005-0000-0000-000085750000}"/>
    <cellStyle name="Percent 11 9 2 4 2" xfId="27864" xr:uid="{00000000-0005-0000-0000-000086750000}"/>
    <cellStyle name="Percent 11 9 2 5" xfId="19416" xr:uid="{00000000-0005-0000-0000-000087750000}"/>
    <cellStyle name="Percent 11 9 3" xfId="3530" xr:uid="{00000000-0005-0000-0000-000088750000}"/>
    <cellStyle name="Percent 11 9 3 2" xfId="7756" xr:uid="{00000000-0005-0000-0000-000089750000}"/>
    <cellStyle name="Percent 11 9 3 2 2" xfId="16204" xr:uid="{00000000-0005-0000-0000-00008A750000}"/>
    <cellStyle name="Percent 11 9 3 2 2 2" xfId="33144" xr:uid="{00000000-0005-0000-0000-00008B750000}"/>
    <cellStyle name="Percent 11 9 3 2 3" xfId="24696" xr:uid="{00000000-0005-0000-0000-00008C750000}"/>
    <cellStyle name="Percent 11 9 3 3" xfId="11980" xr:uid="{00000000-0005-0000-0000-00008D750000}"/>
    <cellStyle name="Percent 11 9 3 3 2" xfId="28920" xr:uid="{00000000-0005-0000-0000-00008E750000}"/>
    <cellStyle name="Percent 11 9 3 4" xfId="20472" xr:uid="{00000000-0005-0000-0000-00008F750000}"/>
    <cellStyle name="Percent 11 9 4" xfId="5644" xr:uid="{00000000-0005-0000-0000-000090750000}"/>
    <cellStyle name="Percent 11 9 4 2" xfId="14092" xr:uid="{00000000-0005-0000-0000-000091750000}"/>
    <cellStyle name="Percent 11 9 4 2 2" xfId="31032" xr:uid="{00000000-0005-0000-0000-000092750000}"/>
    <cellStyle name="Percent 11 9 4 3" xfId="22584" xr:uid="{00000000-0005-0000-0000-000093750000}"/>
    <cellStyle name="Percent 11 9 5" xfId="9868" xr:uid="{00000000-0005-0000-0000-000094750000}"/>
    <cellStyle name="Percent 11 9 5 2" xfId="26808" xr:uid="{00000000-0005-0000-0000-000095750000}"/>
    <cellStyle name="Percent 11 9 6" xfId="18360" xr:uid="{00000000-0005-0000-0000-000096750000}"/>
    <cellStyle name="Percent 12" xfId="435" xr:uid="{00000000-0005-0000-0000-000097750000}"/>
    <cellStyle name="Percent 12 10" xfId="1600" xr:uid="{00000000-0005-0000-0000-000098750000}"/>
    <cellStyle name="Percent 12 10 2" xfId="3712" xr:uid="{00000000-0005-0000-0000-000099750000}"/>
    <cellStyle name="Percent 12 10 2 2" xfId="7938" xr:uid="{00000000-0005-0000-0000-00009A750000}"/>
    <cellStyle name="Percent 12 10 2 2 2" xfId="16386" xr:uid="{00000000-0005-0000-0000-00009B750000}"/>
    <cellStyle name="Percent 12 10 2 2 2 2" xfId="33326" xr:uid="{00000000-0005-0000-0000-00009C750000}"/>
    <cellStyle name="Percent 12 10 2 2 3" xfId="24878" xr:uid="{00000000-0005-0000-0000-00009D750000}"/>
    <cellStyle name="Percent 12 10 2 3" xfId="12162" xr:uid="{00000000-0005-0000-0000-00009E750000}"/>
    <cellStyle name="Percent 12 10 2 3 2" xfId="29102" xr:uid="{00000000-0005-0000-0000-00009F750000}"/>
    <cellStyle name="Percent 12 10 2 4" xfId="20654" xr:uid="{00000000-0005-0000-0000-0000A0750000}"/>
    <cellStyle name="Percent 12 10 3" xfId="5826" xr:uid="{00000000-0005-0000-0000-0000A1750000}"/>
    <cellStyle name="Percent 12 10 3 2" xfId="14274" xr:uid="{00000000-0005-0000-0000-0000A2750000}"/>
    <cellStyle name="Percent 12 10 3 2 2" xfId="31214" xr:uid="{00000000-0005-0000-0000-0000A3750000}"/>
    <cellStyle name="Percent 12 10 3 3" xfId="22766" xr:uid="{00000000-0005-0000-0000-0000A4750000}"/>
    <cellStyle name="Percent 12 10 4" xfId="10050" xr:uid="{00000000-0005-0000-0000-0000A5750000}"/>
    <cellStyle name="Percent 12 10 4 2" xfId="26990" xr:uid="{00000000-0005-0000-0000-0000A6750000}"/>
    <cellStyle name="Percent 12 10 5" xfId="18542" xr:uid="{00000000-0005-0000-0000-0000A7750000}"/>
    <cellStyle name="Percent 12 11" xfId="2656" xr:uid="{00000000-0005-0000-0000-0000A8750000}"/>
    <cellStyle name="Percent 12 11 2" xfId="6882" xr:uid="{00000000-0005-0000-0000-0000A9750000}"/>
    <cellStyle name="Percent 12 11 2 2" xfId="15330" xr:uid="{00000000-0005-0000-0000-0000AA750000}"/>
    <cellStyle name="Percent 12 11 2 2 2" xfId="32270" xr:uid="{00000000-0005-0000-0000-0000AB750000}"/>
    <cellStyle name="Percent 12 11 2 3" xfId="23822" xr:uid="{00000000-0005-0000-0000-0000AC750000}"/>
    <cellStyle name="Percent 12 11 3" xfId="11106" xr:uid="{00000000-0005-0000-0000-0000AD750000}"/>
    <cellStyle name="Percent 12 11 3 2" xfId="28046" xr:uid="{00000000-0005-0000-0000-0000AE750000}"/>
    <cellStyle name="Percent 12 11 4" xfId="19598" xr:uid="{00000000-0005-0000-0000-0000AF750000}"/>
    <cellStyle name="Percent 12 12" xfId="4769" xr:uid="{00000000-0005-0000-0000-0000B0750000}"/>
    <cellStyle name="Percent 12 12 2" xfId="13218" xr:uid="{00000000-0005-0000-0000-0000B1750000}"/>
    <cellStyle name="Percent 12 12 2 2" xfId="30158" xr:uid="{00000000-0005-0000-0000-0000B2750000}"/>
    <cellStyle name="Percent 12 12 3" xfId="21710" xr:uid="{00000000-0005-0000-0000-0000B3750000}"/>
    <cellStyle name="Percent 12 13" xfId="8994" xr:uid="{00000000-0005-0000-0000-0000B4750000}"/>
    <cellStyle name="Percent 12 13 2" xfId="25934" xr:uid="{00000000-0005-0000-0000-0000B5750000}"/>
    <cellStyle name="Percent 12 14" xfId="17486" xr:uid="{00000000-0005-0000-0000-0000B6750000}"/>
    <cellStyle name="Percent 12 2" xfId="436" xr:uid="{00000000-0005-0000-0000-0000B7750000}"/>
    <cellStyle name="Percent 12 2 10" xfId="4770" xr:uid="{00000000-0005-0000-0000-0000B8750000}"/>
    <cellStyle name="Percent 12 2 10 2" xfId="13219" xr:uid="{00000000-0005-0000-0000-0000B9750000}"/>
    <cellStyle name="Percent 12 2 10 2 2" xfId="30159" xr:uid="{00000000-0005-0000-0000-0000BA750000}"/>
    <cellStyle name="Percent 12 2 10 3" xfId="21711" xr:uid="{00000000-0005-0000-0000-0000BB750000}"/>
    <cellStyle name="Percent 12 2 11" xfId="8995" xr:uid="{00000000-0005-0000-0000-0000BC750000}"/>
    <cellStyle name="Percent 12 2 11 2" xfId="25935" xr:uid="{00000000-0005-0000-0000-0000BD750000}"/>
    <cellStyle name="Percent 12 2 12" xfId="17487" xr:uid="{00000000-0005-0000-0000-0000BE750000}"/>
    <cellStyle name="Percent 12 2 2" xfId="437" xr:uid="{00000000-0005-0000-0000-0000BF750000}"/>
    <cellStyle name="Percent 12 2 2 10" xfId="17488" xr:uid="{00000000-0005-0000-0000-0000C0750000}"/>
    <cellStyle name="Percent 12 2 2 2" xfId="716" xr:uid="{00000000-0005-0000-0000-0000C1750000}"/>
    <cellStyle name="Percent 12 2 2 2 2" xfId="1068" xr:uid="{00000000-0005-0000-0000-0000C2750000}"/>
    <cellStyle name="Percent 12 2 2 2 2 2" xfId="2130" xr:uid="{00000000-0005-0000-0000-0000C3750000}"/>
    <cellStyle name="Percent 12 2 2 2 2 2 2" xfId="4242" xr:uid="{00000000-0005-0000-0000-0000C4750000}"/>
    <cellStyle name="Percent 12 2 2 2 2 2 2 2" xfId="8468" xr:uid="{00000000-0005-0000-0000-0000C5750000}"/>
    <cellStyle name="Percent 12 2 2 2 2 2 2 2 2" xfId="16916" xr:uid="{00000000-0005-0000-0000-0000C6750000}"/>
    <cellStyle name="Percent 12 2 2 2 2 2 2 2 2 2" xfId="33856" xr:uid="{00000000-0005-0000-0000-0000C7750000}"/>
    <cellStyle name="Percent 12 2 2 2 2 2 2 2 3" xfId="25408" xr:uid="{00000000-0005-0000-0000-0000C8750000}"/>
    <cellStyle name="Percent 12 2 2 2 2 2 2 3" xfId="12692" xr:uid="{00000000-0005-0000-0000-0000C9750000}"/>
    <cellStyle name="Percent 12 2 2 2 2 2 2 3 2" xfId="29632" xr:uid="{00000000-0005-0000-0000-0000CA750000}"/>
    <cellStyle name="Percent 12 2 2 2 2 2 2 4" xfId="21184" xr:uid="{00000000-0005-0000-0000-0000CB750000}"/>
    <cellStyle name="Percent 12 2 2 2 2 2 3" xfId="6356" xr:uid="{00000000-0005-0000-0000-0000CC750000}"/>
    <cellStyle name="Percent 12 2 2 2 2 2 3 2" xfId="14804" xr:uid="{00000000-0005-0000-0000-0000CD750000}"/>
    <cellStyle name="Percent 12 2 2 2 2 2 3 2 2" xfId="31744" xr:uid="{00000000-0005-0000-0000-0000CE750000}"/>
    <cellStyle name="Percent 12 2 2 2 2 2 3 3" xfId="23296" xr:uid="{00000000-0005-0000-0000-0000CF750000}"/>
    <cellStyle name="Percent 12 2 2 2 2 2 4" xfId="10580" xr:uid="{00000000-0005-0000-0000-0000D0750000}"/>
    <cellStyle name="Percent 12 2 2 2 2 2 4 2" xfId="27520" xr:uid="{00000000-0005-0000-0000-0000D1750000}"/>
    <cellStyle name="Percent 12 2 2 2 2 2 5" xfId="19072" xr:uid="{00000000-0005-0000-0000-0000D2750000}"/>
    <cellStyle name="Percent 12 2 2 2 2 3" xfId="3186" xr:uid="{00000000-0005-0000-0000-0000D3750000}"/>
    <cellStyle name="Percent 12 2 2 2 2 3 2" xfId="7412" xr:uid="{00000000-0005-0000-0000-0000D4750000}"/>
    <cellStyle name="Percent 12 2 2 2 2 3 2 2" xfId="15860" xr:uid="{00000000-0005-0000-0000-0000D5750000}"/>
    <cellStyle name="Percent 12 2 2 2 2 3 2 2 2" xfId="32800" xr:uid="{00000000-0005-0000-0000-0000D6750000}"/>
    <cellStyle name="Percent 12 2 2 2 2 3 2 3" xfId="24352" xr:uid="{00000000-0005-0000-0000-0000D7750000}"/>
    <cellStyle name="Percent 12 2 2 2 2 3 3" xfId="11636" xr:uid="{00000000-0005-0000-0000-0000D8750000}"/>
    <cellStyle name="Percent 12 2 2 2 2 3 3 2" xfId="28576" xr:uid="{00000000-0005-0000-0000-0000D9750000}"/>
    <cellStyle name="Percent 12 2 2 2 2 3 4" xfId="20128" xr:uid="{00000000-0005-0000-0000-0000DA750000}"/>
    <cellStyle name="Percent 12 2 2 2 2 4" xfId="5300" xr:uid="{00000000-0005-0000-0000-0000DB750000}"/>
    <cellStyle name="Percent 12 2 2 2 2 4 2" xfId="13748" xr:uid="{00000000-0005-0000-0000-0000DC750000}"/>
    <cellStyle name="Percent 12 2 2 2 2 4 2 2" xfId="30688" xr:uid="{00000000-0005-0000-0000-0000DD750000}"/>
    <cellStyle name="Percent 12 2 2 2 2 4 3" xfId="22240" xr:uid="{00000000-0005-0000-0000-0000DE750000}"/>
    <cellStyle name="Percent 12 2 2 2 2 5" xfId="9524" xr:uid="{00000000-0005-0000-0000-0000DF750000}"/>
    <cellStyle name="Percent 12 2 2 2 2 5 2" xfId="26464" xr:uid="{00000000-0005-0000-0000-0000E0750000}"/>
    <cellStyle name="Percent 12 2 2 2 2 6" xfId="18016" xr:uid="{00000000-0005-0000-0000-0000E1750000}"/>
    <cellStyle name="Percent 12 2 2 2 3" xfId="1778" xr:uid="{00000000-0005-0000-0000-0000E2750000}"/>
    <cellStyle name="Percent 12 2 2 2 3 2" xfId="3890" xr:uid="{00000000-0005-0000-0000-0000E3750000}"/>
    <cellStyle name="Percent 12 2 2 2 3 2 2" xfId="8116" xr:uid="{00000000-0005-0000-0000-0000E4750000}"/>
    <cellStyle name="Percent 12 2 2 2 3 2 2 2" xfId="16564" xr:uid="{00000000-0005-0000-0000-0000E5750000}"/>
    <cellStyle name="Percent 12 2 2 2 3 2 2 2 2" xfId="33504" xr:uid="{00000000-0005-0000-0000-0000E6750000}"/>
    <cellStyle name="Percent 12 2 2 2 3 2 2 3" xfId="25056" xr:uid="{00000000-0005-0000-0000-0000E7750000}"/>
    <cellStyle name="Percent 12 2 2 2 3 2 3" xfId="12340" xr:uid="{00000000-0005-0000-0000-0000E8750000}"/>
    <cellStyle name="Percent 12 2 2 2 3 2 3 2" xfId="29280" xr:uid="{00000000-0005-0000-0000-0000E9750000}"/>
    <cellStyle name="Percent 12 2 2 2 3 2 4" xfId="20832" xr:uid="{00000000-0005-0000-0000-0000EA750000}"/>
    <cellStyle name="Percent 12 2 2 2 3 3" xfId="6004" xr:uid="{00000000-0005-0000-0000-0000EB750000}"/>
    <cellStyle name="Percent 12 2 2 2 3 3 2" xfId="14452" xr:uid="{00000000-0005-0000-0000-0000EC750000}"/>
    <cellStyle name="Percent 12 2 2 2 3 3 2 2" xfId="31392" xr:uid="{00000000-0005-0000-0000-0000ED750000}"/>
    <cellStyle name="Percent 12 2 2 2 3 3 3" xfId="22944" xr:uid="{00000000-0005-0000-0000-0000EE750000}"/>
    <cellStyle name="Percent 12 2 2 2 3 4" xfId="10228" xr:uid="{00000000-0005-0000-0000-0000EF750000}"/>
    <cellStyle name="Percent 12 2 2 2 3 4 2" xfId="27168" xr:uid="{00000000-0005-0000-0000-0000F0750000}"/>
    <cellStyle name="Percent 12 2 2 2 3 5" xfId="18720" xr:uid="{00000000-0005-0000-0000-0000F1750000}"/>
    <cellStyle name="Percent 12 2 2 2 4" xfId="2834" xr:uid="{00000000-0005-0000-0000-0000F2750000}"/>
    <cellStyle name="Percent 12 2 2 2 4 2" xfId="7060" xr:uid="{00000000-0005-0000-0000-0000F3750000}"/>
    <cellStyle name="Percent 12 2 2 2 4 2 2" xfId="15508" xr:uid="{00000000-0005-0000-0000-0000F4750000}"/>
    <cellStyle name="Percent 12 2 2 2 4 2 2 2" xfId="32448" xr:uid="{00000000-0005-0000-0000-0000F5750000}"/>
    <cellStyle name="Percent 12 2 2 2 4 2 3" xfId="24000" xr:uid="{00000000-0005-0000-0000-0000F6750000}"/>
    <cellStyle name="Percent 12 2 2 2 4 3" xfId="11284" xr:uid="{00000000-0005-0000-0000-0000F7750000}"/>
    <cellStyle name="Percent 12 2 2 2 4 3 2" xfId="28224" xr:uid="{00000000-0005-0000-0000-0000F8750000}"/>
    <cellStyle name="Percent 12 2 2 2 4 4" xfId="19776" xr:uid="{00000000-0005-0000-0000-0000F9750000}"/>
    <cellStyle name="Percent 12 2 2 2 5" xfId="4948" xr:uid="{00000000-0005-0000-0000-0000FA750000}"/>
    <cellStyle name="Percent 12 2 2 2 5 2" xfId="13396" xr:uid="{00000000-0005-0000-0000-0000FB750000}"/>
    <cellStyle name="Percent 12 2 2 2 5 2 2" xfId="30336" xr:uid="{00000000-0005-0000-0000-0000FC750000}"/>
    <cellStyle name="Percent 12 2 2 2 5 3" xfId="21888" xr:uid="{00000000-0005-0000-0000-0000FD750000}"/>
    <cellStyle name="Percent 12 2 2 2 6" xfId="9172" xr:uid="{00000000-0005-0000-0000-0000FE750000}"/>
    <cellStyle name="Percent 12 2 2 2 6 2" xfId="26112" xr:uid="{00000000-0005-0000-0000-0000FF750000}"/>
    <cellStyle name="Percent 12 2 2 2 7" xfId="17664" xr:uid="{00000000-0005-0000-0000-000000760000}"/>
    <cellStyle name="Percent 12 2 2 3" xfId="892" xr:uid="{00000000-0005-0000-0000-000001760000}"/>
    <cellStyle name="Percent 12 2 2 3 2" xfId="1954" xr:uid="{00000000-0005-0000-0000-000002760000}"/>
    <cellStyle name="Percent 12 2 2 3 2 2" xfId="4066" xr:uid="{00000000-0005-0000-0000-000003760000}"/>
    <cellStyle name="Percent 12 2 2 3 2 2 2" xfId="8292" xr:uid="{00000000-0005-0000-0000-000004760000}"/>
    <cellStyle name="Percent 12 2 2 3 2 2 2 2" xfId="16740" xr:uid="{00000000-0005-0000-0000-000005760000}"/>
    <cellStyle name="Percent 12 2 2 3 2 2 2 2 2" xfId="33680" xr:uid="{00000000-0005-0000-0000-000006760000}"/>
    <cellStyle name="Percent 12 2 2 3 2 2 2 3" xfId="25232" xr:uid="{00000000-0005-0000-0000-000007760000}"/>
    <cellStyle name="Percent 12 2 2 3 2 2 3" xfId="12516" xr:uid="{00000000-0005-0000-0000-000008760000}"/>
    <cellStyle name="Percent 12 2 2 3 2 2 3 2" xfId="29456" xr:uid="{00000000-0005-0000-0000-000009760000}"/>
    <cellStyle name="Percent 12 2 2 3 2 2 4" xfId="21008" xr:uid="{00000000-0005-0000-0000-00000A760000}"/>
    <cellStyle name="Percent 12 2 2 3 2 3" xfId="6180" xr:uid="{00000000-0005-0000-0000-00000B760000}"/>
    <cellStyle name="Percent 12 2 2 3 2 3 2" xfId="14628" xr:uid="{00000000-0005-0000-0000-00000C760000}"/>
    <cellStyle name="Percent 12 2 2 3 2 3 2 2" xfId="31568" xr:uid="{00000000-0005-0000-0000-00000D760000}"/>
    <cellStyle name="Percent 12 2 2 3 2 3 3" xfId="23120" xr:uid="{00000000-0005-0000-0000-00000E760000}"/>
    <cellStyle name="Percent 12 2 2 3 2 4" xfId="10404" xr:uid="{00000000-0005-0000-0000-00000F760000}"/>
    <cellStyle name="Percent 12 2 2 3 2 4 2" xfId="27344" xr:uid="{00000000-0005-0000-0000-000010760000}"/>
    <cellStyle name="Percent 12 2 2 3 2 5" xfId="18896" xr:uid="{00000000-0005-0000-0000-000011760000}"/>
    <cellStyle name="Percent 12 2 2 3 3" xfId="3010" xr:uid="{00000000-0005-0000-0000-000012760000}"/>
    <cellStyle name="Percent 12 2 2 3 3 2" xfId="7236" xr:uid="{00000000-0005-0000-0000-000013760000}"/>
    <cellStyle name="Percent 12 2 2 3 3 2 2" xfId="15684" xr:uid="{00000000-0005-0000-0000-000014760000}"/>
    <cellStyle name="Percent 12 2 2 3 3 2 2 2" xfId="32624" xr:uid="{00000000-0005-0000-0000-000015760000}"/>
    <cellStyle name="Percent 12 2 2 3 3 2 3" xfId="24176" xr:uid="{00000000-0005-0000-0000-000016760000}"/>
    <cellStyle name="Percent 12 2 2 3 3 3" xfId="11460" xr:uid="{00000000-0005-0000-0000-000017760000}"/>
    <cellStyle name="Percent 12 2 2 3 3 3 2" xfId="28400" xr:uid="{00000000-0005-0000-0000-000018760000}"/>
    <cellStyle name="Percent 12 2 2 3 3 4" xfId="19952" xr:uid="{00000000-0005-0000-0000-000019760000}"/>
    <cellStyle name="Percent 12 2 2 3 4" xfId="5124" xr:uid="{00000000-0005-0000-0000-00001A760000}"/>
    <cellStyle name="Percent 12 2 2 3 4 2" xfId="13572" xr:uid="{00000000-0005-0000-0000-00001B760000}"/>
    <cellStyle name="Percent 12 2 2 3 4 2 2" xfId="30512" xr:uid="{00000000-0005-0000-0000-00001C760000}"/>
    <cellStyle name="Percent 12 2 2 3 4 3" xfId="22064" xr:uid="{00000000-0005-0000-0000-00001D760000}"/>
    <cellStyle name="Percent 12 2 2 3 5" xfId="9348" xr:uid="{00000000-0005-0000-0000-00001E760000}"/>
    <cellStyle name="Percent 12 2 2 3 5 2" xfId="26288" xr:uid="{00000000-0005-0000-0000-00001F760000}"/>
    <cellStyle name="Percent 12 2 2 3 6" xfId="17840" xr:uid="{00000000-0005-0000-0000-000020760000}"/>
    <cellStyle name="Percent 12 2 2 4" xfId="1244" xr:uid="{00000000-0005-0000-0000-000021760000}"/>
    <cellStyle name="Percent 12 2 2 4 2" xfId="2306" xr:uid="{00000000-0005-0000-0000-000022760000}"/>
    <cellStyle name="Percent 12 2 2 4 2 2" xfId="4418" xr:uid="{00000000-0005-0000-0000-000023760000}"/>
    <cellStyle name="Percent 12 2 2 4 2 2 2" xfId="8644" xr:uid="{00000000-0005-0000-0000-000024760000}"/>
    <cellStyle name="Percent 12 2 2 4 2 2 2 2" xfId="17092" xr:uid="{00000000-0005-0000-0000-000025760000}"/>
    <cellStyle name="Percent 12 2 2 4 2 2 2 2 2" xfId="34032" xr:uid="{00000000-0005-0000-0000-000026760000}"/>
    <cellStyle name="Percent 12 2 2 4 2 2 2 3" xfId="25584" xr:uid="{00000000-0005-0000-0000-000027760000}"/>
    <cellStyle name="Percent 12 2 2 4 2 2 3" xfId="12868" xr:uid="{00000000-0005-0000-0000-000028760000}"/>
    <cellStyle name="Percent 12 2 2 4 2 2 3 2" xfId="29808" xr:uid="{00000000-0005-0000-0000-000029760000}"/>
    <cellStyle name="Percent 12 2 2 4 2 2 4" xfId="21360" xr:uid="{00000000-0005-0000-0000-00002A760000}"/>
    <cellStyle name="Percent 12 2 2 4 2 3" xfId="6532" xr:uid="{00000000-0005-0000-0000-00002B760000}"/>
    <cellStyle name="Percent 12 2 2 4 2 3 2" xfId="14980" xr:uid="{00000000-0005-0000-0000-00002C760000}"/>
    <cellStyle name="Percent 12 2 2 4 2 3 2 2" xfId="31920" xr:uid="{00000000-0005-0000-0000-00002D760000}"/>
    <cellStyle name="Percent 12 2 2 4 2 3 3" xfId="23472" xr:uid="{00000000-0005-0000-0000-00002E760000}"/>
    <cellStyle name="Percent 12 2 2 4 2 4" xfId="10756" xr:uid="{00000000-0005-0000-0000-00002F760000}"/>
    <cellStyle name="Percent 12 2 2 4 2 4 2" xfId="27696" xr:uid="{00000000-0005-0000-0000-000030760000}"/>
    <cellStyle name="Percent 12 2 2 4 2 5" xfId="19248" xr:uid="{00000000-0005-0000-0000-000031760000}"/>
    <cellStyle name="Percent 12 2 2 4 3" xfId="3362" xr:uid="{00000000-0005-0000-0000-000032760000}"/>
    <cellStyle name="Percent 12 2 2 4 3 2" xfId="7588" xr:uid="{00000000-0005-0000-0000-000033760000}"/>
    <cellStyle name="Percent 12 2 2 4 3 2 2" xfId="16036" xr:uid="{00000000-0005-0000-0000-000034760000}"/>
    <cellStyle name="Percent 12 2 2 4 3 2 2 2" xfId="32976" xr:uid="{00000000-0005-0000-0000-000035760000}"/>
    <cellStyle name="Percent 12 2 2 4 3 2 3" xfId="24528" xr:uid="{00000000-0005-0000-0000-000036760000}"/>
    <cellStyle name="Percent 12 2 2 4 3 3" xfId="11812" xr:uid="{00000000-0005-0000-0000-000037760000}"/>
    <cellStyle name="Percent 12 2 2 4 3 3 2" xfId="28752" xr:uid="{00000000-0005-0000-0000-000038760000}"/>
    <cellStyle name="Percent 12 2 2 4 3 4" xfId="20304" xr:uid="{00000000-0005-0000-0000-000039760000}"/>
    <cellStyle name="Percent 12 2 2 4 4" xfId="5476" xr:uid="{00000000-0005-0000-0000-00003A760000}"/>
    <cellStyle name="Percent 12 2 2 4 4 2" xfId="13924" xr:uid="{00000000-0005-0000-0000-00003B760000}"/>
    <cellStyle name="Percent 12 2 2 4 4 2 2" xfId="30864" xr:uid="{00000000-0005-0000-0000-00003C760000}"/>
    <cellStyle name="Percent 12 2 2 4 4 3" xfId="22416" xr:uid="{00000000-0005-0000-0000-00003D760000}"/>
    <cellStyle name="Percent 12 2 2 4 5" xfId="9700" xr:uid="{00000000-0005-0000-0000-00003E760000}"/>
    <cellStyle name="Percent 12 2 2 4 5 2" xfId="26640" xr:uid="{00000000-0005-0000-0000-00003F760000}"/>
    <cellStyle name="Percent 12 2 2 4 6" xfId="18192" xr:uid="{00000000-0005-0000-0000-000040760000}"/>
    <cellStyle name="Percent 12 2 2 5" xfId="1426" xr:uid="{00000000-0005-0000-0000-000041760000}"/>
    <cellStyle name="Percent 12 2 2 5 2" xfId="2482" xr:uid="{00000000-0005-0000-0000-000042760000}"/>
    <cellStyle name="Percent 12 2 2 5 2 2" xfId="4594" xr:uid="{00000000-0005-0000-0000-000043760000}"/>
    <cellStyle name="Percent 12 2 2 5 2 2 2" xfId="8820" xr:uid="{00000000-0005-0000-0000-000044760000}"/>
    <cellStyle name="Percent 12 2 2 5 2 2 2 2" xfId="17268" xr:uid="{00000000-0005-0000-0000-000045760000}"/>
    <cellStyle name="Percent 12 2 2 5 2 2 2 2 2" xfId="34208" xr:uid="{00000000-0005-0000-0000-000046760000}"/>
    <cellStyle name="Percent 12 2 2 5 2 2 2 3" xfId="25760" xr:uid="{00000000-0005-0000-0000-000047760000}"/>
    <cellStyle name="Percent 12 2 2 5 2 2 3" xfId="13044" xr:uid="{00000000-0005-0000-0000-000048760000}"/>
    <cellStyle name="Percent 12 2 2 5 2 2 3 2" xfId="29984" xr:uid="{00000000-0005-0000-0000-000049760000}"/>
    <cellStyle name="Percent 12 2 2 5 2 2 4" xfId="21536" xr:uid="{00000000-0005-0000-0000-00004A760000}"/>
    <cellStyle name="Percent 12 2 2 5 2 3" xfId="6708" xr:uid="{00000000-0005-0000-0000-00004B760000}"/>
    <cellStyle name="Percent 12 2 2 5 2 3 2" xfId="15156" xr:uid="{00000000-0005-0000-0000-00004C760000}"/>
    <cellStyle name="Percent 12 2 2 5 2 3 2 2" xfId="32096" xr:uid="{00000000-0005-0000-0000-00004D760000}"/>
    <cellStyle name="Percent 12 2 2 5 2 3 3" xfId="23648" xr:uid="{00000000-0005-0000-0000-00004E760000}"/>
    <cellStyle name="Percent 12 2 2 5 2 4" xfId="10932" xr:uid="{00000000-0005-0000-0000-00004F760000}"/>
    <cellStyle name="Percent 12 2 2 5 2 4 2" xfId="27872" xr:uid="{00000000-0005-0000-0000-000050760000}"/>
    <cellStyle name="Percent 12 2 2 5 2 5" xfId="19424" xr:uid="{00000000-0005-0000-0000-000051760000}"/>
    <cellStyle name="Percent 12 2 2 5 3" xfId="3538" xr:uid="{00000000-0005-0000-0000-000052760000}"/>
    <cellStyle name="Percent 12 2 2 5 3 2" xfId="7764" xr:uid="{00000000-0005-0000-0000-000053760000}"/>
    <cellStyle name="Percent 12 2 2 5 3 2 2" xfId="16212" xr:uid="{00000000-0005-0000-0000-000054760000}"/>
    <cellStyle name="Percent 12 2 2 5 3 2 2 2" xfId="33152" xr:uid="{00000000-0005-0000-0000-000055760000}"/>
    <cellStyle name="Percent 12 2 2 5 3 2 3" xfId="24704" xr:uid="{00000000-0005-0000-0000-000056760000}"/>
    <cellStyle name="Percent 12 2 2 5 3 3" xfId="11988" xr:uid="{00000000-0005-0000-0000-000057760000}"/>
    <cellStyle name="Percent 12 2 2 5 3 3 2" xfId="28928" xr:uid="{00000000-0005-0000-0000-000058760000}"/>
    <cellStyle name="Percent 12 2 2 5 3 4" xfId="20480" xr:uid="{00000000-0005-0000-0000-000059760000}"/>
    <cellStyle name="Percent 12 2 2 5 4" xfId="5652" xr:uid="{00000000-0005-0000-0000-00005A760000}"/>
    <cellStyle name="Percent 12 2 2 5 4 2" xfId="14100" xr:uid="{00000000-0005-0000-0000-00005B760000}"/>
    <cellStyle name="Percent 12 2 2 5 4 2 2" xfId="31040" xr:uid="{00000000-0005-0000-0000-00005C760000}"/>
    <cellStyle name="Percent 12 2 2 5 4 3" xfId="22592" xr:uid="{00000000-0005-0000-0000-00005D760000}"/>
    <cellStyle name="Percent 12 2 2 5 5" xfId="9876" xr:uid="{00000000-0005-0000-0000-00005E760000}"/>
    <cellStyle name="Percent 12 2 2 5 5 2" xfId="26816" xr:uid="{00000000-0005-0000-0000-00005F760000}"/>
    <cellStyle name="Percent 12 2 2 5 6" xfId="18368" xr:uid="{00000000-0005-0000-0000-000060760000}"/>
    <cellStyle name="Percent 12 2 2 6" xfId="1602" xr:uid="{00000000-0005-0000-0000-000061760000}"/>
    <cellStyle name="Percent 12 2 2 6 2" xfId="3714" xr:uid="{00000000-0005-0000-0000-000062760000}"/>
    <cellStyle name="Percent 12 2 2 6 2 2" xfId="7940" xr:uid="{00000000-0005-0000-0000-000063760000}"/>
    <cellStyle name="Percent 12 2 2 6 2 2 2" xfId="16388" xr:uid="{00000000-0005-0000-0000-000064760000}"/>
    <cellStyle name="Percent 12 2 2 6 2 2 2 2" xfId="33328" xr:uid="{00000000-0005-0000-0000-000065760000}"/>
    <cellStyle name="Percent 12 2 2 6 2 2 3" xfId="24880" xr:uid="{00000000-0005-0000-0000-000066760000}"/>
    <cellStyle name="Percent 12 2 2 6 2 3" xfId="12164" xr:uid="{00000000-0005-0000-0000-000067760000}"/>
    <cellStyle name="Percent 12 2 2 6 2 3 2" xfId="29104" xr:uid="{00000000-0005-0000-0000-000068760000}"/>
    <cellStyle name="Percent 12 2 2 6 2 4" xfId="20656" xr:uid="{00000000-0005-0000-0000-000069760000}"/>
    <cellStyle name="Percent 12 2 2 6 3" xfId="5828" xr:uid="{00000000-0005-0000-0000-00006A760000}"/>
    <cellStyle name="Percent 12 2 2 6 3 2" xfId="14276" xr:uid="{00000000-0005-0000-0000-00006B760000}"/>
    <cellStyle name="Percent 12 2 2 6 3 2 2" xfId="31216" xr:uid="{00000000-0005-0000-0000-00006C760000}"/>
    <cellStyle name="Percent 12 2 2 6 3 3" xfId="22768" xr:uid="{00000000-0005-0000-0000-00006D760000}"/>
    <cellStyle name="Percent 12 2 2 6 4" xfId="10052" xr:uid="{00000000-0005-0000-0000-00006E760000}"/>
    <cellStyle name="Percent 12 2 2 6 4 2" xfId="26992" xr:uid="{00000000-0005-0000-0000-00006F760000}"/>
    <cellStyle name="Percent 12 2 2 6 5" xfId="18544" xr:uid="{00000000-0005-0000-0000-000070760000}"/>
    <cellStyle name="Percent 12 2 2 7" xfId="2658" xr:uid="{00000000-0005-0000-0000-000071760000}"/>
    <cellStyle name="Percent 12 2 2 7 2" xfId="6884" xr:uid="{00000000-0005-0000-0000-000072760000}"/>
    <cellStyle name="Percent 12 2 2 7 2 2" xfId="15332" xr:uid="{00000000-0005-0000-0000-000073760000}"/>
    <cellStyle name="Percent 12 2 2 7 2 2 2" xfId="32272" xr:uid="{00000000-0005-0000-0000-000074760000}"/>
    <cellStyle name="Percent 12 2 2 7 2 3" xfId="23824" xr:uid="{00000000-0005-0000-0000-000075760000}"/>
    <cellStyle name="Percent 12 2 2 7 3" xfId="11108" xr:uid="{00000000-0005-0000-0000-000076760000}"/>
    <cellStyle name="Percent 12 2 2 7 3 2" xfId="28048" xr:uid="{00000000-0005-0000-0000-000077760000}"/>
    <cellStyle name="Percent 12 2 2 7 4" xfId="19600" xr:uid="{00000000-0005-0000-0000-000078760000}"/>
    <cellStyle name="Percent 12 2 2 8" xfId="4771" xr:uid="{00000000-0005-0000-0000-000079760000}"/>
    <cellStyle name="Percent 12 2 2 8 2" xfId="13220" xr:uid="{00000000-0005-0000-0000-00007A760000}"/>
    <cellStyle name="Percent 12 2 2 8 2 2" xfId="30160" xr:uid="{00000000-0005-0000-0000-00007B760000}"/>
    <cellStyle name="Percent 12 2 2 8 3" xfId="21712" xr:uid="{00000000-0005-0000-0000-00007C760000}"/>
    <cellStyle name="Percent 12 2 2 9" xfId="8996" xr:uid="{00000000-0005-0000-0000-00007D760000}"/>
    <cellStyle name="Percent 12 2 2 9 2" xfId="25936" xr:uid="{00000000-0005-0000-0000-00007E760000}"/>
    <cellStyle name="Percent 12 2 3" xfId="438" xr:uid="{00000000-0005-0000-0000-00007F760000}"/>
    <cellStyle name="Percent 12 2 3 10" xfId="17489" xr:uid="{00000000-0005-0000-0000-000080760000}"/>
    <cellStyle name="Percent 12 2 3 2" xfId="717" xr:uid="{00000000-0005-0000-0000-000081760000}"/>
    <cellStyle name="Percent 12 2 3 2 2" xfId="1069" xr:uid="{00000000-0005-0000-0000-000082760000}"/>
    <cellStyle name="Percent 12 2 3 2 2 2" xfId="2131" xr:uid="{00000000-0005-0000-0000-000083760000}"/>
    <cellStyle name="Percent 12 2 3 2 2 2 2" xfId="4243" xr:uid="{00000000-0005-0000-0000-000084760000}"/>
    <cellStyle name="Percent 12 2 3 2 2 2 2 2" xfId="8469" xr:uid="{00000000-0005-0000-0000-000085760000}"/>
    <cellStyle name="Percent 12 2 3 2 2 2 2 2 2" xfId="16917" xr:uid="{00000000-0005-0000-0000-000086760000}"/>
    <cellStyle name="Percent 12 2 3 2 2 2 2 2 2 2" xfId="33857" xr:uid="{00000000-0005-0000-0000-000087760000}"/>
    <cellStyle name="Percent 12 2 3 2 2 2 2 2 3" xfId="25409" xr:uid="{00000000-0005-0000-0000-000088760000}"/>
    <cellStyle name="Percent 12 2 3 2 2 2 2 3" xfId="12693" xr:uid="{00000000-0005-0000-0000-000089760000}"/>
    <cellStyle name="Percent 12 2 3 2 2 2 2 3 2" xfId="29633" xr:uid="{00000000-0005-0000-0000-00008A760000}"/>
    <cellStyle name="Percent 12 2 3 2 2 2 2 4" xfId="21185" xr:uid="{00000000-0005-0000-0000-00008B760000}"/>
    <cellStyle name="Percent 12 2 3 2 2 2 3" xfId="6357" xr:uid="{00000000-0005-0000-0000-00008C760000}"/>
    <cellStyle name="Percent 12 2 3 2 2 2 3 2" xfId="14805" xr:uid="{00000000-0005-0000-0000-00008D760000}"/>
    <cellStyle name="Percent 12 2 3 2 2 2 3 2 2" xfId="31745" xr:uid="{00000000-0005-0000-0000-00008E760000}"/>
    <cellStyle name="Percent 12 2 3 2 2 2 3 3" xfId="23297" xr:uid="{00000000-0005-0000-0000-00008F760000}"/>
    <cellStyle name="Percent 12 2 3 2 2 2 4" xfId="10581" xr:uid="{00000000-0005-0000-0000-000090760000}"/>
    <cellStyle name="Percent 12 2 3 2 2 2 4 2" xfId="27521" xr:uid="{00000000-0005-0000-0000-000091760000}"/>
    <cellStyle name="Percent 12 2 3 2 2 2 5" xfId="19073" xr:uid="{00000000-0005-0000-0000-000092760000}"/>
    <cellStyle name="Percent 12 2 3 2 2 3" xfId="3187" xr:uid="{00000000-0005-0000-0000-000093760000}"/>
    <cellStyle name="Percent 12 2 3 2 2 3 2" xfId="7413" xr:uid="{00000000-0005-0000-0000-000094760000}"/>
    <cellStyle name="Percent 12 2 3 2 2 3 2 2" xfId="15861" xr:uid="{00000000-0005-0000-0000-000095760000}"/>
    <cellStyle name="Percent 12 2 3 2 2 3 2 2 2" xfId="32801" xr:uid="{00000000-0005-0000-0000-000096760000}"/>
    <cellStyle name="Percent 12 2 3 2 2 3 2 3" xfId="24353" xr:uid="{00000000-0005-0000-0000-000097760000}"/>
    <cellStyle name="Percent 12 2 3 2 2 3 3" xfId="11637" xr:uid="{00000000-0005-0000-0000-000098760000}"/>
    <cellStyle name="Percent 12 2 3 2 2 3 3 2" xfId="28577" xr:uid="{00000000-0005-0000-0000-000099760000}"/>
    <cellStyle name="Percent 12 2 3 2 2 3 4" xfId="20129" xr:uid="{00000000-0005-0000-0000-00009A760000}"/>
    <cellStyle name="Percent 12 2 3 2 2 4" xfId="5301" xr:uid="{00000000-0005-0000-0000-00009B760000}"/>
    <cellStyle name="Percent 12 2 3 2 2 4 2" xfId="13749" xr:uid="{00000000-0005-0000-0000-00009C760000}"/>
    <cellStyle name="Percent 12 2 3 2 2 4 2 2" xfId="30689" xr:uid="{00000000-0005-0000-0000-00009D760000}"/>
    <cellStyle name="Percent 12 2 3 2 2 4 3" xfId="22241" xr:uid="{00000000-0005-0000-0000-00009E760000}"/>
    <cellStyle name="Percent 12 2 3 2 2 5" xfId="9525" xr:uid="{00000000-0005-0000-0000-00009F760000}"/>
    <cellStyle name="Percent 12 2 3 2 2 5 2" xfId="26465" xr:uid="{00000000-0005-0000-0000-0000A0760000}"/>
    <cellStyle name="Percent 12 2 3 2 2 6" xfId="18017" xr:uid="{00000000-0005-0000-0000-0000A1760000}"/>
    <cellStyle name="Percent 12 2 3 2 3" xfId="1779" xr:uid="{00000000-0005-0000-0000-0000A2760000}"/>
    <cellStyle name="Percent 12 2 3 2 3 2" xfId="3891" xr:uid="{00000000-0005-0000-0000-0000A3760000}"/>
    <cellStyle name="Percent 12 2 3 2 3 2 2" xfId="8117" xr:uid="{00000000-0005-0000-0000-0000A4760000}"/>
    <cellStyle name="Percent 12 2 3 2 3 2 2 2" xfId="16565" xr:uid="{00000000-0005-0000-0000-0000A5760000}"/>
    <cellStyle name="Percent 12 2 3 2 3 2 2 2 2" xfId="33505" xr:uid="{00000000-0005-0000-0000-0000A6760000}"/>
    <cellStyle name="Percent 12 2 3 2 3 2 2 3" xfId="25057" xr:uid="{00000000-0005-0000-0000-0000A7760000}"/>
    <cellStyle name="Percent 12 2 3 2 3 2 3" xfId="12341" xr:uid="{00000000-0005-0000-0000-0000A8760000}"/>
    <cellStyle name="Percent 12 2 3 2 3 2 3 2" xfId="29281" xr:uid="{00000000-0005-0000-0000-0000A9760000}"/>
    <cellStyle name="Percent 12 2 3 2 3 2 4" xfId="20833" xr:uid="{00000000-0005-0000-0000-0000AA760000}"/>
    <cellStyle name="Percent 12 2 3 2 3 3" xfId="6005" xr:uid="{00000000-0005-0000-0000-0000AB760000}"/>
    <cellStyle name="Percent 12 2 3 2 3 3 2" xfId="14453" xr:uid="{00000000-0005-0000-0000-0000AC760000}"/>
    <cellStyle name="Percent 12 2 3 2 3 3 2 2" xfId="31393" xr:uid="{00000000-0005-0000-0000-0000AD760000}"/>
    <cellStyle name="Percent 12 2 3 2 3 3 3" xfId="22945" xr:uid="{00000000-0005-0000-0000-0000AE760000}"/>
    <cellStyle name="Percent 12 2 3 2 3 4" xfId="10229" xr:uid="{00000000-0005-0000-0000-0000AF760000}"/>
    <cellStyle name="Percent 12 2 3 2 3 4 2" xfId="27169" xr:uid="{00000000-0005-0000-0000-0000B0760000}"/>
    <cellStyle name="Percent 12 2 3 2 3 5" xfId="18721" xr:uid="{00000000-0005-0000-0000-0000B1760000}"/>
    <cellStyle name="Percent 12 2 3 2 4" xfId="2835" xr:uid="{00000000-0005-0000-0000-0000B2760000}"/>
    <cellStyle name="Percent 12 2 3 2 4 2" xfId="7061" xr:uid="{00000000-0005-0000-0000-0000B3760000}"/>
    <cellStyle name="Percent 12 2 3 2 4 2 2" xfId="15509" xr:uid="{00000000-0005-0000-0000-0000B4760000}"/>
    <cellStyle name="Percent 12 2 3 2 4 2 2 2" xfId="32449" xr:uid="{00000000-0005-0000-0000-0000B5760000}"/>
    <cellStyle name="Percent 12 2 3 2 4 2 3" xfId="24001" xr:uid="{00000000-0005-0000-0000-0000B6760000}"/>
    <cellStyle name="Percent 12 2 3 2 4 3" xfId="11285" xr:uid="{00000000-0005-0000-0000-0000B7760000}"/>
    <cellStyle name="Percent 12 2 3 2 4 3 2" xfId="28225" xr:uid="{00000000-0005-0000-0000-0000B8760000}"/>
    <cellStyle name="Percent 12 2 3 2 4 4" xfId="19777" xr:uid="{00000000-0005-0000-0000-0000B9760000}"/>
    <cellStyle name="Percent 12 2 3 2 5" xfId="4949" xr:uid="{00000000-0005-0000-0000-0000BA760000}"/>
    <cellStyle name="Percent 12 2 3 2 5 2" xfId="13397" xr:uid="{00000000-0005-0000-0000-0000BB760000}"/>
    <cellStyle name="Percent 12 2 3 2 5 2 2" xfId="30337" xr:uid="{00000000-0005-0000-0000-0000BC760000}"/>
    <cellStyle name="Percent 12 2 3 2 5 3" xfId="21889" xr:uid="{00000000-0005-0000-0000-0000BD760000}"/>
    <cellStyle name="Percent 12 2 3 2 6" xfId="9173" xr:uid="{00000000-0005-0000-0000-0000BE760000}"/>
    <cellStyle name="Percent 12 2 3 2 6 2" xfId="26113" xr:uid="{00000000-0005-0000-0000-0000BF760000}"/>
    <cellStyle name="Percent 12 2 3 2 7" xfId="17665" xr:uid="{00000000-0005-0000-0000-0000C0760000}"/>
    <cellStyle name="Percent 12 2 3 3" xfId="893" xr:uid="{00000000-0005-0000-0000-0000C1760000}"/>
    <cellStyle name="Percent 12 2 3 3 2" xfId="1955" xr:uid="{00000000-0005-0000-0000-0000C2760000}"/>
    <cellStyle name="Percent 12 2 3 3 2 2" xfId="4067" xr:uid="{00000000-0005-0000-0000-0000C3760000}"/>
    <cellStyle name="Percent 12 2 3 3 2 2 2" xfId="8293" xr:uid="{00000000-0005-0000-0000-0000C4760000}"/>
    <cellStyle name="Percent 12 2 3 3 2 2 2 2" xfId="16741" xr:uid="{00000000-0005-0000-0000-0000C5760000}"/>
    <cellStyle name="Percent 12 2 3 3 2 2 2 2 2" xfId="33681" xr:uid="{00000000-0005-0000-0000-0000C6760000}"/>
    <cellStyle name="Percent 12 2 3 3 2 2 2 3" xfId="25233" xr:uid="{00000000-0005-0000-0000-0000C7760000}"/>
    <cellStyle name="Percent 12 2 3 3 2 2 3" xfId="12517" xr:uid="{00000000-0005-0000-0000-0000C8760000}"/>
    <cellStyle name="Percent 12 2 3 3 2 2 3 2" xfId="29457" xr:uid="{00000000-0005-0000-0000-0000C9760000}"/>
    <cellStyle name="Percent 12 2 3 3 2 2 4" xfId="21009" xr:uid="{00000000-0005-0000-0000-0000CA760000}"/>
    <cellStyle name="Percent 12 2 3 3 2 3" xfId="6181" xr:uid="{00000000-0005-0000-0000-0000CB760000}"/>
    <cellStyle name="Percent 12 2 3 3 2 3 2" xfId="14629" xr:uid="{00000000-0005-0000-0000-0000CC760000}"/>
    <cellStyle name="Percent 12 2 3 3 2 3 2 2" xfId="31569" xr:uid="{00000000-0005-0000-0000-0000CD760000}"/>
    <cellStyle name="Percent 12 2 3 3 2 3 3" xfId="23121" xr:uid="{00000000-0005-0000-0000-0000CE760000}"/>
    <cellStyle name="Percent 12 2 3 3 2 4" xfId="10405" xr:uid="{00000000-0005-0000-0000-0000CF760000}"/>
    <cellStyle name="Percent 12 2 3 3 2 4 2" xfId="27345" xr:uid="{00000000-0005-0000-0000-0000D0760000}"/>
    <cellStyle name="Percent 12 2 3 3 2 5" xfId="18897" xr:uid="{00000000-0005-0000-0000-0000D1760000}"/>
    <cellStyle name="Percent 12 2 3 3 3" xfId="3011" xr:uid="{00000000-0005-0000-0000-0000D2760000}"/>
    <cellStyle name="Percent 12 2 3 3 3 2" xfId="7237" xr:uid="{00000000-0005-0000-0000-0000D3760000}"/>
    <cellStyle name="Percent 12 2 3 3 3 2 2" xfId="15685" xr:uid="{00000000-0005-0000-0000-0000D4760000}"/>
    <cellStyle name="Percent 12 2 3 3 3 2 2 2" xfId="32625" xr:uid="{00000000-0005-0000-0000-0000D5760000}"/>
    <cellStyle name="Percent 12 2 3 3 3 2 3" xfId="24177" xr:uid="{00000000-0005-0000-0000-0000D6760000}"/>
    <cellStyle name="Percent 12 2 3 3 3 3" xfId="11461" xr:uid="{00000000-0005-0000-0000-0000D7760000}"/>
    <cellStyle name="Percent 12 2 3 3 3 3 2" xfId="28401" xr:uid="{00000000-0005-0000-0000-0000D8760000}"/>
    <cellStyle name="Percent 12 2 3 3 3 4" xfId="19953" xr:uid="{00000000-0005-0000-0000-0000D9760000}"/>
    <cellStyle name="Percent 12 2 3 3 4" xfId="5125" xr:uid="{00000000-0005-0000-0000-0000DA760000}"/>
    <cellStyle name="Percent 12 2 3 3 4 2" xfId="13573" xr:uid="{00000000-0005-0000-0000-0000DB760000}"/>
    <cellStyle name="Percent 12 2 3 3 4 2 2" xfId="30513" xr:uid="{00000000-0005-0000-0000-0000DC760000}"/>
    <cellStyle name="Percent 12 2 3 3 4 3" xfId="22065" xr:uid="{00000000-0005-0000-0000-0000DD760000}"/>
    <cellStyle name="Percent 12 2 3 3 5" xfId="9349" xr:uid="{00000000-0005-0000-0000-0000DE760000}"/>
    <cellStyle name="Percent 12 2 3 3 5 2" xfId="26289" xr:uid="{00000000-0005-0000-0000-0000DF760000}"/>
    <cellStyle name="Percent 12 2 3 3 6" xfId="17841" xr:uid="{00000000-0005-0000-0000-0000E0760000}"/>
    <cellStyle name="Percent 12 2 3 4" xfId="1245" xr:uid="{00000000-0005-0000-0000-0000E1760000}"/>
    <cellStyle name="Percent 12 2 3 4 2" xfId="2307" xr:uid="{00000000-0005-0000-0000-0000E2760000}"/>
    <cellStyle name="Percent 12 2 3 4 2 2" xfId="4419" xr:uid="{00000000-0005-0000-0000-0000E3760000}"/>
    <cellStyle name="Percent 12 2 3 4 2 2 2" xfId="8645" xr:uid="{00000000-0005-0000-0000-0000E4760000}"/>
    <cellStyle name="Percent 12 2 3 4 2 2 2 2" xfId="17093" xr:uid="{00000000-0005-0000-0000-0000E5760000}"/>
    <cellStyle name="Percent 12 2 3 4 2 2 2 2 2" xfId="34033" xr:uid="{00000000-0005-0000-0000-0000E6760000}"/>
    <cellStyle name="Percent 12 2 3 4 2 2 2 3" xfId="25585" xr:uid="{00000000-0005-0000-0000-0000E7760000}"/>
    <cellStyle name="Percent 12 2 3 4 2 2 3" xfId="12869" xr:uid="{00000000-0005-0000-0000-0000E8760000}"/>
    <cellStyle name="Percent 12 2 3 4 2 2 3 2" xfId="29809" xr:uid="{00000000-0005-0000-0000-0000E9760000}"/>
    <cellStyle name="Percent 12 2 3 4 2 2 4" xfId="21361" xr:uid="{00000000-0005-0000-0000-0000EA760000}"/>
    <cellStyle name="Percent 12 2 3 4 2 3" xfId="6533" xr:uid="{00000000-0005-0000-0000-0000EB760000}"/>
    <cellStyle name="Percent 12 2 3 4 2 3 2" xfId="14981" xr:uid="{00000000-0005-0000-0000-0000EC760000}"/>
    <cellStyle name="Percent 12 2 3 4 2 3 2 2" xfId="31921" xr:uid="{00000000-0005-0000-0000-0000ED760000}"/>
    <cellStyle name="Percent 12 2 3 4 2 3 3" xfId="23473" xr:uid="{00000000-0005-0000-0000-0000EE760000}"/>
    <cellStyle name="Percent 12 2 3 4 2 4" xfId="10757" xr:uid="{00000000-0005-0000-0000-0000EF760000}"/>
    <cellStyle name="Percent 12 2 3 4 2 4 2" xfId="27697" xr:uid="{00000000-0005-0000-0000-0000F0760000}"/>
    <cellStyle name="Percent 12 2 3 4 2 5" xfId="19249" xr:uid="{00000000-0005-0000-0000-0000F1760000}"/>
    <cellStyle name="Percent 12 2 3 4 3" xfId="3363" xr:uid="{00000000-0005-0000-0000-0000F2760000}"/>
    <cellStyle name="Percent 12 2 3 4 3 2" xfId="7589" xr:uid="{00000000-0005-0000-0000-0000F3760000}"/>
    <cellStyle name="Percent 12 2 3 4 3 2 2" xfId="16037" xr:uid="{00000000-0005-0000-0000-0000F4760000}"/>
    <cellStyle name="Percent 12 2 3 4 3 2 2 2" xfId="32977" xr:uid="{00000000-0005-0000-0000-0000F5760000}"/>
    <cellStyle name="Percent 12 2 3 4 3 2 3" xfId="24529" xr:uid="{00000000-0005-0000-0000-0000F6760000}"/>
    <cellStyle name="Percent 12 2 3 4 3 3" xfId="11813" xr:uid="{00000000-0005-0000-0000-0000F7760000}"/>
    <cellStyle name="Percent 12 2 3 4 3 3 2" xfId="28753" xr:uid="{00000000-0005-0000-0000-0000F8760000}"/>
    <cellStyle name="Percent 12 2 3 4 3 4" xfId="20305" xr:uid="{00000000-0005-0000-0000-0000F9760000}"/>
    <cellStyle name="Percent 12 2 3 4 4" xfId="5477" xr:uid="{00000000-0005-0000-0000-0000FA760000}"/>
    <cellStyle name="Percent 12 2 3 4 4 2" xfId="13925" xr:uid="{00000000-0005-0000-0000-0000FB760000}"/>
    <cellStyle name="Percent 12 2 3 4 4 2 2" xfId="30865" xr:uid="{00000000-0005-0000-0000-0000FC760000}"/>
    <cellStyle name="Percent 12 2 3 4 4 3" xfId="22417" xr:uid="{00000000-0005-0000-0000-0000FD760000}"/>
    <cellStyle name="Percent 12 2 3 4 5" xfId="9701" xr:uid="{00000000-0005-0000-0000-0000FE760000}"/>
    <cellStyle name="Percent 12 2 3 4 5 2" xfId="26641" xr:uid="{00000000-0005-0000-0000-0000FF760000}"/>
    <cellStyle name="Percent 12 2 3 4 6" xfId="18193" xr:uid="{00000000-0005-0000-0000-000000770000}"/>
    <cellStyle name="Percent 12 2 3 5" xfId="1427" xr:uid="{00000000-0005-0000-0000-000001770000}"/>
    <cellStyle name="Percent 12 2 3 5 2" xfId="2483" xr:uid="{00000000-0005-0000-0000-000002770000}"/>
    <cellStyle name="Percent 12 2 3 5 2 2" xfId="4595" xr:uid="{00000000-0005-0000-0000-000003770000}"/>
    <cellStyle name="Percent 12 2 3 5 2 2 2" xfId="8821" xr:uid="{00000000-0005-0000-0000-000004770000}"/>
    <cellStyle name="Percent 12 2 3 5 2 2 2 2" xfId="17269" xr:uid="{00000000-0005-0000-0000-000005770000}"/>
    <cellStyle name="Percent 12 2 3 5 2 2 2 2 2" xfId="34209" xr:uid="{00000000-0005-0000-0000-000006770000}"/>
    <cellStyle name="Percent 12 2 3 5 2 2 2 3" xfId="25761" xr:uid="{00000000-0005-0000-0000-000007770000}"/>
    <cellStyle name="Percent 12 2 3 5 2 2 3" xfId="13045" xr:uid="{00000000-0005-0000-0000-000008770000}"/>
    <cellStyle name="Percent 12 2 3 5 2 2 3 2" xfId="29985" xr:uid="{00000000-0005-0000-0000-000009770000}"/>
    <cellStyle name="Percent 12 2 3 5 2 2 4" xfId="21537" xr:uid="{00000000-0005-0000-0000-00000A770000}"/>
    <cellStyle name="Percent 12 2 3 5 2 3" xfId="6709" xr:uid="{00000000-0005-0000-0000-00000B770000}"/>
    <cellStyle name="Percent 12 2 3 5 2 3 2" xfId="15157" xr:uid="{00000000-0005-0000-0000-00000C770000}"/>
    <cellStyle name="Percent 12 2 3 5 2 3 2 2" xfId="32097" xr:uid="{00000000-0005-0000-0000-00000D770000}"/>
    <cellStyle name="Percent 12 2 3 5 2 3 3" xfId="23649" xr:uid="{00000000-0005-0000-0000-00000E770000}"/>
    <cellStyle name="Percent 12 2 3 5 2 4" xfId="10933" xr:uid="{00000000-0005-0000-0000-00000F770000}"/>
    <cellStyle name="Percent 12 2 3 5 2 4 2" xfId="27873" xr:uid="{00000000-0005-0000-0000-000010770000}"/>
    <cellStyle name="Percent 12 2 3 5 2 5" xfId="19425" xr:uid="{00000000-0005-0000-0000-000011770000}"/>
    <cellStyle name="Percent 12 2 3 5 3" xfId="3539" xr:uid="{00000000-0005-0000-0000-000012770000}"/>
    <cellStyle name="Percent 12 2 3 5 3 2" xfId="7765" xr:uid="{00000000-0005-0000-0000-000013770000}"/>
    <cellStyle name="Percent 12 2 3 5 3 2 2" xfId="16213" xr:uid="{00000000-0005-0000-0000-000014770000}"/>
    <cellStyle name="Percent 12 2 3 5 3 2 2 2" xfId="33153" xr:uid="{00000000-0005-0000-0000-000015770000}"/>
    <cellStyle name="Percent 12 2 3 5 3 2 3" xfId="24705" xr:uid="{00000000-0005-0000-0000-000016770000}"/>
    <cellStyle name="Percent 12 2 3 5 3 3" xfId="11989" xr:uid="{00000000-0005-0000-0000-000017770000}"/>
    <cellStyle name="Percent 12 2 3 5 3 3 2" xfId="28929" xr:uid="{00000000-0005-0000-0000-000018770000}"/>
    <cellStyle name="Percent 12 2 3 5 3 4" xfId="20481" xr:uid="{00000000-0005-0000-0000-000019770000}"/>
    <cellStyle name="Percent 12 2 3 5 4" xfId="5653" xr:uid="{00000000-0005-0000-0000-00001A770000}"/>
    <cellStyle name="Percent 12 2 3 5 4 2" xfId="14101" xr:uid="{00000000-0005-0000-0000-00001B770000}"/>
    <cellStyle name="Percent 12 2 3 5 4 2 2" xfId="31041" xr:uid="{00000000-0005-0000-0000-00001C770000}"/>
    <cellStyle name="Percent 12 2 3 5 4 3" xfId="22593" xr:uid="{00000000-0005-0000-0000-00001D770000}"/>
    <cellStyle name="Percent 12 2 3 5 5" xfId="9877" xr:uid="{00000000-0005-0000-0000-00001E770000}"/>
    <cellStyle name="Percent 12 2 3 5 5 2" xfId="26817" xr:uid="{00000000-0005-0000-0000-00001F770000}"/>
    <cellStyle name="Percent 12 2 3 5 6" xfId="18369" xr:uid="{00000000-0005-0000-0000-000020770000}"/>
    <cellStyle name="Percent 12 2 3 6" xfId="1603" xr:uid="{00000000-0005-0000-0000-000021770000}"/>
    <cellStyle name="Percent 12 2 3 6 2" xfId="3715" xr:uid="{00000000-0005-0000-0000-000022770000}"/>
    <cellStyle name="Percent 12 2 3 6 2 2" xfId="7941" xr:uid="{00000000-0005-0000-0000-000023770000}"/>
    <cellStyle name="Percent 12 2 3 6 2 2 2" xfId="16389" xr:uid="{00000000-0005-0000-0000-000024770000}"/>
    <cellStyle name="Percent 12 2 3 6 2 2 2 2" xfId="33329" xr:uid="{00000000-0005-0000-0000-000025770000}"/>
    <cellStyle name="Percent 12 2 3 6 2 2 3" xfId="24881" xr:uid="{00000000-0005-0000-0000-000026770000}"/>
    <cellStyle name="Percent 12 2 3 6 2 3" xfId="12165" xr:uid="{00000000-0005-0000-0000-000027770000}"/>
    <cellStyle name="Percent 12 2 3 6 2 3 2" xfId="29105" xr:uid="{00000000-0005-0000-0000-000028770000}"/>
    <cellStyle name="Percent 12 2 3 6 2 4" xfId="20657" xr:uid="{00000000-0005-0000-0000-000029770000}"/>
    <cellStyle name="Percent 12 2 3 6 3" xfId="5829" xr:uid="{00000000-0005-0000-0000-00002A770000}"/>
    <cellStyle name="Percent 12 2 3 6 3 2" xfId="14277" xr:uid="{00000000-0005-0000-0000-00002B770000}"/>
    <cellStyle name="Percent 12 2 3 6 3 2 2" xfId="31217" xr:uid="{00000000-0005-0000-0000-00002C770000}"/>
    <cellStyle name="Percent 12 2 3 6 3 3" xfId="22769" xr:uid="{00000000-0005-0000-0000-00002D770000}"/>
    <cellStyle name="Percent 12 2 3 6 4" xfId="10053" xr:uid="{00000000-0005-0000-0000-00002E770000}"/>
    <cellStyle name="Percent 12 2 3 6 4 2" xfId="26993" xr:uid="{00000000-0005-0000-0000-00002F770000}"/>
    <cellStyle name="Percent 12 2 3 6 5" xfId="18545" xr:uid="{00000000-0005-0000-0000-000030770000}"/>
    <cellStyle name="Percent 12 2 3 7" xfId="2659" xr:uid="{00000000-0005-0000-0000-000031770000}"/>
    <cellStyle name="Percent 12 2 3 7 2" xfId="6885" xr:uid="{00000000-0005-0000-0000-000032770000}"/>
    <cellStyle name="Percent 12 2 3 7 2 2" xfId="15333" xr:uid="{00000000-0005-0000-0000-000033770000}"/>
    <cellStyle name="Percent 12 2 3 7 2 2 2" xfId="32273" xr:uid="{00000000-0005-0000-0000-000034770000}"/>
    <cellStyle name="Percent 12 2 3 7 2 3" xfId="23825" xr:uid="{00000000-0005-0000-0000-000035770000}"/>
    <cellStyle name="Percent 12 2 3 7 3" xfId="11109" xr:uid="{00000000-0005-0000-0000-000036770000}"/>
    <cellStyle name="Percent 12 2 3 7 3 2" xfId="28049" xr:uid="{00000000-0005-0000-0000-000037770000}"/>
    <cellStyle name="Percent 12 2 3 7 4" xfId="19601" xr:uid="{00000000-0005-0000-0000-000038770000}"/>
    <cellStyle name="Percent 12 2 3 8" xfId="4772" xr:uid="{00000000-0005-0000-0000-000039770000}"/>
    <cellStyle name="Percent 12 2 3 8 2" xfId="13221" xr:uid="{00000000-0005-0000-0000-00003A770000}"/>
    <cellStyle name="Percent 12 2 3 8 2 2" xfId="30161" xr:uid="{00000000-0005-0000-0000-00003B770000}"/>
    <cellStyle name="Percent 12 2 3 8 3" xfId="21713" xr:uid="{00000000-0005-0000-0000-00003C770000}"/>
    <cellStyle name="Percent 12 2 3 9" xfId="8997" xr:uid="{00000000-0005-0000-0000-00003D770000}"/>
    <cellStyle name="Percent 12 2 3 9 2" xfId="25937" xr:uid="{00000000-0005-0000-0000-00003E770000}"/>
    <cellStyle name="Percent 12 2 4" xfId="715" xr:uid="{00000000-0005-0000-0000-00003F770000}"/>
    <cellStyle name="Percent 12 2 4 2" xfId="1067" xr:uid="{00000000-0005-0000-0000-000040770000}"/>
    <cellStyle name="Percent 12 2 4 2 2" xfId="2129" xr:uid="{00000000-0005-0000-0000-000041770000}"/>
    <cellStyle name="Percent 12 2 4 2 2 2" xfId="4241" xr:uid="{00000000-0005-0000-0000-000042770000}"/>
    <cellStyle name="Percent 12 2 4 2 2 2 2" xfId="8467" xr:uid="{00000000-0005-0000-0000-000043770000}"/>
    <cellStyle name="Percent 12 2 4 2 2 2 2 2" xfId="16915" xr:uid="{00000000-0005-0000-0000-000044770000}"/>
    <cellStyle name="Percent 12 2 4 2 2 2 2 2 2" xfId="33855" xr:uid="{00000000-0005-0000-0000-000045770000}"/>
    <cellStyle name="Percent 12 2 4 2 2 2 2 3" xfId="25407" xr:uid="{00000000-0005-0000-0000-000046770000}"/>
    <cellStyle name="Percent 12 2 4 2 2 2 3" xfId="12691" xr:uid="{00000000-0005-0000-0000-000047770000}"/>
    <cellStyle name="Percent 12 2 4 2 2 2 3 2" xfId="29631" xr:uid="{00000000-0005-0000-0000-000048770000}"/>
    <cellStyle name="Percent 12 2 4 2 2 2 4" xfId="21183" xr:uid="{00000000-0005-0000-0000-000049770000}"/>
    <cellStyle name="Percent 12 2 4 2 2 3" xfId="6355" xr:uid="{00000000-0005-0000-0000-00004A770000}"/>
    <cellStyle name="Percent 12 2 4 2 2 3 2" xfId="14803" xr:uid="{00000000-0005-0000-0000-00004B770000}"/>
    <cellStyle name="Percent 12 2 4 2 2 3 2 2" xfId="31743" xr:uid="{00000000-0005-0000-0000-00004C770000}"/>
    <cellStyle name="Percent 12 2 4 2 2 3 3" xfId="23295" xr:uid="{00000000-0005-0000-0000-00004D770000}"/>
    <cellStyle name="Percent 12 2 4 2 2 4" xfId="10579" xr:uid="{00000000-0005-0000-0000-00004E770000}"/>
    <cellStyle name="Percent 12 2 4 2 2 4 2" xfId="27519" xr:uid="{00000000-0005-0000-0000-00004F770000}"/>
    <cellStyle name="Percent 12 2 4 2 2 5" xfId="19071" xr:uid="{00000000-0005-0000-0000-000050770000}"/>
    <cellStyle name="Percent 12 2 4 2 3" xfId="3185" xr:uid="{00000000-0005-0000-0000-000051770000}"/>
    <cellStyle name="Percent 12 2 4 2 3 2" xfId="7411" xr:uid="{00000000-0005-0000-0000-000052770000}"/>
    <cellStyle name="Percent 12 2 4 2 3 2 2" xfId="15859" xr:uid="{00000000-0005-0000-0000-000053770000}"/>
    <cellStyle name="Percent 12 2 4 2 3 2 2 2" xfId="32799" xr:uid="{00000000-0005-0000-0000-000054770000}"/>
    <cellStyle name="Percent 12 2 4 2 3 2 3" xfId="24351" xr:uid="{00000000-0005-0000-0000-000055770000}"/>
    <cellStyle name="Percent 12 2 4 2 3 3" xfId="11635" xr:uid="{00000000-0005-0000-0000-000056770000}"/>
    <cellStyle name="Percent 12 2 4 2 3 3 2" xfId="28575" xr:uid="{00000000-0005-0000-0000-000057770000}"/>
    <cellStyle name="Percent 12 2 4 2 3 4" xfId="20127" xr:uid="{00000000-0005-0000-0000-000058770000}"/>
    <cellStyle name="Percent 12 2 4 2 4" xfId="5299" xr:uid="{00000000-0005-0000-0000-000059770000}"/>
    <cellStyle name="Percent 12 2 4 2 4 2" xfId="13747" xr:uid="{00000000-0005-0000-0000-00005A770000}"/>
    <cellStyle name="Percent 12 2 4 2 4 2 2" xfId="30687" xr:uid="{00000000-0005-0000-0000-00005B770000}"/>
    <cellStyle name="Percent 12 2 4 2 4 3" xfId="22239" xr:uid="{00000000-0005-0000-0000-00005C770000}"/>
    <cellStyle name="Percent 12 2 4 2 5" xfId="9523" xr:uid="{00000000-0005-0000-0000-00005D770000}"/>
    <cellStyle name="Percent 12 2 4 2 5 2" xfId="26463" xr:uid="{00000000-0005-0000-0000-00005E770000}"/>
    <cellStyle name="Percent 12 2 4 2 6" xfId="18015" xr:uid="{00000000-0005-0000-0000-00005F770000}"/>
    <cellStyle name="Percent 12 2 4 3" xfId="1777" xr:uid="{00000000-0005-0000-0000-000060770000}"/>
    <cellStyle name="Percent 12 2 4 3 2" xfId="3889" xr:uid="{00000000-0005-0000-0000-000061770000}"/>
    <cellStyle name="Percent 12 2 4 3 2 2" xfId="8115" xr:uid="{00000000-0005-0000-0000-000062770000}"/>
    <cellStyle name="Percent 12 2 4 3 2 2 2" xfId="16563" xr:uid="{00000000-0005-0000-0000-000063770000}"/>
    <cellStyle name="Percent 12 2 4 3 2 2 2 2" xfId="33503" xr:uid="{00000000-0005-0000-0000-000064770000}"/>
    <cellStyle name="Percent 12 2 4 3 2 2 3" xfId="25055" xr:uid="{00000000-0005-0000-0000-000065770000}"/>
    <cellStyle name="Percent 12 2 4 3 2 3" xfId="12339" xr:uid="{00000000-0005-0000-0000-000066770000}"/>
    <cellStyle name="Percent 12 2 4 3 2 3 2" xfId="29279" xr:uid="{00000000-0005-0000-0000-000067770000}"/>
    <cellStyle name="Percent 12 2 4 3 2 4" xfId="20831" xr:uid="{00000000-0005-0000-0000-000068770000}"/>
    <cellStyle name="Percent 12 2 4 3 3" xfId="6003" xr:uid="{00000000-0005-0000-0000-000069770000}"/>
    <cellStyle name="Percent 12 2 4 3 3 2" xfId="14451" xr:uid="{00000000-0005-0000-0000-00006A770000}"/>
    <cellStyle name="Percent 12 2 4 3 3 2 2" xfId="31391" xr:uid="{00000000-0005-0000-0000-00006B770000}"/>
    <cellStyle name="Percent 12 2 4 3 3 3" xfId="22943" xr:uid="{00000000-0005-0000-0000-00006C770000}"/>
    <cellStyle name="Percent 12 2 4 3 4" xfId="10227" xr:uid="{00000000-0005-0000-0000-00006D770000}"/>
    <cellStyle name="Percent 12 2 4 3 4 2" xfId="27167" xr:uid="{00000000-0005-0000-0000-00006E770000}"/>
    <cellStyle name="Percent 12 2 4 3 5" xfId="18719" xr:uid="{00000000-0005-0000-0000-00006F770000}"/>
    <cellStyle name="Percent 12 2 4 4" xfId="2833" xr:uid="{00000000-0005-0000-0000-000070770000}"/>
    <cellStyle name="Percent 12 2 4 4 2" xfId="7059" xr:uid="{00000000-0005-0000-0000-000071770000}"/>
    <cellStyle name="Percent 12 2 4 4 2 2" xfId="15507" xr:uid="{00000000-0005-0000-0000-000072770000}"/>
    <cellStyle name="Percent 12 2 4 4 2 2 2" xfId="32447" xr:uid="{00000000-0005-0000-0000-000073770000}"/>
    <cellStyle name="Percent 12 2 4 4 2 3" xfId="23999" xr:uid="{00000000-0005-0000-0000-000074770000}"/>
    <cellStyle name="Percent 12 2 4 4 3" xfId="11283" xr:uid="{00000000-0005-0000-0000-000075770000}"/>
    <cellStyle name="Percent 12 2 4 4 3 2" xfId="28223" xr:uid="{00000000-0005-0000-0000-000076770000}"/>
    <cellStyle name="Percent 12 2 4 4 4" xfId="19775" xr:uid="{00000000-0005-0000-0000-000077770000}"/>
    <cellStyle name="Percent 12 2 4 5" xfId="4947" xr:uid="{00000000-0005-0000-0000-000078770000}"/>
    <cellStyle name="Percent 12 2 4 5 2" xfId="13395" xr:uid="{00000000-0005-0000-0000-000079770000}"/>
    <cellStyle name="Percent 12 2 4 5 2 2" xfId="30335" xr:uid="{00000000-0005-0000-0000-00007A770000}"/>
    <cellStyle name="Percent 12 2 4 5 3" xfId="21887" xr:uid="{00000000-0005-0000-0000-00007B770000}"/>
    <cellStyle name="Percent 12 2 4 6" xfId="9171" xr:uid="{00000000-0005-0000-0000-00007C770000}"/>
    <cellStyle name="Percent 12 2 4 6 2" xfId="26111" xr:uid="{00000000-0005-0000-0000-00007D770000}"/>
    <cellStyle name="Percent 12 2 4 7" xfId="17663" xr:uid="{00000000-0005-0000-0000-00007E770000}"/>
    <cellStyle name="Percent 12 2 5" xfId="891" xr:uid="{00000000-0005-0000-0000-00007F770000}"/>
    <cellStyle name="Percent 12 2 5 2" xfId="1953" xr:uid="{00000000-0005-0000-0000-000080770000}"/>
    <cellStyle name="Percent 12 2 5 2 2" xfId="4065" xr:uid="{00000000-0005-0000-0000-000081770000}"/>
    <cellStyle name="Percent 12 2 5 2 2 2" xfId="8291" xr:uid="{00000000-0005-0000-0000-000082770000}"/>
    <cellStyle name="Percent 12 2 5 2 2 2 2" xfId="16739" xr:uid="{00000000-0005-0000-0000-000083770000}"/>
    <cellStyle name="Percent 12 2 5 2 2 2 2 2" xfId="33679" xr:uid="{00000000-0005-0000-0000-000084770000}"/>
    <cellStyle name="Percent 12 2 5 2 2 2 3" xfId="25231" xr:uid="{00000000-0005-0000-0000-000085770000}"/>
    <cellStyle name="Percent 12 2 5 2 2 3" xfId="12515" xr:uid="{00000000-0005-0000-0000-000086770000}"/>
    <cellStyle name="Percent 12 2 5 2 2 3 2" xfId="29455" xr:uid="{00000000-0005-0000-0000-000087770000}"/>
    <cellStyle name="Percent 12 2 5 2 2 4" xfId="21007" xr:uid="{00000000-0005-0000-0000-000088770000}"/>
    <cellStyle name="Percent 12 2 5 2 3" xfId="6179" xr:uid="{00000000-0005-0000-0000-000089770000}"/>
    <cellStyle name="Percent 12 2 5 2 3 2" xfId="14627" xr:uid="{00000000-0005-0000-0000-00008A770000}"/>
    <cellStyle name="Percent 12 2 5 2 3 2 2" xfId="31567" xr:uid="{00000000-0005-0000-0000-00008B770000}"/>
    <cellStyle name="Percent 12 2 5 2 3 3" xfId="23119" xr:uid="{00000000-0005-0000-0000-00008C770000}"/>
    <cellStyle name="Percent 12 2 5 2 4" xfId="10403" xr:uid="{00000000-0005-0000-0000-00008D770000}"/>
    <cellStyle name="Percent 12 2 5 2 4 2" xfId="27343" xr:uid="{00000000-0005-0000-0000-00008E770000}"/>
    <cellStyle name="Percent 12 2 5 2 5" xfId="18895" xr:uid="{00000000-0005-0000-0000-00008F770000}"/>
    <cellStyle name="Percent 12 2 5 3" xfId="3009" xr:uid="{00000000-0005-0000-0000-000090770000}"/>
    <cellStyle name="Percent 12 2 5 3 2" xfId="7235" xr:uid="{00000000-0005-0000-0000-000091770000}"/>
    <cellStyle name="Percent 12 2 5 3 2 2" xfId="15683" xr:uid="{00000000-0005-0000-0000-000092770000}"/>
    <cellStyle name="Percent 12 2 5 3 2 2 2" xfId="32623" xr:uid="{00000000-0005-0000-0000-000093770000}"/>
    <cellStyle name="Percent 12 2 5 3 2 3" xfId="24175" xr:uid="{00000000-0005-0000-0000-000094770000}"/>
    <cellStyle name="Percent 12 2 5 3 3" xfId="11459" xr:uid="{00000000-0005-0000-0000-000095770000}"/>
    <cellStyle name="Percent 12 2 5 3 3 2" xfId="28399" xr:uid="{00000000-0005-0000-0000-000096770000}"/>
    <cellStyle name="Percent 12 2 5 3 4" xfId="19951" xr:uid="{00000000-0005-0000-0000-000097770000}"/>
    <cellStyle name="Percent 12 2 5 4" xfId="5123" xr:uid="{00000000-0005-0000-0000-000098770000}"/>
    <cellStyle name="Percent 12 2 5 4 2" xfId="13571" xr:uid="{00000000-0005-0000-0000-000099770000}"/>
    <cellStyle name="Percent 12 2 5 4 2 2" xfId="30511" xr:uid="{00000000-0005-0000-0000-00009A770000}"/>
    <cellStyle name="Percent 12 2 5 4 3" xfId="22063" xr:uid="{00000000-0005-0000-0000-00009B770000}"/>
    <cellStyle name="Percent 12 2 5 5" xfId="9347" xr:uid="{00000000-0005-0000-0000-00009C770000}"/>
    <cellStyle name="Percent 12 2 5 5 2" xfId="26287" xr:uid="{00000000-0005-0000-0000-00009D770000}"/>
    <cellStyle name="Percent 12 2 5 6" xfId="17839" xr:uid="{00000000-0005-0000-0000-00009E770000}"/>
    <cellStyle name="Percent 12 2 6" xfId="1243" xr:uid="{00000000-0005-0000-0000-00009F770000}"/>
    <cellStyle name="Percent 12 2 6 2" xfId="2305" xr:uid="{00000000-0005-0000-0000-0000A0770000}"/>
    <cellStyle name="Percent 12 2 6 2 2" xfId="4417" xr:uid="{00000000-0005-0000-0000-0000A1770000}"/>
    <cellStyle name="Percent 12 2 6 2 2 2" xfId="8643" xr:uid="{00000000-0005-0000-0000-0000A2770000}"/>
    <cellStyle name="Percent 12 2 6 2 2 2 2" xfId="17091" xr:uid="{00000000-0005-0000-0000-0000A3770000}"/>
    <cellStyle name="Percent 12 2 6 2 2 2 2 2" xfId="34031" xr:uid="{00000000-0005-0000-0000-0000A4770000}"/>
    <cellStyle name="Percent 12 2 6 2 2 2 3" xfId="25583" xr:uid="{00000000-0005-0000-0000-0000A5770000}"/>
    <cellStyle name="Percent 12 2 6 2 2 3" xfId="12867" xr:uid="{00000000-0005-0000-0000-0000A6770000}"/>
    <cellStyle name="Percent 12 2 6 2 2 3 2" xfId="29807" xr:uid="{00000000-0005-0000-0000-0000A7770000}"/>
    <cellStyle name="Percent 12 2 6 2 2 4" xfId="21359" xr:uid="{00000000-0005-0000-0000-0000A8770000}"/>
    <cellStyle name="Percent 12 2 6 2 3" xfId="6531" xr:uid="{00000000-0005-0000-0000-0000A9770000}"/>
    <cellStyle name="Percent 12 2 6 2 3 2" xfId="14979" xr:uid="{00000000-0005-0000-0000-0000AA770000}"/>
    <cellStyle name="Percent 12 2 6 2 3 2 2" xfId="31919" xr:uid="{00000000-0005-0000-0000-0000AB770000}"/>
    <cellStyle name="Percent 12 2 6 2 3 3" xfId="23471" xr:uid="{00000000-0005-0000-0000-0000AC770000}"/>
    <cellStyle name="Percent 12 2 6 2 4" xfId="10755" xr:uid="{00000000-0005-0000-0000-0000AD770000}"/>
    <cellStyle name="Percent 12 2 6 2 4 2" xfId="27695" xr:uid="{00000000-0005-0000-0000-0000AE770000}"/>
    <cellStyle name="Percent 12 2 6 2 5" xfId="19247" xr:uid="{00000000-0005-0000-0000-0000AF770000}"/>
    <cellStyle name="Percent 12 2 6 3" xfId="3361" xr:uid="{00000000-0005-0000-0000-0000B0770000}"/>
    <cellStyle name="Percent 12 2 6 3 2" xfId="7587" xr:uid="{00000000-0005-0000-0000-0000B1770000}"/>
    <cellStyle name="Percent 12 2 6 3 2 2" xfId="16035" xr:uid="{00000000-0005-0000-0000-0000B2770000}"/>
    <cellStyle name="Percent 12 2 6 3 2 2 2" xfId="32975" xr:uid="{00000000-0005-0000-0000-0000B3770000}"/>
    <cellStyle name="Percent 12 2 6 3 2 3" xfId="24527" xr:uid="{00000000-0005-0000-0000-0000B4770000}"/>
    <cellStyle name="Percent 12 2 6 3 3" xfId="11811" xr:uid="{00000000-0005-0000-0000-0000B5770000}"/>
    <cellStyle name="Percent 12 2 6 3 3 2" xfId="28751" xr:uid="{00000000-0005-0000-0000-0000B6770000}"/>
    <cellStyle name="Percent 12 2 6 3 4" xfId="20303" xr:uid="{00000000-0005-0000-0000-0000B7770000}"/>
    <cellStyle name="Percent 12 2 6 4" xfId="5475" xr:uid="{00000000-0005-0000-0000-0000B8770000}"/>
    <cellStyle name="Percent 12 2 6 4 2" xfId="13923" xr:uid="{00000000-0005-0000-0000-0000B9770000}"/>
    <cellStyle name="Percent 12 2 6 4 2 2" xfId="30863" xr:uid="{00000000-0005-0000-0000-0000BA770000}"/>
    <cellStyle name="Percent 12 2 6 4 3" xfId="22415" xr:uid="{00000000-0005-0000-0000-0000BB770000}"/>
    <cellStyle name="Percent 12 2 6 5" xfId="9699" xr:uid="{00000000-0005-0000-0000-0000BC770000}"/>
    <cellStyle name="Percent 12 2 6 5 2" xfId="26639" xr:uid="{00000000-0005-0000-0000-0000BD770000}"/>
    <cellStyle name="Percent 12 2 6 6" xfId="18191" xr:uid="{00000000-0005-0000-0000-0000BE770000}"/>
    <cellStyle name="Percent 12 2 7" xfId="1425" xr:uid="{00000000-0005-0000-0000-0000BF770000}"/>
    <cellStyle name="Percent 12 2 7 2" xfId="2481" xr:uid="{00000000-0005-0000-0000-0000C0770000}"/>
    <cellStyle name="Percent 12 2 7 2 2" xfId="4593" xr:uid="{00000000-0005-0000-0000-0000C1770000}"/>
    <cellStyle name="Percent 12 2 7 2 2 2" xfId="8819" xr:uid="{00000000-0005-0000-0000-0000C2770000}"/>
    <cellStyle name="Percent 12 2 7 2 2 2 2" xfId="17267" xr:uid="{00000000-0005-0000-0000-0000C3770000}"/>
    <cellStyle name="Percent 12 2 7 2 2 2 2 2" xfId="34207" xr:uid="{00000000-0005-0000-0000-0000C4770000}"/>
    <cellStyle name="Percent 12 2 7 2 2 2 3" xfId="25759" xr:uid="{00000000-0005-0000-0000-0000C5770000}"/>
    <cellStyle name="Percent 12 2 7 2 2 3" xfId="13043" xr:uid="{00000000-0005-0000-0000-0000C6770000}"/>
    <cellStyle name="Percent 12 2 7 2 2 3 2" xfId="29983" xr:uid="{00000000-0005-0000-0000-0000C7770000}"/>
    <cellStyle name="Percent 12 2 7 2 2 4" xfId="21535" xr:uid="{00000000-0005-0000-0000-0000C8770000}"/>
    <cellStyle name="Percent 12 2 7 2 3" xfId="6707" xr:uid="{00000000-0005-0000-0000-0000C9770000}"/>
    <cellStyle name="Percent 12 2 7 2 3 2" xfId="15155" xr:uid="{00000000-0005-0000-0000-0000CA770000}"/>
    <cellStyle name="Percent 12 2 7 2 3 2 2" xfId="32095" xr:uid="{00000000-0005-0000-0000-0000CB770000}"/>
    <cellStyle name="Percent 12 2 7 2 3 3" xfId="23647" xr:uid="{00000000-0005-0000-0000-0000CC770000}"/>
    <cellStyle name="Percent 12 2 7 2 4" xfId="10931" xr:uid="{00000000-0005-0000-0000-0000CD770000}"/>
    <cellStyle name="Percent 12 2 7 2 4 2" xfId="27871" xr:uid="{00000000-0005-0000-0000-0000CE770000}"/>
    <cellStyle name="Percent 12 2 7 2 5" xfId="19423" xr:uid="{00000000-0005-0000-0000-0000CF770000}"/>
    <cellStyle name="Percent 12 2 7 3" xfId="3537" xr:uid="{00000000-0005-0000-0000-0000D0770000}"/>
    <cellStyle name="Percent 12 2 7 3 2" xfId="7763" xr:uid="{00000000-0005-0000-0000-0000D1770000}"/>
    <cellStyle name="Percent 12 2 7 3 2 2" xfId="16211" xr:uid="{00000000-0005-0000-0000-0000D2770000}"/>
    <cellStyle name="Percent 12 2 7 3 2 2 2" xfId="33151" xr:uid="{00000000-0005-0000-0000-0000D3770000}"/>
    <cellStyle name="Percent 12 2 7 3 2 3" xfId="24703" xr:uid="{00000000-0005-0000-0000-0000D4770000}"/>
    <cellStyle name="Percent 12 2 7 3 3" xfId="11987" xr:uid="{00000000-0005-0000-0000-0000D5770000}"/>
    <cellStyle name="Percent 12 2 7 3 3 2" xfId="28927" xr:uid="{00000000-0005-0000-0000-0000D6770000}"/>
    <cellStyle name="Percent 12 2 7 3 4" xfId="20479" xr:uid="{00000000-0005-0000-0000-0000D7770000}"/>
    <cellStyle name="Percent 12 2 7 4" xfId="5651" xr:uid="{00000000-0005-0000-0000-0000D8770000}"/>
    <cellStyle name="Percent 12 2 7 4 2" xfId="14099" xr:uid="{00000000-0005-0000-0000-0000D9770000}"/>
    <cellStyle name="Percent 12 2 7 4 2 2" xfId="31039" xr:uid="{00000000-0005-0000-0000-0000DA770000}"/>
    <cellStyle name="Percent 12 2 7 4 3" xfId="22591" xr:uid="{00000000-0005-0000-0000-0000DB770000}"/>
    <cellStyle name="Percent 12 2 7 5" xfId="9875" xr:uid="{00000000-0005-0000-0000-0000DC770000}"/>
    <cellStyle name="Percent 12 2 7 5 2" xfId="26815" xr:uid="{00000000-0005-0000-0000-0000DD770000}"/>
    <cellStyle name="Percent 12 2 7 6" xfId="18367" xr:uid="{00000000-0005-0000-0000-0000DE770000}"/>
    <cellStyle name="Percent 12 2 8" xfId="1601" xr:uid="{00000000-0005-0000-0000-0000DF770000}"/>
    <cellStyle name="Percent 12 2 8 2" xfId="3713" xr:uid="{00000000-0005-0000-0000-0000E0770000}"/>
    <cellStyle name="Percent 12 2 8 2 2" xfId="7939" xr:uid="{00000000-0005-0000-0000-0000E1770000}"/>
    <cellStyle name="Percent 12 2 8 2 2 2" xfId="16387" xr:uid="{00000000-0005-0000-0000-0000E2770000}"/>
    <cellStyle name="Percent 12 2 8 2 2 2 2" xfId="33327" xr:uid="{00000000-0005-0000-0000-0000E3770000}"/>
    <cellStyle name="Percent 12 2 8 2 2 3" xfId="24879" xr:uid="{00000000-0005-0000-0000-0000E4770000}"/>
    <cellStyle name="Percent 12 2 8 2 3" xfId="12163" xr:uid="{00000000-0005-0000-0000-0000E5770000}"/>
    <cellStyle name="Percent 12 2 8 2 3 2" xfId="29103" xr:uid="{00000000-0005-0000-0000-0000E6770000}"/>
    <cellStyle name="Percent 12 2 8 2 4" xfId="20655" xr:uid="{00000000-0005-0000-0000-0000E7770000}"/>
    <cellStyle name="Percent 12 2 8 3" xfId="5827" xr:uid="{00000000-0005-0000-0000-0000E8770000}"/>
    <cellStyle name="Percent 12 2 8 3 2" xfId="14275" xr:uid="{00000000-0005-0000-0000-0000E9770000}"/>
    <cellStyle name="Percent 12 2 8 3 2 2" xfId="31215" xr:uid="{00000000-0005-0000-0000-0000EA770000}"/>
    <cellStyle name="Percent 12 2 8 3 3" xfId="22767" xr:uid="{00000000-0005-0000-0000-0000EB770000}"/>
    <cellStyle name="Percent 12 2 8 4" xfId="10051" xr:uid="{00000000-0005-0000-0000-0000EC770000}"/>
    <cellStyle name="Percent 12 2 8 4 2" xfId="26991" xr:uid="{00000000-0005-0000-0000-0000ED770000}"/>
    <cellStyle name="Percent 12 2 8 5" xfId="18543" xr:uid="{00000000-0005-0000-0000-0000EE770000}"/>
    <cellStyle name="Percent 12 2 9" xfId="2657" xr:uid="{00000000-0005-0000-0000-0000EF770000}"/>
    <cellStyle name="Percent 12 2 9 2" xfId="6883" xr:uid="{00000000-0005-0000-0000-0000F0770000}"/>
    <cellStyle name="Percent 12 2 9 2 2" xfId="15331" xr:uid="{00000000-0005-0000-0000-0000F1770000}"/>
    <cellStyle name="Percent 12 2 9 2 2 2" xfId="32271" xr:uid="{00000000-0005-0000-0000-0000F2770000}"/>
    <cellStyle name="Percent 12 2 9 2 3" xfId="23823" xr:uid="{00000000-0005-0000-0000-0000F3770000}"/>
    <cellStyle name="Percent 12 2 9 3" xfId="11107" xr:uid="{00000000-0005-0000-0000-0000F4770000}"/>
    <cellStyle name="Percent 12 2 9 3 2" xfId="28047" xr:uid="{00000000-0005-0000-0000-0000F5770000}"/>
    <cellStyle name="Percent 12 2 9 4" xfId="19599" xr:uid="{00000000-0005-0000-0000-0000F6770000}"/>
    <cellStyle name="Percent 12 3" xfId="439" xr:uid="{00000000-0005-0000-0000-0000F7770000}"/>
    <cellStyle name="Percent 12 4" xfId="440" xr:uid="{00000000-0005-0000-0000-0000F8770000}"/>
    <cellStyle name="Percent 12 4 10" xfId="17490" xr:uid="{00000000-0005-0000-0000-0000F9770000}"/>
    <cellStyle name="Percent 12 4 2" xfId="718" xr:uid="{00000000-0005-0000-0000-0000FA770000}"/>
    <cellStyle name="Percent 12 4 2 2" xfId="1070" xr:uid="{00000000-0005-0000-0000-0000FB770000}"/>
    <cellStyle name="Percent 12 4 2 2 2" xfId="2132" xr:uid="{00000000-0005-0000-0000-0000FC770000}"/>
    <cellStyle name="Percent 12 4 2 2 2 2" xfId="4244" xr:uid="{00000000-0005-0000-0000-0000FD770000}"/>
    <cellStyle name="Percent 12 4 2 2 2 2 2" xfId="8470" xr:uid="{00000000-0005-0000-0000-0000FE770000}"/>
    <cellStyle name="Percent 12 4 2 2 2 2 2 2" xfId="16918" xr:uid="{00000000-0005-0000-0000-0000FF770000}"/>
    <cellStyle name="Percent 12 4 2 2 2 2 2 2 2" xfId="33858" xr:uid="{00000000-0005-0000-0000-000000780000}"/>
    <cellStyle name="Percent 12 4 2 2 2 2 2 3" xfId="25410" xr:uid="{00000000-0005-0000-0000-000001780000}"/>
    <cellStyle name="Percent 12 4 2 2 2 2 3" xfId="12694" xr:uid="{00000000-0005-0000-0000-000002780000}"/>
    <cellStyle name="Percent 12 4 2 2 2 2 3 2" xfId="29634" xr:uid="{00000000-0005-0000-0000-000003780000}"/>
    <cellStyle name="Percent 12 4 2 2 2 2 4" xfId="21186" xr:uid="{00000000-0005-0000-0000-000004780000}"/>
    <cellStyle name="Percent 12 4 2 2 2 3" xfId="6358" xr:uid="{00000000-0005-0000-0000-000005780000}"/>
    <cellStyle name="Percent 12 4 2 2 2 3 2" xfId="14806" xr:uid="{00000000-0005-0000-0000-000006780000}"/>
    <cellStyle name="Percent 12 4 2 2 2 3 2 2" xfId="31746" xr:uid="{00000000-0005-0000-0000-000007780000}"/>
    <cellStyle name="Percent 12 4 2 2 2 3 3" xfId="23298" xr:uid="{00000000-0005-0000-0000-000008780000}"/>
    <cellStyle name="Percent 12 4 2 2 2 4" xfId="10582" xr:uid="{00000000-0005-0000-0000-000009780000}"/>
    <cellStyle name="Percent 12 4 2 2 2 4 2" xfId="27522" xr:uid="{00000000-0005-0000-0000-00000A780000}"/>
    <cellStyle name="Percent 12 4 2 2 2 5" xfId="19074" xr:uid="{00000000-0005-0000-0000-00000B780000}"/>
    <cellStyle name="Percent 12 4 2 2 3" xfId="3188" xr:uid="{00000000-0005-0000-0000-00000C780000}"/>
    <cellStyle name="Percent 12 4 2 2 3 2" xfId="7414" xr:uid="{00000000-0005-0000-0000-00000D780000}"/>
    <cellStyle name="Percent 12 4 2 2 3 2 2" xfId="15862" xr:uid="{00000000-0005-0000-0000-00000E780000}"/>
    <cellStyle name="Percent 12 4 2 2 3 2 2 2" xfId="32802" xr:uid="{00000000-0005-0000-0000-00000F780000}"/>
    <cellStyle name="Percent 12 4 2 2 3 2 3" xfId="24354" xr:uid="{00000000-0005-0000-0000-000010780000}"/>
    <cellStyle name="Percent 12 4 2 2 3 3" xfId="11638" xr:uid="{00000000-0005-0000-0000-000011780000}"/>
    <cellStyle name="Percent 12 4 2 2 3 3 2" xfId="28578" xr:uid="{00000000-0005-0000-0000-000012780000}"/>
    <cellStyle name="Percent 12 4 2 2 3 4" xfId="20130" xr:uid="{00000000-0005-0000-0000-000013780000}"/>
    <cellStyle name="Percent 12 4 2 2 4" xfId="5302" xr:uid="{00000000-0005-0000-0000-000014780000}"/>
    <cellStyle name="Percent 12 4 2 2 4 2" xfId="13750" xr:uid="{00000000-0005-0000-0000-000015780000}"/>
    <cellStyle name="Percent 12 4 2 2 4 2 2" xfId="30690" xr:uid="{00000000-0005-0000-0000-000016780000}"/>
    <cellStyle name="Percent 12 4 2 2 4 3" xfId="22242" xr:uid="{00000000-0005-0000-0000-000017780000}"/>
    <cellStyle name="Percent 12 4 2 2 5" xfId="9526" xr:uid="{00000000-0005-0000-0000-000018780000}"/>
    <cellStyle name="Percent 12 4 2 2 5 2" xfId="26466" xr:uid="{00000000-0005-0000-0000-000019780000}"/>
    <cellStyle name="Percent 12 4 2 2 6" xfId="18018" xr:uid="{00000000-0005-0000-0000-00001A780000}"/>
    <cellStyle name="Percent 12 4 2 3" xfId="1780" xr:uid="{00000000-0005-0000-0000-00001B780000}"/>
    <cellStyle name="Percent 12 4 2 3 2" xfId="3892" xr:uid="{00000000-0005-0000-0000-00001C780000}"/>
    <cellStyle name="Percent 12 4 2 3 2 2" xfId="8118" xr:uid="{00000000-0005-0000-0000-00001D780000}"/>
    <cellStyle name="Percent 12 4 2 3 2 2 2" xfId="16566" xr:uid="{00000000-0005-0000-0000-00001E780000}"/>
    <cellStyle name="Percent 12 4 2 3 2 2 2 2" xfId="33506" xr:uid="{00000000-0005-0000-0000-00001F780000}"/>
    <cellStyle name="Percent 12 4 2 3 2 2 3" xfId="25058" xr:uid="{00000000-0005-0000-0000-000020780000}"/>
    <cellStyle name="Percent 12 4 2 3 2 3" xfId="12342" xr:uid="{00000000-0005-0000-0000-000021780000}"/>
    <cellStyle name="Percent 12 4 2 3 2 3 2" xfId="29282" xr:uid="{00000000-0005-0000-0000-000022780000}"/>
    <cellStyle name="Percent 12 4 2 3 2 4" xfId="20834" xr:uid="{00000000-0005-0000-0000-000023780000}"/>
    <cellStyle name="Percent 12 4 2 3 3" xfId="6006" xr:uid="{00000000-0005-0000-0000-000024780000}"/>
    <cellStyle name="Percent 12 4 2 3 3 2" xfId="14454" xr:uid="{00000000-0005-0000-0000-000025780000}"/>
    <cellStyle name="Percent 12 4 2 3 3 2 2" xfId="31394" xr:uid="{00000000-0005-0000-0000-000026780000}"/>
    <cellStyle name="Percent 12 4 2 3 3 3" xfId="22946" xr:uid="{00000000-0005-0000-0000-000027780000}"/>
    <cellStyle name="Percent 12 4 2 3 4" xfId="10230" xr:uid="{00000000-0005-0000-0000-000028780000}"/>
    <cellStyle name="Percent 12 4 2 3 4 2" xfId="27170" xr:uid="{00000000-0005-0000-0000-000029780000}"/>
    <cellStyle name="Percent 12 4 2 3 5" xfId="18722" xr:uid="{00000000-0005-0000-0000-00002A780000}"/>
    <cellStyle name="Percent 12 4 2 4" xfId="2836" xr:uid="{00000000-0005-0000-0000-00002B780000}"/>
    <cellStyle name="Percent 12 4 2 4 2" xfId="7062" xr:uid="{00000000-0005-0000-0000-00002C780000}"/>
    <cellStyle name="Percent 12 4 2 4 2 2" xfId="15510" xr:uid="{00000000-0005-0000-0000-00002D780000}"/>
    <cellStyle name="Percent 12 4 2 4 2 2 2" xfId="32450" xr:uid="{00000000-0005-0000-0000-00002E780000}"/>
    <cellStyle name="Percent 12 4 2 4 2 3" xfId="24002" xr:uid="{00000000-0005-0000-0000-00002F780000}"/>
    <cellStyle name="Percent 12 4 2 4 3" xfId="11286" xr:uid="{00000000-0005-0000-0000-000030780000}"/>
    <cellStyle name="Percent 12 4 2 4 3 2" xfId="28226" xr:uid="{00000000-0005-0000-0000-000031780000}"/>
    <cellStyle name="Percent 12 4 2 4 4" xfId="19778" xr:uid="{00000000-0005-0000-0000-000032780000}"/>
    <cellStyle name="Percent 12 4 2 5" xfId="4950" xr:uid="{00000000-0005-0000-0000-000033780000}"/>
    <cellStyle name="Percent 12 4 2 5 2" xfId="13398" xr:uid="{00000000-0005-0000-0000-000034780000}"/>
    <cellStyle name="Percent 12 4 2 5 2 2" xfId="30338" xr:uid="{00000000-0005-0000-0000-000035780000}"/>
    <cellStyle name="Percent 12 4 2 5 3" xfId="21890" xr:uid="{00000000-0005-0000-0000-000036780000}"/>
    <cellStyle name="Percent 12 4 2 6" xfId="9174" xr:uid="{00000000-0005-0000-0000-000037780000}"/>
    <cellStyle name="Percent 12 4 2 6 2" xfId="26114" xr:uid="{00000000-0005-0000-0000-000038780000}"/>
    <cellStyle name="Percent 12 4 2 7" xfId="17666" xr:uid="{00000000-0005-0000-0000-000039780000}"/>
    <cellStyle name="Percent 12 4 3" xfId="894" xr:uid="{00000000-0005-0000-0000-00003A780000}"/>
    <cellStyle name="Percent 12 4 3 2" xfId="1956" xr:uid="{00000000-0005-0000-0000-00003B780000}"/>
    <cellStyle name="Percent 12 4 3 2 2" xfId="4068" xr:uid="{00000000-0005-0000-0000-00003C780000}"/>
    <cellStyle name="Percent 12 4 3 2 2 2" xfId="8294" xr:uid="{00000000-0005-0000-0000-00003D780000}"/>
    <cellStyle name="Percent 12 4 3 2 2 2 2" xfId="16742" xr:uid="{00000000-0005-0000-0000-00003E780000}"/>
    <cellStyle name="Percent 12 4 3 2 2 2 2 2" xfId="33682" xr:uid="{00000000-0005-0000-0000-00003F780000}"/>
    <cellStyle name="Percent 12 4 3 2 2 2 3" xfId="25234" xr:uid="{00000000-0005-0000-0000-000040780000}"/>
    <cellStyle name="Percent 12 4 3 2 2 3" xfId="12518" xr:uid="{00000000-0005-0000-0000-000041780000}"/>
    <cellStyle name="Percent 12 4 3 2 2 3 2" xfId="29458" xr:uid="{00000000-0005-0000-0000-000042780000}"/>
    <cellStyle name="Percent 12 4 3 2 2 4" xfId="21010" xr:uid="{00000000-0005-0000-0000-000043780000}"/>
    <cellStyle name="Percent 12 4 3 2 3" xfId="6182" xr:uid="{00000000-0005-0000-0000-000044780000}"/>
    <cellStyle name="Percent 12 4 3 2 3 2" xfId="14630" xr:uid="{00000000-0005-0000-0000-000045780000}"/>
    <cellStyle name="Percent 12 4 3 2 3 2 2" xfId="31570" xr:uid="{00000000-0005-0000-0000-000046780000}"/>
    <cellStyle name="Percent 12 4 3 2 3 3" xfId="23122" xr:uid="{00000000-0005-0000-0000-000047780000}"/>
    <cellStyle name="Percent 12 4 3 2 4" xfId="10406" xr:uid="{00000000-0005-0000-0000-000048780000}"/>
    <cellStyle name="Percent 12 4 3 2 4 2" xfId="27346" xr:uid="{00000000-0005-0000-0000-000049780000}"/>
    <cellStyle name="Percent 12 4 3 2 5" xfId="18898" xr:uid="{00000000-0005-0000-0000-00004A780000}"/>
    <cellStyle name="Percent 12 4 3 3" xfId="3012" xr:uid="{00000000-0005-0000-0000-00004B780000}"/>
    <cellStyle name="Percent 12 4 3 3 2" xfId="7238" xr:uid="{00000000-0005-0000-0000-00004C780000}"/>
    <cellStyle name="Percent 12 4 3 3 2 2" xfId="15686" xr:uid="{00000000-0005-0000-0000-00004D780000}"/>
    <cellStyle name="Percent 12 4 3 3 2 2 2" xfId="32626" xr:uid="{00000000-0005-0000-0000-00004E780000}"/>
    <cellStyle name="Percent 12 4 3 3 2 3" xfId="24178" xr:uid="{00000000-0005-0000-0000-00004F780000}"/>
    <cellStyle name="Percent 12 4 3 3 3" xfId="11462" xr:uid="{00000000-0005-0000-0000-000050780000}"/>
    <cellStyle name="Percent 12 4 3 3 3 2" xfId="28402" xr:uid="{00000000-0005-0000-0000-000051780000}"/>
    <cellStyle name="Percent 12 4 3 3 4" xfId="19954" xr:uid="{00000000-0005-0000-0000-000052780000}"/>
    <cellStyle name="Percent 12 4 3 4" xfId="5126" xr:uid="{00000000-0005-0000-0000-000053780000}"/>
    <cellStyle name="Percent 12 4 3 4 2" xfId="13574" xr:uid="{00000000-0005-0000-0000-000054780000}"/>
    <cellStyle name="Percent 12 4 3 4 2 2" xfId="30514" xr:uid="{00000000-0005-0000-0000-000055780000}"/>
    <cellStyle name="Percent 12 4 3 4 3" xfId="22066" xr:uid="{00000000-0005-0000-0000-000056780000}"/>
    <cellStyle name="Percent 12 4 3 5" xfId="9350" xr:uid="{00000000-0005-0000-0000-000057780000}"/>
    <cellStyle name="Percent 12 4 3 5 2" xfId="26290" xr:uid="{00000000-0005-0000-0000-000058780000}"/>
    <cellStyle name="Percent 12 4 3 6" xfId="17842" xr:uid="{00000000-0005-0000-0000-000059780000}"/>
    <cellStyle name="Percent 12 4 4" xfId="1246" xr:uid="{00000000-0005-0000-0000-00005A780000}"/>
    <cellStyle name="Percent 12 4 4 2" xfId="2308" xr:uid="{00000000-0005-0000-0000-00005B780000}"/>
    <cellStyle name="Percent 12 4 4 2 2" xfId="4420" xr:uid="{00000000-0005-0000-0000-00005C780000}"/>
    <cellStyle name="Percent 12 4 4 2 2 2" xfId="8646" xr:uid="{00000000-0005-0000-0000-00005D780000}"/>
    <cellStyle name="Percent 12 4 4 2 2 2 2" xfId="17094" xr:uid="{00000000-0005-0000-0000-00005E780000}"/>
    <cellStyle name="Percent 12 4 4 2 2 2 2 2" xfId="34034" xr:uid="{00000000-0005-0000-0000-00005F780000}"/>
    <cellStyle name="Percent 12 4 4 2 2 2 3" xfId="25586" xr:uid="{00000000-0005-0000-0000-000060780000}"/>
    <cellStyle name="Percent 12 4 4 2 2 3" xfId="12870" xr:uid="{00000000-0005-0000-0000-000061780000}"/>
    <cellStyle name="Percent 12 4 4 2 2 3 2" xfId="29810" xr:uid="{00000000-0005-0000-0000-000062780000}"/>
    <cellStyle name="Percent 12 4 4 2 2 4" xfId="21362" xr:uid="{00000000-0005-0000-0000-000063780000}"/>
    <cellStyle name="Percent 12 4 4 2 3" xfId="6534" xr:uid="{00000000-0005-0000-0000-000064780000}"/>
    <cellStyle name="Percent 12 4 4 2 3 2" xfId="14982" xr:uid="{00000000-0005-0000-0000-000065780000}"/>
    <cellStyle name="Percent 12 4 4 2 3 2 2" xfId="31922" xr:uid="{00000000-0005-0000-0000-000066780000}"/>
    <cellStyle name="Percent 12 4 4 2 3 3" xfId="23474" xr:uid="{00000000-0005-0000-0000-000067780000}"/>
    <cellStyle name="Percent 12 4 4 2 4" xfId="10758" xr:uid="{00000000-0005-0000-0000-000068780000}"/>
    <cellStyle name="Percent 12 4 4 2 4 2" xfId="27698" xr:uid="{00000000-0005-0000-0000-000069780000}"/>
    <cellStyle name="Percent 12 4 4 2 5" xfId="19250" xr:uid="{00000000-0005-0000-0000-00006A780000}"/>
    <cellStyle name="Percent 12 4 4 3" xfId="3364" xr:uid="{00000000-0005-0000-0000-00006B780000}"/>
    <cellStyle name="Percent 12 4 4 3 2" xfId="7590" xr:uid="{00000000-0005-0000-0000-00006C780000}"/>
    <cellStyle name="Percent 12 4 4 3 2 2" xfId="16038" xr:uid="{00000000-0005-0000-0000-00006D780000}"/>
    <cellStyle name="Percent 12 4 4 3 2 2 2" xfId="32978" xr:uid="{00000000-0005-0000-0000-00006E780000}"/>
    <cellStyle name="Percent 12 4 4 3 2 3" xfId="24530" xr:uid="{00000000-0005-0000-0000-00006F780000}"/>
    <cellStyle name="Percent 12 4 4 3 3" xfId="11814" xr:uid="{00000000-0005-0000-0000-000070780000}"/>
    <cellStyle name="Percent 12 4 4 3 3 2" xfId="28754" xr:uid="{00000000-0005-0000-0000-000071780000}"/>
    <cellStyle name="Percent 12 4 4 3 4" xfId="20306" xr:uid="{00000000-0005-0000-0000-000072780000}"/>
    <cellStyle name="Percent 12 4 4 4" xfId="5478" xr:uid="{00000000-0005-0000-0000-000073780000}"/>
    <cellStyle name="Percent 12 4 4 4 2" xfId="13926" xr:uid="{00000000-0005-0000-0000-000074780000}"/>
    <cellStyle name="Percent 12 4 4 4 2 2" xfId="30866" xr:uid="{00000000-0005-0000-0000-000075780000}"/>
    <cellStyle name="Percent 12 4 4 4 3" xfId="22418" xr:uid="{00000000-0005-0000-0000-000076780000}"/>
    <cellStyle name="Percent 12 4 4 5" xfId="9702" xr:uid="{00000000-0005-0000-0000-000077780000}"/>
    <cellStyle name="Percent 12 4 4 5 2" xfId="26642" xr:uid="{00000000-0005-0000-0000-000078780000}"/>
    <cellStyle name="Percent 12 4 4 6" xfId="18194" xr:uid="{00000000-0005-0000-0000-000079780000}"/>
    <cellStyle name="Percent 12 4 5" xfId="1428" xr:uid="{00000000-0005-0000-0000-00007A780000}"/>
    <cellStyle name="Percent 12 4 5 2" xfId="2484" xr:uid="{00000000-0005-0000-0000-00007B780000}"/>
    <cellStyle name="Percent 12 4 5 2 2" xfId="4596" xr:uid="{00000000-0005-0000-0000-00007C780000}"/>
    <cellStyle name="Percent 12 4 5 2 2 2" xfId="8822" xr:uid="{00000000-0005-0000-0000-00007D780000}"/>
    <cellStyle name="Percent 12 4 5 2 2 2 2" xfId="17270" xr:uid="{00000000-0005-0000-0000-00007E780000}"/>
    <cellStyle name="Percent 12 4 5 2 2 2 2 2" xfId="34210" xr:uid="{00000000-0005-0000-0000-00007F780000}"/>
    <cellStyle name="Percent 12 4 5 2 2 2 3" xfId="25762" xr:uid="{00000000-0005-0000-0000-000080780000}"/>
    <cellStyle name="Percent 12 4 5 2 2 3" xfId="13046" xr:uid="{00000000-0005-0000-0000-000081780000}"/>
    <cellStyle name="Percent 12 4 5 2 2 3 2" xfId="29986" xr:uid="{00000000-0005-0000-0000-000082780000}"/>
    <cellStyle name="Percent 12 4 5 2 2 4" xfId="21538" xr:uid="{00000000-0005-0000-0000-000083780000}"/>
    <cellStyle name="Percent 12 4 5 2 3" xfId="6710" xr:uid="{00000000-0005-0000-0000-000084780000}"/>
    <cellStyle name="Percent 12 4 5 2 3 2" xfId="15158" xr:uid="{00000000-0005-0000-0000-000085780000}"/>
    <cellStyle name="Percent 12 4 5 2 3 2 2" xfId="32098" xr:uid="{00000000-0005-0000-0000-000086780000}"/>
    <cellStyle name="Percent 12 4 5 2 3 3" xfId="23650" xr:uid="{00000000-0005-0000-0000-000087780000}"/>
    <cellStyle name="Percent 12 4 5 2 4" xfId="10934" xr:uid="{00000000-0005-0000-0000-000088780000}"/>
    <cellStyle name="Percent 12 4 5 2 4 2" xfId="27874" xr:uid="{00000000-0005-0000-0000-000089780000}"/>
    <cellStyle name="Percent 12 4 5 2 5" xfId="19426" xr:uid="{00000000-0005-0000-0000-00008A780000}"/>
    <cellStyle name="Percent 12 4 5 3" xfId="3540" xr:uid="{00000000-0005-0000-0000-00008B780000}"/>
    <cellStyle name="Percent 12 4 5 3 2" xfId="7766" xr:uid="{00000000-0005-0000-0000-00008C780000}"/>
    <cellStyle name="Percent 12 4 5 3 2 2" xfId="16214" xr:uid="{00000000-0005-0000-0000-00008D780000}"/>
    <cellStyle name="Percent 12 4 5 3 2 2 2" xfId="33154" xr:uid="{00000000-0005-0000-0000-00008E780000}"/>
    <cellStyle name="Percent 12 4 5 3 2 3" xfId="24706" xr:uid="{00000000-0005-0000-0000-00008F780000}"/>
    <cellStyle name="Percent 12 4 5 3 3" xfId="11990" xr:uid="{00000000-0005-0000-0000-000090780000}"/>
    <cellStyle name="Percent 12 4 5 3 3 2" xfId="28930" xr:uid="{00000000-0005-0000-0000-000091780000}"/>
    <cellStyle name="Percent 12 4 5 3 4" xfId="20482" xr:uid="{00000000-0005-0000-0000-000092780000}"/>
    <cellStyle name="Percent 12 4 5 4" xfId="5654" xr:uid="{00000000-0005-0000-0000-000093780000}"/>
    <cellStyle name="Percent 12 4 5 4 2" xfId="14102" xr:uid="{00000000-0005-0000-0000-000094780000}"/>
    <cellStyle name="Percent 12 4 5 4 2 2" xfId="31042" xr:uid="{00000000-0005-0000-0000-000095780000}"/>
    <cellStyle name="Percent 12 4 5 4 3" xfId="22594" xr:uid="{00000000-0005-0000-0000-000096780000}"/>
    <cellStyle name="Percent 12 4 5 5" xfId="9878" xr:uid="{00000000-0005-0000-0000-000097780000}"/>
    <cellStyle name="Percent 12 4 5 5 2" xfId="26818" xr:uid="{00000000-0005-0000-0000-000098780000}"/>
    <cellStyle name="Percent 12 4 5 6" xfId="18370" xr:uid="{00000000-0005-0000-0000-000099780000}"/>
    <cellStyle name="Percent 12 4 6" xfId="1604" xr:uid="{00000000-0005-0000-0000-00009A780000}"/>
    <cellStyle name="Percent 12 4 6 2" xfId="3716" xr:uid="{00000000-0005-0000-0000-00009B780000}"/>
    <cellStyle name="Percent 12 4 6 2 2" xfId="7942" xr:uid="{00000000-0005-0000-0000-00009C780000}"/>
    <cellStyle name="Percent 12 4 6 2 2 2" xfId="16390" xr:uid="{00000000-0005-0000-0000-00009D780000}"/>
    <cellStyle name="Percent 12 4 6 2 2 2 2" xfId="33330" xr:uid="{00000000-0005-0000-0000-00009E780000}"/>
    <cellStyle name="Percent 12 4 6 2 2 3" xfId="24882" xr:uid="{00000000-0005-0000-0000-00009F780000}"/>
    <cellStyle name="Percent 12 4 6 2 3" xfId="12166" xr:uid="{00000000-0005-0000-0000-0000A0780000}"/>
    <cellStyle name="Percent 12 4 6 2 3 2" xfId="29106" xr:uid="{00000000-0005-0000-0000-0000A1780000}"/>
    <cellStyle name="Percent 12 4 6 2 4" xfId="20658" xr:uid="{00000000-0005-0000-0000-0000A2780000}"/>
    <cellStyle name="Percent 12 4 6 3" xfId="5830" xr:uid="{00000000-0005-0000-0000-0000A3780000}"/>
    <cellStyle name="Percent 12 4 6 3 2" xfId="14278" xr:uid="{00000000-0005-0000-0000-0000A4780000}"/>
    <cellStyle name="Percent 12 4 6 3 2 2" xfId="31218" xr:uid="{00000000-0005-0000-0000-0000A5780000}"/>
    <cellStyle name="Percent 12 4 6 3 3" xfId="22770" xr:uid="{00000000-0005-0000-0000-0000A6780000}"/>
    <cellStyle name="Percent 12 4 6 4" xfId="10054" xr:uid="{00000000-0005-0000-0000-0000A7780000}"/>
    <cellStyle name="Percent 12 4 6 4 2" xfId="26994" xr:uid="{00000000-0005-0000-0000-0000A8780000}"/>
    <cellStyle name="Percent 12 4 6 5" xfId="18546" xr:uid="{00000000-0005-0000-0000-0000A9780000}"/>
    <cellStyle name="Percent 12 4 7" xfId="2660" xr:uid="{00000000-0005-0000-0000-0000AA780000}"/>
    <cellStyle name="Percent 12 4 7 2" xfId="6886" xr:uid="{00000000-0005-0000-0000-0000AB780000}"/>
    <cellStyle name="Percent 12 4 7 2 2" xfId="15334" xr:uid="{00000000-0005-0000-0000-0000AC780000}"/>
    <cellStyle name="Percent 12 4 7 2 2 2" xfId="32274" xr:uid="{00000000-0005-0000-0000-0000AD780000}"/>
    <cellStyle name="Percent 12 4 7 2 3" xfId="23826" xr:uid="{00000000-0005-0000-0000-0000AE780000}"/>
    <cellStyle name="Percent 12 4 7 3" xfId="11110" xr:uid="{00000000-0005-0000-0000-0000AF780000}"/>
    <cellStyle name="Percent 12 4 7 3 2" xfId="28050" xr:uid="{00000000-0005-0000-0000-0000B0780000}"/>
    <cellStyle name="Percent 12 4 7 4" xfId="19602" xr:uid="{00000000-0005-0000-0000-0000B1780000}"/>
    <cellStyle name="Percent 12 4 8" xfId="4773" xr:uid="{00000000-0005-0000-0000-0000B2780000}"/>
    <cellStyle name="Percent 12 4 8 2" xfId="13222" xr:uid="{00000000-0005-0000-0000-0000B3780000}"/>
    <cellStyle name="Percent 12 4 8 2 2" xfId="30162" xr:uid="{00000000-0005-0000-0000-0000B4780000}"/>
    <cellStyle name="Percent 12 4 8 3" xfId="21714" xr:uid="{00000000-0005-0000-0000-0000B5780000}"/>
    <cellStyle name="Percent 12 4 9" xfId="8998" xr:uid="{00000000-0005-0000-0000-0000B6780000}"/>
    <cellStyle name="Percent 12 4 9 2" xfId="25938" xr:uid="{00000000-0005-0000-0000-0000B7780000}"/>
    <cellStyle name="Percent 12 5" xfId="441" xr:uid="{00000000-0005-0000-0000-0000B8780000}"/>
    <cellStyle name="Percent 12 5 10" xfId="17491" xr:uid="{00000000-0005-0000-0000-0000B9780000}"/>
    <cellStyle name="Percent 12 5 2" xfId="719" xr:uid="{00000000-0005-0000-0000-0000BA780000}"/>
    <cellStyle name="Percent 12 5 2 2" xfId="1071" xr:uid="{00000000-0005-0000-0000-0000BB780000}"/>
    <cellStyle name="Percent 12 5 2 2 2" xfId="2133" xr:uid="{00000000-0005-0000-0000-0000BC780000}"/>
    <cellStyle name="Percent 12 5 2 2 2 2" xfId="4245" xr:uid="{00000000-0005-0000-0000-0000BD780000}"/>
    <cellStyle name="Percent 12 5 2 2 2 2 2" xfId="8471" xr:uid="{00000000-0005-0000-0000-0000BE780000}"/>
    <cellStyle name="Percent 12 5 2 2 2 2 2 2" xfId="16919" xr:uid="{00000000-0005-0000-0000-0000BF780000}"/>
    <cellStyle name="Percent 12 5 2 2 2 2 2 2 2" xfId="33859" xr:uid="{00000000-0005-0000-0000-0000C0780000}"/>
    <cellStyle name="Percent 12 5 2 2 2 2 2 3" xfId="25411" xr:uid="{00000000-0005-0000-0000-0000C1780000}"/>
    <cellStyle name="Percent 12 5 2 2 2 2 3" xfId="12695" xr:uid="{00000000-0005-0000-0000-0000C2780000}"/>
    <cellStyle name="Percent 12 5 2 2 2 2 3 2" xfId="29635" xr:uid="{00000000-0005-0000-0000-0000C3780000}"/>
    <cellStyle name="Percent 12 5 2 2 2 2 4" xfId="21187" xr:uid="{00000000-0005-0000-0000-0000C4780000}"/>
    <cellStyle name="Percent 12 5 2 2 2 3" xfId="6359" xr:uid="{00000000-0005-0000-0000-0000C5780000}"/>
    <cellStyle name="Percent 12 5 2 2 2 3 2" xfId="14807" xr:uid="{00000000-0005-0000-0000-0000C6780000}"/>
    <cellStyle name="Percent 12 5 2 2 2 3 2 2" xfId="31747" xr:uid="{00000000-0005-0000-0000-0000C7780000}"/>
    <cellStyle name="Percent 12 5 2 2 2 3 3" xfId="23299" xr:uid="{00000000-0005-0000-0000-0000C8780000}"/>
    <cellStyle name="Percent 12 5 2 2 2 4" xfId="10583" xr:uid="{00000000-0005-0000-0000-0000C9780000}"/>
    <cellStyle name="Percent 12 5 2 2 2 4 2" xfId="27523" xr:uid="{00000000-0005-0000-0000-0000CA780000}"/>
    <cellStyle name="Percent 12 5 2 2 2 5" xfId="19075" xr:uid="{00000000-0005-0000-0000-0000CB780000}"/>
    <cellStyle name="Percent 12 5 2 2 3" xfId="3189" xr:uid="{00000000-0005-0000-0000-0000CC780000}"/>
    <cellStyle name="Percent 12 5 2 2 3 2" xfId="7415" xr:uid="{00000000-0005-0000-0000-0000CD780000}"/>
    <cellStyle name="Percent 12 5 2 2 3 2 2" xfId="15863" xr:uid="{00000000-0005-0000-0000-0000CE780000}"/>
    <cellStyle name="Percent 12 5 2 2 3 2 2 2" xfId="32803" xr:uid="{00000000-0005-0000-0000-0000CF780000}"/>
    <cellStyle name="Percent 12 5 2 2 3 2 3" xfId="24355" xr:uid="{00000000-0005-0000-0000-0000D0780000}"/>
    <cellStyle name="Percent 12 5 2 2 3 3" xfId="11639" xr:uid="{00000000-0005-0000-0000-0000D1780000}"/>
    <cellStyle name="Percent 12 5 2 2 3 3 2" xfId="28579" xr:uid="{00000000-0005-0000-0000-0000D2780000}"/>
    <cellStyle name="Percent 12 5 2 2 3 4" xfId="20131" xr:uid="{00000000-0005-0000-0000-0000D3780000}"/>
    <cellStyle name="Percent 12 5 2 2 4" xfId="5303" xr:uid="{00000000-0005-0000-0000-0000D4780000}"/>
    <cellStyle name="Percent 12 5 2 2 4 2" xfId="13751" xr:uid="{00000000-0005-0000-0000-0000D5780000}"/>
    <cellStyle name="Percent 12 5 2 2 4 2 2" xfId="30691" xr:uid="{00000000-0005-0000-0000-0000D6780000}"/>
    <cellStyle name="Percent 12 5 2 2 4 3" xfId="22243" xr:uid="{00000000-0005-0000-0000-0000D7780000}"/>
    <cellStyle name="Percent 12 5 2 2 5" xfId="9527" xr:uid="{00000000-0005-0000-0000-0000D8780000}"/>
    <cellStyle name="Percent 12 5 2 2 5 2" xfId="26467" xr:uid="{00000000-0005-0000-0000-0000D9780000}"/>
    <cellStyle name="Percent 12 5 2 2 6" xfId="18019" xr:uid="{00000000-0005-0000-0000-0000DA780000}"/>
    <cellStyle name="Percent 12 5 2 3" xfId="1781" xr:uid="{00000000-0005-0000-0000-0000DB780000}"/>
    <cellStyle name="Percent 12 5 2 3 2" xfId="3893" xr:uid="{00000000-0005-0000-0000-0000DC780000}"/>
    <cellStyle name="Percent 12 5 2 3 2 2" xfId="8119" xr:uid="{00000000-0005-0000-0000-0000DD780000}"/>
    <cellStyle name="Percent 12 5 2 3 2 2 2" xfId="16567" xr:uid="{00000000-0005-0000-0000-0000DE780000}"/>
    <cellStyle name="Percent 12 5 2 3 2 2 2 2" xfId="33507" xr:uid="{00000000-0005-0000-0000-0000DF780000}"/>
    <cellStyle name="Percent 12 5 2 3 2 2 3" xfId="25059" xr:uid="{00000000-0005-0000-0000-0000E0780000}"/>
    <cellStyle name="Percent 12 5 2 3 2 3" xfId="12343" xr:uid="{00000000-0005-0000-0000-0000E1780000}"/>
    <cellStyle name="Percent 12 5 2 3 2 3 2" xfId="29283" xr:uid="{00000000-0005-0000-0000-0000E2780000}"/>
    <cellStyle name="Percent 12 5 2 3 2 4" xfId="20835" xr:uid="{00000000-0005-0000-0000-0000E3780000}"/>
    <cellStyle name="Percent 12 5 2 3 3" xfId="6007" xr:uid="{00000000-0005-0000-0000-0000E4780000}"/>
    <cellStyle name="Percent 12 5 2 3 3 2" xfId="14455" xr:uid="{00000000-0005-0000-0000-0000E5780000}"/>
    <cellStyle name="Percent 12 5 2 3 3 2 2" xfId="31395" xr:uid="{00000000-0005-0000-0000-0000E6780000}"/>
    <cellStyle name="Percent 12 5 2 3 3 3" xfId="22947" xr:uid="{00000000-0005-0000-0000-0000E7780000}"/>
    <cellStyle name="Percent 12 5 2 3 4" xfId="10231" xr:uid="{00000000-0005-0000-0000-0000E8780000}"/>
    <cellStyle name="Percent 12 5 2 3 4 2" xfId="27171" xr:uid="{00000000-0005-0000-0000-0000E9780000}"/>
    <cellStyle name="Percent 12 5 2 3 5" xfId="18723" xr:uid="{00000000-0005-0000-0000-0000EA780000}"/>
    <cellStyle name="Percent 12 5 2 4" xfId="2837" xr:uid="{00000000-0005-0000-0000-0000EB780000}"/>
    <cellStyle name="Percent 12 5 2 4 2" xfId="7063" xr:uid="{00000000-0005-0000-0000-0000EC780000}"/>
    <cellStyle name="Percent 12 5 2 4 2 2" xfId="15511" xr:uid="{00000000-0005-0000-0000-0000ED780000}"/>
    <cellStyle name="Percent 12 5 2 4 2 2 2" xfId="32451" xr:uid="{00000000-0005-0000-0000-0000EE780000}"/>
    <cellStyle name="Percent 12 5 2 4 2 3" xfId="24003" xr:uid="{00000000-0005-0000-0000-0000EF780000}"/>
    <cellStyle name="Percent 12 5 2 4 3" xfId="11287" xr:uid="{00000000-0005-0000-0000-0000F0780000}"/>
    <cellStyle name="Percent 12 5 2 4 3 2" xfId="28227" xr:uid="{00000000-0005-0000-0000-0000F1780000}"/>
    <cellStyle name="Percent 12 5 2 4 4" xfId="19779" xr:uid="{00000000-0005-0000-0000-0000F2780000}"/>
    <cellStyle name="Percent 12 5 2 5" xfId="4951" xr:uid="{00000000-0005-0000-0000-0000F3780000}"/>
    <cellStyle name="Percent 12 5 2 5 2" xfId="13399" xr:uid="{00000000-0005-0000-0000-0000F4780000}"/>
    <cellStyle name="Percent 12 5 2 5 2 2" xfId="30339" xr:uid="{00000000-0005-0000-0000-0000F5780000}"/>
    <cellStyle name="Percent 12 5 2 5 3" xfId="21891" xr:uid="{00000000-0005-0000-0000-0000F6780000}"/>
    <cellStyle name="Percent 12 5 2 6" xfId="9175" xr:uid="{00000000-0005-0000-0000-0000F7780000}"/>
    <cellStyle name="Percent 12 5 2 6 2" xfId="26115" xr:uid="{00000000-0005-0000-0000-0000F8780000}"/>
    <cellStyle name="Percent 12 5 2 7" xfId="17667" xr:uid="{00000000-0005-0000-0000-0000F9780000}"/>
    <cellStyle name="Percent 12 5 3" xfId="895" xr:uid="{00000000-0005-0000-0000-0000FA780000}"/>
    <cellStyle name="Percent 12 5 3 2" xfId="1957" xr:uid="{00000000-0005-0000-0000-0000FB780000}"/>
    <cellStyle name="Percent 12 5 3 2 2" xfId="4069" xr:uid="{00000000-0005-0000-0000-0000FC780000}"/>
    <cellStyle name="Percent 12 5 3 2 2 2" xfId="8295" xr:uid="{00000000-0005-0000-0000-0000FD780000}"/>
    <cellStyle name="Percent 12 5 3 2 2 2 2" xfId="16743" xr:uid="{00000000-0005-0000-0000-0000FE780000}"/>
    <cellStyle name="Percent 12 5 3 2 2 2 2 2" xfId="33683" xr:uid="{00000000-0005-0000-0000-0000FF780000}"/>
    <cellStyle name="Percent 12 5 3 2 2 2 3" xfId="25235" xr:uid="{00000000-0005-0000-0000-000000790000}"/>
    <cellStyle name="Percent 12 5 3 2 2 3" xfId="12519" xr:uid="{00000000-0005-0000-0000-000001790000}"/>
    <cellStyle name="Percent 12 5 3 2 2 3 2" xfId="29459" xr:uid="{00000000-0005-0000-0000-000002790000}"/>
    <cellStyle name="Percent 12 5 3 2 2 4" xfId="21011" xr:uid="{00000000-0005-0000-0000-000003790000}"/>
    <cellStyle name="Percent 12 5 3 2 3" xfId="6183" xr:uid="{00000000-0005-0000-0000-000004790000}"/>
    <cellStyle name="Percent 12 5 3 2 3 2" xfId="14631" xr:uid="{00000000-0005-0000-0000-000005790000}"/>
    <cellStyle name="Percent 12 5 3 2 3 2 2" xfId="31571" xr:uid="{00000000-0005-0000-0000-000006790000}"/>
    <cellStyle name="Percent 12 5 3 2 3 3" xfId="23123" xr:uid="{00000000-0005-0000-0000-000007790000}"/>
    <cellStyle name="Percent 12 5 3 2 4" xfId="10407" xr:uid="{00000000-0005-0000-0000-000008790000}"/>
    <cellStyle name="Percent 12 5 3 2 4 2" xfId="27347" xr:uid="{00000000-0005-0000-0000-000009790000}"/>
    <cellStyle name="Percent 12 5 3 2 5" xfId="18899" xr:uid="{00000000-0005-0000-0000-00000A790000}"/>
    <cellStyle name="Percent 12 5 3 3" xfId="3013" xr:uid="{00000000-0005-0000-0000-00000B790000}"/>
    <cellStyle name="Percent 12 5 3 3 2" xfId="7239" xr:uid="{00000000-0005-0000-0000-00000C790000}"/>
    <cellStyle name="Percent 12 5 3 3 2 2" xfId="15687" xr:uid="{00000000-0005-0000-0000-00000D790000}"/>
    <cellStyle name="Percent 12 5 3 3 2 2 2" xfId="32627" xr:uid="{00000000-0005-0000-0000-00000E790000}"/>
    <cellStyle name="Percent 12 5 3 3 2 3" xfId="24179" xr:uid="{00000000-0005-0000-0000-00000F790000}"/>
    <cellStyle name="Percent 12 5 3 3 3" xfId="11463" xr:uid="{00000000-0005-0000-0000-000010790000}"/>
    <cellStyle name="Percent 12 5 3 3 3 2" xfId="28403" xr:uid="{00000000-0005-0000-0000-000011790000}"/>
    <cellStyle name="Percent 12 5 3 3 4" xfId="19955" xr:uid="{00000000-0005-0000-0000-000012790000}"/>
    <cellStyle name="Percent 12 5 3 4" xfId="5127" xr:uid="{00000000-0005-0000-0000-000013790000}"/>
    <cellStyle name="Percent 12 5 3 4 2" xfId="13575" xr:uid="{00000000-0005-0000-0000-000014790000}"/>
    <cellStyle name="Percent 12 5 3 4 2 2" xfId="30515" xr:uid="{00000000-0005-0000-0000-000015790000}"/>
    <cellStyle name="Percent 12 5 3 4 3" xfId="22067" xr:uid="{00000000-0005-0000-0000-000016790000}"/>
    <cellStyle name="Percent 12 5 3 5" xfId="9351" xr:uid="{00000000-0005-0000-0000-000017790000}"/>
    <cellStyle name="Percent 12 5 3 5 2" xfId="26291" xr:uid="{00000000-0005-0000-0000-000018790000}"/>
    <cellStyle name="Percent 12 5 3 6" xfId="17843" xr:uid="{00000000-0005-0000-0000-000019790000}"/>
    <cellStyle name="Percent 12 5 4" xfId="1247" xr:uid="{00000000-0005-0000-0000-00001A790000}"/>
    <cellStyle name="Percent 12 5 4 2" xfId="2309" xr:uid="{00000000-0005-0000-0000-00001B790000}"/>
    <cellStyle name="Percent 12 5 4 2 2" xfId="4421" xr:uid="{00000000-0005-0000-0000-00001C790000}"/>
    <cellStyle name="Percent 12 5 4 2 2 2" xfId="8647" xr:uid="{00000000-0005-0000-0000-00001D790000}"/>
    <cellStyle name="Percent 12 5 4 2 2 2 2" xfId="17095" xr:uid="{00000000-0005-0000-0000-00001E790000}"/>
    <cellStyle name="Percent 12 5 4 2 2 2 2 2" xfId="34035" xr:uid="{00000000-0005-0000-0000-00001F790000}"/>
    <cellStyle name="Percent 12 5 4 2 2 2 3" xfId="25587" xr:uid="{00000000-0005-0000-0000-000020790000}"/>
    <cellStyle name="Percent 12 5 4 2 2 3" xfId="12871" xr:uid="{00000000-0005-0000-0000-000021790000}"/>
    <cellStyle name="Percent 12 5 4 2 2 3 2" xfId="29811" xr:uid="{00000000-0005-0000-0000-000022790000}"/>
    <cellStyle name="Percent 12 5 4 2 2 4" xfId="21363" xr:uid="{00000000-0005-0000-0000-000023790000}"/>
    <cellStyle name="Percent 12 5 4 2 3" xfId="6535" xr:uid="{00000000-0005-0000-0000-000024790000}"/>
    <cellStyle name="Percent 12 5 4 2 3 2" xfId="14983" xr:uid="{00000000-0005-0000-0000-000025790000}"/>
    <cellStyle name="Percent 12 5 4 2 3 2 2" xfId="31923" xr:uid="{00000000-0005-0000-0000-000026790000}"/>
    <cellStyle name="Percent 12 5 4 2 3 3" xfId="23475" xr:uid="{00000000-0005-0000-0000-000027790000}"/>
    <cellStyle name="Percent 12 5 4 2 4" xfId="10759" xr:uid="{00000000-0005-0000-0000-000028790000}"/>
    <cellStyle name="Percent 12 5 4 2 4 2" xfId="27699" xr:uid="{00000000-0005-0000-0000-000029790000}"/>
    <cellStyle name="Percent 12 5 4 2 5" xfId="19251" xr:uid="{00000000-0005-0000-0000-00002A790000}"/>
    <cellStyle name="Percent 12 5 4 3" xfId="3365" xr:uid="{00000000-0005-0000-0000-00002B790000}"/>
    <cellStyle name="Percent 12 5 4 3 2" xfId="7591" xr:uid="{00000000-0005-0000-0000-00002C790000}"/>
    <cellStyle name="Percent 12 5 4 3 2 2" xfId="16039" xr:uid="{00000000-0005-0000-0000-00002D790000}"/>
    <cellStyle name="Percent 12 5 4 3 2 2 2" xfId="32979" xr:uid="{00000000-0005-0000-0000-00002E790000}"/>
    <cellStyle name="Percent 12 5 4 3 2 3" xfId="24531" xr:uid="{00000000-0005-0000-0000-00002F790000}"/>
    <cellStyle name="Percent 12 5 4 3 3" xfId="11815" xr:uid="{00000000-0005-0000-0000-000030790000}"/>
    <cellStyle name="Percent 12 5 4 3 3 2" xfId="28755" xr:uid="{00000000-0005-0000-0000-000031790000}"/>
    <cellStyle name="Percent 12 5 4 3 4" xfId="20307" xr:uid="{00000000-0005-0000-0000-000032790000}"/>
    <cellStyle name="Percent 12 5 4 4" xfId="5479" xr:uid="{00000000-0005-0000-0000-000033790000}"/>
    <cellStyle name="Percent 12 5 4 4 2" xfId="13927" xr:uid="{00000000-0005-0000-0000-000034790000}"/>
    <cellStyle name="Percent 12 5 4 4 2 2" xfId="30867" xr:uid="{00000000-0005-0000-0000-000035790000}"/>
    <cellStyle name="Percent 12 5 4 4 3" xfId="22419" xr:uid="{00000000-0005-0000-0000-000036790000}"/>
    <cellStyle name="Percent 12 5 4 5" xfId="9703" xr:uid="{00000000-0005-0000-0000-000037790000}"/>
    <cellStyle name="Percent 12 5 4 5 2" xfId="26643" xr:uid="{00000000-0005-0000-0000-000038790000}"/>
    <cellStyle name="Percent 12 5 4 6" xfId="18195" xr:uid="{00000000-0005-0000-0000-000039790000}"/>
    <cellStyle name="Percent 12 5 5" xfId="1429" xr:uid="{00000000-0005-0000-0000-00003A790000}"/>
    <cellStyle name="Percent 12 5 5 2" xfId="2485" xr:uid="{00000000-0005-0000-0000-00003B790000}"/>
    <cellStyle name="Percent 12 5 5 2 2" xfId="4597" xr:uid="{00000000-0005-0000-0000-00003C790000}"/>
    <cellStyle name="Percent 12 5 5 2 2 2" xfId="8823" xr:uid="{00000000-0005-0000-0000-00003D790000}"/>
    <cellStyle name="Percent 12 5 5 2 2 2 2" xfId="17271" xr:uid="{00000000-0005-0000-0000-00003E790000}"/>
    <cellStyle name="Percent 12 5 5 2 2 2 2 2" xfId="34211" xr:uid="{00000000-0005-0000-0000-00003F790000}"/>
    <cellStyle name="Percent 12 5 5 2 2 2 3" xfId="25763" xr:uid="{00000000-0005-0000-0000-000040790000}"/>
    <cellStyle name="Percent 12 5 5 2 2 3" xfId="13047" xr:uid="{00000000-0005-0000-0000-000041790000}"/>
    <cellStyle name="Percent 12 5 5 2 2 3 2" xfId="29987" xr:uid="{00000000-0005-0000-0000-000042790000}"/>
    <cellStyle name="Percent 12 5 5 2 2 4" xfId="21539" xr:uid="{00000000-0005-0000-0000-000043790000}"/>
    <cellStyle name="Percent 12 5 5 2 3" xfId="6711" xr:uid="{00000000-0005-0000-0000-000044790000}"/>
    <cellStyle name="Percent 12 5 5 2 3 2" xfId="15159" xr:uid="{00000000-0005-0000-0000-000045790000}"/>
    <cellStyle name="Percent 12 5 5 2 3 2 2" xfId="32099" xr:uid="{00000000-0005-0000-0000-000046790000}"/>
    <cellStyle name="Percent 12 5 5 2 3 3" xfId="23651" xr:uid="{00000000-0005-0000-0000-000047790000}"/>
    <cellStyle name="Percent 12 5 5 2 4" xfId="10935" xr:uid="{00000000-0005-0000-0000-000048790000}"/>
    <cellStyle name="Percent 12 5 5 2 4 2" xfId="27875" xr:uid="{00000000-0005-0000-0000-000049790000}"/>
    <cellStyle name="Percent 12 5 5 2 5" xfId="19427" xr:uid="{00000000-0005-0000-0000-00004A790000}"/>
    <cellStyle name="Percent 12 5 5 3" xfId="3541" xr:uid="{00000000-0005-0000-0000-00004B790000}"/>
    <cellStyle name="Percent 12 5 5 3 2" xfId="7767" xr:uid="{00000000-0005-0000-0000-00004C790000}"/>
    <cellStyle name="Percent 12 5 5 3 2 2" xfId="16215" xr:uid="{00000000-0005-0000-0000-00004D790000}"/>
    <cellStyle name="Percent 12 5 5 3 2 2 2" xfId="33155" xr:uid="{00000000-0005-0000-0000-00004E790000}"/>
    <cellStyle name="Percent 12 5 5 3 2 3" xfId="24707" xr:uid="{00000000-0005-0000-0000-00004F790000}"/>
    <cellStyle name="Percent 12 5 5 3 3" xfId="11991" xr:uid="{00000000-0005-0000-0000-000050790000}"/>
    <cellStyle name="Percent 12 5 5 3 3 2" xfId="28931" xr:uid="{00000000-0005-0000-0000-000051790000}"/>
    <cellStyle name="Percent 12 5 5 3 4" xfId="20483" xr:uid="{00000000-0005-0000-0000-000052790000}"/>
    <cellStyle name="Percent 12 5 5 4" xfId="5655" xr:uid="{00000000-0005-0000-0000-000053790000}"/>
    <cellStyle name="Percent 12 5 5 4 2" xfId="14103" xr:uid="{00000000-0005-0000-0000-000054790000}"/>
    <cellStyle name="Percent 12 5 5 4 2 2" xfId="31043" xr:uid="{00000000-0005-0000-0000-000055790000}"/>
    <cellStyle name="Percent 12 5 5 4 3" xfId="22595" xr:uid="{00000000-0005-0000-0000-000056790000}"/>
    <cellStyle name="Percent 12 5 5 5" xfId="9879" xr:uid="{00000000-0005-0000-0000-000057790000}"/>
    <cellStyle name="Percent 12 5 5 5 2" xfId="26819" xr:uid="{00000000-0005-0000-0000-000058790000}"/>
    <cellStyle name="Percent 12 5 5 6" xfId="18371" xr:uid="{00000000-0005-0000-0000-000059790000}"/>
    <cellStyle name="Percent 12 5 6" xfId="1605" xr:uid="{00000000-0005-0000-0000-00005A790000}"/>
    <cellStyle name="Percent 12 5 6 2" xfId="3717" xr:uid="{00000000-0005-0000-0000-00005B790000}"/>
    <cellStyle name="Percent 12 5 6 2 2" xfId="7943" xr:uid="{00000000-0005-0000-0000-00005C790000}"/>
    <cellStyle name="Percent 12 5 6 2 2 2" xfId="16391" xr:uid="{00000000-0005-0000-0000-00005D790000}"/>
    <cellStyle name="Percent 12 5 6 2 2 2 2" xfId="33331" xr:uid="{00000000-0005-0000-0000-00005E790000}"/>
    <cellStyle name="Percent 12 5 6 2 2 3" xfId="24883" xr:uid="{00000000-0005-0000-0000-00005F790000}"/>
    <cellStyle name="Percent 12 5 6 2 3" xfId="12167" xr:uid="{00000000-0005-0000-0000-000060790000}"/>
    <cellStyle name="Percent 12 5 6 2 3 2" xfId="29107" xr:uid="{00000000-0005-0000-0000-000061790000}"/>
    <cellStyle name="Percent 12 5 6 2 4" xfId="20659" xr:uid="{00000000-0005-0000-0000-000062790000}"/>
    <cellStyle name="Percent 12 5 6 3" xfId="5831" xr:uid="{00000000-0005-0000-0000-000063790000}"/>
    <cellStyle name="Percent 12 5 6 3 2" xfId="14279" xr:uid="{00000000-0005-0000-0000-000064790000}"/>
    <cellStyle name="Percent 12 5 6 3 2 2" xfId="31219" xr:uid="{00000000-0005-0000-0000-000065790000}"/>
    <cellStyle name="Percent 12 5 6 3 3" xfId="22771" xr:uid="{00000000-0005-0000-0000-000066790000}"/>
    <cellStyle name="Percent 12 5 6 4" xfId="10055" xr:uid="{00000000-0005-0000-0000-000067790000}"/>
    <cellStyle name="Percent 12 5 6 4 2" xfId="26995" xr:uid="{00000000-0005-0000-0000-000068790000}"/>
    <cellStyle name="Percent 12 5 6 5" xfId="18547" xr:uid="{00000000-0005-0000-0000-000069790000}"/>
    <cellStyle name="Percent 12 5 7" xfId="2661" xr:uid="{00000000-0005-0000-0000-00006A790000}"/>
    <cellStyle name="Percent 12 5 7 2" xfId="6887" xr:uid="{00000000-0005-0000-0000-00006B790000}"/>
    <cellStyle name="Percent 12 5 7 2 2" xfId="15335" xr:uid="{00000000-0005-0000-0000-00006C790000}"/>
    <cellStyle name="Percent 12 5 7 2 2 2" xfId="32275" xr:uid="{00000000-0005-0000-0000-00006D790000}"/>
    <cellStyle name="Percent 12 5 7 2 3" xfId="23827" xr:uid="{00000000-0005-0000-0000-00006E790000}"/>
    <cellStyle name="Percent 12 5 7 3" xfId="11111" xr:uid="{00000000-0005-0000-0000-00006F790000}"/>
    <cellStyle name="Percent 12 5 7 3 2" xfId="28051" xr:uid="{00000000-0005-0000-0000-000070790000}"/>
    <cellStyle name="Percent 12 5 7 4" xfId="19603" xr:uid="{00000000-0005-0000-0000-000071790000}"/>
    <cellStyle name="Percent 12 5 8" xfId="4774" xr:uid="{00000000-0005-0000-0000-000072790000}"/>
    <cellStyle name="Percent 12 5 8 2" xfId="13223" xr:uid="{00000000-0005-0000-0000-000073790000}"/>
    <cellStyle name="Percent 12 5 8 2 2" xfId="30163" xr:uid="{00000000-0005-0000-0000-000074790000}"/>
    <cellStyle name="Percent 12 5 8 3" xfId="21715" xr:uid="{00000000-0005-0000-0000-000075790000}"/>
    <cellStyle name="Percent 12 5 9" xfId="8999" xr:uid="{00000000-0005-0000-0000-000076790000}"/>
    <cellStyle name="Percent 12 5 9 2" xfId="25939" xr:uid="{00000000-0005-0000-0000-000077790000}"/>
    <cellStyle name="Percent 12 6" xfId="714" xr:uid="{00000000-0005-0000-0000-000078790000}"/>
    <cellStyle name="Percent 12 6 2" xfId="1066" xr:uid="{00000000-0005-0000-0000-000079790000}"/>
    <cellStyle name="Percent 12 6 2 2" xfId="2128" xr:uid="{00000000-0005-0000-0000-00007A790000}"/>
    <cellStyle name="Percent 12 6 2 2 2" xfId="4240" xr:uid="{00000000-0005-0000-0000-00007B790000}"/>
    <cellStyle name="Percent 12 6 2 2 2 2" xfId="8466" xr:uid="{00000000-0005-0000-0000-00007C790000}"/>
    <cellStyle name="Percent 12 6 2 2 2 2 2" xfId="16914" xr:uid="{00000000-0005-0000-0000-00007D790000}"/>
    <cellStyle name="Percent 12 6 2 2 2 2 2 2" xfId="33854" xr:uid="{00000000-0005-0000-0000-00007E790000}"/>
    <cellStyle name="Percent 12 6 2 2 2 2 3" xfId="25406" xr:uid="{00000000-0005-0000-0000-00007F790000}"/>
    <cellStyle name="Percent 12 6 2 2 2 3" xfId="12690" xr:uid="{00000000-0005-0000-0000-000080790000}"/>
    <cellStyle name="Percent 12 6 2 2 2 3 2" xfId="29630" xr:uid="{00000000-0005-0000-0000-000081790000}"/>
    <cellStyle name="Percent 12 6 2 2 2 4" xfId="21182" xr:uid="{00000000-0005-0000-0000-000082790000}"/>
    <cellStyle name="Percent 12 6 2 2 3" xfId="6354" xr:uid="{00000000-0005-0000-0000-000083790000}"/>
    <cellStyle name="Percent 12 6 2 2 3 2" xfId="14802" xr:uid="{00000000-0005-0000-0000-000084790000}"/>
    <cellStyle name="Percent 12 6 2 2 3 2 2" xfId="31742" xr:uid="{00000000-0005-0000-0000-000085790000}"/>
    <cellStyle name="Percent 12 6 2 2 3 3" xfId="23294" xr:uid="{00000000-0005-0000-0000-000086790000}"/>
    <cellStyle name="Percent 12 6 2 2 4" xfId="10578" xr:uid="{00000000-0005-0000-0000-000087790000}"/>
    <cellStyle name="Percent 12 6 2 2 4 2" xfId="27518" xr:uid="{00000000-0005-0000-0000-000088790000}"/>
    <cellStyle name="Percent 12 6 2 2 5" xfId="19070" xr:uid="{00000000-0005-0000-0000-000089790000}"/>
    <cellStyle name="Percent 12 6 2 3" xfId="3184" xr:uid="{00000000-0005-0000-0000-00008A790000}"/>
    <cellStyle name="Percent 12 6 2 3 2" xfId="7410" xr:uid="{00000000-0005-0000-0000-00008B790000}"/>
    <cellStyle name="Percent 12 6 2 3 2 2" xfId="15858" xr:uid="{00000000-0005-0000-0000-00008C790000}"/>
    <cellStyle name="Percent 12 6 2 3 2 2 2" xfId="32798" xr:uid="{00000000-0005-0000-0000-00008D790000}"/>
    <cellStyle name="Percent 12 6 2 3 2 3" xfId="24350" xr:uid="{00000000-0005-0000-0000-00008E790000}"/>
    <cellStyle name="Percent 12 6 2 3 3" xfId="11634" xr:uid="{00000000-0005-0000-0000-00008F790000}"/>
    <cellStyle name="Percent 12 6 2 3 3 2" xfId="28574" xr:uid="{00000000-0005-0000-0000-000090790000}"/>
    <cellStyle name="Percent 12 6 2 3 4" xfId="20126" xr:uid="{00000000-0005-0000-0000-000091790000}"/>
    <cellStyle name="Percent 12 6 2 4" xfId="5298" xr:uid="{00000000-0005-0000-0000-000092790000}"/>
    <cellStyle name="Percent 12 6 2 4 2" xfId="13746" xr:uid="{00000000-0005-0000-0000-000093790000}"/>
    <cellStyle name="Percent 12 6 2 4 2 2" xfId="30686" xr:uid="{00000000-0005-0000-0000-000094790000}"/>
    <cellStyle name="Percent 12 6 2 4 3" xfId="22238" xr:uid="{00000000-0005-0000-0000-000095790000}"/>
    <cellStyle name="Percent 12 6 2 5" xfId="9522" xr:uid="{00000000-0005-0000-0000-000096790000}"/>
    <cellStyle name="Percent 12 6 2 5 2" xfId="26462" xr:uid="{00000000-0005-0000-0000-000097790000}"/>
    <cellStyle name="Percent 12 6 2 6" xfId="18014" xr:uid="{00000000-0005-0000-0000-000098790000}"/>
    <cellStyle name="Percent 12 6 3" xfId="1776" xr:uid="{00000000-0005-0000-0000-000099790000}"/>
    <cellStyle name="Percent 12 6 3 2" xfId="3888" xr:uid="{00000000-0005-0000-0000-00009A790000}"/>
    <cellStyle name="Percent 12 6 3 2 2" xfId="8114" xr:uid="{00000000-0005-0000-0000-00009B790000}"/>
    <cellStyle name="Percent 12 6 3 2 2 2" xfId="16562" xr:uid="{00000000-0005-0000-0000-00009C790000}"/>
    <cellStyle name="Percent 12 6 3 2 2 2 2" xfId="33502" xr:uid="{00000000-0005-0000-0000-00009D790000}"/>
    <cellStyle name="Percent 12 6 3 2 2 3" xfId="25054" xr:uid="{00000000-0005-0000-0000-00009E790000}"/>
    <cellStyle name="Percent 12 6 3 2 3" xfId="12338" xr:uid="{00000000-0005-0000-0000-00009F790000}"/>
    <cellStyle name="Percent 12 6 3 2 3 2" xfId="29278" xr:uid="{00000000-0005-0000-0000-0000A0790000}"/>
    <cellStyle name="Percent 12 6 3 2 4" xfId="20830" xr:uid="{00000000-0005-0000-0000-0000A1790000}"/>
    <cellStyle name="Percent 12 6 3 3" xfId="6002" xr:uid="{00000000-0005-0000-0000-0000A2790000}"/>
    <cellStyle name="Percent 12 6 3 3 2" xfId="14450" xr:uid="{00000000-0005-0000-0000-0000A3790000}"/>
    <cellStyle name="Percent 12 6 3 3 2 2" xfId="31390" xr:uid="{00000000-0005-0000-0000-0000A4790000}"/>
    <cellStyle name="Percent 12 6 3 3 3" xfId="22942" xr:uid="{00000000-0005-0000-0000-0000A5790000}"/>
    <cellStyle name="Percent 12 6 3 4" xfId="10226" xr:uid="{00000000-0005-0000-0000-0000A6790000}"/>
    <cellStyle name="Percent 12 6 3 4 2" xfId="27166" xr:uid="{00000000-0005-0000-0000-0000A7790000}"/>
    <cellStyle name="Percent 12 6 3 5" xfId="18718" xr:uid="{00000000-0005-0000-0000-0000A8790000}"/>
    <cellStyle name="Percent 12 6 4" xfId="2832" xr:uid="{00000000-0005-0000-0000-0000A9790000}"/>
    <cellStyle name="Percent 12 6 4 2" xfId="7058" xr:uid="{00000000-0005-0000-0000-0000AA790000}"/>
    <cellStyle name="Percent 12 6 4 2 2" xfId="15506" xr:uid="{00000000-0005-0000-0000-0000AB790000}"/>
    <cellStyle name="Percent 12 6 4 2 2 2" xfId="32446" xr:uid="{00000000-0005-0000-0000-0000AC790000}"/>
    <cellStyle name="Percent 12 6 4 2 3" xfId="23998" xr:uid="{00000000-0005-0000-0000-0000AD790000}"/>
    <cellStyle name="Percent 12 6 4 3" xfId="11282" xr:uid="{00000000-0005-0000-0000-0000AE790000}"/>
    <cellStyle name="Percent 12 6 4 3 2" xfId="28222" xr:uid="{00000000-0005-0000-0000-0000AF790000}"/>
    <cellStyle name="Percent 12 6 4 4" xfId="19774" xr:uid="{00000000-0005-0000-0000-0000B0790000}"/>
    <cellStyle name="Percent 12 6 5" xfId="4946" xr:uid="{00000000-0005-0000-0000-0000B1790000}"/>
    <cellStyle name="Percent 12 6 5 2" xfId="13394" xr:uid="{00000000-0005-0000-0000-0000B2790000}"/>
    <cellStyle name="Percent 12 6 5 2 2" xfId="30334" xr:uid="{00000000-0005-0000-0000-0000B3790000}"/>
    <cellStyle name="Percent 12 6 5 3" xfId="21886" xr:uid="{00000000-0005-0000-0000-0000B4790000}"/>
    <cellStyle name="Percent 12 6 6" xfId="9170" xr:uid="{00000000-0005-0000-0000-0000B5790000}"/>
    <cellStyle name="Percent 12 6 6 2" xfId="26110" xr:uid="{00000000-0005-0000-0000-0000B6790000}"/>
    <cellStyle name="Percent 12 6 7" xfId="17662" xr:uid="{00000000-0005-0000-0000-0000B7790000}"/>
    <cellStyle name="Percent 12 7" xfId="890" xr:uid="{00000000-0005-0000-0000-0000B8790000}"/>
    <cellStyle name="Percent 12 7 2" xfId="1952" xr:uid="{00000000-0005-0000-0000-0000B9790000}"/>
    <cellStyle name="Percent 12 7 2 2" xfId="4064" xr:uid="{00000000-0005-0000-0000-0000BA790000}"/>
    <cellStyle name="Percent 12 7 2 2 2" xfId="8290" xr:uid="{00000000-0005-0000-0000-0000BB790000}"/>
    <cellStyle name="Percent 12 7 2 2 2 2" xfId="16738" xr:uid="{00000000-0005-0000-0000-0000BC790000}"/>
    <cellStyle name="Percent 12 7 2 2 2 2 2" xfId="33678" xr:uid="{00000000-0005-0000-0000-0000BD790000}"/>
    <cellStyle name="Percent 12 7 2 2 2 3" xfId="25230" xr:uid="{00000000-0005-0000-0000-0000BE790000}"/>
    <cellStyle name="Percent 12 7 2 2 3" xfId="12514" xr:uid="{00000000-0005-0000-0000-0000BF790000}"/>
    <cellStyle name="Percent 12 7 2 2 3 2" xfId="29454" xr:uid="{00000000-0005-0000-0000-0000C0790000}"/>
    <cellStyle name="Percent 12 7 2 2 4" xfId="21006" xr:uid="{00000000-0005-0000-0000-0000C1790000}"/>
    <cellStyle name="Percent 12 7 2 3" xfId="6178" xr:uid="{00000000-0005-0000-0000-0000C2790000}"/>
    <cellStyle name="Percent 12 7 2 3 2" xfId="14626" xr:uid="{00000000-0005-0000-0000-0000C3790000}"/>
    <cellStyle name="Percent 12 7 2 3 2 2" xfId="31566" xr:uid="{00000000-0005-0000-0000-0000C4790000}"/>
    <cellStyle name="Percent 12 7 2 3 3" xfId="23118" xr:uid="{00000000-0005-0000-0000-0000C5790000}"/>
    <cellStyle name="Percent 12 7 2 4" xfId="10402" xr:uid="{00000000-0005-0000-0000-0000C6790000}"/>
    <cellStyle name="Percent 12 7 2 4 2" xfId="27342" xr:uid="{00000000-0005-0000-0000-0000C7790000}"/>
    <cellStyle name="Percent 12 7 2 5" xfId="18894" xr:uid="{00000000-0005-0000-0000-0000C8790000}"/>
    <cellStyle name="Percent 12 7 3" xfId="3008" xr:uid="{00000000-0005-0000-0000-0000C9790000}"/>
    <cellStyle name="Percent 12 7 3 2" xfId="7234" xr:uid="{00000000-0005-0000-0000-0000CA790000}"/>
    <cellStyle name="Percent 12 7 3 2 2" xfId="15682" xr:uid="{00000000-0005-0000-0000-0000CB790000}"/>
    <cellStyle name="Percent 12 7 3 2 2 2" xfId="32622" xr:uid="{00000000-0005-0000-0000-0000CC790000}"/>
    <cellStyle name="Percent 12 7 3 2 3" xfId="24174" xr:uid="{00000000-0005-0000-0000-0000CD790000}"/>
    <cellStyle name="Percent 12 7 3 3" xfId="11458" xr:uid="{00000000-0005-0000-0000-0000CE790000}"/>
    <cellStyle name="Percent 12 7 3 3 2" xfId="28398" xr:uid="{00000000-0005-0000-0000-0000CF790000}"/>
    <cellStyle name="Percent 12 7 3 4" xfId="19950" xr:uid="{00000000-0005-0000-0000-0000D0790000}"/>
    <cellStyle name="Percent 12 7 4" xfId="5122" xr:uid="{00000000-0005-0000-0000-0000D1790000}"/>
    <cellStyle name="Percent 12 7 4 2" xfId="13570" xr:uid="{00000000-0005-0000-0000-0000D2790000}"/>
    <cellStyle name="Percent 12 7 4 2 2" xfId="30510" xr:uid="{00000000-0005-0000-0000-0000D3790000}"/>
    <cellStyle name="Percent 12 7 4 3" xfId="22062" xr:uid="{00000000-0005-0000-0000-0000D4790000}"/>
    <cellStyle name="Percent 12 7 5" xfId="9346" xr:uid="{00000000-0005-0000-0000-0000D5790000}"/>
    <cellStyle name="Percent 12 7 5 2" xfId="26286" xr:uid="{00000000-0005-0000-0000-0000D6790000}"/>
    <cellStyle name="Percent 12 7 6" xfId="17838" xr:uid="{00000000-0005-0000-0000-0000D7790000}"/>
    <cellStyle name="Percent 12 8" xfId="1242" xr:uid="{00000000-0005-0000-0000-0000D8790000}"/>
    <cellStyle name="Percent 12 8 2" xfId="2304" xr:uid="{00000000-0005-0000-0000-0000D9790000}"/>
    <cellStyle name="Percent 12 8 2 2" xfId="4416" xr:uid="{00000000-0005-0000-0000-0000DA790000}"/>
    <cellStyle name="Percent 12 8 2 2 2" xfId="8642" xr:uid="{00000000-0005-0000-0000-0000DB790000}"/>
    <cellStyle name="Percent 12 8 2 2 2 2" xfId="17090" xr:uid="{00000000-0005-0000-0000-0000DC790000}"/>
    <cellStyle name="Percent 12 8 2 2 2 2 2" xfId="34030" xr:uid="{00000000-0005-0000-0000-0000DD790000}"/>
    <cellStyle name="Percent 12 8 2 2 2 3" xfId="25582" xr:uid="{00000000-0005-0000-0000-0000DE790000}"/>
    <cellStyle name="Percent 12 8 2 2 3" xfId="12866" xr:uid="{00000000-0005-0000-0000-0000DF790000}"/>
    <cellStyle name="Percent 12 8 2 2 3 2" xfId="29806" xr:uid="{00000000-0005-0000-0000-0000E0790000}"/>
    <cellStyle name="Percent 12 8 2 2 4" xfId="21358" xr:uid="{00000000-0005-0000-0000-0000E1790000}"/>
    <cellStyle name="Percent 12 8 2 3" xfId="6530" xr:uid="{00000000-0005-0000-0000-0000E2790000}"/>
    <cellStyle name="Percent 12 8 2 3 2" xfId="14978" xr:uid="{00000000-0005-0000-0000-0000E3790000}"/>
    <cellStyle name="Percent 12 8 2 3 2 2" xfId="31918" xr:uid="{00000000-0005-0000-0000-0000E4790000}"/>
    <cellStyle name="Percent 12 8 2 3 3" xfId="23470" xr:uid="{00000000-0005-0000-0000-0000E5790000}"/>
    <cellStyle name="Percent 12 8 2 4" xfId="10754" xr:uid="{00000000-0005-0000-0000-0000E6790000}"/>
    <cellStyle name="Percent 12 8 2 4 2" xfId="27694" xr:uid="{00000000-0005-0000-0000-0000E7790000}"/>
    <cellStyle name="Percent 12 8 2 5" xfId="19246" xr:uid="{00000000-0005-0000-0000-0000E8790000}"/>
    <cellStyle name="Percent 12 8 3" xfId="3360" xr:uid="{00000000-0005-0000-0000-0000E9790000}"/>
    <cellStyle name="Percent 12 8 3 2" xfId="7586" xr:uid="{00000000-0005-0000-0000-0000EA790000}"/>
    <cellStyle name="Percent 12 8 3 2 2" xfId="16034" xr:uid="{00000000-0005-0000-0000-0000EB790000}"/>
    <cellStyle name="Percent 12 8 3 2 2 2" xfId="32974" xr:uid="{00000000-0005-0000-0000-0000EC790000}"/>
    <cellStyle name="Percent 12 8 3 2 3" xfId="24526" xr:uid="{00000000-0005-0000-0000-0000ED790000}"/>
    <cellStyle name="Percent 12 8 3 3" xfId="11810" xr:uid="{00000000-0005-0000-0000-0000EE790000}"/>
    <cellStyle name="Percent 12 8 3 3 2" xfId="28750" xr:uid="{00000000-0005-0000-0000-0000EF790000}"/>
    <cellStyle name="Percent 12 8 3 4" xfId="20302" xr:uid="{00000000-0005-0000-0000-0000F0790000}"/>
    <cellStyle name="Percent 12 8 4" xfId="5474" xr:uid="{00000000-0005-0000-0000-0000F1790000}"/>
    <cellStyle name="Percent 12 8 4 2" xfId="13922" xr:uid="{00000000-0005-0000-0000-0000F2790000}"/>
    <cellStyle name="Percent 12 8 4 2 2" xfId="30862" xr:uid="{00000000-0005-0000-0000-0000F3790000}"/>
    <cellStyle name="Percent 12 8 4 3" xfId="22414" xr:uid="{00000000-0005-0000-0000-0000F4790000}"/>
    <cellStyle name="Percent 12 8 5" xfId="9698" xr:uid="{00000000-0005-0000-0000-0000F5790000}"/>
    <cellStyle name="Percent 12 8 5 2" xfId="26638" xr:uid="{00000000-0005-0000-0000-0000F6790000}"/>
    <cellStyle name="Percent 12 8 6" xfId="18190" xr:uid="{00000000-0005-0000-0000-0000F7790000}"/>
    <cellStyle name="Percent 12 9" xfId="1424" xr:uid="{00000000-0005-0000-0000-0000F8790000}"/>
    <cellStyle name="Percent 12 9 2" xfId="2480" xr:uid="{00000000-0005-0000-0000-0000F9790000}"/>
    <cellStyle name="Percent 12 9 2 2" xfId="4592" xr:uid="{00000000-0005-0000-0000-0000FA790000}"/>
    <cellStyle name="Percent 12 9 2 2 2" xfId="8818" xr:uid="{00000000-0005-0000-0000-0000FB790000}"/>
    <cellStyle name="Percent 12 9 2 2 2 2" xfId="17266" xr:uid="{00000000-0005-0000-0000-0000FC790000}"/>
    <cellStyle name="Percent 12 9 2 2 2 2 2" xfId="34206" xr:uid="{00000000-0005-0000-0000-0000FD790000}"/>
    <cellStyle name="Percent 12 9 2 2 2 3" xfId="25758" xr:uid="{00000000-0005-0000-0000-0000FE790000}"/>
    <cellStyle name="Percent 12 9 2 2 3" xfId="13042" xr:uid="{00000000-0005-0000-0000-0000FF790000}"/>
    <cellStyle name="Percent 12 9 2 2 3 2" xfId="29982" xr:uid="{00000000-0005-0000-0000-0000007A0000}"/>
    <cellStyle name="Percent 12 9 2 2 4" xfId="21534" xr:uid="{00000000-0005-0000-0000-0000017A0000}"/>
    <cellStyle name="Percent 12 9 2 3" xfId="6706" xr:uid="{00000000-0005-0000-0000-0000027A0000}"/>
    <cellStyle name="Percent 12 9 2 3 2" xfId="15154" xr:uid="{00000000-0005-0000-0000-0000037A0000}"/>
    <cellStyle name="Percent 12 9 2 3 2 2" xfId="32094" xr:uid="{00000000-0005-0000-0000-0000047A0000}"/>
    <cellStyle name="Percent 12 9 2 3 3" xfId="23646" xr:uid="{00000000-0005-0000-0000-0000057A0000}"/>
    <cellStyle name="Percent 12 9 2 4" xfId="10930" xr:uid="{00000000-0005-0000-0000-0000067A0000}"/>
    <cellStyle name="Percent 12 9 2 4 2" xfId="27870" xr:uid="{00000000-0005-0000-0000-0000077A0000}"/>
    <cellStyle name="Percent 12 9 2 5" xfId="19422" xr:uid="{00000000-0005-0000-0000-0000087A0000}"/>
    <cellStyle name="Percent 12 9 3" xfId="3536" xr:uid="{00000000-0005-0000-0000-0000097A0000}"/>
    <cellStyle name="Percent 12 9 3 2" xfId="7762" xr:uid="{00000000-0005-0000-0000-00000A7A0000}"/>
    <cellStyle name="Percent 12 9 3 2 2" xfId="16210" xr:uid="{00000000-0005-0000-0000-00000B7A0000}"/>
    <cellStyle name="Percent 12 9 3 2 2 2" xfId="33150" xr:uid="{00000000-0005-0000-0000-00000C7A0000}"/>
    <cellStyle name="Percent 12 9 3 2 3" xfId="24702" xr:uid="{00000000-0005-0000-0000-00000D7A0000}"/>
    <cellStyle name="Percent 12 9 3 3" xfId="11986" xr:uid="{00000000-0005-0000-0000-00000E7A0000}"/>
    <cellStyle name="Percent 12 9 3 3 2" xfId="28926" xr:uid="{00000000-0005-0000-0000-00000F7A0000}"/>
    <cellStyle name="Percent 12 9 3 4" xfId="20478" xr:uid="{00000000-0005-0000-0000-0000107A0000}"/>
    <cellStyle name="Percent 12 9 4" xfId="5650" xr:uid="{00000000-0005-0000-0000-0000117A0000}"/>
    <cellStyle name="Percent 12 9 4 2" xfId="14098" xr:uid="{00000000-0005-0000-0000-0000127A0000}"/>
    <cellStyle name="Percent 12 9 4 2 2" xfId="31038" xr:uid="{00000000-0005-0000-0000-0000137A0000}"/>
    <cellStyle name="Percent 12 9 4 3" xfId="22590" xr:uid="{00000000-0005-0000-0000-0000147A0000}"/>
    <cellStyle name="Percent 12 9 5" xfId="9874" xr:uid="{00000000-0005-0000-0000-0000157A0000}"/>
    <cellStyle name="Percent 12 9 5 2" xfId="26814" xr:uid="{00000000-0005-0000-0000-0000167A0000}"/>
    <cellStyle name="Percent 12 9 6" xfId="18366" xr:uid="{00000000-0005-0000-0000-0000177A0000}"/>
    <cellStyle name="Percent 13" xfId="442" xr:uid="{00000000-0005-0000-0000-0000187A0000}"/>
    <cellStyle name="Percent 14" xfId="443" xr:uid="{00000000-0005-0000-0000-0000197A0000}"/>
    <cellStyle name="Percent 15" xfId="444" xr:uid="{00000000-0005-0000-0000-00001A7A0000}"/>
    <cellStyle name="Percent 15 2" xfId="445" xr:uid="{00000000-0005-0000-0000-00001B7A0000}"/>
    <cellStyle name="Percent 16" xfId="446" xr:uid="{00000000-0005-0000-0000-00001C7A0000}"/>
    <cellStyle name="Percent 16 2" xfId="447" xr:uid="{00000000-0005-0000-0000-00001D7A0000}"/>
    <cellStyle name="Percent 17" xfId="448" xr:uid="{00000000-0005-0000-0000-00001E7A0000}"/>
    <cellStyle name="Percent 18" xfId="449" xr:uid="{00000000-0005-0000-0000-00001F7A0000}"/>
    <cellStyle name="Percent 19" xfId="450" xr:uid="{00000000-0005-0000-0000-0000207A0000}"/>
    <cellStyle name="Percent 2" xfId="451" xr:uid="{00000000-0005-0000-0000-0000217A0000}"/>
    <cellStyle name="Percent 2 2" xfId="452" xr:uid="{00000000-0005-0000-0000-0000227A0000}"/>
    <cellStyle name="Percent 2 2 2" xfId="453" xr:uid="{00000000-0005-0000-0000-0000237A0000}"/>
    <cellStyle name="Percent 2 2 3" xfId="454" xr:uid="{00000000-0005-0000-0000-0000247A0000}"/>
    <cellStyle name="Percent 20" xfId="455" xr:uid="{00000000-0005-0000-0000-0000257A0000}"/>
    <cellStyle name="Percent 3" xfId="456" xr:uid="{00000000-0005-0000-0000-0000267A0000}"/>
    <cellStyle name="Percent 3 10" xfId="2662" xr:uid="{00000000-0005-0000-0000-0000277A0000}"/>
    <cellStyle name="Percent 3 10 2" xfId="6888" xr:uid="{00000000-0005-0000-0000-0000287A0000}"/>
    <cellStyle name="Percent 3 10 2 2" xfId="15336" xr:uid="{00000000-0005-0000-0000-0000297A0000}"/>
    <cellStyle name="Percent 3 10 2 2 2" xfId="32276" xr:uid="{00000000-0005-0000-0000-00002A7A0000}"/>
    <cellStyle name="Percent 3 10 2 3" xfId="23828" xr:uid="{00000000-0005-0000-0000-00002B7A0000}"/>
    <cellStyle name="Percent 3 10 3" xfId="11112" xr:uid="{00000000-0005-0000-0000-00002C7A0000}"/>
    <cellStyle name="Percent 3 10 3 2" xfId="28052" xr:uid="{00000000-0005-0000-0000-00002D7A0000}"/>
    <cellStyle name="Percent 3 10 4" xfId="19604" xr:uid="{00000000-0005-0000-0000-00002E7A0000}"/>
    <cellStyle name="Percent 3 11" xfId="4775" xr:uid="{00000000-0005-0000-0000-00002F7A0000}"/>
    <cellStyle name="Percent 3 11 2" xfId="13224" xr:uid="{00000000-0005-0000-0000-0000307A0000}"/>
    <cellStyle name="Percent 3 11 2 2" xfId="30164" xr:uid="{00000000-0005-0000-0000-0000317A0000}"/>
    <cellStyle name="Percent 3 11 3" xfId="21716" xr:uid="{00000000-0005-0000-0000-0000327A0000}"/>
    <cellStyle name="Percent 3 12" xfId="9000" xr:uid="{00000000-0005-0000-0000-0000337A0000}"/>
    <cellStyle name="Percent 3 12 2" xfId="25940" xr:uid="{00000000-0005-0000-0000-0000347A0000}"/>
    <cellStyle name="Percent 3 13" xfId="17492" xr:uid="{00000000-0005-0000-0000-0000357A0000}"/>
    <cellStyle name="Percent 3 2" xfId="457" xr:uid="{00000000-0005-0000-0000-0000367A0000}"/>
    <cellStyle name="Percent 3 3" xfId="458" xr:uid="{00000000-0005-0000-0000-0000377A0000}"/>
    <cellStyle name="Percent 3 3 10" xfId="17493" xr:uid="{00000000-0005-0000-0000-0000387A0000}"/>
    <cellStyle name="Percent 3 3 2" xfId="721" xr:uid="{00000000-0005-0000-0000-0000397A0000}"/>
    <cellStyle name="Percent 3 3 2 2" xfId="1073" xr:uid="{00000000-0005-0000-0000-00003A7A0000}"/>
    <cellStyle name="Percent 3 3 2 2 2" xfId="2135" xr:uid="{00000000-0005-0000-0000-00003B7A0000}"/>
    <cellStyle name="Percent 3 3 2 2 2 2" xfId="4247" xr:uid="{00000000-0005-0000-0000-00003C7A0000}"/>
    <cellStyle name="Percent 3 3 2 2 2 2 2" xfId="8473" xr:uid="{00000000-0005-0000-0000-00003D7A0000}"/>
    <cellStyle name="Percent 3 3 2 2 2 2 2 2" xfId="16921" xr:uid="{00000000-0005-0000-0000-00003E7A0000}"/>
    <cellStyle name="Percent 3 3 2 2 2 2 2 2 2" xfId="33861" xr:uid="{00000000-0005-0000-0000-00003F7A0000}"/>
    <cellStyle name="Percent 3 3 2 2 2 2 2 3" xfId="25413" xr:uid="{00000000-0005-0000-0000-0000407A0000}"/>
    <cellStyle name="Percent 3 3 2 2 2 2 3" xfId="12697" xr:uid="{00000000-0005-0000-0000-0000417A0000}"/>
    <cellStyle name="Percent 3 3 2 2 2 2 3 2" xfId="29637" xr:uid="{00000000-0005-0000-0000-0000427A0000}"/>
    <cellStyle name="Percent 3 3 2 2 2 2 4" xfId="21189" xr:uid="{00000000-0005-0000-0000-0000437A0000}"/>
    <cellStyle name="Percent 3 3 2 2 2 3" xfId="6361" xr:uid="{00000000-0005-0000-0000-0000447A0000}"/>
    <cellStyle name="Percent 3 3 2 2 2 3 2" xfId="14809" xr:uid="{00000000-0005-0000-0000-0000457A0000}"/>
    <cellStyle name="Percent 3 3 2 2 2 3 2 2" xfId="31749" xr:uid="{00000000-0005-0000-0000-0000467A0000}"/>
    <cellStyle name="Percent 3 3 2 2 2 3 3" xfId="23301" xr:uid="{00000000-0005-0000-0000-0000477A0000}"/>
    <cellStyle name="Percent 3 3 2 2 2 4" xfId="10585" xr:uid="{00000000-0005-0000-0000-0000487A0000}"/>
    <cellStyle name="Percent 3 3 2 2 2 4 2" xfId="27525" xr:uid="{00000000-0005-0000-0000-0000497A0000}"/>
    <cellStyle name="Percent 3 3 2 2 2 5" xfId="19077" xr:uid="{00000000-0005-0000-0000-00004A7A0000}"/>
    <cellStyle name="Percent 3 3 2 2 3" xfId="3191" xr:uid="{00000000-0005-0000-0000-00004B7A0000}"/>
    <cellStyle name="Percent 3 3 2 2 3 2" xfId="7417" xr:uid="{00000000-0005-0000-0000-00004C7A0000}"/>
    <cellStyle name="Percent 3 3 2 2 3 2 2" xfId="15865" xr:uid="{00000000-0005-0000-0000-00004D7A0000}"/>
    <cellStyle name="Percent 3 3 2 2 3 2 2 2" xfId="32805" xr:uid="{00000000-0005-0000-0000-00004E7A0000}"/>
    <cellStyle name="Percent 3 3 2 2 3 2 3" xfId="24357" xr:uid="{00000000-0005-0000-0000-00004F7A0000}"/>
    <cellStyle name="Percent 3 3 2 2 3 3" xfId="11641" xr:uid="{00000000-0005-0000-0000-0000507A0000}"/>
    <cellStyle name="Percent 3 3 2 2 3 3 2" xfId="28581" xr:uid="{00000000-0005-0000-0000-0000517A0000}"/>
    <cellStyle name="Percent 3 3 2 2 3 4" xfId="20133" xr:uid="{00000000-0005-0000-0000-0000527A0000}"/>
    <cellStyle name="Percent 3 3 2 2 4" xfId="5305" xr:uid="{00000000-0005-0000-0000-0000537A0000}"/>
    <cellStyle name="Percent 3 3 2 2 4 2" xfId="13753" xr:uid="{00000000-0005-0000-0000-0000547A0000}"/>
    <cellStyle name="Percent 3 3 2 2 4 2 2" xfId="30693" xr:uid="{00000000-0005-0000-0000-0000557A0000}"/>
    <cellStyle name="Percent 3 3 2 2 4 3" xfId="22245" xr:uid="{00000000-0005-0000-0000-0000567A0000}"/>
    <cellStyle name="Percent 3 3 2 2 5" xfId="9529" xr:uid="{00000000-0005-0000-0000-0000577A0000}"/>
    <cellStyle name="Percent 3 3 2 2 5 2" xfId="26469" xr:uid="{00000000-0005-0000-0000-0000587A0000}"/>
    <cellStyle name="Percent 3 3 2 2 6" xfId="18021" xr:uid="{00000000-0005-0000-0000-0000597A0000}"/>
    <cellStyle name="Percent 3 3 2 3" xfId="1783" xr:uid="{00000000-0005-0000-0000-00005A7A0000}"/>
    <cellStyle name="Percent 3 3 2 3 2" xfId="3895" xr:uid="{00000000-0005-0000-0000-00005B7A0000}"/>
    <cellStyle name="Percent 3 3 2 3 2 2" xfId="8121" xr:uid="{00000000-0005-0000-0000-00005C7A0000}"/>
    <cellStyle name="Percent 3 3 2 3 2 2 2" xfId="16569" xr:uid="{00000000-0005-0000-0000-00005D7A0000}"/>
    <cellStyle name="Percent 3 3 2 3 2 2 2 2" xfId="33509" xr:uid="{00000000-0005-0000-0000-00005E7A0000}"/>
    <cellStyle name="Percent 3 3 2 3 2 2 3" xfId="25061" xr:uid="{00000000-0005-0000-0000-00005F7A0000}"/>
    <cellStyle name="Percent 3 3 2 3 2 3" xfId="12345" xr:uid="{00000000-0005-0000-0000-0000607A0000}"/>
    <cellStyle name="Percent 3 3 2 3 2 3 2" xfId="29285" xr:uid="{00000000-0005-0000-0000-0000617A0000}"/>
    <cellStyle name="Percent 3 3 2 3 2 4" xfId="20837" xr:uid="{00000000-0005-0000-0000-0000627A0000}"/>
    <cellStyle name="Percent 3 3 2 3 3" xfId="6009" xr:uid="{00000000-0005-0000-0000-0000637A0000}"/>
    <cellStyle name="Percent 3 3 2 3 3 2" xfId="14457" xr:uid="{00000000-0005-0000-0000-0000647A0000}"/>
    <cellStyle name="Percent 3 3 2 3 3 2 2" xfId="31397" xr:uid="{00000000-0005-0000-0000-0000657A0000}"/>
    <cellStyle name="Percent 3 3 2 3 3 3" xfId="22949" xr:uid="{00000000-0005-0000-0000-0000667A0000}"/>
    <cellStyle name="Percent 3 3 2 3 4" xfId="10233" xr:uid="{00000000-0005-0000-0000-0000677A0000}"/>
    <cellStyle name="Percent 3 3 2 3 4 2" xfId="27173" xr:uid="{00000000-0005-0000-0000-0000687A0000}"/>
    <cellStyle name="Percent 3 3 2 3 5" xfId="18725" xr:uid="{00000000-0005-0000-0000-0000697A0000}"/>
    <cellStyle name="Percent 3 3 2 4" xfId="2839" xr:uid="{00000000-0005-0000-0000-00006A7A0000}"/>
    <cellStyle name="Percent 3 3 2 4 2" xfId="7065" xr:uid="{00000000-0005-0000-0000-00006B7A0000}"/>
    <cellStyle name="Percent 3 3 2 4 2 2" xfId="15513" xr:uid="{00000000-0005-0000-0000-00006C7A0000}"/>
    <cellStyle name="Percent 3 3 2 4 2 2 2" xfId="32453" xr:uid="{00000000-0005-0000-0000-00006D7A0000}"/>
    <cellStyle name="Percent 3 3 2 4 2 3" xfId="24005" xr:uid="{00000000-0005-0000-0000-00006E7A0000}"/>
    <cellStyle name="Percent 3 3 2 4 3" xfId="11289" xr:uid="{00000000-0005-0000-0000-00006F7A0000}"/>
    <cellStyle name="Percent 3 3 2 4 3 2" xfId="28229" xr:uid="{00000000-0005-0000-0000-0000707A0000}"/>
    <cellStyle name="Percent 3 3 2 4 4" xfId="19781" xr:uid="{00000000-0005-0000-0000-0000717A0000}"/>
    <cellStyle name="Percent 3 3 2 5" xfId="4953" xr:uid="{00000000-0005-0000-0000-0000727A0000}"/>
    <cellStyle name="Percent 3 3 2 5 2" xfId="13401" xr:uid="{00000000-0005-0000-0000-0000737A0000}"/>
    <cellStyle name="Percent 3 3 2 5 2 2" xfId="30341" xr:uid="{00000000-0005-0000-0000-0000747A0000}"/>
    <cellStyle name="Percent 3 3 2 5 3" xfId="21893" xr:uid="{00000000-0005-0000-0000-0000757A0000}"/>
    <cellStyle name="Percent 3 3 2 6" xfId="9177" xr:uid="{00000000-0005-0000-0000-0000767A0000}"/>
    <cellStyle name="Percent 3 3 2 6 2" xfId="26117" xr:uid="{00000000-0005-0000-0000-0000777A0000}"/>
    <cellStyle name="Percent 3 3 2 7" xfId="17669" xr:uid="{00000000-0005-0000-0000-0000787A0000}"/>
    <cellStyle name="Percent 3 3 3" xfId="897" xr:uid="{00000000-0005-0000-0000-0000797A0000}"/>
    <cellStyle name="Percent 3 3 3 2" xfId="1959" xr:uid="{00000000-0005-0000-0000-00007A7A0000}"/>
    <cellStyle name="Percent 3 3 3 2 2" xfId="4071" xr:uid="{00000000-0005-0000-0000-00007B7A0000}"/>
    <cellStyle name="Percent 3 3 3 2 2 2" xfId="8297" xr:uid="{00000000-0005-0000-0000-00007C7A0000}"/>
    <cellStyle name="Percent 3 3 3 2 2 2 2" xfId="16745" xr:uid="{00000000-0005-0000-0000-00007D7A0000}"/>
    <cellStyle name="Percent 3 3 3 2 2 2 2 2" xfId="33685" xr:uid="{00000000-0005-0000-0000-00007E7A0000}"/>
    <cellStyle name="Percent 3 3 3 2 2 2 3" xfId="25237" xr:uid="{00000000-0005-0000-0000-00007F7A0000}"/>
    <cellStyle name="Percent 3 3 3 2 2 3" xfId="12521" xr:uid="{00000000-0005-0000-0000-0000807A0000}"/>
    <cellStyle name="Percent 3 3 3 2 2 3 2" xfId="29461" xr:uid="{00000000-0005-0000-0000-0000817A0000}"/>
    <cellStyle name="Percent 3 3 3 2 2 4" xfId="21013" xr:uid="{00000000-0005-0000-0000-0000827A0000}"/>
    <cellStyle name="Percent 3 3 3 2 3" xfId="6185" xr:uid="{00000000-0005-0000-0000-0000837A0000}"/>
    <cellStyle name="Percent 3 3 3 2 3 2" xfId="14633" xr:uid="{00000000-0005-0000-0000-0000847A0000}"/>
    <cellStyle name="Percent 3 3 3 2 3 2 2" xfId="31573" xr:uid="{00000000-0005-0000-0000-0000857A0000}"/>
    <cellStyle name="Percent 3 3 3 2 3 3" xfId="23125" xr:uid="{00000000-0005-0000-0000-0000867A0000}"/>
    <cellStyle name="Percent 3 3 3 2 4" xfId="10409" xr:uid="{00000000-0005-0000-0000-0000877A0000}"/>
    <cellStyle name="Percent 3 3 3 2 4 2" xfId="27349" xr:uid="{00000000-0005-0000-0000-0000887A0000}"/>
    <cellStyle name="Percent 3 3 3 2 5" xfId="18901" xr:uid="{00000000-0005-0000-0000-0000897A0000}"/>
    <cellStyle name="Percent 3 3 3 3" xfId="3015" xr:uid="{00000000-0005-0000-0000-00008A7A0000}"/>
    <cellStyle name="Percent 3 3 3 3 2" xfId="7241" xr:uid="{00000000-0005-0000-0000-00008B7A0000}"/>
    <cellStyle name="Percent 3 3 3 3 2 2" xfId="15689" xr:uid="{00000000-0005-0000-0000-00008C7A0000}"/>
    <cellStyle name="Percent 3 3 3 3 2 2 2" xfId="32629" xr:uid="{00000000-0005-0000-0000-00008D7A0000}"/>
    <cellStyle name="Percent 3 3 3 3 2 3" xfId="24181" xr:uid="{00000000-0005-0000-0000-00008E7A0000}"/>
    <cellStyle name="Percent 3 3 3 3 3" xfId="11465" xr:uid="{00000000-0005-0000-0000-00008F7A0000}"/>
    <cellStyle name="Percent 3 3 3 3 3 2" xfId="28405" xr:uid="{00000000-0005-0000-0000-0000907A0000}"/>
    <cellStyle name="Percent 3 3 3 3 4" xfId="19957" xr:uid="{00000000-0005-0000-0000-0000917A0000}"/>
    <cellStyle name="Percent 3 3 3 4" xfId="5129" xr:uid="{00000000-0005-0000-0000-0000927A0000}"/>
    <cellStyle name="Percent 3 3 3 4 2" xfId="13577" xr:uid="{00000000-0005-0000-0000-0000937A0000}"/>
    <cellStyle name="Percent 3 3 3 4 2 2" xfId="30517" xr:uid="{00000000-0005-0000-0000-0000947A0000}"/>
    <cellStyle name="Percent 3 3 3 4 3" xfId="22069" xr:uid="{00000000-0005-0000-0000-0000957A0000}"/>
    <cellStyle name="Percent 3 3 3 5" xfId="9353" xr:uid="{00000000-0005-0000-0000-0000967A0000}"/>
    <cellStyle name="Percent 3 3 3 5 2" xfId="26293" xr:uid="{00000000-0005-0000-0000-0000977A0000}"/>
    <cellStyle name="Percent 3 3 3 6" xfId="17845" xr:uid="{00000000-0005-0000-0000-0000987A0000}"/>
    <cellStyle name="Percent 3 3 4" xfId="1249" xr:uid="{00000000-0005-0000-0000-0000997A0000}"/>
    <cellStyle name="Percent 3 3 4 2" xfId="2311" xr:uid="{00000000-0005-0000-0000-00009A7A0000}"/>
    <cellStyle name="Percent 3 3 4 2 2" xfId="4423" xr:uid="{00000000-0005-0000-0000-00009B7A0000}"/>
    <cellStyle name="Percent 3 3 4 2 2 2" xfId="8649" xr:uid="{00000000-0005-0000-0000-00009C7A0000}"/>
    <cellStyle name="Percent 3 3 4 2 2 2 2" xfId="17097" xr:uid="{00000000-0005-0000-0000-00009D7A0000}"/>
    <cellStyle name="Percent 3 3 4 2 2 2 2 2" xfId="34037" xr:uid="{00000000-0005-0000-0000-00009E7A0000}"/>
    <cellStyle name="Percent 3 3 4 2 2 2 3" xfId="25589" xr:uid="{00000000-0005-0000-0000-00009F7A0000}"/>
    <cellStyle name="Percent 3 3 4 2 2 3" xfId="12873" xr:uid="{00000000-0005-0000-0000-0000A07A0000}"/>
    <cellStyle name="Percent 3 3 4 2 2 3 2" xfId="29813" xr:uid="{00000000-0005-0000-0000-0000A17A0000}"/>
    <cellStyle name="Percent 3 3 4 2 2 4" xfId="21365" xr:uid="{00000000-0005-0000-0000-0000A27A0000}"/>
    <cellStyle name="Percent 3 3 4 2 3" xfId="6537" xr:uid="{00000000-0005-0000-0000-0000A37A0000}"/>
    <cellStyle name="Percent 3 3 4 2 3 2" xfId="14985" xr:uid="{00000000-0005-0000-0000-0000A47A0000}"/>
    <cellStyle name="Percent 3 3 4 2 3 2 2" xfId="31925" xr:uid="{00000000-0005-0000-0000-0000A57A0000}"/>
    <cellStyle name="Percent 3 3 4 2 3 3" xfId="23477" xr:uid="{00000000-0005-0000-0000-0000A67A0000}"/>
    <cellStyle name="Percent 3 3 4 2 4" xfId="10761" xr:uid="{00000000-0005-0000-0000-0000A77A0000}"/>
    <cellStyle name="Percent 3 3 4 2 4 2" xfId="27701" xr:uid="{00000000-0005-0000-0000-0000A87A0000}"/>
    <cellStyle name="Percent 3 3 4 2 5" xfId="19253" xr:uid="{00000000-0005-0000-0000-0000A97A0000}"/>
    <cellStyle name="Percent 3 3 4 3" xfId="3367" xr:uid="{00000000-0005-0000-0000-0000AA7A0000}"/>
    <cellStyle name="Percent 3 3 4 3 2" xfId="7593" xr:uid="{00000000-0005-0000-0000-0000AB7A0000}"/>
    <cellStyle name="Percent 3 3 4 3 2 2" xfId="16041" xr:uid="{00000000-0005-0000-0000-0000AC7A0000}"/>
    <cellStyle name="Percent 3 3 4 3 2 2 2" xfId="32981" xr:uid="{00000000-0005-0000-0000-0000AD7A0000}"/>
    <cellStyle name="Percent 3 3 4 3 2 3" xfId="24533" xr:uid="{00000000-0005-0000-0000-0000AE7A0000}"/>
    <cellStyle name="Percent 3 3 4 3 3" xfId="11817" xr:uid="{00000000-0005-0000-0000-0000AF7A0000}"/>
    <cellStyle name="Percent 3 3 4 3 3 2" xfId="28757" xr:uid="{00000000-0005-0000-0000-0000B07A0000}"/>
    <cellStyle name="Percent 3 3 4 3 4" xfId="20309" xr:uid="{00000000-0005-0000-0000-0000B17A0000}"/>
    <cellStyle name="Percent 3 3 4 4" xfId="5481" xr:uid="{00000000-0005-0000-0000-0000B27A0000}"/>
    <cellStyle name="Percent 3 3 4 4 2" xfId="13929" xr:uid="{00000000-0005-0000-0000-0000B37A0000}"/>
    <cellStyle name="Percent 3 3 4 4 2 2" xfId="30869" xr:uid="{00000000-0005-0000-0000-0000B47A0000}"/>
    <cellStyle name="Percent 3 3 4 4 3" xfId="22421" xr:uid="{00000000-0005-0000-0000-0000B57A0000}"/>
    <cellStyle name="Percent 3 3 4 5" xfId="9705" xr:uid="{00000000-0005-0000-0000-0000B67A0000}"/>
    <cellStyle name="Percent 3 3 4 5 2" xfId="26645" xr:uid="{00000000-0005-0000-0000-0000B77A0000}"/>
    <cellStyle name="Percent 3 3 4 6" xfId="18197" xr:uid="{00000000-0005-0000-0000-0000B87A0000}"/>
    <cellStyle name="Percent 3 3 5" xfId="1431" xr:uid="{00000000-0005-0000-0000-0000B97A0000}"/>
    <cellStyle name="Percent 3 3 5 2" xfId="2487" xr:uid="{00000000-0005-0000-0000-0000BA7A0000}"/>
    <cellStyle name="Percent 3 3 5 2 2" xfId="4599" xr:uid="{00000000-0005-0000-0000-0000BB7A0000}"/>
    <cellStyle name="Percent 3 3 5 2 2 2" xfId="8825" xr:uid="{00000000-0005-0000-0000-0000BC7A0000}"/>
    <cellStyle name="Percent 3 3 5 2 2 2 2" xfId="17273" xr:uid="{00000000-0005-0000-0000-0000BD7A0000}"/>
    <cellStyle name="Percent 3 3 5 2 2 2 2 2" xfId="34213" xr:uid="{00000000-0005-0000-0000-0000BE7A0000}"/>
    <cellStyle name="Percent 3 3 5 2 2 2 3" xfId="25765" xr:uid="{00000000-0005-0000-0000-0000BF7A0000}"/>
    <cellStyle name="Percent 3 3 5 2 2 3" xfId="13049" xr:uid="{00000000-0005-0000-0000-0000C07A0000}"/>
    <cellStyle name="Percent 3 3 5 2 2 3 2" xfId="29989" xr:uid="{00000000-0005-0000-0000-0000C17A0000}"/>
    <cellStyle name="Percent 3 3 5 2 2 4" xfId="21541" xr:uid="{00000000-0005-0000-0000-0000C27A0000}"/>
    <cellStyle name="Percent 3 3 5 2 3" xfId="6713" xr:uid="{00000000-0005-0000-0000-0000C37A0000}"/>
    <cellStyle name="Percent 3 3 5 2 3 2" xfId="15161" xr:uid="{00000000-0005-0000-0000-0000C47A0000}"/>
    <cellStyle name="Percent 3 3 5 2 3 2 2" xfId="32101" xr:uid="{00000000-0005-0000-0000-0000C57A0000}"/>
    <cellStyle name="Percent 3 3 5 2 3 3" xfId="23653" xr:uid="{00000000-0005-0000-0000-0000C67A0000}"/>
    <cellStyle name="Percent 3 3 5 2 4" xfId="10937" xr:uid="{00000000-0005-0000-0000-0000C77A0000}"/>
    <cellStyle name="Percent 3 3 5 2 4 2" xfId="27877" xr:uid="{00000000-0005-0000-0000-0000C87A0000}"/>
    <cellStyle name="Percent 3 3 5 2 5" xfId="19429" xr:uid="{00000000-0005-0000-0000-0000C97A0000}"/>
    <cellStyle name="Percent 3 3 5 3" xfId="3543" xr:uid="{00000000-0005-0000-0000-0000CA7A0000}"/>
    <cellStyle name="Percent 3 3 5 3 2" xfId="7769" xr:uid="{00000000-0005-0000-0000-0000CB7A0000}"/>
    <cellStyle name="Percent 3 3 5 3 2 2" xfId="16217" xr:uid="{00000000-0005-0000-0000-0000CC7A0000}"/>
    <cellStyle name="Percent 3 3 5 3 2 2 2" xfId="33157" xr:uid="{00000000-0005-0000-0000-0000CD7A0000}"/>
    <cellStyle name="Percent 3 3 5 3 2 3" xfId="24709" xr:uid="{00000000-0005-0000-0000-0000CE7A0000}"/>
    <cellStyle name="Percent 3 3 5 3 3" xfId="11993" xr:uid="{00000000-0005-0000-0000-0000CF7A0000}"/>
    <cellStyle name="Percent 3 3 5 3 3 2" xfId="28933" xr:uid="{00000000-0005-0000-0000-0000D07A0000}"/>
    <cellStyle name="Percent 3 3 5 3 4" xfId="20485" xr:uid="{00000000-0005-0000-0000-0000D17A0000}"/>
    <cellStyle name="Percent 3 3 5 4" xfId="5657" xr:uid="{00000000-0005-0000-0000-0000D27A0000}"/>
    <cellStyle name="Percent 3 3 5 4 2" xfId="14105" xr:uid="{00000000-0005-0000-0000-0000D37A0000}"/>
    <cellStyle name="Percent 3 3 5 4 2 2" xfId="31045" xr:uid="{00000000-0005-0000-0000-0000D47A0000}"/>
    <cellStyle name="Percent 3 3 5 4 3" xfId="22597" xr:uid="{00000000-0005-0000-0000-0000D57A0000}"/>
    <cellStyle name="Percent 3 3 5 5" xfId="9881" xr:uid="{00000000-0005-0000-0000-0000D67A0000}"/>
    <cellStyle name="Percent 3 3 5 5 2" xfId="26821" xr:uid="{00000000-0005-0000-0000-0000D77A0000}"/>
    <cellStyle name="Percent 3 3 5 6" xfId="18373" xr:uid="{00000000-0005-0000-0000-0000D87A0000}"/>
    <cellStyle name="Percent 3 3 6" xfId="1607" xr:uid="{00000000-0005-0000-0000-0000D97A0000}"/>
    <cellStyle name="Percent 3 3 6 2" xfId="3719" xr:uid="{00000000-0005-0000-0000-0000DA7A0000}"/>
    <cellStyle name="Percent 3 3 6 2 2" xfId="7945" xr:uid="{00000000-0005-0000-0000-0000DB7A0000}"/>
    <cellStyle name="Percent 3 3 6 2 2 2" xfId="16393" xr:uid="{00000000-0005-0000-0000-0000DC7A0000}"/>
    <cellStyle name="Percent 3 3 6 2 2 2 2" xfId="33333" xr:uid="{00000000-0005-0000-0000-0000DD7A0000}"/>
    <cellStyle name="Percent 3 3 6 2 2 3" xfId="24885" xr:uid="{00000000-0005-0000-0000-0000DE7A0000}"/>
    <cellStyle name="Percent 3 3 6 2 3" xfId="12169" xr:uid="{00000000-0005-0000-0000-0000DF7A0000}"/>
    <cellStyle name="Percent 3 3 6 2 3 2" xfId="29109" xr:uid="{00000000-0005-0000-0000-0000E07A0000}"/>
    <cellStyle name="Percent 3 3 6 2 4" xfId="20661" xr:uid="{00000000-0005-0000-0000-0000E17A0000}"/>
    <cellStyle name="Percent 3 3 6 3" xfId="5833" xr:uid="{00000000-0005-0000-0000-0000E27A0000}"/>
    <cellStyle name="Percent 3 3 6 3 2" xfId="14281" xr:uid="{00000000-0005-0000-0000-0000E37A0000}"/>
    <cellStyle name="Percent 3 3 6 3 2 2" xfId="31221" xr:uid="{00000000-0005-0000-0000-0000E47A0000}"/>
    <cellStyle name="Percent 3 3 6 3 3" xfId="22773" xr:uid="{00000000-0005-0000-0000-0000E57A0000}"/>
    <cellStyle name="Percent 3 3 6 4" xfId="10057" xr:uid="{00000000-0005-0000-0000-0000E67A0000}"/>
    <cellStyle name="Percent 3 3 6 4 2" xfId="26997" xr:uid="{00000000-0005-0000-0000-0000E77A0000}"/>
    <cellStyle name="Percent 3 3 6 5" xfId="18549" xr:uid="{00000000-0005-0000-0000-0000E87A0000}"/>
    <cellStyle name="Percent 3 3 7" xfId="2663" xr:uid="{00000000-0005-0000-0000-0000E97A0000}"/>
    <cellStyle name="Percent 3 3 7 2" xfId="6889" xr:uid="{00000000-0005-0000-0000-0000EA7A0000}"/>
    <cellStyle name="Percent 3 3 7 2 2" xfId="15337" xr:uid="{00000000-0005-0000-0000-0000EB7A0000}"/>
    <cellStyle name="Percent 3 3 7 2 2 2" xfId="32277" xr:uid="{00000000-0005-0000-0000-0000EC7A0000}"/>
    <cellStyle name="Percent 3 3 7 2 3" xfId="23829" xr:uid="{00000000-0005-0000-0000-0000ED7A0000}"/>
    <cellStyle name="Percent 3 3 7 3" xfId="11113" xr:uid="{00000000-0005-0000-0000-0000EE7A0000}"/>
    <cellStyle name="Percent 3 3 7 3 2" xfId="28053" xr:uid="{00000000-0005-0000-0000-0000EF7A0000}"/>
    <cellStyle name="Percent 3 3 7 4" xfId="19605" xr:uid="{00000000-0005-0000-0000-0000F07A0000}"/>
    <cellStyle name="Percent 3 3 8" xfId="4776" xr:uid="{00000000-0005-0000-0000-0000F17A0000}"/>
    <cellStyle name="Percent 3 3 8 2" xfId="13225" xr:uid="{00000000-0005-0000-0000-0000F27A0000}"/>
    <cellStyle name="Percent 3 3 8 2 2" xfId="30165" xr:uid="{00000000-0005-0000-0000-0000F37A0000}"/>
    <cellStyle name="Percent 3 3 8 3" xfId="21717" xr:uid="{00000000-0005-0000-0000-0000F47A0000}"/>
    <cellStyle name="Percent 3 3 9" xfId="9001" xr:uid="{00000000-0005-0000-0000-0000F57A0000}"/>
    <cellStyle name="Percent 3 3 9 2" xfId="25941" xr:uid="{00000000-0005-0000-0000-0000F67A0000}"/>
    <cellStyle name="Percent 3 4" xfId="459" xr:uid="{00000000-0005-0000-0000-0000F77A0000}"/>
    <cellStyle name="Percent 3 4 10" xfId="17494" xr:uid="{00000000-0005-0000-0000-0000F87A0000}"/>
    <cellStyle name="Percent 3 4 2" xfId="722" xr:uid="{00000000-0005-0000-0000-0000F97A0000}"/>
    <cellStyle name="Percent 3 4 2 2" xfId="1074" xr:uid="{00000000-0005-0000-0000-0000FA7A0000}"/>
    <cellStyle name="Percent 3 4 2 2 2" xfId="2136" xr:uid="{00000000-0005-0000-0000-0000FB7A0000}"/>
    <cellStyle name="Percent 3 4 2 2 2 2" xfId="4248" xr:uid="{00000000-0005-0000-0000-0000FC7A0000}"/>
    <cellStyle name="Percent 3 4 2 2 2 2 2" xfId="8474" xr:uid="{00000000-0005-0000-0000-0000FD7A0000}"/>
    <cellStyle name="Percent 3 4 2 2 2 2 2 2" xfId="16922" xr:uid="{00000000-0005-0000-0000-0000FE7A0000}"/>
    <cellStyle name="Percent 3 4 2 2 2 2 2 2 2" xfId="33862" xr:uid="{00000000-0005-0000-0000-0000FF7A0000}"/>
    <cellStyle name="Percent 3 4 2 2 2 2 2 3" xfId="25414" xr:uid="{00000000-0005-0000-0000-0000007B0000}"/>
    <cellStyle name="Percent 3 4 2 2 2 2 3" xfId="12698" xr:uid="{00000000-0005-0000-0000-0000017B0000}"/>
    <cellStyle name="Percent 3 4 2 2 2 2 3 2" xfId="29638" xr:uid="{00000000-0005-0000-0000-0000027B0000}"/>
    <cellStyle name="Percent 3 4 2 2 2 2 4" xfId="21190" xr:uid="{00000000-0005-0000-0000-0000037B0000}"/>
    <cellStyle name="Percent 3 4 2 2 2 3" xfId="6362" xr:uid="{00000000-0005-0000-0000-0000047B0000}"/>
    <cellStyle name="Percent 3 4 2 2 2 3 2" xfId="14810" xr:uid="{00000000-0005-0000-0000-0000057B0000}"/>
    <cellStyle name="Percent 3 4 2 2 2 3 2 2" xfId="31750" xr:uid="{00000000-0005-0000-0000-0000067B0000}"/>
    <cellStyle name="Percent 3 4 2 2 2 3 3" xfId="23302" xr:uid="{00000000-0005-0000-0000-0000077B0000}"/>
    <cellStyle name="Percent 3 4 2 2 2 4" xfId="10586" xr:uid="{00000000-0005-0000-0000-0000087B0000}"/>
    <cellStyle name="Percent 3 4 2 2 2 4 2" xfId="27526" xr:uid="{00000000-0005-0000-0000-0000097B0000}"/>
    <cellStyle name="Percent 3 4 2 2 2 5" xfId="19078" xr:uid="{00000000-0005-0000-0000-00000A7B0000}"/>
    <cellStyle name="Percent 3 4 2 2 3" xfId="3192" xr:uid="{00000000-0005-0000-0000-00000B7B0000}"/>
    <cellStyle name="Percent 3 4 2 2 3 2" xfId="7418" xr:uid="{00000000-0005-0000-0000-00000C7B0000}"/>
    <cellStyle name="Percent 3 4 2 2 3 2 2" xfId="15866" xr:uid="{00000000-0005-0000-0000-00000D7B0000}"/>
    <cellStyle name="Percent 3 4 2 2 3 2 2 2" xfId="32806" xr:uid="{00000000-0005-0000-0000-00000E7B0000}"/>
    <cellStyle name="Percent 3 4 2 2 3 2 3" xfId="24358" xr:uid="{00000000-0005-0000-0000-00000F7B0000}"/>
    <cellStyle name="Percent 3 4 2 2 3 3" xfId="11642" xr:uid="{00000000-0005-0000-0000-0000107B0000}"/>
    <cellStyle name="Percent 3 4 2 2 3 3 2" xfId="28582" xr:uid="{00000000-0005-0000-0000-0000117B0000}"/>
    <cellStyle name="Percent 3 4 2 2 3 4" xfId="20134" xr:uid="{00000000-0005-0000-0000-0000127B0000}"/>
    <cellStyle name="Percent 3 4 2 2 4" xfId="5306" xr:uid="{00000000-0005-0000-0000-0000137B0000}"/>
    <cellStyle name="Percent 3 4 2 2 4 2" xfId="13754" xr:uid="{00000000-0005-0000-0000-0000147B0000}"/>
    <cellStyle name="Percent 3 4 2 2 4 2 2" xfId="30694" xr:uid="{00000000-0005-0000-0000-0000157B0000}"/>
    <cellStyle name="Percent 3 4 2 2 4 3" xfId="22246" xr:uid="{00000000-0005-0000-0000-0000167B0000}"/>
    <cellStyle name="Percent 3 4 2 2 5" xfId="9530" xr:uid="{00000000-0005-0000-0000-0000177B0000}"/>
    <cellStyle name="Percent 3 4 2 2 5 2" xfId="26470" xr:uid="{00000000-0005-0000-0000-0000187B0000}"/>
    <cellStyle name="Percent 3 4 2 2 6" xfId="18022" xr:uid="{00000000-0005-0000-0000-0000197B0000}"/>
    <cellStyle name="Percent 3 4 2 3" xfId="1784" xr:uid="{00000000-0005-0000-0000-00001A7B0000}"/>
    <cellStyle name="Percent 3 4 2 3 2" xfId="3896" xr:uid="{00000000-0005-0000-0000-00001B7B0000}"/>
    <cellStyle name="Percent 3 4 2 3 2 2" xfId="8122" xr:uid="{00000000-0005-0000-0000-00001C7B0000}"/>
    <cellStyle name="Percent 3 4 2 3 2 2 2" xfId="16570" xr:uid="{00000000-0005-0000-0000-00001D7B0000}"/>
    <cellStyle name="Percent 3 4 2 3 2 2 2 2" xfId="33510" xr:uid="{00000000-0005-0000-0000-00001E7B0000}"/>
    <cellStyle name="Percent 3 4 2 3 2 2 3" xfId="25062" xr:uid="{00000000-0005-0000-0000-00001F7B0000}"/>
    <cellStyle name="Percent 3 4 2 3 2 3" xfId="12346" xr:uid="{00000000-0005-0000-0000-0000207B0000}"/>
    <cellStyle name="Percent 3 4 2 3 2 3 2" xfId="29286" xr:uid="{00000000-0005-0000-0000-0000217B0000}"/>
    <cellStyle name="Percent 3 4 2 3 2 4" xfId="20838" xr:uid="{00000000-0005-0000-0000-0000227B0000}"/>
    <cellStyle name="Percent 3 4 2 3 3" xfId="6010" xr:uid="{00000000-0005-0000-0000-0000237B0000}"/>
    <cellStyle name="Percent 3 4 2 3 3 2" xfId="14458" xr:uid="{00000000-0005-0000-0000-0000247B0000}"/>
    <cellStyle name="Percent 3 4 2 3 3 2 2" xfId="31398" xr:uid="{00000000-0005-0000-0000-0000257B0000}"/>
    <cellStyle name="Percent 3 4 2 3 3 3" xfId="22950" xr:uid="{00000000-0005-0000-0000-0000267B0000}"/>
    <cellStyle name="Percent 3 4 2 3 4" xfId="10234" xr:uid="{00000000-0005-0000-0000-0000277B0000}"/>
    <cellStyle name="Percent 3 4 2 3 4 2" xfId="27174" xr:uid="{00000000-0005-0000-0000-0000287B0000}"/>
    <cellStyle name="Percent 3 4 2 3 5" xfId="18726" xr:uid="{00000000-0005-0000-0000-0000297B0000}"/>
    <cellStyle name="Percent 3 4 2 4" xfId="2840" xr:uid="{00000000-0005-0000-0000-00002A7B0000}"/>
    <cellStyle name="Percent 3 4 2 4 2" xfId="7066" xr:uid="{00000000-0005-0000-0000-00002B7B0000}"/>
    <cellStyle name="Percent 3 4 2 4 2 2" xfId="15514" xr:uid="{00000000-0005-0000-0000-00002C7B0000}"/>
    <cellStyle name="Percent 3 4 2 4 2 2 2" xfId="32454" xr:uid="{00000000-0005-0000-0000-00002D7B0000}"/>
    <cellStyle name="Percent 3 4 2 4 2 3" xfId="24006" xr:uid="{00000000-0005-0000-0000-00002E7B0000}"/>
    <cellStyle name="Percent 3 4 2 4 3" xfId="11290" xr:uid="{00000000-0005-0000-0000-00002F7B0000}"/>
    <cellStyle name="Percent 3 4 2 4 3 2" xfId="28230" xr:uid="{00000000-0005-0000-0000-0000307B0000}"/>
    <cellStyle name="Percent 3 4 2 4 4" xfId="19782" xr:uid="{00000000-0005-0000-0000-0000317B0000}"/>
    <cellStyle name="Percent 3 4 2 5" xfId="4954" xr:uid="{00000000-0005-0000-0000-0000327B0000}"/>
    <cellStyle name="Percent 3 4 2 5 2" xfId="13402" xr:uid="{00000000-0005-0000-0000-0000337B0000}"/>
    <cellStyle name="Percent 3 4 2 5 2 2" xfId="30342" xr:uid="{00000000-0005-0000-0000-0000347B0000}"/>
    <cellStyle name="Percent 3 4 2 5 3" xfId="21894" xr:uid="{00000000-0005-0000-0000-0000357B0000}"/>
    <cellStyle name="Percent 3 4 2 6" xfId="9178" xr:uid="{00000000-0005-0000-0000-0000367B0000}"/>
    <cellStyle name="Percent 3 4 2 6 2" xfId="26118" xr:uid="{00000000-0005-0000-0000-0000377B0000}"/>
    <cellStyle name="Percent 3 4 2 7" xfId="17670" xr:uid="{00000000-0005-0000-0000-0000387B0000}"/>
    <cellStyle name="Percent 3 4 3" xfId="898" xr:uid="{00000000-0005-0000-0000-0000397B0000}"/>
    <cellStyle name="Percent 3 4 3 2" xfId="1960" xr:uid="{00000000-0005-0000-0000-00003A7B0000}"/>
    <cellStyle name="Percent 3 4 3 2 2" xfId="4072" xr:uid="{00000000-0005-0000-0000-00003B7B0000}"/>
    <cellStyle name="Percent 3 4 3 2 2 2" xfId="8298" xr:uid="{00000000-0005-0000-0000-00003C7B0000}"/>
    <cellStyle name="Percent 3 4 3 2 2 2 2" xfId="16746" xr:uid="{00000000-0005-0000-0000-00003D7B0000}"/>
    <cellStyle name="Percent 3 4 3 2 2 2 2 2" xfId="33686" xr:uid="{00000000-0005-0000-0000-00003E7B0000}"/>
    <cellStyle name="Percent 3 4 3 2 2 2 3" xfId="25238" xr:uid="{00000000-0005-0000-0000-00003F7B0000}"/>
    <cellStyle name="Percent 3 4 3 2 2 3" xfId="12522" xr:uid="{00000000-0005-0000-0000-0000407B0000}"/>
    <cellStyle name="Percent 3 4 3 2 2 3 2" xfId="29462" xr:uid="{00000000-0005-0000-0000-0000417B0000}"/>
    <cellStyle name="Percent 3 4 3 2 2 4" xfId="21014" xr:uid="{00000000-0005-0000-0000-0000427B0000}"/>
    <cellStyle name="Percent 3 4 3 2 3" xfId="6186" xr:uid="{00000000-0005-0000-0000-0000437B0000}"/>
    <cellStyle name="Percent 3 4 3 2 3 2" xfId="14634" xr:uid="{00000000-0005-0000-0000-0000447B0000}"/>
    <cellStyle name="Percent 3 4 3 2 3 2 2" xfId="31574" xr:uid="{00000000-0005-0000-0000-0000457B0000}"/>
    <cellStyle name="Percent 3 4 3 2 3 3" xfId="23126" xr:uid="{00000000-0005-0000-0000-0000467B0000}"/>
    <cellStyle name="Percent 3 4 3 2 4" xfId="10410" xr:uid="{00000000-0005-0000-0000-0000477B0000}"/>
    <cellStyle name="Percent 3 4 3 2 4 2" xfId="27350" xr:uid="{00000000-0005-0000-0000-0000487B0000}"/>
    <cellStyle name="Percent 3 4 3 2 5" xfId="18902" xr:uid="{00000000-0005-0000-0000-0000497B0000}"/>
    <cellStyle name="Percent 3 4 3 3" xfId="3016" xr:uid="{00000000-0005-0000-0000-00004A7B0000}"/>
    <cellStyle name="Percent 3 4 3 3 2" xfId="7242" xr:uid="{00000000-0005-0000-0000-00004B7B0000}"/>
    <cellStyle name="Percent 3 4 3 3 2 2" xfId="15690" xr:uid="{00000000-0005-0000-0000-00004C7B0000}"/>
    <cellStyle name="Percent 3 4 3 3 2 2 2" xfId="32630" xr:uid="{00000000-0005-0000-0000-00004D7B0000}"/>
    <cellStyle name="Percent 3 4 3 3 2 3" xfId="24182" xr:uid="{00000000-0005-0000-0000-00004E7B0000}"/>
    <cellStyle name="Percent 3 4 3 3 3" xfId="11466" xr:uid="{00000000-0005-0000-0000-00004F7B0000}"/>
    <cellStyle name="Percent 3 4 3 3 3 2" xfId="28406" xr:uid="{00000000-0005-0000-0000-0000507B0000}"/>
    <cellStyle name="Percent 3 4 3 3 4" xfId="19958" xr:uid="{00000000-0005-0000-0000-0000517B0000}"/>
    <cellStyle name="Percent 3 4 3 4" xfId="5130" xr:uid="{00000000-0005-0000-0000-0000527B0000}"/>
    <cellStyle name="Percent 3 4 3 4 2" xfId="13578" xr:uid="{00000000-0005-0000-0000-0000537B0000}"/>
    <cellStyle name="Percent 3 4 3 4 2 2" xfId="30518" xr:uid="{00000000-0005-0000-0000-0000547B0000}"/>
    <cellStyle name="Percent 3 4 3 4 3" xfId="22070" xr:uid="{00000000-0005-0000-0000-0000557B0000}"/>
    <cellStyle name="Percent 3 4 3 5" xfId="9354" xr:uid="{00000000-0005-0000-0000-0000567B0000}"/>
    <cellStyle name="Percent 3 4 3 5 2" xfId="26294" xr:uid="{00000000-0005-0000-0000-0000577B0000}"/>
    <cellStyle name="Percent 3 4 3 6" xfId="17846" xr:uid="{00000000-0005-0000-0000-0000587B0000}"/>
    <cellStyle name="Percent 3 4 4" xfId="1250" xr:uid="{00000000-0005-0000-0000-0000597B0000}"/>
    <cellStyle name="Percent 3 4 4 2" xfId="2312" xr:uid="{00000000-0005-0000-0000-00005A7B0000}"/>
    <cellStyle name="Percent 3 4 4 2 2" xfId="4424" xr:uid="{00000000-0005-0000-0000-00005B7B0000}"/>
    <cellStyle name="Percent 3 4 4 2 2 2" xfId="8650" xr:uid="{00000000-0005-0000-0000-00005C7B0000}"/>
    <cellStyle name="Percent 3 4 4 2 2 2 2" xfId="17098" xr:uid="{00000000-0005-0000-0000-00005D7B0000}"/>
    <cellStyle name="Percent 3 4 4 2 2 2 2 2" xfId="34038" xr:uid="{00000000-0005-0000-0000-00005E7B0000}"/>
    <cellStyle name="Percent 3 4 4 2 2 2 3" xfId="25590" xr:uid="{00000000-0005-0000-0000-00005F7B0000}"/>
    <cellStyle name="Percent 3 4 4 2 2 3" xfId="12874" xr:uid="{00000000-0005-0000-0000-0000607B0000}"/>
    <cellStyle name="Percent 3 4 4 2 2 3 2" xfId="29814" xr:uid="{00000000-0005-0000-0000-0000617B0000}"/>
    <cellStyle name="Percent 3 4 4 2 2 4" xfId="21366" xr:uid="{00000000-0005-0000-0000-0000627B0000}"/>
    <cellStyle name="Percent 3 4 4 2 3" xfId="6538" xr:uid="{00000000-0005-0000-0000-0000637B0000}"/>
    <cellStyle name="Percent 3 4 4 2 3 2" xfId="14986" xr:uid="{00000000-0005-0000-0000-0000647B0000}"/>
    <cellStyle name="Percent 3 4 4 2 3 2 2" xfId="31926" xr:uid="{00000000-0005-0000-0000-0000657B0000}"/>
    <cellStyle name="Percent 3 4 4 2 3 3" xfId="23478" xr:uid="{00000000-0005-0000-0000-0000667B0000}"/>
    <cellStyle name="Percent 3 4 4 2 4" xfId="10762" xr:uid="{00000000-0005-0000-0000-0000677B0000}"/>
    <cellStyle name="Percent 3 4 4 2 4 2" xfId="27702" xr:uid="{00000000-0005-0000-0000-0000687B0000}"/>
    <cellStyle name="Percent 3 4 4 2 5" xfId="19254" xr:uid="{00000000-0005-0000-0000-0000697B0000}"/>
    <cellStyle name="Percent 3 4 4 3" xfId="3368" xr:uid="{00000000-0005-0000-0000-00006A7B0000}"/>
    <cellStyle name="Percent 3 4 4 3 2" xfId="7594" xr:uid="{00000000-0005-0000-0000-00006B7B0000}"/>
    <cellStyle name="Percent 3 4 4 3 2 2" xfId="16042" xr:uid="{00000000-0005-0000-0000-00006C7B0000}"/>
    <cellStyle name="Percent 3 4 4 3 2 2 2" xfId="32982" xr:uid="{00000000-0005-0000-0000-00006D7B0000}"/>
    <cellStyle name="Percent 3 4 4 3 2 3" xfId="24534" xr:uid="{00000000-0005-0000-0000-00006E7B0000}"/>
    <cellStyle name="Percent 3 4 4 3 3" xfId="11818" xr:uid="{00000000-0005-0000-0000-00006F7B0000}"/>
    <cellStyle name="Percent 3 4 4 3 3 2" xfId="28758" xr:uid="{00000000-0005-0000-0000-0000707B0000}"/>
    <cellStyle name="Percent 3 4 4 3 4" xfId="20310" xr:uid="{00000000-0005-0000-0000-0000717B0000}"/>
    <cellStyle name="Percent 3 4 4 4" xfId="5482" xr:uid="{00000000-0005-0000-0000-0000727B0000}"/>
    <cellStyle name="Percent 3 4 4 4 2" xfId="13930" xr:uid="{00000000-0005-0000-0000-0000737B0000}"/>
    <cellStyle name="Percent 3 4 4 4 2 2" xfId="30870" xr:uid="{00000000-0005-0000-0000-0000747B0000}"/>
    <cellStyle name="Percent 3 4 4 4 3" xfId="22422" xr:uid="{00000000-0005-0000-0000-0000757B0000}"/>
    <cellStyle name="Percent 3 4 4 5" xfId="9706" xr:uid="{00000000-0005-0000-0000-0000767B0000}"/>
    <cellStyle name="Percent 3 4 4 5 2" xfId="26646" xr:uid="{00000000-0005-0000-0000-0000777B0000}"/>
    <cellStyle name="Percent 3 4 4 6" xfId="18198" xr:uid="{00000000-0005-0000-0000-0000787B0000}"/>
    <cellStyle name="Percent 3 4 5" xfId="1432" xr:uid="{00000000-0005-0000-0000-0000797B0000}"/>
    <cellStyle name="Percent 3 4 5 2" xfId="2488" xr:uid="{00000000-0005-0000-0000-00007A7B0000}"/>
    <cellStyle name="Percent 3 4 5 2 2" xfId="4600" xr:uid="{00000000-0005-0000-0000-00007B7B0000}"/>
    <cellStyle name="Percent 3 4 5 2 2 2" xfId="8826" xr:uid="{00000000-0005-0000-0000-00007C7B0000}"/>
    <cellStyle name="Percent 3 4 5 2 2 2 2" xfId="17274" xr:uid="{00000000-0005-0000-0000-00007D7B0000}"/>
    <cellStyle name="Percent 3 4 5 2 2 2 2 2" xfId="34214" xr:uid="{00000000-0005-0000-0000-00007E7B0000}"/>
    <cellStyle name="Percent 3 4 5 2 2 2 3" xfId="25766" xr:uid="{00000000-0005-0000-0000-00007F7B0000}"/>
    <cellStyle name="Percent 3 4 5 2 2 3" xfId="13050" xr:uid="{00000000-0005-0000-0000-0000807B0000}"/>
    <cellStyle name="Percent 3 4 5 2 2 3 2" xfId="29990" xr:uid="{00000000-0005-0000-0000-0000817B0000}"/>
    <cellStyle name="Percent 3 4 5 2 2 4" xfId="21542" xr:uid="{00000000-0005-0000-0000-0000827B0000}"/>
    <cellStyle name="Percent 3 4 5 2 3" xfId="6714" xr:uid="{00000000-0005-0000-0000-0000837B0000}"/>
    <cellStyle name="Percent 3 4 5 2 3 2" xfId="15162" xr:uid="{00000000-0005-0000-0000-0000847B0000}"/>
    <cellStyle name="Percent 3 4 5 2 3 2 2" xfId="32102" xr:uid="{00000000-0005-0000-0000-0000857B0000}"/>
    <cellStyle name="Percent 3 4 5 2 3 3" xfId="23654" xr:uid="{00000000-0005-0000-0000-0000867B0000}"/>
    <cellStyle name="Percent 3 4 5 2 4" xfId="10938" xr:uid="{00000000-0005-0000-0000-0000877B0000}"/>
    <cellStyle name="Percent 3 4 5 2 4 2" xfId="27878" xr:uid="{00000000-0005-0000-0000-0000887B0000}"/>
    <cellStyle name="Percent 3 4 5 2 5" xfId="19430" xr:uid="{00000000-0005-0000-0000-0000897B0000}"/>
    <cellStyle name="Percent 3 4 5 3" xfId="3544" xr:uid="{00000000-0005-0000-0000-00008A7B0000}"/>
    <cellStyle name="Percent 3 4 5 3 2" xfId="7770" xr:uid="{00000000-0005-0000-0000-00008B7B0000}"/>
    <cellStyle name="Percent 3 4 5 3 2 2" xfId="16218" xr:uid="{00000000-0005-0000-0000-00008C7B0000}"/>
    <cellStyle name="Percent 3 4 5 3 2 2 2" xfId="33158" xr:uid="{00000000-0005-0000-0000-00008D7B0000}"/>
    <cellStyle name="Percent 3 4 5 3 2 3" xfId="24710" xr:uid="{00000000-0005-0000-0000-00008E7B0000}"/>
    <cellStyle name="Percent 3 4 5 3 3" xfId="11994" xr:uid="{00000000-0005-0000-0000-00008F7B0000}"/>
    <cellStyle name="Percent 3 4 5 3 3 2" xfId="28934" xr:uid="{00000000-0005-0000-0000-0000907B0000}"/>
    <cellStyle name="Percent 3 4 5 3 4" xfId="20486" xr:uid="{00000000-0005-0000-0000-0000917B0000}"/>
    <cellStyle name="Percent 3 4 5 4" xfId="5658" xr:uid="{00000000-0005-0000-0000-0000927B0000}"/>
    <cellStyle name="Percent 3 4 5 4 2" xfId="14106" xr:uid="{00000000-0005-0000-0000-0000937B0000}"/>
    <cellStyle name="Percent 3 4 5 4 2 2" xfId="31046" xr:uid="{00000000-0005-0000-0000-0000947B0000}"/>
    <cellStyle name="Percent 3 4 5 4 3" xfId="22598" xr:uid="{00000000-0005-0000-0000-0000957B0000}"/>
    <cellStyle name="Percent 3 4 5 5" xfId="9882" xr:uid="{00000000-0005-0000-0000-0000967B0000}"/>
    <cellStyle name="Percent 3 4 5 5 2" xfId="26822" xr:uid="{00000000-0005-0000-0000-0000977B0000}"/>
    <cellStyle name="Percent 3 4 5 6" xfId="18374" xr:uid="{00000000-0005-0000-0000-0000987B0000}"/>
    <cellStyle name="Percent 3 4 6" xfId="1608" xr:uid="{00000000-0005-0000-0000-0000997B0000}"/>
    <cellStyle name="Percent 3 4 6 2" xfId="3720" xr:uid="{00000000-0005-0000-0000-00009A7B0000}"/>
    <cellStyle name="Percent 3 4 6 2 2" xfId="7946" xr:uid="{00000000-0005-0000-0000-00009B7B0000}"/>
    <cellStyle name="Percent 3 4 6 2 2 2" xfId="16394" xr:uid="{00000000-0005-0000-0000-00009C7B0000}"/>
    <cellStyle name="Percent 3 4 6 2 2 2 2" xfId="33334" xr:uid="{00000000-0005-0000-0000-00009D7B0000}"/>
    <cellStyle name="Percent 3 4 6 2 2 3" xfId="24886" xr:uid="{00000000-0005-0000-0000-00009E7B0000}"/>
    <cellStyle name="Percent 3 4 6 2 3" xfId="12170" xr:uid="{00000000-0005-0000-0000-00009F7B0000}"/>
    <cellStyle name="Percent 3 4 6 2 3 2" xfId="29110" xr:uid="{00000000-0005-0000-0000-0000A07B0000}"/>
    <cellStyle name="Percent 3 4 6 2 4" xfId="20662" xr:uid="{00000000-0005-0000-0000-0000A17B0000}"/>
    <cellStyle name="Percent 3 4 6 3" xfId="5834" xr:uid="{00000000-0005-0000-0000-0000A27B0000}"/>
    <cellStyle name="Percent 3 4 6 3 2" xfId="14282" xr:uid="{00000000-0005-0000-0000-0000A37B0000}"/>
    <cellStyle name="Percent 3 4 6 3 2 2" xfId="31222" xr:uid="{00000000-0005-0000-0000-0000A47B0000}"/>
    <cellStyle name="Percent 3 4 6 3 3" xfId="22774" xr:uid="{00000000-0005-0000-0000-0000A57B0000}"/>
    <cellStyle name="Percent 3 4 6 4" xfId="10058" xr:uid="{00000000-0005-0000-0000-0000A67B0000}"/>
    <cellStyle name="Percent 3 4 6 4 2" xfId="26998" xr:uid="{00000000-0005-0000-0000-0000A77B0000}"/>
    <cellStyle name="Percent 3 4 6 5" xfId="18550" xr:uid="{00000000-0005-0000-0000-0000A87B0000}"/>
    <cellStyle name="Percent 3 4 7" xfId="2664" xr:uid="{00000000-0005-0000-0000-0000A97B0000}"/>
    <cellStyle name="Percent 3 4 7 2" xfId="6890" xr:uid="{00000000-0005-0000-0000-0000AA7B0000}"/>
    <cellStyle name="Percent 3 4 7 2 2" xfId="15338" xr:uid="{00000000-0005-0000-0000-0000AB7B0000}"/>
    <cellStyle name="Percent 3 4 7 2 2 2" xfId="32278" xr:uid="{00000000-0005-0000-0000-0000AC7B0000}"/>
    <cellStyle name="Percent 3 4 7 2 3" xfId="23830" xr:uid="{00000000-0005-0000-0000-0000AD7B0000}"/>
    <cellStyle name="Percent 3 4 7 3" xfId="11114" xr:uid="{00000000-0005-0000-0000-0000AE7B0000}"/>
    <cellStyle name="Percent 3 4 7 3 2" xfId="28054" xr:uid="{00000000-0005-0000-0000-0000AF7B0000}"/>
    <cellStyle name="Percent 3 4 7 4" xfId="19606" xr:uid="{00000000-0005-0000-0000-0000B07B0000}"/>
    <cellStyle name="Percent 3 4 8" xfId="4777" xr:uid="{00000000-0005-0000-0000-0000B17B0000}"/>
    <cellStyle name="Percent 3 4 8 2" xfId="13226" xr:uid="{00000000-0005-0000-0000-0000B27B0000}"/>
    <cellStyle name="Percent 3 4 8 2 2" xfId="30166" xr:uid="{00000000-0005-0000-0000-0000B37B0000}"/>
    <cellStyle name="Percent 3 4 8 3" xfId="21718" xr:uid="{00000000-0005-0000-0000-0000B47B0000}"/>
    <cellStyle name="Percent 3 4 9" xfId="9002" xr:uid="{00000000-0005-0000-0000-0000B57B0000}"/>
    <cellStyle name="Percent 3 4 9 2" xfId="25942" xr:uid="{00000000-0005-0000-0000-0000B67B0000}"/>
    <cellStyle name="Percent 3 5" xfId="720" xr:uid="{00000000-0005-0000-0000-0000B77B0000}"/>
    <cellStyle name="Percent 3 5 2" xfId="1072" xr:uid="{00000000-0005-0000-0000-0000B87B0000}"/>
    <cellStyle name="Percent 3 5 2 2" xfId="2134" xr:uid="{00000000-0005-0000-0000-0000B97B0000}"/>
    <cellStyle name="Percent 3 5 2 2 2" xfId="4246" xr:uid="{00000000-0005-0000-0000-0000BA7B0000}"/>
    <cellStyle name="Percent 3 5 2 2 2 2" xfId="8472" xr:uid="{00000000-0005-0000-0000-0000BB7B0000}"/>
    <cellStyle name="Percent 3 5 2 2 2 2 2" xfId="16920" xr:uid="{00000000-0005-0000-0000-0000BC7B0000}"/>
    <cellStyle name="Percent 3 5 2 2 2 2 2 2" xfId="33860" xr:uid="{00000000-0005-0000-0000-0000BD7B0000}"/>
    <cellStyle name="Percent 3 5 2 2 2 2 3" xfId="25412" xr:uid="{00000000-0005-0000-0000-0000BE7B0000}"/>
    <cellStyle name="Percent 3 5 2 2 2 3" xfId="12696" xr:uid="{00000000-0005-0000-0000-0000BF7B0000}"/>
    <cellStyle name="Percent 3 5 2 2 2 3 2" xfId="29636" xr:uid="{00000000-0005-0000-0000-0000C07B0000}"/>
    <cellStyle name="Percent 3 5 2 2 2 4" xfId="21188" xr:uid="{00000000-0005-0000-0000-0000C17B0000}"/>
    <cellStyle name="Percent 3 5 2 2 3" xfId="6360" xr:uid="{00000000-0005-0000-0000-0000C27B0000}"/>
    <cellStyle name="Percent 3 5 2 2 3 2" xfId="14808" xr:uid="{00000000-0005-0000-0000-0000C37B0000}"/>
    <cellStyle name="Percent 3 5 2 2 3 2 2" xfId="31748" xr:uid="{00000000-0005-0000-0000-0000C47B0000}"/>
    <cellStyle name="Percent 3 5 2 2 3 3" xfId="23300" xr:uid="{00000000-0005-0000-0000-0000C57B0000}"/>
    <cellStyle name="Percent 3 5 2 2 4" xfId="10584" xr:uid="{00000000-0005-0000-0000-0000C67B0000}"/>
    <cellStyle name="Percent 3 5 2 2 4 2" xfId="27524" xr:uid="{00000000-0005-0000-0000-0000C77B0000}"/>
    <cellStyle name="Percent 3 5 2 2 5" xfId="19076" xr:uid="{00000000-0005-0000-0000-0000C87B0000}"/>
    <cellStyle name="Percent 3 5 2 3" xfId="3190" xr:uid="{00000000-0005-0000-0000-0000C97B0000}"/>
    <cellStyle name="Percent 3 5 2 3 2" xfId="7416" xr:uid="{00000000-0005-0000-0000-0000CA7B0000}"/>
    <cellStyle name="Percent 3 5 2 3 2 2" xfId="15864" xr:uid="{00000000-0005-0000-0000-0000CB7B0000}"/>
    <cellStyle name="Percent 3 5 2 3 2 2 2" xfId="32804" xr:uid="{00000000-0005-0000-0000-0000CC7B0000}"/>
    <cellStyle name="Percent 3 5 2 3 2 3" xfId="24356" xr:uid="{00000000-0005-0000-0000-0000CD7B0000}"/>
    <cellStyle name="Percent 3 5 2 3 3" xfId="11640" xr:uid="{00000000-0005-0000-0000-0000CE7B0000}"/>
    <cellStyle name="Percent 3 5 2 3 3 2" xfId="28580" xr:uid="{00000000-0005-0000-0000-0000CF7B0000}"/>
    <cellStyle name="Percent 3 5 2 3 4" xfId="20132" xr:uid="{00000000-0005-0000-0000-0000D07B0000}"/>
    <cellStyle name="Percent 3 5 2 4" xfId="5304" xr:uid="{00000000-0005-0000-0000-0000D17B0000}"/>
    <cellStyle name="Percent 3 5 2 4 2" xfId="13752" xr:uid="{00000000-0005-0000-0000-0000D27B0000}"/>
    <cellStyle name="Percent 3 5 2 4 2 2" xfId="30692" xr:uid="{00000000-0005-0000-0000-0000D37B0000}"/>
    <cellStyle name="Percent 3 5 2 4 3" xfId="22244" xr:uid="{00000000-0005-0000-0000-0000D47B0000}"/>
    <cellStyle name="Percent 3 5 2 5" xfId="9528" xr:uid="{00000000-0005-0000-0000-0000D57B0000}"/>
    <cellStyle name="Percent 3 5 2 5 2" xfId="26468" xr:uid="{00000000-0005-0000-0000-0000D67B0000}"/>
    <cellStyle name="Percent 3 5 2 6" xfId="18020" xr:uid="{00000000-0005-0000-0000-0000D77B0000}"/>
    <cellStyle name="Percent 3 5 3" xfId="1782" xr:uid="{00000000-0005-0000-0000-0000D87B0000}"/>
    <cellStyle name="Percent 3 5 3 2" xfId="3894" xr:uid="{00000000-0005-0000-0000-0000D97B0000}"/>
    <cellStyle name="Percent 3 5 3 2 2" xfId="8120" xr:uid="{00000000-0005-0000-0000-0000DA7B0000}"/>
    <cellStyle name="Percent 3 5 3 2 2 2" xfId="16568" xr:uid="{00000000-0005-0000-0000-0000DB7B0000}"/>
    <cellStyle name="Percent 3 5 3 2 2 2 2" xfId="33508" xr:uid="{00000000-0005-0000-0000-0000DC7B0000}"/>
    <cellStyle name="Percent 3 5 3 2 2 3" xfId="25060" xr:uid="{00000000-0005-0000-0000-0000DD7B0000}"/>
    <cellStyle name="Percent 3 5 3 2 3" xfId="12344" xr:uid="{00000000-0005-0000-0000-0000DE7B0000}"/>
    <cellStyle name="Percent 3 5 3 2 3 2" xfId="29284" xr:uid="{00000000-0005-0000-0000-0000DF7B0000}"/>
    <cellStyle name="Percent 3 5 3 2 4" xfId="20836" xr:uid="{00000000-0005-0000-0000-0000E07B0000}"/>
    <cellStyle name="Percent 3 5 3 3" xfId="6008" xr:uid="{00000000-0005-0000-0000-0000E17B0000}"/>
    <cellStyle name="Percent 3 5 3 3 2" xfId="14456" xr:uid="{00000000-0005-0000-0000-0000E27B0000}"/>
    <cellStyle name="Percent 3 5 3 3 2 2" xfId="31396" xr:uid="{00000000-0005-0000-0000-0000E37B0000}"/>
    <cellStyle name="Percent 3 5 3 3 3" xfId="22948" xr:uid="{00000000-0005-0000-0000-0000E47B0000}"/>
    <cellStyle name="Percent 3 5 3 4" xfId="10232" xr:uid="{00000000-0005-0000-0000-0000E57B0000}"/>
    <cellStyle name="Percent 3 5 3 4 2" xfId="27172" xr:uid="{00000000-0005-0000-0000-0000E67B0000}"/>
    <cellStyle name="Percent 3 5 3 5" xfId="18724" xr:uid="{00000000-0005-0000-0000-0000E77B0000}"/>
    <cellStyle name="Percent 3 5 4" xfId="2838" xr:uid="{00000000-0005-0000-0000-0000E87B0000}"/>
    <cellStyle name="Percent 3 5 4 2" xfId="7064" xr:uid="{00000000-0005-0000-0000-0000E97B0000}"/>
    <cellStyle name="Percent 3 5 4 2 2" xfId="15512" xr:uid="{00000000-0005-0000-0000-0000EA7B0000}"/>
    <cellStyle name="Percent 3 5 4 2 2 2" xfId="32452" xr:uid="{00000000-0005-0000-0000-0000EB7B0000}"/>
    <cellStyle name="Percent 3 5 4 2 3" xfId="24004" xr:uid="{00000000-0005-0000-0000-0000EC7B0000}"/>
    <cellStyle name="Percent 3 5 4 3" xfId="11288" xr:uid="{00000000-0005-0000-0000-0000ED7B0000}"/>
    <cellStyle name="Percent 3 5 4 3 2" xfId="28228" xr:uid="{00000000-0005-0000-0000-0000EE7B0000}"/>
    <cellStyle name="Percent 3 5 4 4" xfId="19780" xr:uid="{00000000-0005-0000-0000-0000EF7B0000}"/>
    <cellStyle name="Percent 3 5 5" xfId="4952" xr:uid="{00000000-0005-0000-0000-0000F07B0000}"/>
    <cellStyle name="Percent 3 5 5 2" xfId="13400" xr:uid="{00000000-0005-0000-0000-0000F17B0000}"/>
    <cellStyle name="Percent 3 5 5 2 2" xfId="30340" xr:uid="{00000000-0005-0000-0000-0000F27B0000}"/>
    <cellStyle name="Percent 3 5 5 3" xfId="21892" xr:uid="{00000000-0005-0000-0000-0000F37B0000}"/>
    <cellStyle name="Percent 3 5 6" xfId="9176" xr:uid="{00000000-0005-0000-0000-0000F47B0000}"/>
    <cellStyle name="Percent 3 5 6 2" xfId="26116" xr:uid="{00000000-0005-0000-0000-0000F57B0000}"/>
    <cellStyle name="Percent 3 5 7" xfId="17668" xr:uid="{00000000-0005-0000-0000-0000F67B0000}"/>
    <cellStyle name="Percent 3 6" xfId="896" xr:uid="{00000000-0005-0000-0000-0000F77B0000}"/>
    <cellStyle name="Percent 3 6 2" xfId="1958" xr:uid="{00000000-0005-0000-0000-0000F87B0000}"/>
    <cellStyle name="Percent 3 6 2 2" xfId="4070" xr:uid="{00000000-0005-0000-0000-0000F97B0000}"/>
    <cellStyle name="Percent 3 6 2 2 2" xfId="8296" xr:uid="{00000000-0005-0000-0000-0000FA7B0000}"/>
    <cellStyle name="Percent 3 6 2 2 2 2" xfId="16744" xr:uid="{00000000-0005-0000-0000-0000FB7B0000}"/>
    <cellStyle name="Percent 3 6 2 2 2 2 2" xfId="33684" xr:uid="{00000000-0005-0000-0000-0000FC7B0000}"/>
    <cellStyle name="Percent 3 6 2 2 2 3" xfId="25236" xr:uid="{00000000-0005-0000-0000-0000FD7B0000}"/>
    <cellStyle name="Percent 3 6 2 2 3" xfId="12520" xr:uid="{00000000-0005-0000-0000-0000FE7B0000}"/>
    <cellStyle name="Percent 3 6 2 2 3 2" xfId="29460" xr:uid="{00000000-0005-0000-0000-0000FF7B0000}"/>
    <cellStyle name="Percent 3 6 2 2 4" xfId="21012" xr:uid="{00000000-0005-0000-0000-0000007C0000}"/>
    <cellStyle name="Percent 3 6 2 3" xfId="6184" xr:uid="{00000000-0005-0000-0000-0000017C0000}"/>
    <cellStyle name="Percent 3 6 2 3 2" xfId="14632" xr:uid="{00000000-0005-0000-0000-0000027C0000}"/>
    <cellStyle name="Percent 3 6 2 3 2 2" xfId="31572" xr:uid="{00000000-0005-0000-0000-0000037C0000}"/>
    <cellStyle name="Percent 3 6 2 3 3" xfId="23124" xr:uid="{00000000-0005-0000-0000-0000047C0000}"/>
    <cellStyle name="Percent 3 6 2 4" xfId="10408" xr:uid="{00000000-0005-0000-0000-0000057C0000}"/>
    <cellStyle name="Percent 3 6 2 4 2" xfId="27348" xr:uid="{00000000-0005-0000-0000-0000067C0000}"/>
    <cellStyle name="Percent 3 6 2 5" xfId="18900" xr:uid="{00000000-0005-0000-0000-0000077C0000}"/>
    <cellStyle name="Percent 3 6 3" xfId="3014" xr:uid="{00000000-0005-0000-0000-0000087C0000}"/>
    <cellStyle name="Percent 3 6 3 2" xfId="7240" xr:uid="{00000000-0005-0000-0000-0000097C0000}"/>
    <cellStyle name="Percent 3 6 3 2 2" xfId="15688" xr:uid="{00000000-0005-0000-0000-00000A7C0000}"/>
    <cellStyle name="Percent 3 6 3 2 2 2" xfId="32628" xr:uid="{00000000-0005-0000-0000-00000B7C0000}"/>
    <cellStyle name="Percent 3 6 3 2 3" xfId="24180" xr:uid="{00000000-0005-0000-0000-00000C7C0000}"/>
    <cellStyle name="Percent 3 6 3 3" xfId="11464" xr:uid="{00000000-0005-0000-0000-00000D7C0000}"/>
    <cellStyle name="Percent 3 6 3 3 2" xfId="28404" xr:uid="{00000000-0005-0000-0000-00000E7C0000}"/>
    <cellStyle name="Percent 3 6 3 4" xfId="19956" xr:uid="{00000000-0005-0000-0000-00000F7C0000}"/>
    <cellStyle name="Percent 3 6 4" xfId="5128" xr:uid="{00000000-0005-0000-0000-0000107C0000}"/>
    <cellStyle name="Percent 3 6 4 2" xfId="13576" xr:uid="{00000000-0005-0000-0000-0000117C0000}"/>
    <cellStyle name="Percent 3 6 4 2 2" xfId="30516" xr:uid="{00000000-0005-0000-0000-0000127C0000}"/>
    <cellStyle name="Percent 3 6 4 3" xfId="22068" xr:uid="{00000000-0005-0000-0000-0000137C0000}"/>
    <cellStyle name="Percent 3 6 5" xfId="9352" xr:uid="{00000000-0005-0000-0000-0000147C0000}"/>
    <cellStyle name="Percent 3 6 5 2" xfId="26292" xr:uid="{00000000-0005-0000-0000-0000157C0000}"/>
    <cellStyle name="Percent 3 6 6" xfId="17844" xr:uid="{00000000-0005-0000-0000-0000167C0000}"/>
    <cellStyle name="Percent 3 7" xfId="1248" xr:uid="{00000000-0005-0000-0000-0000177C0000}"/>
    <cellStyle name="Percent 3 7 2" xfId="2310" xr:uid="{00000000-0005-0000-0000-0000187C0000}"/>
    <cellStyle name="Percent 3 7 2 2" xfId="4422" xr:uid="{00000000-0005-0000-0000-0000197C0000}"/>
    <cellStyle name="Percent 3 7 2 2 2" xfId="8648" xr:uid="{00000000-0005-0000-0000-00001A7C0000}"/>
    <cellStyle name="Percent 3 7 2 2 2 2" xfId="17096" xr:uid="{00000000-0005-0000-0000-00001B7C0000}"/>
    <cellStyle name="Percent 3 7 2 2 2 2 2" xfId="34036" xr:uid="{00000000-0005-0000-0000-00001C7C0000}"/>
    <cellStyle name="Percent 3 7 2 2 2 3" xfId="25588" xr:uid="{00000000-0005-0000-0000-00001D7C0000}"/>
    <cellStyle name="Percent 3 7 2 2 3" xfId="12872" xr:uid="{00000000-0005-0000-0000-00001E7C0000}"/>
    <cellStyle name="Percent 3 7 2 2 3 2" xfId="29812" xr:uid="{00000000-0005-0000-0000-00001F7C0000}"/>
    <cellStyle name="Percent 3 7 2 2 4" xfId="21364" xr:uid="{00000000-0005-0000-0000-0000207C0000}"/>
    <cellStyle name="Percent 3 7 2 3" xfId="6536" xr:uid="{00000000-0005-0000-0000-0000217C0000}"/>
    <cellStyle name="Percent 3 7 2 3 2" xfId="14984" xr:uid="{00000000-0005-0000-0000-0000227C0000}"/>
    <cellStyle name="Percent 3 7 2 3 2 2" xfId="31924" xr:uid="{00000000-0005-0000-0000-0000237C0000}"/>
    <cellStyle name="Percent 3 7 2 3 3" xfId="23476" xr:uid="{00000000-0005-0000-0000-0000247C0000}"/>
    <cellStyle name="Percent 3 7 2 4" xfId="10760" xr:uid="{00000000-0005-0000-0000-0000257C0000}"/>
    <cellStyle name="Percent 3 7 2 4 2" xfId="27700" xr:uid="{00000000-0005-0000-0000-0000267C0000}"/>
    <cellStyle name="Percent 3 7 2 5" xfId="19252" xr:uid="{00000000-0005-0000-0000-0000277C0000}"/>
    <cellStyle name="Percent 3 7 3" xfId="3366" xr:uid="{00000000-0005-0000-0000-0000287C0000}"/>
    <cellStyle name="Percent 3 7 3 2" xfId="7592" xr:uid="{00000000-0005-0000-0000-0000297C0000}"/>
    <cellStyle name="Percent 3 7 3 2 2" xfId="16040" xr:uid="{00000000-0005-0000-0000-00002A7C0000}"/>
    <cellStyle name="Percent 3 7 3 2 2 2" xfId="32980" xr:uid="{00000000-0005-0000-0000-00002B7C0000}"/>
    <cellStyle name="Percent 3 7 3 2 3" xfId="24532" xr:uid="{00000000-0005-0000-0000-00002C7C0000}"/>
    <cellStyle name="Percent 3 7 3 3" xfId="11816" xr:uid="{00000000-0005-0000-0000-00002D7C0000}"/>
    <cellStyle name="Percent 3 7 3 3 2" xfId="28756" xr:uid="{00000000-0005-0000-0000-00002E7C0000}"/>
    <cellStyle name="Percent 3 7 3 4" xfId="20308" xr:uid="{00000000-0005-0000-0000-00002F7C0000}"/>
    <cellStyle name="Percent 3 7 4" xfId="5480" xr:uid="{00000000-0005-0000-0000-0000307C0000}"/>
    <cellStyle name="Percent 3 7 4 2" xfId="13928" xr:uid="{00000000-0005-0000-0000-0000317C0000}"/>
    <cellStyle name="Percent 3 7 4 2 2" xfId="30868" xr:uid="{00000000-0005-0000-0000-0000327C0000}"/>
    <cellStyle name="Percent 3 7 4 3" xfId="22420" xr:uid="{00000000-0005-0000-0000-0000337C0000}"/>
    <cellStyle name="Percent 3 7 5" xfId="9704" xr:uid="{00000000-0005-0000-0000-0000347C0000}"/>
    <cellStyle name="Percent 3 7 5 2" xfId="26644" xr:uid="{00000000-0005-0000-0000-0000357C0000}"/>
    <cellStyle name="Percent 3 7 6" xfId="18196" xr:uid="{00000000-0005-0000-0000-0000367C0000}"/>
    <cellStyle name="Percent 3 8" xfId="1430" xr:uid="{00000000-0005-0000-0000-0000377C0000}"/>
    <cellStyle name="Percent 3 8 2" xfId="2486" xr:uid="{00000000-0005-0000-0000-0000387C0000}"/>
    <cellStyle name="Percent 3 8 2 2" xfId="4598" xr:uid="{00000000-0005-0000-0000-0000397C0000}"/>
    <cellStyle name="Percent 3 8 2 2 2" xfId="8824" xr:uid="{00000000-0005-0000-0000-00003A7C0000}"/>
    <cellStyle name="Percent 3 8 2 2 2 2" xfId="17272" xr:uid="{00000000-0005-0000-0000-00003B7C0000}"/>
    <cellStyle name="Percent 3 8 2 2 2 2 2" xfId="34212" xr:uid="{00000000-0005-0000-0000-00003C7C0000}"/>
    <cellStyle name="Percent 3 8 2 2 2 3" xfId="25764" xr:uid="{00000000-0005-0000-0000-00003D7C0000}"/>
    <cellStyle name="Percent 3 8 2 2 3" xfId="13048" xr:uid="{00000000-0005-0000-0000-00003E7C0000}"/>
    <cellStyle name="Percent 3 8 2 2 3 2" xfId="29988" xr:uid="{00000000-0005-0000-0000-00003F7C0000}"/>
    <cellStyle name="Percent 3 8 2 2 4" xfId="21540" xr:uid="{00000000-0005-0000-0000-0000407C0000}"/>
    <cellStyle name="Percent 3 8 2 3" xfId="6712" xr:uid="{00000000-0005-0000-0000-0000417C0000}"/>
    <cellStyle name="Percent 3 8 2 3 2" xfId="15160" xr:uid="{00000000-0005-0000-0000-0000427C0000}"/>
    <cellStyle name="Percent 3 8 2 3 2 2" xfId="32100" xr:uid="{00000000-0005-0000-0000-0000437C0000}"/>
    <cellStyle name="Percent 3 8 2 3 3" xfId="23652" xr:uid="{00000000-0005-0000-0000-0000447C0000}"/>
    <cellStyle name="Percent 3 8 2 4" xfId="10936" xr:uid="{00000000-0005-0000-0000-0000457C0000}"/>
    <cellStyle name="Percent 3 8 2 4 2" xfId="27876" xr:uid="{00000000-0005-0000-0000-0000467C0000}"/>
    <cellStyle name="Percent 3 8 2 5" xfId="19428" xr:uid="{00000000-0005-0000-0000-0000477C0000}"/>
    <cellStyle name="Percent 3 8 3" xfId="3542" xr:uid="{00000000-0005-0000-0000-0000487C0000}"/>
    <cellStyle name="Percent 3 8 3 2" xfId="7768" xr:uid="{00000000-0005-0000-0000-0000497C0000}"/>
    <cellStyle name="Percent 3 8 3 2 2" xfId="16216" xr:uid="{00000000-0005-0000-0000-00004A7C0000}"/>
    <cellStyle name="Percent 3 8 3 2 2 2" xfId="33156" xr:uid="{00000000-0005-0000-0000-00004B7C0000}"/>
    <cellStyle name="Percent 3 8 3 2 3" xfId="24708" xr:uid="{00000000-0005-0000-0000-00004C7C0000}"/>
    <cellStyle name="Percent 3 8 3 3" xfId="11992" xr:uid="{00000000-0005-0000-0000-00004D7C0000}"/>
    <cellStyle name="Percent 3 8 3 3 2" xfId="28932" xr:uid="{00000000-0005-0000-0000-00004E7C0000}"/>
    <cellStyle name="Percent 3 8 3 4" xfId="20484" xr:uid="{00000000-0005-0000-0000-00004F7C0000}"/>
    <cellStyle name="Percent 3 8 4" xfId="5656" xr:uid="{00000000-0005-0000-0000-0000507C0000}"/>
    <cellStyle name="Percent 3 8 4 2" xfId="14104" xr:uid="{00000000-0005-0000-0000-0000517C0000}"/>
    <cellStyle name="Percent 3 8 4 2 2" xfId="31044" xr:uid="{00000000-0005-0000-0000-0000527C0000}"/>
    <cellStyle name="Percent 3 8 4 3" xfId="22596" xr:uid="{00000000-0005-0000-0000-0000537C0000}"/>
    <cellStyle name="Percent 3 8 5" xfId="9880" xr:uid="{00000000-0005-0000-0000-0000547C0000}"/>
    <cellStyle name="Percent 3 8 5 2" xfId="26820" xr:uid="{00000000-0005-0000-0000-0000557C0000}"/>
    <cellStyle name="Percent 3 8 6" xfId="18372" xr:uid="{00000000-0005-0000-0000-0000567C0000}"/>
    <cellStyle name="Percent 3 9" xfId="1606" xr:uid="{00000000-0005-0000-0000-0000577C0000}"/>
    <cellStyle name="Percent 3 9 2" xfId="3718" xr:uid="{00000000-0005-0000-0000-0000587C0000}"/>
    <cellStyle name="Percent 3 9 2 2" xfId="7944" xr:uid="{00000000-0005-0000-0000-0000597C0000}"/>
    <cellStyle name="Percent 3 9 2 2 2" xfId="16392" xr:uid="{00000000-0005-0000-0000-00005A7C0000}"/>
    <cellStyle name="Percent 3 9 2 2 2 2" xfId="33332" xr:uid="{00000000-0005-0000-0000-00005B7C0000}"/>
    <cellStyle name="Percent 3 9 2 2 3" xfId="24884" xr:uid="{00000000-0005-0000-0000-00005C7C0000}"/>
    <cellStyle name="Percent 3 9 2 3" xfId="12168" xr:uid="{00000000-0005-0000-0000-00005D7C0000}"/>
    <cellStyle name="Percent 3 9 2 3 2" xfId="29108" xr:uid="{00000000-0005-0000-0000-00005E7C0000}"/>
    <cellStyle name="Percent 3 9 2 4" xfId="20660" xr:uid="{00000000-0005-0000-0000-00005F7C0000}"/>
    <cellStyle name="Percent 3 9 3" xfId="5832" xr:uid="{00000000-0005-0000-0000-0000607C0000}"/>
    <cellStyle name="Percent 3 9 3 2" xfId="14280" xr:uid="{00000000-0005-0000-0000-0000617C0000}"/>
    <cellStyle name="Percent 3 9 3 2 2" xfId="31220" xr:uid="{00000000-0005-0000-0000-0000627C0000}"/>
    <cellStyle name="Percent 3 9 3 3" xfId="22772" xr:uid="{00000000-0005-0000-0000-0000637C0000}"/>
    <cellStyle name="Percent 3 9 4" xfId="10056" xr:uid="{00000000-0005-0000-0000-0000647C0000}"/>
    <cellStyle name="Percent 3 9 4 2" xfId="26996" xr:uid="{00000000-0005-0000-0000-0000657C0000}"/>
    <cellStyle name="Percent 3 9 5" xfId="18548" xr:uid="{00000000-0005-0000-0000-0000667C0000}"/>
    <cellStyle name="Percent 4" xfId="460" xr:uid="{00000000-0005-0000-0000-0000677C0000}"/>
    <cellStyle name="Percent 4 2" xfId="461" xr:uid="{00000000-0005-0000-0000-0000687C0000}"/>
    <cellStyle name="Percent 4 3" xfId="462" xr:uid="{00000000-0005-0000-0000-0000697C0000}"/>
    <cellStyle name="Percent 5" xfId="463" xr:uid="{00000000-0005-0000-0000-00006A7C0000}"/>
    <cellStyle name="Percent 5 2" xfId="464" xr:uid="{00000000-0005-0000-0000-00006B7C0000}"/>
    <cellStyle name="Percent 5 3" xfId="465" xr:uid="{00000000-0005-0000-0000-00006C7C0000}"/>
    <cellStyle name="Percent 6" xfId="466" xr:uid="{00000000-0005-0000-0000-00006D7C0000}"/>
    <cellStyle name="Percent 6 2" xfId="467" xr:uid="{00000000-0005-0000-0000-00006E7C0000}"/>
    <cellStyle name="Percent 6 3" xfId="468" xr:uid="{00000000-0005-0000-0000-00006F7C0000}"/>
    <cellStyle name="Percent 7" xfId="469" xr:uid="{00000000-0005-0000-0000-0000707C0000}"/>
    <cellStyle name="Percent 7 2" xfId="470" xr:uid="{00000000-0005-0000-0000-0000717C0000}"/>
    <cellStyle name="Percent 7 3" xfId="471" xr:uid="{00000000-0005-0000-0000-0000727C0000}"/>
    <cellStyle name="Percent 7 4" xfId="472" xr:uid="{00000000-0005-0000-0000-0000737C0000}"/>
    <cellStyle name="Percent 8" xfId="473" xr:uid="{00000000-0005-0000-0000-0000747C0000}"/>
    <cellStyle name="Percent 8 10" xfId="1609" xr:uid="{00000000-0005-0000-0000-0000757C0000}"/>
    <cellStyle name="Percent 8 10 2" xfId="3721" xr:uid="{00000000-0005-0000-0000-0000767C0000}"/>
    <cellStyle name="Percent 8 10 2 2" xfId="7947" xr:uid="{00000000-0005-0000-0000-0000777C0000}"/>
    <cellStyle name="Percent 8 10 2 2 2" xfId="16395" xr:uid="{00000000-0005-0000-0000-0000787C0000}"/>
    <cellStyle name="Percent 8 10 2 2 2 2" xfId="33335" xr:uid="{00000000-0005-0000-0000-0000797C0000}"/>
    <cellStyle name="Percent 8 10 2 2 3" xfId="24887" xr:uid="{00000000-0005-0000-0000-00007A7C0000}"/>
    <cellStyle name="Percent 8 10 2 3" xfId="12171" xr:uid="{00000000-0005-0000-0000-00007B7C0000}"/>
    <cellStyle name="Percent 8 10 2 3 2" xfId="29111" xr:uid="{00000000-0005-0000-0000-00007C7C0000}"/>
    <cellStyle name="Percent 8 10 2 4" xfId="20663" xr:uid="{00000000-0005-0000-0000-00007D7C0000}"/>
    <cellStyle name="Percent 8 10 3" xfId="5835" xr:uid="{00000000-0005-0000-0000-00007E7C0000}"/>
    <cellStyle name="Percent 8 10 3 2" xfId="14283" xr:uid="{00000000-0005-0000-0000-00007F7C0000}"/>
    <cellStyle name="Percent 8 10 3 2 2" xfId="31223" xr:uid="{00000000-0005-0000-0000-0000807C0000}"/>
    <cellStyle name="Percent 8 10 3 3" xfId="22775" xr:uid="{00000000-0005-0000-0000-0000817C0000}"/>
    <cellStyle name="Percent 8 10 4" xfId="10059" xr:uid="{00000000-0005-0000-0000-0000827C0000}"/>
    <cellStyle name="Percent 8 10 4 2" xfId="26999" xr:uid="{00000000-0005-0000-0000-0000837C0000}"/>
    <cellStyle name="Percent 8 10 5" xfId="18551" xr:uid="{00000000-0005-0000-0000-0000847C0000}"/>
    <cellStyle name="Percent 8 11" xfId="2665" xr:uid="{00000000-0005-0000-0000-0000857C0000}"/>
    <cellStyle name="Percent 8 11 2" xfId="6891" xr:uid="{00000000-0005-0000-0000-0000867C0000}"/>
    <cellStyle name="Percent 8 11 2 2" xfId="15339" xr:uid="{00000000-0005-0000-0000-0000877C0000}"/>
    <cellStyle name="Percent 8 11 2 2 2" xfId="32279" xr:uid="{00000000-0005-0000-0000-0000887C0000}"/>
    <cellStyle name="Percent 8 11 2 3" xfId="23831" xr:uid="{00000000-0005-0000-0000-0000897C0000}"/>
    <cellStyle name="Percent 8 11 3" xfId="11115" xr:uid="{00000000-0005-0000-0000-00008A7C0000}"/>
    <cellStyle name="Percent 8 11 3 2" xfId="28055" xr:uid="{00000000-0005-0000-0000-00008B7C0000}"/>
    <cellStyle name="Percent 8 11 4" xfId="19607" xr:uid="{00000000-0005-0000-0000-00008C7C0000}"/>
    <cellStyle name="Percent 8 12" xfId="4778" xr:uid="{00000000-0005-0000-0000-00008D7C0000}"/>
    <cellStyle name="Percent 8 12 2" xfId="13227" xr:uid="{00000000-0005-0000-0000-00008E7C0000}"/>
    <cellStyle name="Percent 8 12 2 2" xfId="30167" xr:uid="{00000000-0005-0000-0000-00008F7C0000}"/>
    <cellStyle name="Percent 8 12 3" xfId="21719" xr:uid="{00000000-0005-0000-0000-0000907C0000}"/>
    <cellStyle name="Percent 8 13" xfId="9003" xr:uid="{00000000-0005-0000-0000-0000917C0000}"/>
    <cellStyle name="Percent 8 13 2" xfId="25943" xr:uid="{00000000-0005-0000-0000-0000927C0000}"/>
    <cellStyle name="Percent 8 14" xfId="17495" xr:uid="{00000000-0005-0000-0000-0000937C0000}"/>
    <cellStyle name="Percent 8 2" xfId="474" xr:uid="{00000000-0005-0000-0000-0000947C0000}"/>
    <cellStyle name="Percent 8 2 10" xfId="4779" xr:uid="{00000000-0005-0000-0000-0000957C0000}"/>
    <cellStyle name="Percent 8 2 10 2" xfId="13228" xr:uid="{00000000-0005-0000-0000-0000967C0000}"/>
    <cellStyle name="Percent 8 2 10 2 2" xfId="30168" xr:uid="{00000000-0005-0000-0000-0000977C0000}"/>
    <cellStyle name="Percent 8 2 10 3" xfId="21720" xr:uid="{00000000-0005-0000-0000-0000987C0000}"/>
    <cellStyle name="Percent 8 2 11" xfId="9004" xr:uid="{00000000-0005-0000-0000-0000997C0000}"/>
    <cellStyle name="Percent 8 2 11 2" xfId="25944" xr:uid="{00000000-0005-0000-0000-00009A7C0000}"/>
    <cellStyle name="Percent 8 2 12" xfId="17496" xr:uid="{00000000-0005-0000-0000-00009B7C0000}"/>
    <cellStyle name="Percent 8 2 2" xfId="475" xr:uid="{00000000-0005-0000-0000-00009C7C0000}"/>
    <cellStyle name="Percent 8 2 2 10" xfId="17497" xr:uid="{00000000-0005-0000-0000-00009D7C0000}"/>
    <cellStyle name="Percent 8 2 2 2" xfId="725" xr:uid="{00000000-0005-0000-0000-00009E7C0000}"/>
    <cellStyle name="Percent 8 2 2 2 2" xfId="1077" xr:uid="{00000000-0005-0000-0000-00009F7C0000}"/>
    <cellStyle name="Percent 8 2 2 2 2 2" xfId="2139" xr:uid="{00000000-0005-0000-0000-0000A07C0000}"/>
    <cellStyle name="Percent 8 2 2 2 2 2 2" xfId="4251" xr:uid="{00000000-0005-0000-0000-0000A17C0000}"/>
    <cellStyle name="Percent 8 2 2 2 2 2 2 2" xfId="8477" xr:uid="{00000000-0005-0000-0000-0000A27C0000}"/>
    <cellStyle name="Percent 8 2 2 2 2 2 2 2 2" xfId="16925" xr:uid="{00000000-0005-0000-0000-0000A37C0000}"/>
    <cellStyle name="Percent 8 2 2 2 2 2 2 2 2 2" xfId="33865" xr:uid="{00000000-0005-0000-0000-0000A47C0000}"/>
    <cellStyle name="Percent 8 2 2 2 2 2 2 2 3" xfId="25417" xr:uid="{00000000-0005-0000-0000-0000A57C0000}"/>
    <cellStyle name="Percent 8 2 2 2 2 2 2 3" xfId="12701" xr:uid="{00000000-0005-0000-0000-0000A67C0000}"/>
    <cellStyle name="Percent 8 2 2 2 2 2 2 3 2" xfId="29641" xr:uid="{00000000-0005-0000-0000-0000A77C0000}"/>
    <cellStyle name="Percent 8 2 2 2 2 2 2 4" xfId="21193" xr:uid="{00000000-0005-0000-0000-0000A87C0000}"/>
    <cellStyle name="Percent 8 2 2 2 2 2 3" xfId="6365" xr:uid="{00000000-0005-0000-0000-0000A97C0000}"/>
    <cellStyle name="Percent 8 2 2 2 2 2 3 2" xfId="14813" xr:uid="{00000000-0005-0000-0000-0000AA7C0000}"/>
    <cellStyle name="Percent 8 2 2 2 2 2 3 2 2" xfId="31753" xr:uid="{00000000-0005-0000-0000-0000AB7C0000}"/>
    <cellStyle name="Percent 8 2 2 2 2 2 3 3" xfId="23305" xr:uid="{00000000-0005-0000-0000-0000AC7C0000}"/>
    <cellStyle name="Percent 8 2 2 2 2 2 4" xfId="10589" xr:uid="{00000000-0005-0000-0000-0000AD7C0000}"/>
    <cellStyle name="Percent 8 2 2 2 2 2 4 2" xfId="27529" xr:uid="{00000000-0005-0000-0000-0000AE7C0000}"/>
    <cellStyle name="Percent 8 2 2 2 2 2 5" xfId="19081" xr:uid="{00000000-0005-0000-0000-0000AF7C0000}"/>
    <cellStyle name="Percent 8 2 2 2 2 3" xfId="3195" xr:uid="{00000000-0005-0000-0000-0000B07C0000}"/>
    <cellStyle name="Percent 8 2 2 2 2 3 2" xfId="7421" xr:uid="{00000000-0005-0000-0000-0000B17C0000}"/>
    <cellStyle name="Percent 8 2 2 2 2 3 2 2" xfId="15869" xr:uid="{00000000-0005-0000-0000-0000B27C0000}"/>
    <cellStyle name="Percent 8 2 2 2 2 3 2 2 2" xfId="32809" xr:uid="{00000000-0005-0000-0000-0000B37C0000}"/>
    <cellStyle name="Percent 8 2 2 2 2 3 2 3" xfId="24361" xr:uid="{00000000-0005-0000-0000-0000B47C0000}"/>
    <cellStyle name="Percent 8 2 2 2 2 3 3" xfId="11645" xr:uid="{00000000-0005-0000-0000-0000B57C0000}"/>
    <cellStyle name="Percent 8 2 2 2 2 3 3 2" xfId="28585" xr:uid="{00000000-0005-0000-0000-0000B67C0000}"/>
    <cellStyle name="Percent 8 2 2 2 2 3 4" xfId="20137" xr:uid="{00000000-0005-0000-0000-0000B77C0000}"/>
    <cellStyle name="Percent 8 2 2 2 2 4" xfId="5309" xr:uid="{00000000-0005-0000-0000-0000B87C0000}"/>
    <cellStyle name="Percent 8 2 2 2 2 4 2" xfId="13757" xr:uid="{00000000-0005-0000-0000-0000B97C0000}"/>
    <cellStyle name="Percent 8 2 2 2 2 4 2 2" xfId="30697" xr:uid="{00000000-0005-0000-0000-0000BA7C0000}"/>
    <cellStyle name="Percent 8 2 2 2 2 4 3" xfId="22249" xr:uid="{00000000-0005-0000-0000-0000BB7C0000}"/>
    <cellStyle name="Percent 8 2 2 2 2 5" xfId="9533" xr:uid="{00000000-0005-0000-0000-0000BC7C0000}"/>
    <cellStyle name="Percent 8 2 2 2 2 5 2" xfId="26473" xr:uid="{00000000-0005-0000-0000-0000BD7C0000}"/>
    <cellStyle name="Percent 8 2 2 2 2 6" xfId="18025" xr:uid="{00000000-0005-0000-0000-0000BE7C0000}"/>
    <cellStyle name="Percent 8 2 2 2 3" xfId="1787" xr:uid="{00000000-0005-0000-0000-0000BF7C0000}"/>
    <cellStyle name="Percent 8 2 2 2 3 2" xfId="3899" xr:uid="{00000000-0005-0000-0000-0000C07C0000}"/>
    <cellStyle name="Percent 8 2 2 2 3 2 2" xfId="8125" xr:uid="{00000000-0005-0000-0000-0000C17C0000}"/>
    <cellStyle name="Percent 8 2 2 2 3 2 2 2" xfId="16573" xr:uid="{00000000-0005-0000-0000-0000C27C0000}"/>
    <cellStyle name="Percent 8 2 2 2 3 2 2 2 2" xfId="33513" xr:uid="{00000000-0005-0000-0000-0000C37C0000}"/>
    <cellStyle name="Percent 8 2 2 2 3 2 2 3" xfId="25065" xr:uid="{00000000-0005-0000-0000-0000C47C0000}"/>
    <cellStyle name="Percent 8 2 2 2 3 2 3" xfId="12349" xr:uid="{00000000-0005-0000-0000-0000C57C0000}"/>
    <cellStyle name="Percent 8 2 2 2 3 2 3 2" xfId="29289" xr:uid="{00000000-0005-0000-0000-0000C67C0000}"/>
    <cellStyle name="Percent 8 2 2 2 3 2 4" xfId="20841" xr:uid="{00000000-0005-0000-0000-0000C77C0000}"/>
    <cellStyle name="Percent 8 2 2 2 3 3" xfId="6013" xr:uid="{00000000-0005-0000-0000-0000C87C0000}"/>
    <cellStyle name="Percent 8 2 2 2 3 3 2" xfId="14461" xr:uid="{00000000-0005-0000-0000-0000C97C0000}"/>
    <cellStyle name="Percent 8 2 2 2 3 3 2 2" xfId="31401" xr:uid="{00000000-0005-0000-0000-0000CA7C0000}"/>
    <cellStyle name="Percent 8 2 2 2 3 3 3" xfId="22953" xr:uid="{00000000-0005-0000-0000-0000CB7C0000}"/>
    <cellStyle name="Percent 8 2 2 2 3 4" xfId="10237" xr:uid="{00000000-0005-0000-0000-0000CC7C0000}"/>
    <cellStyle name="Percent 8 2 2 2 3 4 2" xfId="27177" xr:uid="{00000000-0005-0000-0000-0000CD7C0000}"/>
    <cellStyle name="Percent 8 2 2 2 3 5" xfId="18729" xr:uid="{00000000-0005-0000-0000-0000CE7C0000}"/>
    <cellStyle name="Percent 8 2 2 2 4" xfId="2843" xr:uid="{00000000-0005-0000-0000-0000CF7C0000}"/>
    <cellStyle name="Percent 8 2 2 2 4 2" xfId="7069" xr:uid="{00000000-0005-0000-0000-0000D07C0000}"/>
    <cellStyle name="Percent 8 2 2 2 4 2 2" xfId="15517" xr:uid="{00000000-0005-0000-0000-0000D17C0000}"/>
    <cellStyle name="Percent 8 2 2 2 4 2 2 2" xfId="32457" xr:uid="{00000000-0005-0000-0000-0000D27C0000}"/>
    <cellStyle name="Percent 8 2 2 2 4 2 3" xfId="24009" xr:uid="{00000000-0005-0000-0000-0000D37C0000}"/>
    <cellStyle name="Percent 8 2 2 2 4 3" xfId="11293" xr:uid="{00000000-0005-0000-0000-0000D47C0000}"/>
    <cellStyle name="Percent 8 2 2 2 4 3 2" xfId="28233" xr:uid="{00000000-0005-0000-0000-0000D57C0000}"/>
    <cellStyle name="Percent 8 2 2 2 4 4" xfId="19785" xr:uid="{00000000-0005-0000-0000-0000D67C0000}"/>
    <cellStyle name="Percent 8 2 2 2 5" xfId="4957" xr:uid="{00000000-0005-0000-0000-0000D77C0000}"/>
    <cellStyle name="Percent 8 2 2 2 5 2" xfId="13405" xr:uid="{00000000-0005-0000-0000-0000D87C0000}"/>
    <cellStyle name="Percent 8 2 2 2 5 2 2" xfId="30345" xr:uid="{00000000-0005-0000-0000-0000D97C0000}"/>
    <cellStyle name="Percent 8 2 2 2 5 3" xfId="21897" xr:uid="{00000000-0005-0000-0000-0000DA7C0000}"/>
    <cellStyle name="Percent 8 2 2 2 6" xfId="9181" xr:uid="{00000000-0005-0000-0000-0000DB7C0000}"/>
    <cellStyle name="Percent 8 2 2 2 6 2" xfId="26121" xr:uid="{00000000-0005-0000-0000-0000DC7C0000}"/>
    <cellStyle name="Percent 8 2 2 2 7" xfId="17673" xr:uid="{00000000-0005-0000-0000-0000DD7C0000}"/>
    <cellStyle name="Percent 8 2 2 3" xfId="901" xr:uid="{00000000-0005-0000-0000-0000DE7C0000}"/>
    <cellStyle name="Percent 8 2 2 3 2" xfId="1963" xr:uid="{00000000-0005-0000-0000-0000DF7C0000}"/>
    <cellStyle name="Percent 8 2 2 3 2 2" xfId="4075" xr:uid="{00000000-0005-0000-0000-0000E07C0000}"/>
    <cellStyle name="Percent 8 2 2 3 2 2 2" xfId="8301" xr:uid="{00000000-0005-0000-0000-0000E17C0000}"/>
    <cellStyle name="Percent 8 2 2 3 2 2 2 2" xfId="16749" xr:uid="{00000000-0005-0000-0000-0000E27C0000}"/>
    <cellStyle name="Percent 8 2 2 3 2 2 2 2 2" xfId="33689" xr:uid="{00000000-0005-0000-0000-0000E37C0000}"/>
    <cellStyle name="Percent 8 2 2 3 2 2 2 3" xfId="25241" xr:uid="{00000000-0005-0000-0000-0000E47C0000}"/>
    <cellStyle name="Percent 8 2 2 3 2 2 3" xfId="12525" xr:uid="{00000000-0005-0000-0000-0000E57C0000}"/>
    <cellStyle name="Percent 8 2 2 3 2 2 3 2" xfId="29465" xr:uid="{00000000-0005-0000-0000-0000E67C0000}"/>
    <cellStyle name="Percent 8 2 2 3 2 2 4" xfId="21017" xr:uid="{00000000-0005-0000-0000-0000E77C0000}"/>
    <cellStyle name="Percent 8 2 2 3 2 3" xfId="6189" xr:uid="{00000000-0005-0000-0000-0000E87C0000}"/>
    <cellStyle name="Percent 8 2 2 3 2 3 2" xfId="14637" xr:uid="{00000000-0005-0000-0000-0000E97C0000}"/>
    <cellStyle name="Percent 8 2 2 3 2 3 2 2" xfId="31577" xr:uid="{00000000-0005-0000-0000-0000EA7C0000}"/>
    <cellStyle name="Percent 8 2 2 3 2 3 3" xfId="23129" xr:uid="{00000000-0005-0000-0000-0000EB7C0000}"/>
    <cellStyle name="Percent 8 2 2 3 2 4" xfId="10413" xr:uid="{00000000-0005-0000-0000-0000EC7C0000}"/>
    <cellStyle name="Percent 8 2 2 3 2 4 2" xfId="27353" xr:uid="{00000000-0005-0000-0000-0000ED7C0000}"/>
    <cellStyle name="Percent 8 2 2 3 2 5" xfId="18905" xr:uid="{00000000-0005-0000-0000-0000EE7C0000}"/>
    <cellStyle name="Percent 8 2 2 3 3" xfId="3019" xr:uid="{00000000-0005-0000-0000-0000EF7C0000}"/>
    <cellStyle name="Percent 8 2 2 3 3 2" xfId="7245" xr:uid="{00000000-0005-0000-0000-0000F07C0000}"/>
    <cellStyle name="Percent 8 2 2 3 3 2 2" xfId="15693" xr:uid="{00000000-0005-0000-0000-0000F17C0000}"/>
    <cellStyle name="Percent 8 2 2 3 3 2 2 2" xfId="32633" xr:uid="{00000000-0005-0000-0000-0000F27C0000}"/>
    <cellStyle name="Percent 8 2 2 3 3 2 3" xfId="24185" xr:uid="{00000000-0005-0000-0000-0000F37C0000}"/>
    <cellStyle name="Percent 8 2 2 3 3 3" xfId="11469" xr:uid="{00000000-0005-0000-0000-0000F47C0000}"/>
    <cellStyle name="Percent 8 2 2 3 3 3 2" xfId="28409" xr:uid="{00000000-0005-0000-0000-0000F57C0000}"/>
    <cellStyle name="Percent 8 2 2 3 3 4" xfId="19961" xr:uid="{00000000-0005-0000-0000-0000F67C0000}"/>
    <cellStyle name="Percent 8 2 2 3 4" xfId="5133" xr:uid="{00000000-0005-0000-0000-0000F77C0000}"/>
    <cellStyle name="Percent 8 2 2 3 4 2" xfId="13581" xr:uid="{00000000-0005-0000-0000-0000F87C0000}"/>
    <cellStyle name="Percent 8 2 2 3 4 2 2" xfId="30521" xr:uid="{00000000-0005-0000-0000-0000F97C0000}"/>
    <cellStyle name="Percent 8 2 2 3 4 3" xfId="22073" xr:uid="{00000000-0005-0000-0000-0000FA7C0000}"/>
    <cellStyle name="Percent 8 2 2 3 5" xfId="9357" xr:uid="{00000000-0005-0000-0000-0000FB7C0000}"/>
    <cellStyle name="Percent 8 2 2 3 5 2" xfId="26297" xr:uid="{00000000-0005-0000-0000-0000FC7C0000}"/>
    <cellStyle name="Percent 8 2 2 3 6" xfId="17849" xr:uid="{00000000-0005-0000-0000-0000FD7C0000}"/>
    <cellStyle name="Percent 8 2 2 4" xfId="1253" xr:uid="{00000000-0005-0000-0000-0000FE7C0000}"/>
    <cellStyle name="Percent 8 2 2 4 2" xfId="2315" xr:uid="{00000000-0005-0000-0000-0000FF7C0000}"/>
    <cellStyle name="Percent 8 2 2 4 2 2" xfId="4427" xr:uid="{00000000-0005-0000-0000-0000007D0000}"/>
    <cellStyle name="Percent 8 2 2 4 2 2 2" xfId="8653" xr:uid="{00000000-0005-0000-0000-0000017D0000}"/>
    <cellStyle name="Percent 8 2 2 4 2 2 2 2" xfId="17101" xr:uid="{00000000-0005-0000-0000-0000027D0000}"/>
    <cellStyle name="Percent 8 2 2 4 2 2 2 2 2" xfId="34041" xr:uid="{00000000-0005-0000-0000-0000037D0000}"/>
    <cellStyle name="Percent 8 2 2 4 2 2 2 3" xfId="25593" xr:uid="{00000000-0005-0000-0000-0000047D0000}"/>
    <cellStyle name="Percent 8 2 2 4 2 2 3" xfId="12877" xr:uid="{00000000-0005-0000-0000-0000057D0000}"/>
    <cellStyle name="Percent 8 2 2 4 2 2 3 2" xfId="29817" xr:uid="{00000000-0005-0000-0000-0000067D0000}"/>
    <cellStyle name="Percent 8 2 2 4 2 2 4" xfId="21369" xr:uid="{00000000-0005-0000-0000-0000077D0000}"/>
    <cellStyle name="Percent 8 2 2 4 2 3" xfId="6541" xr:uid="{00000000-0005-0000-0000-0000087D0000}"/>
    <cellStyle name="Percent 8 2 2 4 2 3 2" xfId="14989" xr:uid="{00000000-0005-0000-0000-0000097D0000}"/>
    <cellStyle name="Percent 8 2 2 4 2 3 2 2" xfId="31929" xr:uid="{00000000-0005-0000-0000-00000A7D0000}"/>
    <cellStyle name="Percent 8 2 2 4 2 3 3" xfId="23481" xr:uid="{00000000-0005-0000-0000-00000B7D0000}"/>
    <cellStyle name="Percent 8 2 2 4 2 4" xfId="10765" xr:uid="{00000000-0005-0000-0000-00000C7D0000}"/>
    <cellStyle name="Percent 8 2 2 4 2 4 2" xfId="27705" xr:uid="{00000000-0005-0000-0000-00000D7D0000}"/>
    <cellStyle name="Percent 8 2 2 4 2 5" xfId="19257" xr:uid="{00000000-0005-0000-0000-00000E7D0000}"/>
    <cellStyle name="Percent 8 2 2 4 3" xfId="3371" xr:uid="{00000000-0005-0000-0000-00000F7D0000}"/>
    <cellStyle name="Percent 8 2 2 4 3 2" xfId="7597" xr:uid="{00000000-0005-0000-0000-0000107D0000}"/>
    <cellStyle name="Percent 8 2 2 4 3 2 2" xfId="16045" xr:uid="{00000000-0005-0000-0000-0000117D0000}"/>
    <cellStyle name="Percent 8 2 2 4 3 2 2 2" xfId="32985" xr:uid="{00000000-0005-0000-0000-0000127D0000}"/>
    <cellStyle name="Percent 8 2 2 4 3 2 3" xfId="24537" xr:uid="{00000000-0005-0000-0000-0000137D0000}"/>
    <cellStyle name="Percent 8 2 2 4 3 3" xfId="11821" xr:uid="{00000000-0005-0000-0000-0000147D0000}"/>
    <cellStyle name="Percent 8 2 2 4 3 3 2" xfId="28761" xr:uid="{00000000-0005-0000-0000-0000157D0000}"/>
    <cellStyle name="Percent 8 2 2 4 3 4" xfId="20313" xr:uid="{00000000-0005-0000-0000-0000167D0000}"/>
    <cellStyle name="Percent 8 2 2 4 4" xfId="5485" xr:uid="{00000000-0005-0000-0000-0000177D0000}"/>
    <cellStyle name="Percent 8 2 2 4 4 2" xfId="13933" xr:uid="{00000000-0005-0000-0000-0000187D0000}"/>
    <cellStyle name="Percent 8 2 2 4 4 2 2" xfId="30873" xr:uid="{00000000-0005-0000-0000-0000197D0000}"/>
    <cellStyle name="Percent 8 2 2 4 4 3" xfId="22425" xr:uid="{00000000-0005-0000-0000-00001A7D0000}"/>
    <cellStyle name="Percent 8 2 2 4 5" xfId="9709" xr:uid="{00000000-0005-0000-0000-00001B7D0000}"/>
    <cellStyle name="Percent 8 2 2 4 5 2" xfId="26649" xr:uid="{00000000-0005-0000-0000-00001C7D0000}"/>
    <cellStyle name="Percent 8 2 2 4 6" xfId="18201" xr:uid="{00000000-0005-0000-0000-00001D7D0000}"/>
    <cellStyle name="Percent 8 2 2 5" xfId="1435" xr:uid="{00000000-0005-0000-0000-00001E7D0000}"/>
    <cellStyle name="Percent 8 2 2 5 2" xfId="2491" xr:uid="{00000000-0005-0000-0000-00001F7D0000}"/>
    <cellStyle name="Percent 8 2 2 5 2 2" xfId="4603" xr:uid="{00000000-0005-0000-0000-0000207D0000}"/>
    <cellStyle name="Percent 8 2 2 5 2 2 2" xfId="8829" xr:uid="{00000000-0005-0000-0000-0000217D0000}"/>
    <cellStyle name="Percent 8 2 2 5 2 2 2 2" xfId="17277" xr:uid="{00000000-0005-0000-0000-0000227D0000}"/>
    <cellStyle name="Percent 8 2 2 5 2 2 2 2 2" xfId="34217" xr:uid="{00000000-0005-0000-0000-0000237D0000}"/>
    <cellStyle name="Percent 8 2 2 5 2 2 2 3" xfId="25769" xr:uid="{00000000-0005-0000-0000-0000247D0000}"/>
    <cellStyle name="Percent 8 2 2 5 2 2 3" xfId="13053" xr:uid="{00000000-0005-0000-0000-0000257D0000}"/>
    <cellStyle name="Percent 8 2 2 5 2 2 3 2" xfId="29993" xr:uid="{00000000-0005-0000-0000-0000267D0000}"/>
    <cellStyle name="Percent 8 2 2 5 2 2 4" xfId="21545" xr:uid="{00000000-0005-0000-0000-0000277D0000}"/>
    <cellStyle name="Percent 8 2 2 5 2 3" xfId="6717" xr:uid="{00000000-0005-0000-0000-0000287D0000}"/>
    <cellStyle name="Percent 8 2 2 5 2 3 2" xfId="15165" xr:uid="{00000000-0005-0000-0000-0000297D0000}"/>
    <cellStyle name="Percent 8 2 2 5 2 3 2 2" xfId="32105" xr:uid="{00000000-0005-0000-0000-00002A7D0000}"/>
    <cellStyle name="Percent 8 2 2 5 2 3 3" xfId="23657" xr:uid="{00000000-0005-0000-0000-00002B7D0000}"/>
    <cellStyle name="Percent 8 2 2 5 2 4" xfId="10941" xr:uid="{00000000-0005-0000-0000-00002C7D0000}"/>
    <cellStyle name="Percent 8 2 2 5 2 4 2" xfId="27881" xr:uid="{00000000-0005-0000-0000-00002D7D0000}"/>
    <cellStyle name="Percent 8 2 2 5 2 5" xfId="19433" xr:uid="{00000000-0005-0000-0000-00002E7D0000}"/>
    <cellStyle name="Percent 8 2 2 5 3" xfId="3547" xr:uid="{00000000-0005-0000-0000-00002F7D0000}"/>
    <cellStyle name="Percent 8 2 2 5 3 2" xfId="7773" xr:uid="{00000000-0005-0000-0000-0000307D0000}"/>
    <cellStyle name="Percent 8 2 2 5 3 2 2" xfId="16221" xr:uid="{00000000-0005-0000-0000-0000317D0000}"/>
    <cellStyle name="Percent 8 2 2 5 3 2 2 2" xfId="33161" xr:uid="{00000000-0005-0000-0000-0000327D0000}"/>
    <cellStyle name="Percent 8 2 2 5 3 2 3" xfId="24713" xr:uid="{00000000-0005-0000-0000-0000337D0000}"/>
    <cellStyle name="Percent 8 2 2 5 3 3" xfId="11997" xr:uid="{00000000-0005-0000-0000-0000347D0000}"/>
    <cellStyle name="Percent 8 2 2 5 3 3 2" xfId="28937" xr:uid="{00000000-0005-0000-0000-0000357D0000}"/>
    <cellStyle name="Percent 8 2 2 5 3 4" xfId="20489" xr:uid="{00000000-0005-0000-0000-0000367D0000}"/>
    <cellStyle name="Percent 8 2 2 5 4" xfId="5661" xr:uid="{00000000-0005-0000-0000-0000377D0000}"/>
    <cellStyle name="Percent 8 2 2 5 4 2" xfId="14109" xr:uid="{00000000-0005-0000-0000-0000387D0000}"/>
    <cellStyle name="Percent 8 2 2 5 4 2 2" xfId="31049" xr:uid="{00000000-0005-0000-0000-0000397D0000}"/>
    <cellStyle name="Percent 8 2 2 5 4 3" xfId="22601" xr:uid="{00000000-0005-0000-0000-00003A7D0000}"/>
    <cellStyle name="Percent 8 2 2 5 5" xfId="9885" xr:uid="{00000000-0005-0000-0000-00003B7D0000}"/>
    <cellStyle name="Percent 8 2 2 5 5 2" xfId="26825" xr:uid="{00000000-0005-0000-0000-00003C7D0000}"/>
    <cellStyle name="Percent 8 2 2 5 6" xfId="18377" xr:uid="{00000000-0005-0000-0000-00003D7D0000}"/>
    <cellStyle name="Percent 8 2 2 6" xfId="1611" xr:uid="{00000000-0005-0000-0000-00003E7D0000}"/>
    <cellStyle name="Percent 8 2 2 6 2" xfId="3723" xr:uid="{00000000-0005-0000-0000-00003F7D0000}"/>
    <cellStyle name="Percent 8 2 2 6 2 2" xfId="7949" xr:uid="{00000000-0005-0000-0000-0000407D0000}"/>
    <cellStyle name="Percent 8 2 2 6 2 2 2" xfId="16397" xr:uid="{00000000-0005-0000-0000-0000417D0000}"/>
    <cellStyle name="Percent 8 2 2 6 2 2 2 2" xfId="33337" xr:uid="{00000000-0005-0000-0000-0000427D0000}"/>
    <cellStyle name="Percent 8 2 2 6 2 2 3" xfId="24889" xr:uid="{00000000-0005-0000-0000-0000437D0000}"/>
    <cellStyle name="Percent 8 2 2 6 2 3" xfId="12173" xr:uid="{00000000-0005-0000-0000-0000447D0000}"/>
    <cellStyle name="Percent 8 2 2 6 2 3 2" xfId="29113" xr:uid="{00000000-0005-0000-0000-0000457D0000}"/>
    <cellStyle name="Percent 8 2 2 6 2 4" xfId="20665" xr:uid="{00000000-0005-0000-0000-0000467D0000}"/>
    <cellStyle name="Percent 8 2 2 6 3" xfId="5837" xr:uid="{00000000-0005-0000-0000-0000477D0000}"/>
    <cellStyle name="Percent 8 2 2 6 3 2" xfId="14285" xr:uid="{00000000-0005-0000-0000-0000487D0000}"/>
    <cellStyle name="Percent 8 2 2 6 3 2 2" xfId="31225" xr:uid="{00000000-0005-0000-0000-0000497D0000}"/>
    <cellStyle name="Percent 8 2 2 6 3 3" xfId="22777" xr:uid="{00000000-0005-0000-0000-00004A7D0000}"/>
    <cellStyle name="Percent 8 2 2 6 4" xfId="10061" xr:uid="{00000000-0005-0000-0000-00004B7D0000}"/>
    <cellStyle name="Percent 8 2 2 6 4 2" xfId="27001" xr:uid="{00000000-0005-0000-0000-00004C7D0000}"/>
    <cellStyle name="Percent 8 2 2 6 5" xfId="18553" xr:uid="{00000000-0005-0000-0000-00004D7D0000}"/>
    <cellStyle name="Percent 8 2 2 7" xfId="2667" xr:uid="{00000000-0005-0000-0000-00004E7D0000}"/>
    <cellStyle name="Percent 8 2 2 7 2" xfId="6893" xr:uid="{00000000-0005-0000-0000-00004F7D0000}"/>
    <cellStyle name="Percent 8 2 2 7 2 2" xfId="15341" xr:uid="{00000000-0005-0000-0000-0000507D0000}"/>
    <cellStyle name="Percent 8 2 2 7 2 2 2" xfId="32281" xr:uid="{00000000-0005-0000-0000-0000517D0000}"/>
    <cellStyle name="Percent 8 2 2 7 2 3" xfId="23833" xr:uid="{00000000-0005-0000-0000-0000527D0000}"/>
    <cellStyle name="Percent 8 2 2 7 3" xfId="11117" xr:uid="{00000000-0005-0000-0000-0000537D0000}"/>
    <cellStyle name="Percent 8 2 2 7 3 2" xfId="28057" xr:uid="{00000000-0005-0000-0000-0000547D0000}"/>
    <cellStyle name="Percent 8 2 2 7 4" xfId="19609" xr:uid="{00000000-0005-0000-0000-0000557D0000}"/>
    <cellStyle name="Percent 8 2 2 8" xfId="4780" xr:uid="{00000000-0005-0000-0000-0000567D0000}"/>
    <cellStyle name="Percent 8 2 2 8 2" xfId="13229" xr:uid="{00000000-0005-0000-0000-0000577D0000}"/>
    <cellStyle name="Percent 8 2 2 8 2 2" xfId="30169" xr:uid="{00000000-0005-0000-0000-0000587D0000}"/>
    <cellStyle name="Percent 8 2 2 8 3" xfId="21721" xr:uid="{00000000-0005-0000-0000-0000597D0000}"/>
    <cellStyle name="Percent 8 2 2 9" xfId="9005" xr:uid="{00000000-0005-0000-0000-00005A7D0000}"/>
    <cellStyle name="Percent 8 2 2 9 2" xfId="25945" xr:uid="{00000000-0005-0000-0000-00005B7D0000}"/>
    <cellStyle name="Percent 8 2 3" xfId="476" xr:uid="{00000000-0005-0000-0000-00005C7D0000}"/>
    <cellStyle name="Percent 8 2 3 10" xfId="17498" xr:uid="{00000000-0005-0000-0000-00005D7D0000}"/>
    <cellStyle name="Percent 8 2 3 2" xfId="726" xr:uid="{00000000-0005-0000-0000-00005E7D0000}"/>
    <cellStyle name="Percent 8 2 3 2 2" xfId="1078" xr:uid="{00000000-0005-0000-0000-00005F7D0000}"/>
    <cellStyle name="Percent 8 2 3 2 2 2" xfId="2140" xr:uid="{00000000-0005-0000-0000-0000607D0000}"/>
    <cellStyle name="Percent 8 2 3 2 2 2 2" xfId="4252" xr:uid="{00000000-0005-0000-0000-0000617D0000}"/>
    <cellStyle name="Percent 8 2 3 2 2 2 2 2" xfId="8478" xr:uid="{00000000-0005-0000-0000-0000627D0000}"/>
    <cellStyle name="Percent 8 2 3 2 2 2 2 2 2" xfId="16926" xr:uid="{00000000-0005-0000-0000-0000637D0000}"/>
    <cellStyle name="Percent 8 2 3 2 2 2 2 2 2 2" xfId="33866" xr:uid="{00000000-0005-0000-0000-0000647D0000}"/>
    <cellStyle name="Percent 8 2 3 2 2 2 2 2 3" xfId="25418" xr:uid="{00000000-0005-0000-0000-0000657D0000}"/>
    <cellStyle name="Percent 8 2 3 2 2 2 2 3" xfId="12702" xr:uid="{00000000-0005-0000-0000-0000667D0000}"/>
    <cellStyle name="Percent 8 2 3 2 2 2 2 3 2" xfId="29642" xr:uid="{00000000-0005-0000-0000-0000677D0000}"/>
    <cellStyle name="Percent 8 2 3 2 2 2 2 4" xfId="21194" xr:uid="{00000000-0005-0000-0000-0000687D0000}"/>
    <cellStyle name="Percent 8 2 3 2 2 2 3" xfId="6366" xr:uid="{00000000-0005-0000-0000-0000697D0000}"/>
    <cellStyle name="Percent 8 2 3 2 2 2 3 2" xfId="14814" xr:uid="{00000000-0005-0000-0000-00006A7D0000}"/>
    <cellStyle name="Percent 8 2 3 2 2 2 3 2 2" xfId="31754" xr:uid="{00000000-0005-0000-0000-00006B7D0000}"/>
    <cellStyle name="Percent 8 2 3 2 2 2 3 3" xfId="23306" xr:uid="{00000000-0005-0000-0000-00006C7D0000}"/>
    <cellStyle name="Percent 8 2 3 2 2 2 4" xfId="10590" xr:uid="{00000000-0005-0000-0000-00006D7D0000}"/>
    <cellStyle name="Percent 8 2 3 2 2 2 4 2" xfId="27530" xr:uid="{00000000-0005-0000-0000-00006E7D0000}"/>
    <cellStyle name="Percent 8 2 3 2 2 2 5" xfId="19082" xr:uid="{00000000-0005-0000-0000-00006F7D0000}"/>
    <cellStyle name="Percent 8 2 3 2 2 3" xfId="3196" xr:uid="{00000000-0005-0000-0000-0000707D0000}"/>
    <cellStyle name="Percent 8 2 3 2 2 3 2" xfId="7422" xr:uid="{00000000-0005-0000-0000-0000717D0000}"/>
    <cellStyle name="Percent 8 2 3 2 2 3 2 2" xfId="15870" xr:uid="{00000000-0005-0000-0000-0000727D0000}"/>
    <cellStyle name="Percent 8 2 3 2 2 3 2 2 2" xfId="32810" xr:uid="{00000000-0005-0000-0000-0000737D0000}"/>
    <cellStyle name="Percent 8 2 3 2 2 3 2 3" xfId="24362" xr:uid="{00000000-0005-0000-0000-0000747D0000}"/>
    <cellStyle name="Percent 8 2 3 2 2 3 3" xfId="11646" xr:uid="{00000000-0005-0000-0000-0000757D0000}"/>
    <cellStyle name="Percent 8 2 3 2 2 3 3 2" xfId="28586" xr:uid="{00000000-0005-0000-0000-0000767D0000}"/>
    <cellStyle name="Percent 8 2 3 2 2 3 4" xfId="20138" xr:uid="{00000000-0005-0000-0000-0000777D0000}"/>
    <cellStyle name="Percent 8 2 3 2 2 4" xfId="5310" xr:uid="{00000000-0005-0000-0000-0000787D0000}"/>
    <cellStyle name="Percent 8 2 3 2 2 4 2" xfId="13758" xr:uid="{00000000-0005-0000-0000-0000797D0000}"/>
    <cellStyle name="Percent 8 2 3 2 2 4 2 2" xfId="30698" xr:uid="{00000000-0005-0000-0000-00007A7D0000}"/>
    <cellStyle name="Percent 8 2 3 2 2 4 3" xfId="22250" xr:uid="{00000000-0005-0000-0000-00007B7D0000}"/>
    <cellStyle name="Percent 8 2 3 2 2 5" xfId="9534" xr:uid="{00000000-0005-0000-0000-00007C7D0000}"/>
    <cellStyle name="Percent 8 2 3 2 2 5 2" xfId="26474" xr:uid="{00000000-0005-0000-0000-00007D7D0000}"/>
    <cellStyle name="Percent 8 2 3 2 2 6" xfId="18026" xr:uid="{00000000-0005-0000-0000-00007E7D0000}"/>
    <cellStyle name="Percent 8 2 3 2 3" xfId="1788" xr:uid="{00000000-0005-0000-0000-00007F7D0000}"/>
    <cellStyle name="Percent 8 2 3 2 3 2" xfId="3900" xr:uid="{00000000-0005-0000-0000-0000807D0000}"/>
    <cellStyle name="Percent 8 2 3 2 3 2 2" xfId="8126" xr:uid="{00000000-0005-0000-0000-0000817D0000}"/>
    <cellStyle name="Percent 8 2 3 2 3 2 2 2" xfId="16574" xr:uid="{00000000-0005-0000-0000-0000827D0000}"/>
    <cellStyle name="Percent 8 2 3 2 3 2 2 2 2" xfId="33514" xr:uid="{00000000-0005-0000-0000-0000837D0000}"/>
    <cellStyle name="Percent 8 2 3 2 3 2 2 3" xfId="25066" xr:uid="{00000000-0005-0000-0000-0000847D0000}"/>
    <cellStyle name="Percent 8 2 3 2 3 2 3" xfId="12350" xr:uid="{00000000-0005-0000-0000-0000857D0000}"/>
    <cellStyle name="Percent 8 2 3 2 3 2 3 2" xfId="29290" xr:uid="{00000000-0005-0000-0000-0000867D0000}"/>
    <cellStyle name="Percent 8 2 3 2 3 2 4" xfId="20842" xr:uid="{00000000-0005-0000-0000-0000877D0000}"/>
    <cellStyle name="Percent 8 2 3 2 3 3" xfId="6014" xr:uid="{00000000-0005-0000-0000-0000887D0000}"/>
    <cellStyle name="Percent 8 2 3 2 3 3 2" xfId="14462" xr:uid="{00000000-0005-0000-0000-0000897D0000}"/>
    <cellStyle name="Percent 8 2 3 2 3 3 2 2" xfId="31402" xr:uid="{00000000-0005-0000-0000-00008A7D0000}"/>
    <cellStyle name="Percent 8 2 3 2 3 3 3" xfId="22954" xr:uid="{00000000-0005-0000-0000-00008B7D0000}"/>
    <cellStyle name="Percent 8 2 3 2 3 4" xfId="10238" xr:uid="{00000000-0005-0000-0000-00008C7D0000}"/>
    <cellStyle name="Percent 8 2 3 2 3 4 2" xfId="27178" xr:uid="{00000000-0005-0000-0000-00008D7D0000}"/>
    <cellStyle name="Percent 8 2 3 2 3 5" xfId="18730" xr:uid="{00000000-0005-0000-0000-00008E7D0000}"/>
    <cellStyle name="Percent 8 2 3 2 4" xfId="2844" xr:uid="{00000000-0005-0000-0000-00008F7D0000}"/>
    <cellStyle name="Percent 8 2 3 2 4 2" xfId="7070" xr:uid="{00000000-0005-0000-0000-0000907D0000}"/>
    <cellStyle name="Percent 8 2 3 2 4 2 2" xfId="15518" xr:uid="{00000000-0005-0000-0000-0000917D0000}"/>
    <cellStyle name="Percent 8 2 3 2 4 2 2 2" xfId="32458" xr:uid="{00000000-0005-0000-0000-0000927D0000}"/>
    <cellStyle name="Percent 8 2 3 2 4 2 3" xfId="24010" xr:uid="{00000000-0005-0000-0000-0000937D0000}"/>
    <cellStyle name="Percent 8 2 3 2 4 3" xfId="11294" xr:uid="{00000000-0005-0000-0000-0000947D0000}"/>
    <cellStyle name="Percent 8 2 3 2 4 3 2" xfId="28234" xr:uid="{00000000-0005-0000-0000-0000957D0000}"/>
    <cellStyle name="Percent 8 2 3 2 4 4" xfId="19786" xr:uid="{00000000-0005-0000-0000-0000967D0000}"/>
    <cellStyle name="Percent 8 2 3 2 5" xfId="4958" xr:uid="{00000000-0005-0000-0000-0000977D0000}"/>
    <cellStyle name="Percent 8 2 3 2 5 2" xfId="13406" xr:uid="{00000000-0005-0000-0000-0000987D0000}"/>
    <cellStyle name="Percent 8 2 3 2 5 2 2" xfId="30346" xr:uid="{00000000-0005-0000-0000-0000997D0000}"/>
    <cellStyle name="Percent 8 2 3 2 5 3" xfId="21898" xr:uid="{00000000-0005-0000-0000-00009A7D0000}"/>
    <cellStyle name="Percent 8 2 3 2 6" xfId="9182" xr:uid="{00000000-0005-0000-0000-00009B7D0000}"/>
    <cellStyle name="Percent 8 2 3 2 6 2" xfId="26122" xr:uid="{00000000-0005-0000-0000-00009C7D0000}"/>
    <cellStyle name="Percent 8 2 3 2 7" xfId="17674" xr:uid="{00000000-0005-0000-0000-00009D7D0000}"/>
    <cellStyle name="Percent 8 2 3 3" xfId="902" xr:uid="{00000000-0005-0000-0000-00009E7D0000}"/>
    <cellStyle name="Percent 8 2 3 3 2" xfId="1964" xr:uid="{00000000-0005-0000-0000-00009F7D0000}"/>
    <cellStyle name="Percent 8 2 3 3 2 2" xfId="4076" xr:uid="{00000000-0005-0000-0000-0000A07D0000}"/>
    <cellStyle name="Percent 8 2 3 3 2 2 2" xfId="8302" xr:uid="{00000000-0005-0000-0000-0000A17D0000}"/>
    <cellStyle name="Percent 8 2 3 3 2 2 2 2" xfId="16750" xr:uid="{00000000-0005-0000-0000-0000A27D0000}"/>
    <cellStyle name="Percent 8 2 3 3 2 2 2 2 2" xfId="33690" xr:uid="{00000000-0005-0000-0000-0000A37D0000}"/>
    <cellStyle name="Percent 8 2 3 3 2 2 2 3" xfId="25242" xr:uid="{00000000-0005-0000-0000-0000A47D0000}"/>
    <cellStyle name="Percent 8 2 3 3 2 2 3" xfId="12526" xr:uid="{00000000-0005-0000-0000-0000A57D0000}"/>
    <cellStyle name="Percent 8 2 3 3 2 2 3 2" xfId="29466" xr:uid="{00000000-0005-0000-0000-0000A67D0000}"/>
    <cellStyle name="Percent 8 2 3 3 2 2 4" xfId="21018" xr:uid="{00000000-0005-0000-0000-0000A77D0000}"/>
    <cellStyle name="Percent 8 2 3 3 2 3" xfId="6190" xr:uid="{00000000-0005-0000-0000-0000A87D0000}"/>
    <cellStyle name="Percent 8 2 3 3 2 3 2" xfId="14638" xr:uid="{00000000-0005-0000-0000-0000A97D0000}"/>
    <cellStyle name="Percent 8 2 3 3 2 3 2 2" xfId="31578" xr:uid="{00000000-0005-0000-0000-0000AA7D0000}"/>
    <cellStyle name="Percent 8 2 3 3 2 3 3" xfId="23130" xr:uid="{00000000-0005-0000-0000-0000AB7D0000}"/>
    <cellStyle name="Percent 8 2 3 3 2 4" xfId="10414" xr:uid="{00000000-0005-0000-0000-0000AC7D0000}"/>
    <cellStyle name="Percent 8 2 3 3 2 4 2" xfId="27354" xr:uid="{00000000-0005-0000-0000-0000AD7D0000}"/>
    <cellStyle name="Percent 8 2 3 3 2 5" xfId="18906" xr:uid="{00000000-0005-0000-0000-0000AE7D0000}"/>
    <cellStyle name="Percent 8 2 3 3 3" xfId="3020" xr:uid="{00000000-0005-0000-0000-0000AF7D0000}"/>
    <cellStyle name="Percent 8 2 3 3 3 2" xfId="7246" xr:uid="{00000000-0005-0000-0000-0000B07D0000}"/>
    <cellStyle name="Percent 8 2 3 3 3 2 2" xfId="15694" xr:uid="{00000000-0005-0000-0000-0000B17D0000}"/>
    <cellStyle name="Percent 8 2 3 3 3 2 2 2" xfId="32634" xr:uid="{00000000-0005-0000-0000-0000B27D0000}"/>
    <cellStyle name="Percent 8 2 3 3 3 2 3" xfId="24186" xr:uid="{00000000-0005-0000-0000-0000B37D0000}"/>
    <cellStyle name="Percent 8 2 3 3 3 3" xfId="11470" xr:uid="{00000000-0005-0000-0000-0000B47D0000}"/>
    <cellStyle name="Percent 8 2 3 3 3 3 2" xfId="28410" xr:uid="{00000000-0005-0000-0000-0000B57D0000}"/>
    <cellStyle name="Percent 8 2 3 3 3 4" xfId="19962" xr:uid="{00000000-0005-0000-0000-0000B67D0000}"/>
    <cellStyle name="Percent 8 2 3 3 4" xfId="5134" xr:uid="{00000000-0005-0000-0000-0000B77D0000}"/>
    <cellStyle name="Percent 8 2 3 3 4 2" xfId="13582" xr:uid="{00000000-0005-0000-0000-0000B87D0000}"/>
    <cellStyle name="Percent 8 2 3 3 4 2 2" xfId="30522" xr:uid="{00000000-0005-0000-0000-0000B97D0000}"/>
    <cellStyle name="Percent 8 2 3 3 4 3" xfId="22074" xr:uid="{00000000-0005-0000-0000-0000BA7D0000}"/>
    <cellStyle name="Percent 8 2 3 3 5" xfId="9358" xr:uid="{00000000-0005-0000-0000-0000BB7D0000}"/>
    <cellStyle name="Percent 8 2 3 3 5 2" xfId="26298" xr:uid="{00000000-0005-0000-0000-0000BC7D0000}"/>
    <cellStyle name="Percent 8 2 3 3 6" xfId="17850" xr:uid="{00000000-0005-0000-0000-0000BD7D0000}"/>
    <cellStyle name="Percent 8 2 3 4" xfId="1254" xr:uid="{00000000-0005-0000-0000-0000BE7D0000}"/>
    <cellStyle name="Percent 8 2 3 4 2" xfId="2316" xr:uid="{00000000-0005-0000-0000-0000BF7D0000}"/>
    <cellStyle name="Percent 8 2 3 4 2 2" xfId="4428" xr:uid="{00000000-0005-0000-0000-0000C07D0000}"/>
    <cellStyle name="Percent 8 2 3 4 2 2 2" xfId="8654" xr:uid="{00000000-0005-0000-0000-0000C17D0000}"/>
    <cellStyle name="Percent 8 2 3 4 2 2 2 2" xfId="17102" xr:uid="{00000000-0005-0000-0000-0000C27D0000}"/>
    <cellStyle name="Percent 8 2 3 4 2 2 2 2 2" xfId="34042" xr:uid="{00000000-0005-0000-0000-0000C37D0000}"/>
    <cellStyle name="Percent 8 2 3 4 2 2 2 3" xfId="25594" xr:uid="{00000000-0005-0000-0000-0000C47D0000}"/>
    <cellStyle name="Percent 8 2 3 4 2 2 3" xfId="12878" xr:uid="{00000000-0005-0000-0000-0000C57D0000}"/>
    <cellStyle name="Percent 8 2 3 4 2 2 3 2" xfId="29818" xr:uid="{00000000-0005-0000-0000-0000C67D0000}"/>
    <cellStyle name="Percent 8 2 3 4 2 2 4" xfId="21370" xr:uid="{00000000-0005-0000-0000-0000C77D0000}"/>
    <cellStyle name="Percent 8 2 3 4 2 3" xfId="6542" xr:uid="{00000000-0005-0000-0000-0000C87D0000}"/>
    <cellStyle name="Percent 8 2 3 4 2 3 2" xfId="14990" xr:uid="{00000000-0005-0000-0000-0000C97D0000}"/>
    <cellStyle name="Percent 8 2 3 4 2 3 2 2" xfId="31930" xr:uid="{00000000-0005-0000-0000-0000CA7D0000}"/>
    <cellStyle name="Percent 8 2 3 4 2 3 3" xfId="23482" xr:uid="{00000000-0005-0000-0000-0000CB7D0000}"/>
    <cellStyle name="Percent 8 2 3 4 2 4" xfId="10766" xr:uid="{00000000-0005-0000-0000-0000CC7D0000}"/>
    <cellStyle name="Percent 8 2 3 4 2 4 2" xfId="27706" xr:uid="{00000000-0005-0000-0000-0000CD7D0000}"/>
    <cellStyle name="Percent 8 2 3 4 2 5" xfId="19258" xr:uid="{00000000-0005-0000-0000-0000CE7D0000}"/>
    <cellStyle name="Percent 8 2 3 4 3" xfId="3372" xr:uid="{00000000-0005-0000-0000-0000CF7D0000}"/>
    <cellStyle name="Percent 8 2 3 4 3 2" xfId="7598" xr:uid="{00000000-0005-0000-0000-0000D07D0000}"/>
    <cellStyle name="Percent 8 2 3 4 3 2 2" xfId="16046" xr:uid="{00000000-0005-0000-0000-0000D17D0000}"/>
    <cellStyle name="Percent 8 2 3 4 3 2 2 2" xfId="32986" xr:uid="{00000000-0005-0000-0000-0000D27D0000}"/>
    <cellStyle name="Percent 8 2 3 4 3 2 3" xfId="24538" xr:uid="{00000000-0005-0000-0000-0000D37D0000}"/>
    <cellStyle name="Percent 8 2 3 4 3 3" xfId="11822" xr:uid="{00000000-0005-0000-0000-0000D47D0000}"/>
    <cellStyle name="Percent 8 2 3 4 3 3 2" xfId="28762" xr:uid="{00000000-0005-0000-0000-0000D57D0000}"/>
    <cellStyle name="Percent 8 2 3 4 3 4" xfId="20314" xr:uid="{00000000-0005-0000-0000-0000D67D0000}"/>
    <cellStyle name="Percent 8 2 3 4 4" xfId="5486" xr:uid="{00000000-0005-0000-0000-0000D77D0000}"/>
    <cellStyle name="Percent 8 2 3 4 4 2" xfId="13934" xr:uid="{00000000-0005-0000-0000-0000D87D0000}"/>
    <cellStyle name="Percent 8 2 3 4 4 2 2" xfId="30874" xr:uid="{00000000-0005-0000-0000-0000D97D0000}"/>
    <cellStyle name="Percent 8 2 3 4 4 3" xfId="22426" xr:uid="{00000000-0005-0000-0000-0000DA7D0000}"/>
    <cellStyle name="Percent 8 2 3 4 5" xfId="9710" xr:uid="{00000000-0005-0000-0000-0000DB7D0000}"/>
    <cellStyle name="Percent 8 2 3 4 5 2" xfId="26650" xr:uid="{00000000-0005-0000-0000-0000DC7D0000}"/>
    <cellStyle name="Percent 8 2 3 4 6" xfId="18202" xr:uid="{00000000-0005-0000-0000-0000DD7D0000}"/>
    <cellStyle name="Percent 8 2 3 5" xfId="1436" xr:uid="{00000000-0005-0000-0000-0000DE7D0000}"/>
    <cellStyle name="Percent 8 2 3 5 2" xfId="2492" xr:uid="{00000000-0005-0000-0000-0000DF7D0000}"/>
    <cellStyle name="Percent 8 2 3 5 2 2" xfId="4604" xr:uid="{00000000-0005-0000-0000-0000E07D0000}"/>
    <cellStyle name="Percent 8 2 3 5 2 2 2" xfId="8830" xr:uid="{00000000-0005-0000-0000-0000E17D0000}"/>
    <cellStyle name="Percent 8 2 3 5 2 2 2 2" xfId="17278" xr:uid="{00000000-0005-0000-0000-0000E27D0000}"/>
    <cellStyle name="Percent 8 2 3 5 2 2 2 2 2" xfId="34218" xr:uid="{00000000-0005-0000-0000-0000E37D0000}"/>
    <cellStyle name="Percent 8 2 3 5 2 2 2 3" xfId="25770" xr:uid="{00000000-0005-0000-0000-0000E47D0000}"/>
    <cellStyle name="Percent 8 2 3 5 2 2 3" xfId="13054" xr:uid="{00000000-0005-0000-0000-0000E57D0000}"/>
    <cellStyle name="Percent 8 2 3 5 2 2 3 2" xfId="29994" xr:uid="{00000000-0005-0000-0000-0000E67D0000}"/>
    <cellStyle name="Percent 8 2 3 5 2 2 4" xfId="21546" xr:uid="{00000000-0005-0000-0000-0000E77D0000}"/>
    <cellStyle name="Percent 8 2 3 5 2 3" xfId="6718" xr:uid="{00000000-0005-0000-0000-0000E87D0000}"/>
    <cellStyle name="Percent 8 2 3 5 2 3 2" xfId="15166" xr:uid="{00000000-0005-0000-0000-0000E97D0000}"/>
    <cellStyle name="Percent 8 2 3 5 2 3 2 2" xfId="32106" xr:uid="{00000000-0005-0000-0000-0000EA7D0000}"/>
    <cellStyle name="Percent 8 2 3 5 2 3 3" xfId="23658" xr:uid="{00000000-0005-0000-0000-0000EB7D0000}"/>
    <cellStyle name="Percent 8 2 3 5 2 4" xfId="10942" xr:uid="{00000000-0005-0000-0000-0000EC7D0000}"/>
    <cellStyle name="Percent 8 2 3 5 2 4 2" xfId="27882" xr:uid="{00000000-0005-0000-0000-0000ED7D0000}"/>
    <cellStyle name="Percent 8 2 3 5 2 5" xfId="19434" xr:uid="{00000000-0005-0000-0000-0000EE7D0000}"/>
    <cellStyle name="Percent 8 2 3 5 3" xfId="3548" xr:uid="{00000000-0005-0000-0000-0000EF7D0000}"/>
    <cellStyle name="Percent 8 2 3 5 3 2" xfId="7774" xr:uid="{00000000-0005-0000-0000-0000F07D0000}"/>
    <cellStyle name="Percent 8 2 3 5 3 2 2" xfId="16222" xr:uid="{00000000-0005-0000-0000-0000F17D0000}"/>
    <cellStyle name="Percent 8 2 3 5 3 2 2 2" xfId="33162" xr:uid="{00000000-0005-0000-0000-0000F27D0000}"/>
    <cellStyle name="Percent 8 2 3 5 3 2 3" xfId="24714" xr:uid="{00000000-0005-0000-0000-0000F37D0000}"/>
    <cellStyle name="Percent 8 2 3 5 3 3" xfId="11998" xr:uid="{00000000-0005-0000-0000-0000F47D0000}"/>
    <cellStyle name="Percent 8 2 3 5 3 3 2" xfId="28938" xr:uid="{00000000-0005-0000-0000-0000F57D0000}"/>
    <cellStyle name="Percent 8 2 3 5 3 4" xfId="20490" xr:uid="{00000000-0005-0000-0000-0000F67D0000}"/>
    <cellStyle name="Percent 8 2 3 5 4" xfId="5662" xr:uid="{00000000-0005-0000-0000-0000F77D0000}"/>
    <cellStyle name="Percent 8 2 3 5 4 2" xfId="14110" xr:uid="{00000000-0005-0000-0000-0000F87D0000}"/>
    <cellStyle name="Percent 8 2 3 5 4 2 2" xfId="31050" xr:uid="{00000000-0005-0000-0000-0000F97D0000}"/>
    <cellStyle name="Percent 8 2 3 5 4 3" xfId="22602" xr:uid="{00000000-0005-0000-0000-0000FA7D0000}"/>
    <cellStyle name="Percent 8 2 3 5 5" xfId="9886" xr:uid="{00000000-0005-0000-0000-0000FB7D0000}"/>
    <cellStyle name="Percent 8 2 3 5 5 2" xfId="26826" xr:uid="{00000000-0005-0000-0000-0000FC7D0000}"/>
    <cellStyle name="Percent 8 2 3 5 6" xfId="18378" xr:uid="{00000000-0005-0000-0000-0000FD7D0000}"/>
    <cellStyle name="Percent 8 2 3 6" xfId="1612" xr:uid="{00000000-0005-0000-0000-0000FE7D0000}"/>
    <cellStyle name="Percent 8 2 3 6 2" xfId="3724" xr:uid="{00000000-0005-0000-0000-0000FF7D0000}"/>
    <cellStyle name="Percent 8 2 3 6 2 2" xfId="7950" xr:uid="{00000000-0005-0000-0000-0000007E0000}"/>
    <cellStyle name="Percent 8 2 3 6 2 2 2" xfId="16398" xr:uid="{00000000-0005-0000-0000-0000017E0000}"/>
    <cellStyle name="Percent 8 2 3 6 2 2 2 2" xfId="33338" xr:uid="{00000000-0005-0000-0000-0000027E0000}"/>
    <cellStyle name="Percent 8 2 3 6 2 2 3" xfId="24890" xr:uid="{00000000-0005-0000-0000-0000037E0000}"/>
    <cellStyle name="Percent 8 2 3 6 2 3" xfId="12174" xr:uid="{00000000-0005-0000-0000-0000047E0000}"/>
    <cellStyle name="Percent 8 2 3 6 2 3 2" xfId="29114" xr:uid="{00000000-0005-0000-0000-0000057E0000}"/>
    <cellStyle name="Percent 8 2 3 6 2 4" xfId="20666" xr:uid="{00000000-0005-0000-0000-0000067E0000}"/>
    <cellStyle name="Percent 8 2 3 6 3" xfId="5838" xr:uid="{00000000-0005-0000-0000-0000077E0000}"/>
    <cellStyle name="Percent 8 2 3 6 3 2" xfId="14286" xr:uid="{00000000-0005-0000-0000-0000087E0000}"/>
    <cellStyle name="Percent 8 2 3 6 3 2 2" xfId="31226" xr:uid="{00000000-0005-0000-0000-0000097E0000}"/>
    <cellStyle name="Percent 8 2 3 6 3 3" xfId="22778" xr:uid="{00000000-0005-0000-0000-00000A7E0000}"/>
    <cellStyle name="Percent 8 2 3 6 4" xfId="10062" xr:uid="{00000000-0005-0000-0000-00000B7E0000}"/>
    <cellStyle name="Percent 8 2 3 6 4 2" xfId="27002" xr:uid="{00000000-0005-0000-0000-00000C7E0000}"/>
    <cellStyle name="Percent 8 2 3 6 5" xfId="18554" xr:uid="{00000000-0005-0000-0000-00000D7E0000}"/>
    <cellStyle name="Percent 8 2 3 7" xfId="2668" xr:uid="{00000000-0005-0000-0000-00000E7E0000}"/>
    <cellStyle name="Percent 8 2 3 7 2" xfId="6894" xr:uid="{00000000-0005-0000-0000-00000F7E0000}"/>
    <cellStyle name="Percent 8 2 3 7 2 2" xfId="15342" xr:uid="{00000000-0005-0000-0000-0000107E0000}"/>
    <cellStyle name="Percent 8 2 3 7 2 2 2" xfId="32282" xr:uid="{00000000-0005-0000-0000-0000117E0000}"/>
    <cellStyle name="Percent 8 2 3 7 2 3" xfId="23834" xr:uid="{00000000-0005-0000-0000-0000127E0000}"/>
    <cellStyle name="Percent 8 2 3 7 3" xfId="11118" xr:uid="{00000000-0005-0000-0000-0000137E0000}"/>
    <cellStyle name="Percent 8 2 3 7 3 2" xfId="28058" xr:uid="{00000000-0005-0000-0000-0000147E0000}"/>
    <cellStyle name="Percent 8 2 3 7 4" xfId="19610" xr:uid="{00000000-0005-0000-0000-0000157E0000}"/>
    <cellStyle name="Percent 8 2 3 8" xfId="4781" xr:uid="{00000000-0005-0000-0000-0000167E0000}"/>
    <cellStyle name="Percent 8 2 3 8 2" xfId="13230" xr:uid="{00000000-0005-0000-0000-0000177E0000}"/>
    <cellStyle name="Percent 8 2 3 8 2 2" xfId="30170" xr:uid="{00000000-0005-0000-0000-0000187E0000}"/>
    <cellStyle name="Percent 8 2 3 8 3" xfId="21722" xr:uid="{00000000-0005-0000-0000-0000197E0000}"/>
    <cellStyle name="Percent 8 2 3 9" xfId="9006" xr:uid="{00000000-0005-0000-0000-00001A7E0000}"/>
    <cellStyle name="Percent 8 2 3 9 2" xfId="25946" xr:uid="{00000000-0005-0000-0000-00001B7E0000}"/>
    <cellStyle name="Percent 8 2 4" xfId="724" xr:uid="{00000000-0005-0000-0000-00001C7E0000}"/>
    <cellStyle name="Percent 8 2 4 2" xfId="1076" xr:uid="{00000000-0005-0000-0000-00001D7E0000}"/>
    <cellStyle name="Percent 8 2 4 2 2" xfId="2138" xr:uid="{00000000-0005-0000-0000-00001E7E0000}"/>
    <cellStyle name="Percent 8 2 4 2 2 2" xfId="4250" xr:uid="{00000000-0005-0000-0000-00001F7E0000}"/>
    <cellStyle name="Percent 8 2 4 2 2 2 2" xfId="8476" xr:uid="{00000000-0005-0000-0000-0000207E0000}"/>
    <cellStyle name="Percent 8 2 4 2 2 2 2 2" xfId="16924" xr:uid="{00000000-0005-0000-0000-0000217E0000}"/>
    <cellStyle name="Percent 8 2 4 2 2 2 2 2 2" xfId="33864" xr:uid="{00000000-0005-0000-0000-0000227E0000}"/>
    <cellStyle name="Percent 8 2 4 2 2 2 2 3" xfId="25416" xr:uid="{00000000-0005-0000-0000-0000237E0000}"/>
    <cellStyle name="Percent 8 2 4 2 2 2 3" xfId="12700" xr:uid="{00000000-0005-0000-0000-0000247E0000}"/>
    <cellStyle name="Percent 8 2 4 2 2 2 3 2" xfId="29640" xr:uid="{00000000-0005-0000-0000-0000257E0000}"/>
    <cellStyle name="Percent 8 2 4 2 2 2 4" xfId="21192" xr:uid="{00000000-0005-0000-0000-0000267E0000}"/>
    <cellStyle name="Percent 8 2 4 2 2 3" xfId="6364" xr:uid="{00000000-0005-0000-0000-0000277E0000}"/>
    <cellStyle name="Percent 8 2 4 2 2 3 2" xfId="14812" xr:uid="{00000000-0005-0000-0000-0000287E0000}"/>
    <cellStyle name="Percent 8 2 4 2 2 3 2 2" xfId="31752" xr:uid="{00000000-0005-0000-0000-0000297E0000}"/>
    <cellStyle name="Percent 8 2 4 2 2 3 3" xfId="23304" xr:uid="{00000000-0005-0000-0000-00002A7E0000}"/>
    <cellStyle name="Percent 8 2 4 2 2 4" xfId="10588" xr:uid="{00000000-0005-0000-0000-00002B7E0000}"/>
    <cellStyle name="Percent 8 2 4 2 2 4 2" xfId="27528" xr:uid="{00000000-0005-0000-0000-00002C7E0000}"/>
    <cellStyle name="Percent 8 2 4 2 2 5" xfId="19080" xr:uid="{00000000-0005-0000-0000-00002D7E0000}"/>
    <cellStyle name="Percent 8 2 4 2 3" xfId="3194" xr:uid="{00000000-0005-0000-0000-00002E7E0000}"/>
    <cellStyle name="Percent 8 2 4 2 3 2" xfId="7420" xr:uid="{00000000-0005-0000-0000-00002F7E0000}"/>
    <cellStyle name="Percent 8 2 4 2 3 2 2" xfId="15868" xr:uid="{00000000-0005-0000-0000-0000307E0000}"/>
    <cellStyle name="Percent 8 2 4 2 3 2 2 2" xfId="32808" xr:uid="{00000000-0005-0000-0000-0000317E0000}"/>
    <cellStyle name="Percent 8 2 4 2 3 2 3" xfId="24360" xr:uid="{00000000-0005-0000-0000-0000327E0000}"/>
    <cellStyle name="Percent 8 2 4 2 3 3" xfId="11644" xr:uid="{00000000-0005-0000-0000-0000337E0000}"/>
    <cellStyle name="Percent 8 2 4 2 3 3 2" xfId="28584" xr:uid="{00000000-0005-0000-0000-0000347E0000}"/>
    <cellStyle name="Percent 8 2 4 2 3 4" xfId="20136" xr:uid="{00000000-0005-0000-0000-0000357E0000}"/>
    <cellStyle name="Percent 8 2 4 2 4" xfId="5308" xr:uid="{00000000-0005-0000-0000-0000367E0000}"/>
    <cellStyle name="Percent 8 2 4 2 4 2" xfId="13756" xr:uid="{00000000-0005-0000-0000-0000377E0000}"/>
    <cellStyle name="Percent 8 2 4 2 4 2 2" xfId="30696" xr:uid="{00000000-0005-0000-0000-0000387E0000}"/>
    <cellStyle name="Percent 8 2 4 2 4 3" xfId="22248" xr:uid="{00000000-0005-0000-0000-0000397E0000}"/>
    <cellStyle name="Percent 8 2 4 2 5" xfId="9532" xr:uid="{00000000-0005-0000-0000-00003A7E0000}"/>
    <cellStyle name="Percent 8 2 4 2 5 2" xfId="26472" xr:uid="{00000000-0005-0000-0000-00003B7E0000}"/>
    <cellStyle name="Percent 8 2 4 2 6" xfId="18024" xr:uid="{00000000-0005-0000-0000-00003C7E0000}"/>
    <cellStyle name="Percent 8 2 4 3" xfId="1786" xr:uid="{00000000-0005-0000-0000-00003D7E0000}"/>
    <cellStyle name="Percent 8 2 4 3 2" xfId="3898" xr:uid="{00000000-0005-0000-0000-00003E7E0000}"/>
    <cellStyle name="Percent 8 2 4 3 2 2" xfId="8124" xr:uid="{00000000-0005-0000-0000-00003F7E0000}"/>
    <cellStyle name="Percent 8 2 4 3 2 2 2" xfId="16572" xr:uid="{00000000-0005-0000-0000-0000407E0000}"/>
    <cellStyle name="Percent 8 2 4 3 2 2 2 2" xfId="33512" xr:uid="{00000000-0005-0000-0000-0000417E0000}"/>
    <cellStyle name="Percent 8 2 4 3 2 2 3" xfId="25064" xr:uid="{00000000-0005-0000-0000-0000427E0000}"/>
    <cellStyle name="Percent 8 2 4 3 2 3" xfId="12348" xr:uid="{00000000-0005-0000-0000-0000437E0000}"/>
    <cellStyle name="Percent 8 2 4 3 2 3 2" xfId="29288" xr:uid="{00000000-0005-0000-0000-0000447E0000}"/>
    <cellStyle name="Percent 8 2 4 3 2 4" xfId="20840" xr:uid="{00000000-0005-0000-0000-0000457E0000}"/>
    <cellStyle name="Percent 8 2 4 3 3" xfId="6012" xr:uid="{00000000-0005-0000-0000-0000467E0000}"/>
    <cellStyle name="Percent 8 2 4 3 3 2" xfId="14460" xr:uid="{00000000-0005-0000-0000-0000477E0000}"/>
    <cellStyle name="Percent 8 2 4 3 3 2 2" xfId="31400" xr:uid="{00000000-0005-0000-0000-0000487E0000}"/>
    <cellStyle name="Percent 8 2 4 3 3 3" xfId="22952" xr:uid="{00000000-0005-0000-0000-0000497E0000}"/>
    <cellStyle name="Percent 8 2 4 3 4" xfId="10236" xr:uid="{00000000-0005-0000-0000-00004A7E0000}"/>
    <cellStyle name="Percent 8 2 4 3 4 2" xfId="27176" xr:uid="{00000000-0005-0000-0000-00004B7E0000}"/>
    <cellStyle name="Percent 8 2 4 3 5" xfId="18728" xr:uid="{00000000-0005-0000-0000-00004C7E0000}"/>
    <cellStyle name="Percent 8 2 4 4" xfId="2842" xr:uid="{00000000-0005-0000-0000-00004D7E0000}"/>
    <cellStyle name="Percent 8 2 4 4 2" xfId="7068" xr:uid="{00000000-0005-0000-0000-00004E7E0000}"/>
    <cellStyle name="Percent 8 2 4 4 2 2" xfId="15516" xr:uid="{00000000-0005-0000-0000-00004F7E0000}"/>
    <cellStyle name="Percent 8 2 4 4 2 2 2" xfId="32456" xr:uid="{00000000-0005-0000-0000-0000507E0000}"/>
    <cellStyle name="Percent 8 2 4 4 2 3" xfId="24008" xr:uid="{00000000-0005-0000-0000-0000517E0000}"/>
    <cellStyle name="Percent 8 2 4 4 3" xfId="11292" xr:uid="{00000000-0005-0000-0000-0000527E0000}"/>
    <cellStyle name="Percent 8 2 4 4 3 2" xfId="28232" xr:uid="{00000000-0005-0000-0000-0000537E0000}"/>
    <cellStyle name="Percent 8 2 4 4 4" xfId="19784" xr:uid="{00000000-0005-0000-0000-0000547E0000}"/>
    <cellStyle name="Percent 8 2 4 5" xfId="4956" xr:uid="{00000000-0005-0000-0000-0000557E0000}"/>
    <cellStyle name="Percent 8 2 4 5 2" xfId="13404" xr:uid="{00000000-0005-0000-0000-0000567E0000}"/>
    <cellStyle name="Percent 8 2 4 5 2 2" xfId="30344" xr:uid="{00000000-0005-0000-0000-0000577E0000}"/>
    <cellStyle name="Percent 8 2 4 5 3" xfId="21896" xr:uid="{00000000-0005-0000-0000-0000587E0000}"/>
    <cellStyle name="Percent 8 2 4 6" xfId="9180" xr:uid="{00000000-0005-0000-0000-0000597E0000}"/>
    <cellStyle name="Percent 8 2 4 6 2" xfId="26120" xr:uid="{00000000-0005-0000-0000-00005A7E0000}"/>
    <cellStyle name="Percent 8 2 4 7" xfId="17672" xr:uid="{00000000-0005-0000-0000-00005B7E0000}"/>
    <cellStyle name="Percent 8 2 5" xfId="900" xr:uid="{00000000-0005-0000-0000-00005C7E0000}"/>
    <cellStyle name="Percent 8 2 5 2" xfId="1962" xr:uid="{00000000-0005-0000-0000-00005D7E0000}"/>
    <cellStyle name="Percent 8 2 5 2 2" xfId="4074" xr:uid="{00000000-0005-0000-0000-00005E7E0000}"/>
    <cellStyle name="Percent 8 2 5 2 2 2" xfId="8300" xr:uid="{00000000-0005-0000-0000-00005F7E0000}"/>
    <cellStyle name="Percent 8 2 5 2 2 2 2" xfId="16748" xr:uid="{00000000-0005-0000-0000-0000607E0000}"/>
    <cellStyle name="Percent 8 2 5 2 2 2 2 2" xfId="33688" xr:uid="{00000000-0005-0000-0000-0000617E0000}"/>
    <cellStyle name="Percent 8 2 5 2 2 2 3" xfId="25240" xr:uid="{00000000-0005-0000-0000-0000627E0000}"/>
    <cellStyle name="Percent 8 2 5 2 2 3" xfId="12524" xr:uid="{00000000-0005-0000-0000-0000637E0000}"/>
    <cellStyle name="Percent 8 2 5 2 2 3 2" xfId="29464" xr:uid="{00000000-0005-0000-0000-0000647E0000}"/>
    <cellStyle name="Percent 8 2 5 2 2 4" xfId="21016" xr:uid="{00000000-0005-0000-0000-0000657E0000}"/>
    <cellStyle name="Percent 8 2 5 2 3" xfId="6188" xr:uid="{00000000-0005-0000-0000-0000667E0000}"/>
    <cellStyle name="Percent 8 2 5 2 3 2" xfId="14636" xr:uid="{00000000-0005-0000-0000-0000677E0000}"/>
    <cellStyle name="Percent 8 2 5 2 3 2 2" xfId="31576" xr:uid="{00000000-0005-0000-0000-0000687E0000}"/>
    <cellStyle name="Percent 8 2 5 2 3 3" xfId="23128" xr:uid="{00000000-0005-0000-0000-0000697E0000}"/>
    <cellStyle name="Percent 8 2 5 2 4" xfId="10412" xr:uid="{00000000-0005-0000-0000-00006A7E0000}"/>
    <cellStyle name="Percent 8 2 5 2 4 2" xfId="27352" xr:uid="{00000000-0005-0000-0000-00006B7E0000}"/>
    <cellStyle name="Percent 8 2 5 2 5" xfId="18904" xr:uid="{00000000-0005-0000-0000-00006C7E0000}"/>
    <cellStyle name="Percent 8 2 5 3" xfId="3018" xr:uid="{00000000-0005-0000-0000-00006D7E0000}"/>
    <cellStyle name="Percent 8 2 5 3 2" xfId="7244" xr:uid="{00000000-0005-0000-0000-00006E7E0000}"/>
    <cellStyle name="Percent 8 2 5 3 2 2" xfId="15692" xr:uid="{00000000-0005-0000-0000-00006F7E0000}"/>
    <cellStyle name="Percent 8 2 5 3 2 2 2" xfId="32632" xr:uid="{00000000-0005-0000-0000-0000707E0000}"/>
    <cellStyle name="Percent 8 2 5 3 2 3" xfId="24184" xr:uid="{00000000-0005-0000-0000-0000717E0000}"/>
    <cellStyle name="Percent 8 2 5 3 3" xfId="11468" xr:uid="{00000000-0005-0000-0000-0000727E0000}"/>
    <cellStyle name="Percent 8 2 5 3 3 2" xfId="28408" xr:uid="{00000000-0005-0000-0000-0000737E0000}"/>
    <cellStyle name="Percent 8 2 5 3 4" xfId="19960" xr:uid="{00000000-0005-0000-0000-0000747E0000}"/>
    <cellStyle name="Percent 8 2 5 4" xfId="5132" xr:uid="{00000000-0005-0000-0000-0000757E0000}"/>
    <cellStyle name="Percent 8 2 5 4 2" xfId="13580" xr:uid="{00000000-0005-0000-0000-0000767E0000}"/>
    <cellStyle name="Percent 8 2 5 4 2 2" xfId="30520" xr:uid="{00000000-0005-0000-0000-0000777E0000}"/>
    <cellStyle name="Percent 8 2 5 4 3" xfId="22072" xr:uid="{00000000-0005-0000-0000-0000787E0000}"/>
    <cellStyle name="Percent 8 2 5 5" xfId="9356" xr:uid="{00000000-0005-0000-0000-0000797E0000}"/>
    <cellStyle name="Percent 8 2 5 5 2" xfId="26296" xr:uid="{00000000-0005-0000-0000-00007A7E0000}"/>
    <cellStyle name="Percent 8 2 5 6" xfId="17848" xr:uid="{00000000-0005-0000-0000-00007B7E0000}"/>
    <cellStyle name="Percent 8 2 6" xfId="1252" xr:uid="{00000000-0005-0000-0000-00007C7E0000}"/>
    <cellStyle name="Percent 8 2 6 2" xfId="2314" xr:uid="{00000000-0005-0000-0000-00007D7E0000}"/>
    <cellStyle name="Percent 8 2 6 2 2" xfId="4426" xr:uid="{00000000-0005-0000-0000-00007E7E0000}"/>
    <cellStyle name="Percent 8 2 6 2 2 2" xfId="8652" xr:uid="{00000000-0005-0000-0000-00007F7E0000}"/>
    <cellStyle name="Percent 8 2 6 2 2 2 2" xfId="17100" xr:uid="{00000000-0005-0000-0000-0000807E0000}"/>
    <cellStyle name="Percent 8 2 6 2 2 2 2 2" xfId="34040" xr:uid="{00000000-0005-0000-0000-0000817E0000}"/>
    <cellStyle name="Percent 8 2 6 2 2 2 3" xfId="25592" xr:uid="{00000000-0005-0000-0000-0000827E0000}"/>
    <cellStyle name="Percent 8 2 6 2 2 3" xfId="12876" xr:uid="{00000000-0005-0000-0000-0000837E0000}"/>
    <cellStyle name="Percent 8 2 6 2 2 3 2" xfId="29816" xr:uid="{00000000-0005-0000-0000-0000847E0000}"/>
    <cellStyle name="Percent 8 2 6 2 2 4" xfId="21368" xr:uid="{00000000-0005-0000-0000-0000857E0000}"/>
    <cellStyle name="Percent 8 2 6 2 3" xfId="6540" xr:uid="{00000000-0005-0000-0000-0000867E0000}"/>
    <cellStyle name="Percent 8 2 6 2 3 2" xfId="14988" xr:uid="{00000000-0005-0000-0000-0000877E0000}"/>
    <cellStyle name="Percent 8 2 6 2 3 2 2" xfId="31928" xr:uid="{00000000-0005-0000-0000-0000887E0000}"/>
    <cellStyle name="Percent 8 2 6 2 3 3" xfId="23480" xr:uid="{00000000-0005-0000-0000-0000897E0000}"/>
    <cellStyle name="Percent 8 2 6 2 4" xfId="10764" xr:uid="{00000000-0005-0000-0000-00008A7E0000}"/>
    <cellStyle name="Percent 8 2 6 2 4 2" xfId="27704" xr:uid="{00000000-0005-0000-0000-00008B7E0000}"/>
    <cellStyle name="Percent 8 2 6 2 5" xfId="19256" xr:uid="{00000000-0005-0000-0000-00008C7E0000}"/>
    <cellStyle name="Percent 8 2 6 3" xfId="3370" xr:uid="{00000000-0005-0000-0000-00008D7E0000}"/>
    <cellStyle name="Percent 8 2 6 3 2" xfId="7596" xr:uid="{00000000-0005-0000-0000-00008E7E0000}"/>
    <cellStyle name="Percent 8 2 6 3 2 2" xfId="16044" xr:uid="{00000000-0005-0000-0000-00008F7E0000}"/>
    <cellStyle name="Percent 8 2 6 3 2 2 2" xfId="32984" xr:uid="{00000000-0005-0000-0000-0000907E0000}"/>
    <cellStyle name="Percent 8 2 6 3 2 3" xfId="24536" xr:uid="{00000000-0005-0000-0000-0000917E0000}"/>
    <cellStyle name="Percent 8 2 6 3 3" xfId="11820" xr:uid="{00000000-0005-0000-0000-0000927E0000}"/>
    <cellStyle name="Percent 8 2 6 3 3 2" xfId="28760" xr:uid="{00000000-0005-0000-0000-0000937E0000}"/>
    <cellStyle name="Percent 8 2 6 3 4" xfId="20312" xr:uid="{00000000-0005-0000-0000-0000947E0000}"/>
    <cellStyle name="Percent 8 2 6 4" xfId="5484" xr:uid="{00000000-0005-0000-0000-0000957E0000}"/>
    <cellStyle name="Percent 8 2 6 4 2" xfId="13932" xr:uid="{00000000-0005-0000-0000-0000967E0000}"/>
    <cellStyle name="Percent 8 2 6 4 2 2" xfId="30872" xr:uid="{00000000-0005-0000-0000-0000977E0000}"/>
    <cellStyle name="Percent 8 2 6 4 3" xfId="22424" xr:uid="{00000000-0005-0000-0000-0000987E0000}"/>
    <cellStyle name="Percent 8 2 6 5" xfId="9708" xr:uid="{00000000-0005-0000-0000-0000997E0000}"/>
    <cellStyle name="Percent 8 2 6 5 2" xfId="26648" xr:uid="{00000000-0005-0000-0000-00009A7E0000}"/>
    <cellStyle name="Percent 8 2 6 6" xfId="18200" xr:uid="{00000000-0005-0000-0000-00009B7E0000}"/>
    <cellStyle name="Percent 8 2 7" xfId="1434" xr:uid="{00000000-0005-0000-0000-00009C7E0000}"/>
    <cellStyle name="Percent 8 2 7 2" xfId="2490" xr:uid="{00000000-0005-0000-0000-00009D7E0000}"/>
    <cellStyle name="Percent 8 2 7 2 2" xfId="4602" xr:uid="{00000000-0005-0000-0000-00009E7E0000}"/>
    <cellStyle name="Percent 8 2 7 2 2 2" xfId="8828" xr:uid="{00000000-0005-0000-0000-00009F7E0000}"/>
    <cellStyle name="Percent 8 2 7 2 2 2 2" xfId="17276" xr:uid="{00000000-0005-0000-0000-0000A07E0000}"/>
    <cellStyle name="Percent 8 2 7 2 2 2 2 2" xfId="34216" xr:uid="{00000000-0005-0000-0000-0000A17E0000}"/>
    <cellStyle name="Percent 8 2 7 2 2 2 3" xfId="25768" xr:uid="{00000000-0005-0000-0000-0000A27E0000}"/>
    <cellStyle name="Percent 8 2 7 2 2 3" xfId="13052" xr:uid="{00000000-0005-0000-0000-0000A37E0000}"/>
    <cellStyle name="Percent 8 2 7 2 2 3 2" xfId="29992" xr:uid="{00000000-0005-0000-0000-0000A47E0000}"/>
    <cellStyle name="Percent 8 2 7 2 2 4" xfId="21544" xr:uid="{00000000-0005-0000-0000-0000A57E0000}"/>
    <cellStyle name="Percent 8 2 7 2 3" xfId="6716" xr:uid="{00000000-0005-0000-0000-0000A67E0000}"/>
    <cellStyle name="Percent 8 2 7 2 3 2" xfId="15164" xr:uid="{00000000-0005-0000-0000-0000A77E0000}"/>
    <cellStyle name="Percent 8 2 7 2 3 2 2" xfId="32104" xr:uid="{00000000-0005-0000-0000-0000A87E0000}"/>
    <cellStyle name="Percent 8 2 7 2 3 3" xfId="23656" xr:uid="{00000000-0005-0000-0000-0000A97E0000}"/>
    <cellStyle name="Percent 8 2 7 2 4" xfId="10940" xr:uid="{00000000-0005-0000-0000-0000AA7E0000}"/>
    <cellStyle name="Percent 8 2 7 2 4 2" xfId="27880" xr:uid="{00000000-0005-0000-0000-0000AB7E0000}"/>
    <cellStyle name="Percent 8 2 7 2 5" xfId="19432" xr:uid="{00000000-0005-0000-0000-0000AC7E0000}"/>
    <cellStyle name="Percent 8 2 7 3" xfId="3546" xr:uid="{00000000-0005-0000-0000-0000AD7E0000}"/>
    <cellStyle name="Percent 8 2 7 3 2" xfId="7772" xr:uid="{00000000-0005-0000-0000-0000AE7E0000}"/>
    <cellStyle name="Percent 8 2 7 3 2 2" xfId="16220" xr:uid="{00000000-0005-0000-0000-0000AF7E0000}"/>
    <cellStyle name="Percent 8 2 7 3 2 2 2" xfId="33160" xr:uid="{00000000-0005-0000-0000-0000B07E0000}"/>
    <cellStyle name="Percent 8 2 7 3 2 3" xfId="24712" xr:uid="{00000000-0005-0000-0000-0000B17E0000}"/>
    <cellStyle name="Percent 8 2 7 3 3" xfId="11996" xr:uid="{00000000-0005-0000-0000-0000B27E0000}"/>
    <cellStyle name="Percent 8 2 7 3 3 2" xfId="28936" xr:uid="{00000000-0005-0000-0000-0000B37E0000}"/>
    <cellStyle name="Percent 8 2 7 3 4" xfId="20488" xr:uid="{00000000-0005-0000-0000-0000B47E0000}"/>
    <cellStyle name="Percent 8 2 7 4" xfId="5660" xr:uid="{00000000-0005-0000-0000-0000B57E0000}"/>
    <cellStyle name="Percent 8 2 7 4 2" xfId="14108" xr:uid="{00000000-0005-0000-0000-0000B67E0000}"/>
    <cellStyle name="Percent 8 2 7 4 2 2" xfId="31048" xr:uid="{00000000-0005-0000-0000-0000B77E0000}"/>
    <cellStyle name="Percent 8 2 7 4 3" xfId="22600" xr:uid="{00000000-0005-0000-0000-0000B87E0000}"/>
    <cellStyle name="Percent 8 2 7 5" xfId="9884" xr:uid="{00000000-0005-0000-0000-0000B97E0000}"/>
    <cellStyle name="Percent 8 2 7 5 2" xfId="26824" xr:uid="{00000000-0005-0000-0000-0000BA7E0000}"/>
    <cellStyle name="Percent 8 2 7 6" xfId="18376" xr:uid="{00000000-0005-0000-0000-0000BB7E0000}"/>
    <cellStyle name="Percent 8 2 8" xfId="1610" xr:uid="{00000000-0005-0000-0000-0000BC7E0000}"/>
    <cellStyle name="Percent 8 2 8 2" xfId="3722" xr:uid="{00000000-0005-0000-0000-0000BD7E0000}"/>
    <cellStyle name="Percent 8 2 8 2 2" xfId="7948" xr:uid="{00000000-0005-0000-0000-0000BE7E0000}"/>
    <cellStyle name="Percent 8 2 8 2 2 2" xfId="16396" xr:uid="{00000000-0005-0000-0000-0000BF7E0000}"/>
    <cellStyle name="Percent 8 2 8 2 2 2 2" xfId="33336" xr:uid="{00000000-0005-0000-0000-0000C07E0000}"/>
    <cellStyle name="Percent 8 2 8 2 2 3" xfId="24888" xr:uid="{00000000-0005-0000-0000-0000C17E0000}"/>
    <cellStyle name="Percent 8 2 8 2 3" xfId="12172" xr:uid="{00000000-0005-0000-0000-0000C27E0000}"/>
    <cellStyle name="Percent 8 2 8 2 3 2" xfId="29112" xr:uid="{00000000-0005-0000-0000-0000C37E0000}"/>
    <cellStyle name="Percent 8 2 8 2 4" xfId="20664" xr:uid="{00000000-0005-0000-0000-0000C47E0000}"/>
    <cellStyle name="Percent 8 2 8 3" xfId="5836" xr:uid="{00000000-0005-0000-0000-0000C57E0000}"/>
    <cellStyle name="Percent 8 2 8 3 2" xfId="14284" xr:uid="{00000000-0005-0000-0000-0000C67E0000}"/>
    <cellStyle name="Percent 8 2 8 3 2 2" xfId="31224" xr:uid="{00000000-0005-0000-0000-0000C77E0000}"/>
    <cellStyle name="Percent 8 2 8 3 3" xfId="22776" xr:uid="{00000000-0005-0000-0000-0000C87E0000}"/>
    <cellStyle name="Percent 8 2 8 4" xfId="10060" xr:uid="{00000000-0005-0000-0000-0000C97E0000}"/>
    <cellStyle name="Percent 8 2 8 4 2" xfId="27000" xr:uid="{00000000-0005-0000-0000-0000CA7E0000}"/>
    <cellStyle name="Percent 8 2 8 5" xfId="18552" xr:uid="{00000000-0005-0000-0000-0000CB7E0000}"/>
    <cellStyle name="Percent 8 2 9" xfId="2666" xr:uid="{00000000-0005-0000-0000-0000CC7E0000}"/>
    <cellStyle name="Percent 8 2 9 2" xfId="6892" xr:uid="{00000000-0005-0000-0000-0000CD7E0000}"/>
    <cellStyle name="Percent 8 2 9 2 2" xfId="15340" xr:uid="{00000000-0005-0000-0000-0000CE7E0000}"/>
    <cellStyle name="Percent 8 2 9 2 2 2" xfId="32280" xr:uid="{00000000-0005-0000-0000-0000CF7E0000}"/>
    <cellStyle name="Percent 8 2 9 2 3" xfId="23832" xr:uid="{00000000-0005-0000-0000-0000D07E0000}"/>
    <cellStyle name="Percent 8 2 9 3" xfId="11116" xr:uid="{00000000-0005-0000-0000-0000D17E0000}"/>
    <cellStyle name="Percent 8 2 9 3 2" xfId="28056" xr:uid="{00000000-0005-0000-0000-0000D27E0000}"/>
    <cellStyle name="Percent 8 2 9 4" xfId="19608" xr:uid="{00000000-0005-0000-0000-0000D37E0000}"/>
    <cellStyle name="Percent 8 3" xfId="477" xr:uid="{00000000-0005-0000-0000-0000D47E0000}"/>
    <cellStyle name="Percent 8 4" xfId="478" xr:uid="{00000000-0005-0000-0000-0000D57E0000}"/>
    <cellStyle name="Percent 8 4 10" xfId="17499" xr:uid="{00000000-0005-0000-0000-0000D67E0000}"/>
    <cellStyle name="Percent 8 4 2" xfId="727" xr:uid="{00000000-0005-0000-0000-0000D77E0000}"/>
    <cellStyle name="Percent 8 4 2 2" xfId="1079" xr:uid="{00000000-0005-0000-0000-0000D87E0000}"/>
    <cellStyle name="Percent 8 4 2 2 2" xfId="2141" xr:uid="{00000000-0005-0000-0000-0000D97E0000}"/>
    <cellStyle name="Percent 8 4 2 2 2 2" xfId="4253" xr:uid="{00000000-0005-0000-0000-0000DA7E0000}"/>
    <cellStyle name="Percent 8 4 2 2 2 2 2" xfId="8479" xr:uid="{00000000-0005-0000-0000-0000DB7E0000}"/>
    <cellStyle name="Percent 8 4 2 2 2 2 2 2" xfId="16927" xr:uid="{00000000-0005-0000-0000-0000DC7E0000}"/>
    <cellStyle name="Percent 8 4 2 2 2 2 2 2 2" xfId="33867" xr:uid="{00000000-0005-0000-0000-0000DD7E0000}"/>
    <cellStyle name="Percent 8 4 2 2 2 2 2 3" xfId="25419" xr:uid="{00000000-0005-0000-0000-0000DE7E0000}"/>
    <cellStyle name="Percent 8 4 2 2 2 2 3" xfId="12703" xr:uid="{00000000-0005-0000-0000-0000DF7E0000}"/>
    <cellStyle name="Percent 8 4 2 2 2 2 3 2" xfId="29643" xr:uid="{00000000-0005-0000-0000-0000E07E0000}"/>
    <cellStyle name="Percent 8 4 2 2 2 2 4" xfId="21195" xr:uid="{00000000-0005-0000-0000-0000E17E0000}"/>
    <cellStyle name="Percent 8 4 2 2 2 3" xfId="6367" xr:uid="{00000000-0005-0000-0000-0000E27E0000}"/>
    <cellStyle name="Percent 8 4 2 2 2 3 2" xfId="14815" xr:uid="{00000000-0005-0000-0000-0000E37E0000}"/>
    <cellStyle name="Percent 8 4 2 2 2 3 2 2" xfId="31755" xr:uid="{00000000-0005-0000-0000-0000E47E0000}"/>
    <cellStyle name="Percent 8 4 2 2 2 3 3" xfId="23307" xr:uid="{00000000-0005-0000-0000-0000E57E0000}"/>
    <cellStyle name="Percent 8 4 2 2 2 4" xfId="10591" xr:uid="{00000000-0005-0000-0000-0000E67E0000}"/>
    <cellStyle name="Percent 8 4 2 2 2 4 2" xfId="27531" xr:uid="{00000000-0005-0000-0000-0000E77E0000}"/>
    <cellStyle name="Percent 8 4 2 2 2 5" xfId="19083" xr:uid="{00000000-0005-0000-0000-0000E87E0000}"/>
    <cellStyle name="Percent 8 4 2 2 3" xfId="3197" xr:uid="{00000000-0005-0000-0000-0000E97E0000}"/>
    <cellStyle name="Percent 8 4 2 2 3 2" xfId="7423" xr:uid="{00000000-0005-0000-0000-0000EA7E0000}"/>
    <cellStyle name="Percent 8 4 2 2 3 2 2" xfId="15871" xr:uid="{00000000-0005-0000-0000-0000EB7E0000}"/>
    <cellStyle name="Percent 8 4 2 2 3 2 2 2" xfId="32811" xr:uid="{00000000-0005-0000-0000-0000EC7E0000}"/>
    <cellStyle name="Percent 8 4 2 2 3 2 3" xfId="24363" xr:uid="{00000000-0005-0000-0000-0000ED7E0000}"/>
    <cellStyle name="Percent 8 4 2 2 3 3" xfId="11647" xr:uid="{00000000-0005-0000-0000-0000EE7E0000}"/>
    <cellStyle name="Percent 8 4 2 2 3 3 2" xfId="28587" xr:uid="{00000000-0005-0000-0000-0000EF7E0000}"/>
    <cellStyle name="Percent 8 4 2 2 3 4" xfId="20139" xr:uid="{00000000-0005-0000-0000-0000F07E0000}"/>
    <cellStyle name="Percent 8 4 2 2 4" xfId="5311" xr:uid="{00000000-0005-0000-0000-0000F17E0000}"/>
    <cellStyle name="Percent 8 4 2 2 4 2" xfId="13759" xr:uid="{00000000-0005-0000-0000-0000F27E0000}"/>
    <cellStyle name="Percent 8 4 2 2 4 2 2" xfId="30699" xr:uid="{00000000-0005-0000-0000-0000F37E0000}"/>
    <cellStyle name="Percent 8 4 2 2 4 3" xfId="22251" xr:uid="{00000000-0005-0000-0000-0000F47E0000}"/>
    <cellStyle name="Percent 8 4 2 2 5" xfId="9535" xr:uid="{00000000-0005-0000-0000-0000F57E0000}"/>
    <cellStyle name="Percent 8 4 2 2 5 2" xfId="26475" xr:uid="{00000000-0005-0000-0000-0000F67E0000}"/>
    <cellStyle name="Percent 8 4 2 2 6" xfId="18027" xr:uid="{00000000-0005-0000-0000-0000F77E0000}"/>
    <cellStyle name="Percent 8 4 2 3" xfId="1789" xr:uid="{00000000-0005-0000-0000-0000F87E0000}"/>
    <cellStyle name="Percent 8 4 2 3 2" xfId="3901" xr:uid="{00000000-0005-0000-0000-0000F97E0000}"/>
    <cellStyle name="Percent 8 4 2 3 2 2" xfId="8127" xr:uid="{00000000-0005-0000-0000-0000FA7E0000}"/>
    <cellStyle name="Percent 8 4 2 3 2 2 2" xfId="16575" xr:uid="{00000000-0005-0000-0000-0000FB7E0000}"/>
    <cellStyle name="Percent 8 4 2 3 2 2 2 2" xfId="33515" xr:uid="{00000000-0005-0000-0000-0000FC7E0000}"/>
    <cellStyle name="Percent 8 4 2 3 2 2 3" xfId="25067" xr:uid="{00000000-0005-0000-0000-0000FD7E0000}"/>
    <cellStyle name="Percent 8 4 2 3 2 3" xfId="12351" xr:uid="{00000000-0005-0000-0000-0000FE7E0000}"/>
    <cellStyle name="Percent 8 4 2 3 2 3 2" xfId="29291" xr:uid="{00000000-0005-0000-0000-0000FF7E0000}"/>
    <cellStyle name="Percent 8 4 2 3 2 4" xfId="20843" xr:uid="{00000000-0005-0000-0000-0000007F0000}"/>
    <cellStyle name="Percent 8 4 2 3 3" xfId="6015" xr:uid="{00000000-0005-0000-0000-0000017F0000}"/>
    <cellStyle name="Percent 8 4 2 3 3 2" xfId="14463" xr:uid="{00000000-0005-0000-0000-0000027F0000}"/>
    <cellStyle name="Percent 8 4 2 3 3 2 2" xfId="31403" xr:uid="{00000000-0005-0000-0000-0000037F0000}"/>
    <cellStyle name="Percent 8 4 2 3 3 3" xfId="22955" xr:uid="{00000000-0005-0000-0000-0000047F0000}"/>
    <cellStyle name="Percent 8 4 2 3 4" xfId="10239" xr:uid="{00000000-0005-0000-0000-0000057F0000}"/>
    <cellStyle name="Percent 8 4 2 3 4 2" xfId="27179" xr:uid="{00000000-0005-0000-0000-0000067F0000}"/>
    <cellStyle name="Percent 8 4 2 3 5" xfId="18731" xr:uid="{00000000-0005-0000-0000-0000077F0000}"/>
    <cellStyle name="Percent 8 4 2 4" xfId="2845" xr:uid="{00000000-0005-0000-0000-0000087F0000}"/>
    <cellStyle name="Percent 8 4 2 4 2" xfId="7071" xr:uid="{00000000-0005-0000-0000-0000097F0000}"/>
    <cellStyle name="Percent 8 4 2 4 2 2" xfId="15519" xr:uid="{00000000-0005-0000-0000-00000A7F0000}"/>
    <cellStyle name="Percent 8 4 2 4 2 2 2" xfId="32459" xr:uid="{00000000-0005-0000-0000-00000B7F0000}"/>
    <cellStyle name="Percent 8 4 2 4 2 3" xfId="24011" xr:uid="{00000000-0005-0000-0000-00000C7F0000}"/>
    <cellStyle name="Percent 8 4 2 4 3" xfId="11295" xr:uid="{00000000-0005-0000-0000-00000D7F0000}"/>
    <cellStyle name="Percent 8 4 2 4 3 2" xfId="28235" xr:uid="{00000000-0005-0000-0000-00000E7F0000}"/>
    <cellStyle name="Percent 8 4 2 4 4" xfId="19787" xr:uid="{00000000-0005-0000-0000-00000F7F0000}"/>
    <cellStyle name="Percent 8 4 2 5" xfId="4959" xr:uid="{00000000-0005-0000-0000-0000107F0000}"/>
    <cellStyle name="Percent 8 4 2 5 2" xfId="13407" xr:uid="{00000000-0005-0000-0000-0000117F0000}"/>
    <cellStyle name="Percent 8 4 2 5 2 2" xfId="30347" xr:uid="{00000000-0005-0000-0000-0000127F0000}"/>
    <cellStyle name="Percent 8 4 2 5 3" xfId="21899" xr:uid="{00000000-0005-0000-0000-0000137F0000}"/>
    <cellStyle name="Percent 8 4 2 6" xfId="9183" xr:uid="{00000000-0005-0000-0000-0000147F0000}"/>
    <cellStyle name="Percent 8 4 2 6 2" xfId="26123" xr:uid="{00000000-0005-0000-0000-0000157F0000}"/>
    <cellStyle name="Percent 8 4 2 7" xfId="17675" xr:uid="{00000000-0005-0000-0000-0000167F0000}"/>
    <cellStyle name="Percent 8 4 3" xfId="903" xr:uid="{00000000-0005-0000-0000-0000177F0000}"/>
    <cellStyle name="Percent 8 4 3 2" xfId="1965" xr:uid="{00000000-0005-0000-0000-0000187F0000}"/>
    <cellStyle name="Percent 8 4 3 2 2" xfId="4077" xr:uid="{00000000-0005-0000-0000-0000197F0000}"/>
    <cellStyle name="Percent 8 4 3 2 2 2" xfId="8303" xr:uid="{00000000-0005-0000-0000-00001A7F0000}"/>
    <cellStyle name="Percent 8 4 3 2 2 2 2" xfId="16751" xr:uid="{00000000-0005-0000-0000-00001B7F0000}"/>
    <cellStyle name="Percent 8 4 3 2 2 2 2 2" xfId="33691" xr:uid="{00000000-0005-0000-0000-00001C7F0000}"/>
    <cellStyle name="Percent 8 4 3 2 2 2 3" xfId="25243" xr:uid="{00000000-0005-0000-0000-00001D7F0000}"/>
    <cellStyle name="Percent 8 4 3 2 2 3" xfId="12527" xr:uid="{00000000-0005-0000-0000-00001E7F0000}"/>
    <cellStyle name="Percent 8 4 3 2 2 3 2" xfId="29467" xr:uid="{00000000-0005-0000-0000-00001F7F0000}"/>
    <cellStyle name="Percent 8 4 3 2 2 4" xfId="21019" xr:uid="{00000000-0005-0000-0000-0000207F0000}"/>
    <cellStyle name="Percent 8 4 3 2 3" xfId="6191" xr:uid="{00000000-0005-0000-0000-0000217F0000}"/>
    <cellStyle name="Percent 8 4 3 2 3 2" xfId="14639" xr:uid="{00000000-0005-0000-0000-0000227F0000}"/>
    <cellStyle name="Percent 8 4 3 2 3 2 2" xfId="31579" xr:uid="{00000000-0005-0000-0000-0000237F0000}"/>
    <cellStyle name="Percent 8 4 3 2 3 3" xfId="23131" xr:uid="{00000000-0005-0000-0000-0000247F0000}"/>
    <cellStyle name="Percent 8 4 3 2 4" xfId="10415" xr:uid="{00000000-0005-0000-0000-0000257F0000}"/>
    <cellStyle name="Percent 8 4 3 2 4 2" xfId="27355" xr:uid="{00000000-0005-0000-0000-0000267F0000}"/>
    <cellStyle name="Percent 8 4 3 2 5" xfId="18907" xr:uid="{00000000-0005-0000-0000-0000277F0000}"/>
    <cellStyle name="Percent 8 4 3 3" xfId="3021" xr:uid="{00000000-0005-0000-0000-0000287F0000}"/>
    <cellStyle name="Percent 8 4 3 3 2" xfId="7247" xr:uid="{00000000-0005-0000-0000-0000297F0000}"/>
    <cellStyle name="Percent 8 4 3 3 2 2" xfId="15695" xr:uid="{00000000-0005-0000-0000-00002A7F0000}"/>
    <cellStyle name="Percent 8 4 3 3 2 2 2" xfId="32635" xr:uid="{00000000-0005-0000-0000-00002B7F0000}"/>
    <cellStyle name="Percent 8 4 3 3 2 3" xfId="24187" xr:uid="{00000000-0005-0000-0000-00002C7F0000}"/>
    <cellStyle name="Percent 8 4 3 3 3" xfId="11471" xr:uid="{00000000-0005-0000-0000-00002D7F0000}"/>
    <cellStyle name="Percent 8 4 3 3 3 2" xfId="28411" xr:uid="{00000000-0005-0000-0000-00002E7F0000}"/>
    <cellStyle name="Percent 8 4 3 3 4" xfId="19963" xr:uid="{00000000-0005-0000-0000-00002F7F0000}"/>
    <cellStyle name="Percent 8 4 3 4" xfId="5135" xr:uid="{00000000-0005-0000-0000-0000307F0000}"/>
    <cellStyle name="Percent 8 4 3 4 2" xfId="13583" xr:uid="{00000000-0005-0000-0000-0000317F0000}"/>
    <cellStyle name="Percent 8 4 3 4 2 2" xfId="30523" xr:uid="{00000000-0005-0000-0000-0000327F0000}"/>
    <cellStyle name="Percent 8 4 3 4 3" xfId="22075" xr:uid="{00000000-0005-0000-0000-0000337F0000}"/>
    <cellStyle name="Percent 8 4 3 5" xfId="9359" xr:uid="{00000000-0005-0000-0000-0000347F0000}"/>
    <cellStyle name="Percent 8 4 3 5 2" xfId="26299" xr:uid="{00000000-0005-0000-0000-0000357F0000}"/>
    <cellStyle name="Percent 8 4 3 6" xfId="17851" xr:uid="{00000000-0005-0000-0000-0000367F0000}"/>
    <cellStyle name="Percent 8 4 4" xfId="1255" xr:uid="{00000000-0005-0000-0000-0000377F0000}"/>
    <cellStyle name="Percent 8 4 4 2" xfId="2317" xr:uid="{00000000-0005-0000-0000-0000387F0000}"/>
    <cellStyle name="Percent 8 4 4 2 2" xfId="4429" xr:uid="{00000000-0005-0000-0000-0000397F0000}"/>
    <cellStyle name="Percent 8 4 4 2 2 2" xfId="8655" xr:uid="{00000000-0005-0000-0000-00003A7F0000}"/>
    <cellStyle name="Percent 8 4 4 2 2 2 2" xfId="17103" xr:uid="{00000000-0005-0000-0000-00003B7F0000}"/>
    <cellStyle name="Percent 8 4 4 2 2 2 2 2" xfId="34043" xr:uid="{00000000-0005-0000-0000-00003C7F0000}"/>
    <cellStyle name="Percent 8 4 4 2 2 2 3" xfId="25595" xr:uid="{00000000-0005-0000-0000-00003D7F0000}"/>
    <cellStyle name="Percent 8 4 4 2 2 3" xfId="12879" xr:uid="{00000000-0005-0000-0000-00003E7F0000}"/>
    <cellStyle name="Percent 8 4 4 2 2 3 2" xfId="29819" xr:uid="{00000000-0005-0000-0000-00003F7F0000}"/>
    <cellStyle name="Percent 8 4 4 2 2 4" xfId="21371" xr:uid="{00000000-0005-0000-0000-0000407F0000}"/>
    <cellStyle name="Percent 8 4 4 2 3" xfId="6543" xr:uid="{00000000-0005-0000-0000-0000417F0000}"/>
    <cellStyle name="Percent 8 4 4 2 3 2" xfId="14991" xr:uid="{00000000-0005-0000-0000-0000427F0000}"/>
    <cellStyle name="Percent 8 4 4 2 3 2 2" xfId="31931" xr:uid="{00000000-0005-0000-0000-0000437F0000}"/>
    <cellStyle name="Percent 8 4 4 2 3 3" xfId="23483" xr:uid="{00000000-0005-0000-0000-0000447F0000}"/>
    <cellStyle name="Percent 8 4 4 2 4" xfId="10767" xr:uid="{00000000-0005-0000-0000-0000457F0000}"/>
    <cellStyle name="Percent 8 4 4 2 4 2" xfId="27707" xr:uid="{00000000-0005-0000-0000-0000467F0000}"/>
    <cellStyle name="Percent 8 4 4 2 5" xfId="19259" xr:uid="{00000000-0005-0000-0000-0000477F0000}"/>
    <cellStyle name="Percent 8 4 4 3" xfId="3373" xr:uid="{00000000-0005-0000-0000-0000487F0000}"/>
    <cellStyle name="Percent 8 4 4 3 2" xfId="7599" xr:uid="{00000000-0005-0000-0000-0000497F0000}"/>
    <cellStyle name="Percent 8 4 4 3 2 2" xfId="16047" xr:uid="{00000000-0005-0000-0000-00004A7F0000}"/>
    <cellStyle name="Percent 8 4 4 3 2 2 2" xfId="32987" xr:uid="{00000000-0005-0000-0000-00004B7F0000}"/>
    <cellStyle name="Percent 8 4 4 3 2 3" xfId="24539" xr:uid="{00000000-0005-0000-0000-00004C7F0000}"/>
    <cellStyle name="Percent 8 4 4 3 3" xfId="11823" xr:uid="{00000000-0005-0000-0000-00004D7F0000}"/>
    <cellStyle name="Percent 8 4 4 3 3 2" xfId="28763" xr:uid="{00000000-0005-0000-0000-00004E7F0000}"/>
    <cellStyle name="Percent 8 4 4 3 4" xfId="20315" xr:uid="{00000000-0005-0000-0000-00004F7F0000}"/>
    <cellStyle name="Percent 8 4 4 4" xfId="5487" xr:uid="{00000000-0005-0000-0000-0000507F0000}"/>
    <cellStyle name="Percent 8 4 4 4 2" xfId="13935" xr:uid="{00000000-0005-0000-0000-0000517F0000}"/>
    <cellStyle name="Percent 8 4 4 4 2 2" xfId="30875" xr:uid="{00000000-0005-0000-0000-0000527F0000}"/>
    <cellStyle name="Percent 8 4 4 4 3" xfId="22427" xr:uid="{00000000-0005-0000-0000-0000537F0000}"/>
    <cellStyle name="Percent 8 4 4 5" xfId="9711" xr:uid="{00000000-0005-0000-0000-0000547F0000}"/>
    <cellStyle name="Percent 8 4 4 5 2" xfId="26651" xr:uid="{00000000-0005-0000-0000-0000557F0000}"/>
    <cellStyle name="Percent 8 4 4 6" xfId="18203" xr:uid="{00000000-0005-0000-0000-0000567F0000}"/>
    <cellStyle name="Percent 8 4 5" xfId="1437" xr:uid="{00000000-0005-0000-0000-0000577F0000}"/>
    <cellStyle name="Percent 8 4 5 2" xfId="2493" xr:uid="{00000000-0005-0000-0000-0000587F0000}"/>
    <cellStyle name="Percent 8 4 5 2 2" xfId="4605" xr:uid="{00000000-0005-0000-0000-0000597F0000}"/>
    <cellStyle name="Percent 8 4 5 2 2 2" xfId="8831" xr:uid="{00000000-0005-0000-0000-00005A7F0000}"/>
    <cellStyle name="Percent 8 4 5 2 2 2 2" xfId="17279" xr:uid="{00000000-0005-0000-0000-00005B7F0000}"/>
    <cellStyle name="Percent 8 4 5 2 2 2 2 2" xfId="34219" xr:uid="{00000000-0005-0000-0000-00005C7F0000}"/>
    <cellStyle name="Percent 8 4 5 2 2 2 3" xfId="25771" xr:uid="{00000000-0005-0000-0000-00005D7F0000}"/>
    <cellStyle name="Percent 8 4 5 2 2 3" xfId="13055" xr:uid="{00000000-0005-0000-0000-00005E7F0000}"/>
    <cellStyle name="Percent 8 4 5 2 2 3 2" xfId="29995" xr:uid="{00000000-0005-0000-0000-00005F7F0000}"/>
    <cellStyle name="Percent 8 4 5 2 2 4" xfId="21547" xr:uid="{00000000-0005-0000-0000-0000607F0000}"/>
    <cellStyle name="Percent 8 4 5 2 3" xfId="6719" xr:uid="{00000000-0005-0000-0000-0000617F0000}"/>
    <cellStyle name="Percent 8 4 5 2 3 2" xfId="15167" xr:uid="{00000000-0005-0000-0000-0000627F0000}"/>
    <cellStyle name="Percent 8 4 5 2 3 2 2" xfId="32107" xr:uid="{00000000-0005-0000-0000-0000637F0000}"/>
    <cellStyle name="Percent 8 4 5 2 3 3" xfId="23659" xr:uid="{00000000-0005-0000-0000-0000647F0000}"/>
    <cellStyle name="Percent 8 4 5 2 4" xfId="10943" xr:uid="{00000000-0005-0000-0000-0000657F0000}"/>
    <cellStyle name="Percent 8 4 5 2 4 2" xfId="27883" xr:uid="{00000000-0005-0000-0000-0000667F0000}"/>
    <cellStyle name="Percent 8 4 5 2 5" xfId="19435" xr:uid="{00000000-0005-0000-0000-0000677F0000}"/>
    <cellStyle name="Percent 8 4 5 3" xfId="3549" xr:uid="{00000000-0005-0000-0000-0000687F0000}"/>
    <cellStyle name="Percent 8 4 5 3 2" xfId="7775" xr:uid="{00000000-0005-0000-0000-0000697F0000}"/>
    <cellStyle name="Percent 8 4 5 3 2 2" xfId="16223" xr:uid="{00000000-0005-0000-0000-00006A7F0000}"/>
    <cellStyle name="Percent 8 4 5 3 2 2 2" xfId="33163" xr:uid="{00000000-0005-0000-0000-00006B7F0000}"/>
    <cellStyle name="Percent 8 4 5 3 2 3" xfId="24715" xr:uid="{00000000-0005-0000-0000-00006C7F0000}"/>
    <cellStyle name="Percent 8 4 5 3 3" xfId="11999" xr:uid="{00000000-0005-0000-0000-00006D7F0000}"/>
    <cellStyle name="Percent 8 4 5 3 3 2" xfId="28939" xr:uid="{00000000-0005-0000-0000-00006E7F0000}"/>
    <cellStyle name="Percent 8 4 5 3 4" xfId="20491" xr:uid="{00000000-0005-0000-0000-00006F7F0000}"/>
    <cellStyle name="Percent 8 4 5 4" xfId="5663" xr:uid="{00000000-0005-0000-0000-0000707F0000}"/>
    <cellStyle name="Percent 8 4 5 4 2" xfId="14111" xr:uid="{00000000-0005-0000-0000-0000717F0000}"/>
    <cellStyle name="Percent 8 4 5 4 2 2" xfId="31051" xr:uid="{00000000-0005-0000-0000-0000727F0000}"/>
    <cellStyle name="Percent 8 4 5 4 3" xfId="22603" xr:uid="{00000000-0005-0000-0000-0000737F0000}"/>
    <cellStyle name="Percent 8 4 5 5" xfId="9887" xr:uid="{00000000-0005-0000-0000-0000747F0000}"/>
    <cellStyle name="Percent 8 4 5 5 2" xfId="26827" xr:uid="{00000000-0005-0000-0000-0000757F0000}"/>
    <cellStyle name="Percent 8 4 5 6" xfId="18379" xr:uid="{00000000-0005-0000-0000-0000767F0000}"/>
    <cellStyle name="Percent 8 4 6" xfId="1613" xr:uid="{00000000-0005-0000-0000-0000777F0000}"/>
    <cellStyle name="Percent 8 4 6 2" xfId="3725" xr:uid="{00000000-0005-0000-0000-0000787F0000}"/>
    <cellStyle name="Percent 8 4 6 2 2" xfId="7951" xr:uid="{00000000-0005-0000-0000-0000797F0000}"/>
    <cellStyle name="Percent 8 4 6 2 2 2" xfId="16399" xr:uid="{00000000-0005-0000-0000-00007A7F0000}"/>
    <cellStyle name="Percent 8 4 6 2 2 2 2" xfId="33339" xr:uid="{00000000-0005-0000-0000-00007B7F0000}"/>
    <cellStyle name="Percent 8 4 6 2 2 3" xfId="24891" xr:uid="{00000000-0005-0000-0000-00007C7F0000}"/>
    <cellStyle name="Percent 8 4 6 2 3" xfId="12175" xr:uid="{00000000-0005-0000-0000-00007D7F0000}"/>
    <cellStyle name="Percent 8 4 6 2 3 2" xfId="29115" xr:uid="{00000000-0005-0000-0000-00007E7F0000}"/>
    <cellStyle name="Percent 8 4 6 2 4" xfId="20667" xr:uid="{00000000-0005-0000-0000-00007F7F0000}"/>
    <cellStyle name="Percent 8 4 6 3" xfId="5839" xr:uid="{00000000-0005-0000-0000-0000807F0000}"/>
    <cellStyle name="Percent 8 4 6 3 2" xfId="14287" xr:uid="{00000000-0005-0000-0000-0000817F0000}"/>
    <cellStyle name="Percent 8 4 6 3 2 2" xfId="31227" xr:uid="{00000000-0005-0000-0000-0000827F0000}"/>
    <cellStyle name="Percent 8 4 6 3 3" xfId="22779" xr:uid="{00000000-0005-0000-0000-0000837F0000}"/>
    <cellStyle name="Percent 8 4 6 4" xfId="10063" xr:uid="{00000000-0005-0000-0000-0000847F0000}"/>
    <cellStyle name="Percent 8 4 6 4 2" xfId="27003" xr:uid="{00000000-0005-0000-0000-0000857F0000}"/>
    <cellStyle name="Percent 8 4 6 5" xfId="18555" xr:uid="{00000000-0005-0000-0000-0000867F0000}"/>
    <cellStyle name="Percent 8 4 7" xfId="2669" xr:uid="{00000000-0005-0000-0000-0000877F0000}"/>
    <cellStyle name="Percent 8 4 7 2" xfId="6895" xr:uid="{00000000-0005-0000-0000-0000887F0000}"/>
    <cellStyle name="Percent 8 4 7 2 2" xfId="15343" xr:uid="{00000000-0005-0000-0000-0000897F0000}"/>
    <cellStyle name="Percent 8 4 7 2 2 2" xfId="32283" xr:uid="{00000000-0005-0000-0000-00008A7F0000}"/>
    <cellStyle name="Percent 8 4 7 2 3" xfId="23835" xr:uid="{00000000-0005-0000-0000-00008B7F0000}"/>
    <cellStyle name="Percent 8 4 7 3" xfId="11119" xr:uid="{00000000-0005-0000-0000-00008C7F0000}"/>
    <cellStyle name="Percent 8 4 7 3 2" xfId="28059" xr:uid="{00000000-0005-0000-0000-00008D7F0000}"/>
    <cellStyle name="Percent 8 4 7 4" xfId="19611" xr:uid="{00000000-0005-0000-0000-00008E7F0000}"/>
    <cellStyle name="Percent 8 4 8" xfId="4782" xr:uid="{00000000-0005-0000-0000-00008F7F0000}"/>
    <cellStyle name="Percent 8 4 8 2" xfId="13231" xr:uid="{00000000-0005-0000-0000-0000907F0000}"/>
    <cellStyle name="Percent 8 4 8 2 2" xfId="30171" xr:uid="{00000000-0005-0000-0000-0000917F0000}"/>
    <cellStyle name="Percent 8 4 8 3" xfId="21723" xr:uid="{00000000-0005-0000-0000-0000927F0000}"/>
    <cellStyle name="Percent 8 4 9" xfId="9007" xr:uid="{00000000-0005-0000-0000-0000937F0000}"/>
    <cellStyle name="Percent 8 4 9 2" xfId="25947" xr:uid="{00000000-0005-0000-0000-0000947F0000}"/>
    <cellStyle name="Percent 8 5" xfId="479" xr:uid="{00000000-0005-0000-0000-0000957F0000}"/>
    <cellStyle name="Percent 8 5 10" xfId="17500" xr:uid="{00000000-0005-0000-0000-0000967F0000}"/>
    <cellStyle name="Percent 8 5 2" xfId="728" xr:uid="{00000000-0005-0000-0000-0000977F0000}"/>
    <cellStyle name="Percent 8 5 2 2" xfId="1080" xr:uid="{00000000-0005-0000-0000-0000987F0000}"/>
    <cellStyle name="Percent 8 5 2 2 2" xfId="2142" xr:uid="{00000000-0005-0000-0000-0000997F0000}"/>
    <cellStyle name="Percent 8 5 2 2 2 2" xfId="4254" xr:uid="{00000000-0005-0000-0000-00009A7F0000}"/>
    <cellStyle name="Percent 8 5 2 2 2 2 2" xfId="8480" xr:uid="{00000000-0005-0000-0000-00009B7F0000}"/>
    <cellStyle name="Percent 8 5 2 2 2 2 2 2" xfId="16928" xr:uid="{00000000-0005-0000-0000-00009C7F0000}"/>
    <cellStyle name="Percent 8 5 2 2 2 2 2 2 2" xfId="33868" xr:uid="{00000000-0005-0000-0000-00009D7F0000}"/>
    <cellStyle name="Percent 8 5 2 2 2 2 2 3" xfId="25420" xr:uid="{00000000-0005-0000-0000-00009E7F0000}"/>
    <cellStyle name="Percent 8 5 2 2 2 2 3" xfId="12704" xr:uid="{00000000-0005-0000-0000-00009F7F0000}"/>
    <cellStyle name="Percent 8 5 2 2 2 2 3 2" xfId="29644" xr:uid="{00000000-0005-0000-0000-0000A07F0000}"/>
    <cellStyle name="Percent 8 5 2 2 2 2 4" xfId="21196" xr:uid="{00000000-0005-0000-0000-0000A17F0000}"/>
    <cellStyle name="Percent 8 5 2 2 2 3" xfId="6368" xr:uid="{00000000-0005-0000-0000-0000A27F0000}"/>
    <cellStyle name="Percent 8 5 2 2 2 3 2" xfId="14816" xr:uid="{00000000-0005-0000-0000-0000A37F0000}"/>
    <cellStyle name="Percent 8 5 2 2 2 3 2 2" xfId="31756" xr:uid="{00000000-0005-0000-0000-0000A47F0000}"/>
    <cellStyle name="Percent 8 5 2 2 2 3 3" xfId="23308" xr:uid="{00000000-0005-0000-0000-0000A57F0000}"/>
    <cellStyle name="Percent 8 5 2 2 2 4" xfId="10592" xr:uid="{00000000-0005-0000-0000-0000A67F0000}"/>
    <cellStyle name="Percent 8 5 2 2 2 4 2" xfId="27532" xr:uid="{00000000-0005-0000-0000-0000A77F0000}"/>
    <cellStyle name="Percent 8 5 2 2 2 5" xfId="19084" xr:uid="{00000000-0005-0000-0000-0000A87F0000}"/>
    <cellStyle name="Percent 8 5 2 2 3" xfId="3198" xr:uid="{00000000-0005-0000-0000-0000A97F0000}"/>
    <cellStyle name="Percent 8 5 2 2 3 2" xfId="7424" xr:uid="{00000000-0005-0000-0000-0000AA7F0000}"/>
    <cellStyle name="Percent 8 5 2 2 3 2 2" xfId="15872" xr:uid="{00000000-0005-0000-0000-0000AB7F0000}"/>
    <cellStyle name="Percent 8 5 2 2 3 2 2 2" xfId="32812" xr:uid="{00000000-0005-0000-0000-0000AC7F0000}"/>
    <cellStyle name="Percent 8 5 2 2 3 2 3" xfId="24364" xr:uid="{00000000-0005-0000-0000-0000AD7F0000}"/>
    <cellStyle name="Percent 8 5 2 2 3 3" xfId="11648" xr:uid="{00000000-0005-0000-0000-0000AE7F0000}"/>
    <cellStyle name="Percent 8 5 2 2 3 3 2" xfId="28588" xr:uid="{00000000-0005-0000-0000-0000AF7F0000}"/>
    <cellStyle name="Percent 8 5 2 2 3 4" xfId="20140" xr:uid="{00000000-0005-0000-0000-0000B07F0000}"/>
    <cellStyle name="Percent 8 5 2 2 4" xfId="5312" xr:uid="{00000000-0005-0000-0000-0000B17F0000}"/>
    <cellStyle name="Percent 8 5 2 2 4 2" xfId="13760" xr:uid="{00000000-0005-0000-0000-0000B27F0000}"/>
    <cellStyle name="Percent 8 5 2 2 4 2 2" xfId="30700" xr:uid="{00000000-0005-0000-0000-0000B37F0000}"/>
    <cellStyle name="Percent 8 5 2 2 4 3" xfId="22252" xr:uid="{00000000-0005-0000-0000-0000B47F0000}"/>
    <cellStyle name="Percent 8 5 2 2 5" xfId="9536" xr:uid="{00000000-0005-0000-0000-0000B57F0000}"/>
    <cellStyle name="Percent 8 5 2 2 5 2" xfId="26476" xr:uid="{00000000-0005-0000-0000-0000B67F0000}"/>
    <cellStyle name="Percent 8 5 2 2 6" xfId="18028" xr:uid="{00000000-0005-0000-0000-0000B77F0000}"/>
    <cellStyle name="Percent 8 5 2 3" xfId="1790" xr:uid="{00000000-0005-0000-0000-0000B87F0000}"/>
    <cellStyle name="Percent 8 5 2 3 2" xfId="3902" xr:uid="{00000000-0005-0000-0000-0000B97F0000}"/>
    <cellStyle name="Percent 8 5 2 3 2 2" xfId="8128" xr:uid="{00000000-0005-0000-0000-0000BA7F0000}"/>
    <cellStyle name="Percent 8 5 2 3 2 2 2" xfId="16576" xr:uid="{00000000-0005-0000-0000-0000BB7F0000}"/>
    <cellStyle name="Percent 8 5 2 3 2 2 2 2" xfId="33516" xr:uid="{00000000-0005-0000-0000-0000BC7F0000}"/>
    <cellStyle name="Percent 8 5 2 3 2 2 3" xfId="25068" xr:uid="{00000000-0005-0000-0000-0000BD7F0000}"/>
    <cellStyle name="Percent 8 5 2 3 2 3" xfId="12352" xr:uid="{00000000-0005-0000-0000-0000BE7F0000}"/>
    <cellStyle name="Percent 8 5 2 3 2 3 2" xfId="29292" xr:uid="{00000000-0005-0000-0000-0000BF7F0000}"/>
    <cellStyle name="Percent 8 5 2 3 2 4" xfId="20844" xr:uid="{00000000-0005-0000-0000-0000C07F0000}"/>
    <cellStyle name="Percent 8 5 2 3 3" xfId="6016" xr:uid="{00000000-0005-0000-0000-0000C17F0000}"/>
    <cellStyle name="Percent 8 5 2 3 3 2" xfId="14464" xr:uid="{00000000-0005-0000-0000-0000C27F0000}"/>
    <cellStyle name="Percent 8 5 2 3 3 2 2" xfId="31404" xr:uid="{00000000-0005-0000-0000-0000C37F0000}"/>
    <cellStyle name="Percent 8 5 2 3 3 3" xfId="22956" xr:uid="{00000000-0005-0000-0000-0000C47F0000}"/>
    <cellStyle name="Percent 8 5 2 3 4" xfId="10240" xr:uid="{00000000-0005-0000-0000-0000C57F0000}"/>
    <cellStyle name="Percent 8 5 2 3 4 2" xfId="27180" xr:uid="{00000000-0005-0000-0000-0000C67F0000}"/>
    <cellStyle name="Percent 8 5 2 3 5" xfId="18732" xr:uid="{00000000-0005-0000-0000-0000C77F0000}"/>
    <cellStyle name="Percent 8 5 2 4" xfId="2846" xr:uid="{00000000-0005-0000-0000-0000C87F0000}"/>
    <cellStyle name="Percent 8 5 2 4 2" xfId="7072" xr:uid="{00000000-0005-0000-0000-0000C97F0000}"/>
    <cellStyle name="Percent 8 5 2 4 2 2" xfId="15520" xr:uid="{00000000-0005-0000-0000-0000CA7F0000}"/>
    <cellStyle name="Percent 8 5 2 4 2 2 2" xfId="32460" xr:uid="{00000000-0005-0000-0000-0000CB7F0000}"/>
    <cellStyle name="Percent 8 5 2 4 2 3" xfId="24012" xr:uid="{00000000-0005-0000-0000-0000CC7F0000}"/>
    <cellStyle name="Percent 8 5 2 4 3" xfId="11296" xr:uid="{00000000-0005-0000-0000-0000CD7F0000}"/>
    <cellStyle name="Percent 8 5 2 4 3 2" xfId="28236" xr:uid="{00000000-0005-0000-0000-0000CE7F0000}"/>
    <cellStyle name="Percent 8 5 2 4 4" xfId="19788" xr:uid="{00000000-0005-0000-0000-0000CF7F0000}"/>
    <cellStyle name="Percent 8 5 2 5" xfId="4960" xr:uid="{00000000-0005-0000-0000-0000D07F0000}"/>
    <cellStyle name="Percent 8 5 2 5 2" xfId="13408" xr:uid="{00000000-0005-0000-0000-0000D17F0000}"/>
    <cellStyle name="Percent 8 5 2 5 2 2" xfId="30348" xr:uid="{00000000-0005-0000-0000-0000D27F0000}"/>
    <cellStyle name="Percent 8 5 2 5 3" xfId="21900" xr:uid="{00000000-0005-0000-0000-0000D37F0000}"/>
    <cellStyle name="Percent 8 5 2 6" xfId="9184" xr:uid="{00000000-0005-0000-0000-0000D47F0000}"/>
    <cellStyle name="Percent 8 5 2 6 2" xfId="26124" xr:uid="{00000000-0005-0000-0000-0000D57F0000}"/>
    <cellStyle name="Percent 8 5 2 7" xfId="17676" xr:uid="{00000000-0005-0000-0000-0000D67F0000}"/>
    <cellStyle name="Percent 8 5 3" xfId="904" xr:uid="{00000000-0005-0000-0000-0000D77F0000}"/>
    <cellStyle name="Percent 8 5 3 2" xfId="1966" xr:uid="{00000000-0005-0000-0000-0000D87F0000}"/>
    <cellStyle name="Percent 8 5 3 2 2" xfId="4078" xr:uid="{00000000-0005-0000-0000-0000D97F0000}"/>
    <cellStyle name="Percent 8 5 3 2 2 2" xfId="8304" xr:uid="{00000000-0005-0000-0000-0000DA7F0000}"/>
    <cellStyle name="Percent 8 5 3 2 2 2 2" xfId="16752" xr:uid="{00000000-0005-0000-0000-0000DB7F0000}"/>
    <cellStyle name="Percent 8 5 3 2 2 2 2 2" xfId="33692" xr:uid="{00000000-0005-0000-0000-0000DC7F0000}"/>
    <cellStyle name="Percent 8 5 3 2 2 2 3" xfId="25244" xr:uid="{00000000-0005-0000-0000-0000DD7F0000}"/>
    <cellStyle name="Percent 8 5 3 2 2 3" xfId="12528" xr:uid="{00000000-0005-0000-0000-0000DE7F0000}"/>
    <cellStyle name="Percent 8 5 3 2 2 3 2" xfId="29468" xr:uid="{00000000-0005-0000-0000-0000DF7F0000}"/>
    <cellStyle name="Percent 8 5 3 2 2 4" xfId="21020" xr:uid="{00000000-0005-0000-0000-0000E07F0000}"/>
    <cellStyle name="Percent 8 5 3 2 3" xfId="6192" xr:uid="{00000000-0005-0000-0000-0000E17F0000}"/>
    <cellStyle name="Percent 8 5 3 2 3 2" xfId="14640" xr:uid="{00000000-0005-0000-0000-0000E27F0000}"/>
    <cellStyle name="Percent 8 5 3 2 3 2 2" xfId="31580" xr:uid="{00000000-0005-0000-0000-0000E37F0000}"/>
    <cellStyle name="Percent 8 5 3 2 3 3" xfId="23132" xr:uid="{00000000-0005-0000-0000-0000E47F0000}"/>
    <cellStyle name="Percent 8 5 3 2 4" xfId="10416" xr:uid="{00000000-0005-0000-0000-0000E57F0000}"/>
    <cellStyle name="Percent 8 5 3 2 4 2" xfId="27356" xr:uid="{00000000-0005-0000-0000-0000E67F0000}"/>
    <cellStyle name="Percent 8 5 3 2 5" xfId="18908" xr:uid="{00000000-0005-0000-0000-0000E77F0000}"/>
    <cellStyle name="Percent 8 5 3 3" xfId="3022" xr:uid="{00000000-0005-0000-0000-0000E87F0000}"/>
    <cellStyle name="Percent 8 5 3 3 2" xfId="7248" xr:uid="{00000000-0005-0000-0000-0000E97F0000}"/>
    <cellStyle name="Percent 8 5 3 3 2 2" xfId="15696" xr:uid="{00000000-0005-0000-0000-0000EA7F0000}"/>
    <cellStyle name="Percent 8 5 3 3 2 2 2" xfId="32636" xr:uid="{00000000-0005-0000-0000-0000EB7F0000}"/>
    <cellStyle name="Percent 8 5 3 3 2 3" xfId="24188" xr:uid="{00000000-0005-0000-0000-0000EC7F0000}"/>
    <cellStyle name="Percent 8 5 3 3 3" xfId="11472" xr:uid="{00000000-0005-0000-0000-0000ED7F0000}"/>
    <cellStyle name="Percent 8 5 3 3 3 2" xfId="28412" xr:uid="{00000000-0005-0000-0000-0000EE7F0000}"/>
    <cellStyle name="Percent 8 5 3 3 4" xfId="19964" xr:uid="{00000000-0005-0000-0000-0000EF7F0000}"/>
    <cellStyle name="Percent 8 5 3 4" xfId="5136" xr:uid="{00000000-0005-0000-0000-0000F07F0000}"/>
    <cellStyle name="Percent 8 5 3 4 2" xfId="13584" xr:uid="{00000000-0005-0000-0000-0000F17F0000}"/>
    <cellStyle name="Percent 8 5 3 4 2 2" xfId="30524" xr:uid="{00000000-0005-0000-0000-0000F27F0000}"/>
    <cellStyle name="Percent 8 5 3 4 3" xfId="22076" xr:uid="{00000000-0005-0000-0000-0000F37F0000}"/>
    <cellStyle name="Percent 8 5 3 5" xfId="9360" xr:uid="{00000000-0005-0000-0000-0000F47F0000}"/>
    <cellStyle name="Percent 8 5 3 5 2" xfId="26300" xr:uid="{00000000-0005-0000-0000-0000F57F0000}"/>
    <cellStyle name="Percent 8 5 3 6" xfId="17852" xr:uid="{00000000-0005-0000-0000-0000F67F0000}"/>
    <cellStyle name="Percent 8 5 4" xfId="1256" xr:uid="{00000000-0005-0000-0000-0000F77F0000}"/>
    <cellStyle name="Percent 8 5 4 2" xfId="2318" xr:uid="{00000000-0005-0000-0000-0000F87F0000}"/>
    <cellStyle name="Percent 8 5 4 2 2" xfId="4430" xr:uid="{00000000-0005-0000-0000-0000F97F0000}"/>
    <cellStyle name="Percent 8 5 4 2 2 2" xfId="8656" xr:uid="{00000000-0005-0000-0000-0000FA7F0000}"/>
    <cellStyle name="Percent 8 5 4 2 2 2 2" xfId="17104" xr:uid="{00000000-0005-0000-0000-0000FB7F0000}"/>
    <cellStyle name="Percent 8 5 4 2 2 2 2 2" xfId="34044" xr:uid="{00000000-0005-0000-0000-0000FC7F0000}"/>
    <cellStyle name="Percent 8 5 4 2 2 2 3" xfId="25596" xr:uid="{00000000-0005-0000-0000-0000FD7F0000}"/>
    <cellStyle name="Percent 8 5 4 2 2 3" xfId="12880" xr:uid="{00000000-0005-0000-0000-0000FE7F0000}"/>
    <cellStyle name="Percent 8 5 4 2 2 3 2" xfId="29820" xr:uid="{00000000-0005-0000-0000-0000FF7F0000}"/>
    <cellStyle name="Percent 8 5 4 2 2 4" xfId="21372" xr:uid="{00000000-0005-0000-0000-000000800000}"/>
    <cellStyle name="Percent 8 5 4 2 3" xfId="6544" xr:uid="{00000000-0005-0000-0000-000001800000}"/>
    <cellStyle name="Percent 8 5 4 2 3 2" xfId="14992" xr:uid="{00000000-0005-0000-0000-000002800000}"/>
    <cellStyle name="Percent 8 5 4 2 3 2 2" xfId="31932" xr:uid="{00000000-0005-0000-0000-000003800000}"/>
    <cellStyle name="Percent 8 5 4 2 3 3" xfId="23484" xr:uid="{00000000-0005-0000-0000-000004800000}"/>
    <cellStyle name="Percent 8 5 4 2 4" xfId="10768" xr:uid="{00000000-0005-0000-0000-000005800000}"/>
    <cellStyle name="Percent 8 5 4 2 4 2" xfId="27708" xr:uid="{00000000-0005-0000-0000-000006800000}"/>
    <cellStyle name="Percent 8 5 4 2 5" xfId="19260" xr:uid="{00000000-0005-0000-0000-000007800000}"/>
    <cellStyle name="Percent 8 5 4 3" xfId="3374" xr:uid="{00000000-0005-0000-0000-000008800000}"/>
    <cellStyle name="Percent 8 5 4 3 2" xfId="7600" xr:uid="{00000000-0005-0000-0000-000009800000}"/>
    <cellStyle name="Percent 8 5 4 3 2 2" xfId="16048" xr:uid="{00000000-0005-0000-0000-00000A800000}"/>
    <cellStyle name="Percent 8 5 4 3 2 2 2" xfId="32988" xr:uid="{00000000-0005-0000-0000-00000B800000}"/>
    <cellStyle name="Percent 8 5 4 3 2 3" xfId="24540" xr:uid="{00000000-0005-0000-0000-00000C800000}"/>
    <cellStyle name="Percent 8 5 4 3 3" xfId="11824" xr:uid="{00000000-0005-0000-0000-00000D800000}"/>
    <cellStyle name="Percent 8 5 4 3 3 2" xfId="28764" xr:uid="{00000000-0005-0000-0000-00000E800000}"/>
    <cellStyle name="Percent 8 5 4 3 4" xfId="20316" xr:uid="{00000000-0005-0000-0000-00000F800000}"/>
    <cellStyle name="Percent 8 5 4 4" xfId="5488" xr:uid="{00000000-0005-0000-0000-000010800000}"/>
    <cellStyle name="Percent 8 5 4 4 2" xfId="13936" xr:uid="{00000000-0005-0000-0000-000011800000}"/>
    <cellStyle name="Percent 8 5 4 4 2 2" xfId="30876" xr:uid="{00000000-0005-0000-0000-000012800000}"/>
    <cellStyle name="Percent 8 5 4 4 3" xfId="22428" xr:uid="{00000000-0005-0000-0000-000013800000}"/>
    <cellStyle name="Percent 8 5 4 5" xfId="9712" xr:uid="{00000000-0005-0000-0000-000014800000}"/>
    <cellStyle name="Percent 8 5 4 5 2" xfId="26652" xr:uid="{00000000-0005-0000-0000-000015800000}"/>
    <cellStyle name="Percent 8 5 4 6" xfId="18204" xr:uid="{00000000-0005-0000-0000-000016800000}"/>
    <cellStyle name="Percent 8 5 5" xfId="1438" xr:uid="{00000000-0005-0000-0000-000017800000}"/>
    <cellStyle name="Percent 8 5 5 2" xfId="2494" xr:uid="{00000000-0005-0000-0000-000018800000}"/>
    <cellStyle name="Percent 8 5 5 2 2" xfId="4606" xr:uid="{00000000-0005-0000-0000-000019800000}"/>
    <cellStyle name="Percent 8 5 5 2 2 2" xfId="8832" xr:uid="{00000000-0005-0000-0000-00001A800000}"/>
    <cellStyle name="Percent 8 5 5 2 2 2 2" xfId="17280" xr:uid="{00000000-0005-0000-0000-00001B800000}"/>
    <cellStyle name="Percent 8 5 5 2 2 2 2 2" xfId="34220" xr:uid="{00000000-0005-0000-0000-00001C800000}"/>
    <cellStyle name="Percent 8 5 5 2 2 2 3" xfId="25772" xr:uid="{00000000-0005-0000-0000-00001D800000}"/>
    <cellStyle name="Percent 8 5 5 2 2 3" xfId="13056" xr:uid="{00000000-0005-0000-0000-00001E800000}"/>
    <cellStyle name="Percent 8 5 5 2 2 3 2" xfId="29996" xr:uid="{00000000-0005-0000-0000-00001F800000}"/>
    <cellStyle name="Percent 8 5 5 2 2 4" xfId="21548" xr:uid="{00000000-0005-0000-0000-000020800000}"/>
    <cellStyle name="Percent 8 5 5 2 3" xfId="6720" xr:uid="{00000000-0005-0000-0000-000021800000}"/>
    <cellStyle name="Percent 8 5 5 2 3 2" xfId="15168" xr:uid="{00000000-0005-0000-0000-000022800000}"/>
    <cellStyle name="Percent 8 5 5 2 3 2 2" xfId="32108" xr:uid="{00000000-0005-0000-0000-000023800000}"/>
    <cellStyle name="Percent 8 5 5 2 3 3" xfId="23660" xr:uid="{00000000-0005-0000-0000-000024800000}"/>
    <cellStyle name="Percent 8 5 5 2 4" xfId="10944" xr:uid="{00000000-0005-0000-0000-000025800000}"/>
    <cellStyle name="Percent 8 5 5 2 4 2" xfId="27884" xr:uid="{00000000-0005-0000-0000-000026800000}"/>
    <cellStyle name="Percent 8 5 5 2 5" xfId="19436" xr:uid="{00000000-0005-0000-0000-000027800000}"/>
    <cellStyle name="Percent 8 5 5 3" xfId="3550" xr:uid="{00000000-0005-0000-0000-000028800000}"/>
    <cellStyle name="Percent 8 5 5 3 2" xfId="7776" xr:uid="{00000000-0005-0000-0000-000029800000}"/>
    <cellStyle name="Percent 8 5 5 3 2 2" xfId="16224" xr:uid="{00000000-0005-0000-0000-00002A800000}"/>
    <cellStyle name="Percent 8 5 5 3 2 2 2" xfId="33164" xr:uid="{00000000-0005-0000-0000-00002B800000}"/>
    <cellStyle name="Percent 8 5 5 3 2 3" xfId="24716" xr:uid="{00000000-0005-0000-0000-00002C800000}"/>
    <cellStyle name="Percent 8 5 5 3 3" xfId="12000" xr:uid="{00000000-0005-0000-0000-00002D800000}"/>
    <cellStyle name="Percent 8 5 5 3 3 2" xfId="28940" xr:uid="{00000000-0005-0000-0000-00002E800000}"/>
    <cellStyle name="Percent 8 5 5 3 4" xfId="20492" xr:uid="{00000000-0005-0000-0000-00002F800000}"/>
    <cellStyle name="Percent 8 5 5 4" xfId="5664" xr:uid="{00000000-0005-0000-0000-000030800000}"/>
    <cellStyle name="Percent 8 5 5 4 2" xfId="14112" xr:uid="{00000000-0005-0000-0000-000031800000}"/>
    <cellStyle name="Percent 8 5 5 4 2 2" xfId="31052" xr:uid="{00000000-0005-0000-0000-000032800000}"/>
    <cellStyle name="Percent 8 5 5 4 3" xfId="22604" xr:uid="{00000000-0005-0000-0000-000033800000}"/>
    <cellStyle name="Percent 8 5 5 5" xfId="9888" xr:uid="{00000000-0005-0000-0000-000034800000}"/>
    <cellStyle name="Percent 8 5 5 5 2" xfId="26828" xr:uid="{00000000-0005-0000-0000-000035800000}"/>
    <cellStyle name="Percent 8 5 5 6" xfId="18380" xr:uid="{00000000-0005-0000-0000-000036800000}"/>
    <cellStyle name="Percent 8 5 6" xfId="1614" xr:uid="{00000000-0005-0000-0000-000037800000}"/>
    <cellStyle name="Percent 8 5 6 2" xfId="3726" xr:uid="{00000000-0005-0000-0000-000038800000}"/>
    <cellStyle name="Percent 8 5 6 2 2" xfId="7952" xr:uid="{00000000-0005-0000-0000-000039800000}"/>
    <cellStyle name="Percent 8 5 6 2 2 2" xfId="16400" xr:uid="{00000000-0005-0000-0000-00003A800000}"/>
    <cellStyle name="Percent 8 5 6 2 2 2 2" xfId="33340" xr:uid="{00000000-0005-0000-0000-00003B800000}"/>
    <cellStyle name="Percent 8 5 6 2 2 3" xfId="24892" xr:uid="{00000000-0005-0000-0000-00003C800000}"/>
    <cellStyle name="Percent 8 5 6 2 3" xfId="12176" xr:uid="{00000000-0005-0000-0000-00003D800000}"/>
    <cellStyle name="Percent 8 5 6 2 3 2" xfId="29116" xr:uid="{00000000-0005-0000-0000-00003E800000}"/>
    <cellStyle name="Percent 8 5 6 2 4" xfId="20668" xr:uid="{00000000-0005-0000-0000-00003F800000}"/>
    <cellStyle name="Percent 8 5 6 3" xfId="5840" xr:uid="{00000000-0005-0000-0000-000040800000}"/>
    <cellStyle name="Percent 8 5 6 3 2" xfId="14288" xr:uid="{00000000-0005-0000-0000-000041800000}"/>
    <cellStyle name="Percent 8 5 6 3 2 2" xfId="31228" xr:uid="{00000000-0005-0000-0000-000042800000}"/>
    <cellStyle name="Percent 8 5 6 3 3" xfId="22780" xr:uid="{00000000-0005-0000-0000-000043800000}"/>
    <cellStyle name="Percent 8 5 6 4" xfId="10064" xr:uid="{00000000-0005-0000-0000-000044800000}"/>
    <cellStyle name="Percent 8 5 6 4 2" xfId="27004" xr:uid="{00000000-0005-0000-0000-000045800000}"/>
    <cellStyle name="Percent 8 5 6 5" xfId="18556" xr:uid="{00000000-0005-0000-0000-000046800000}"/>
    <cellStyle name="Percent 8 5 7" xfId="2670" xr:uid="{00000000-0005-0000-0000-000047800000}"/>
    <cellStyle name="Percent 8 5 7 2" xfId="6896" xr:uid="{00000000-0005-0000-0000-000048800000}"/>
    <cellStyle name="Percent 8 5 7 2 2" xfId="15344" xr:uid="{00000000-0005-0000-0000-000049800000}"/>
    <cellStyle name="Percent 8 5 7 2 2 2" xfId="32284" xr:uid="{00000000-0005-0000-0000-00004A800000}"/>
    <cellStyle name="Percent 8 5 7 2 3" xfId="23836" xr:uid="{00000000-0005-0000-0000-00004B800000}"/>
    <cellStyle name="Percent 8 5 7 3" xfId="11120" xr:uid="{00000000-0005-0000-0000-00004C800000}"/>
    <cellStyle name="Percent 8 5 7 3 2" xfId="28060" xr:uid="{00000000-0005-0000-0000-00004D800000}"/>
    <cellStyle name="Percent 8 5 7 4" xfId="19612" xr:uid="{00000000-0005-0000-0000-00004E800000}"/>
    <cellStyle name="Percent 8 5 8" xfId="4783" xr:uid="{00000000-0005-0000-0000-00004F800000}"/>
    <cellStyle name="Percent 8 5 8 2" xfId="13232" xr:uid="{00000000-0005-0000-0000-000050800000}"/>
    <cellStyle name="Percent 8 5 8 2 2" xfId="30172" xr:uid="{00000000-0005-0000-0000-000051800000}"/>
    <cellStyle name="Percent 8 5 8 3" xfId="21724" xr:uid="{00000000-0005-0000-0000-000052800000}"/>
    <cellStyle name="Percent 8 5 9" xfId="9008" xr:uid="{00000000-0005-0000-0000-000053800000}"/>
    <cellStyle name="Percent 8 5 9 2" xfId="25948" xr:uid="{00000000-0005-0000-0000-000054800000}"/>
    <cellStyle name="Percent 8 6" xfId="723" xr:uid="{00000000-0005-0000-0000-000055800000}"/>
    <cellStyle name="Percent 8 6 2" xfId="1075" xr:uid="{00000000-0005-0000-0000-000056800000}"/>
    <cellStyle name="Percent 8 6 2 2" xfId="2137" xr:uid="{00000000-0005-0000-0000-000057800000}"/>
    <cellStyle name="Percent 8 6 2 2 2" xfId="4249" xr:uid="{00000000-0005-0000-0000-000058800000}"/>
    <cellStyle name="Percent 8 6 2 2 2 2" xfId="8475" xr:uid="{00000000-0005-0000-0000-000059800000}"/>
    <cellStyle name="Percent 8 6 2 2 2 2 2" xfId="16923" xr:uid="{00000000-0005-0000-0000-00005A800000}"/>
    <cellStyle name="Percent 8 6 2 2 2 2 2 2" xfId="33863" xr:uid="{00000000-0005-0000-0000-00005B800000}"/>
    <cellStyle name="Percent 8 6 2 2 2 2 3" xfId="25415" xr:uid="{00000000-0005-0000-0000-00005C800000}"/>
    <cellStyle name="Percent 8 6 2 2 2 3" xfId="12699" xr:uid="{00000000-0005-0000-0000-00005D800000}"/>
    <cellStyle name="Percent 8 6 2 2 2 3 2" xfId="29639" xr:uid="{00000000-0005-0000-0000-00005E800000}"/>
    <cellStyle name="Percent 8 6 2 2 2 4" xfId="21191" xr:uid="{00000000-0005-0000-0000-00005F800000}"/>
    <cellStyle name="Percent 8 6 2 2 3" xfId="6363" xr:uid="{00000000-0005-0000-0000-000060800000}"/>
    <cellStyle name="Percent 8 6 2 2 3 2" xfId="14811" xr:uid="{00000000-0005-0000-0000-000061800000}"/>
    <cellStyle name="Percent 8 6 2 2 3 2 2" xfId="31751" xr:uid="{00000000-0005-0000-0000-000062800000}"/>
    <cellStyle name="Percent 8 6 2 2 3 3" xfId="23303" xr:uid="{00000000-0005-0000-0000-000063800000}"/>
    <cellStyle name="Percent 8 6 2 2 4" xfId="10587" xr:uid="{00000000-0005-0000-0000-000064800000}"/>
    <cellStyle name="Percent 8 6 2 2 4 2" xfId="27527" xr:uid="{00000000-0005-0000-0000-000065800000}"/>
    <cellStyle name="Percent 8 6 2 2 5" xfId="19079" xr:uid="{00000000-0005-0000-0000-000066800000}"/>
    <cellStyle name="Percent 8 6 2 3" xfId="3193" xr:uid="{00000000-0005-0000-0000-000067800000}"/>
    <cellStyle name="Percent 8 6 2 3 2" xfId="7419" xr:uid="{00000000-0005-0000-0000-000068800000}"/>
    <cellStyle name="Percent 8 6 2 3 2 2" xfId="15867" xr:uid="{00000000-0005-0000-0000-000069800000}"/>
    <cellStyle name="Percent 8 6 2 3 2 2 2" xfId="32807" xr:uid="{00000000-0005-0000-0000-00006A800000}"/>
    <cellStyle name="Percent 8 6 2 3 2 3" xfId="24359" xr:uid="{00000000-0005-0000-0000-00006B800000}"/>
    <cellStyle name="Percent 8 6 2 3 3" xfId="11643" xr:uid="{00000000-0005-0000-0000-00006C800000}"/>
    <cellStyle name="Percent 8 6 2 3 3 2" xfId="28583" xr:uid="{00000000-0005-0000-0000-00006D800000}"/>
    <cellStyle name="Percent 8 6 2 3 4" xfId="20135" xr:uid="{00000000-0005-0000-0000-00006E800000}"/>
    <cellStyle name="Percent 8 6 2 4" xfId="5307" xr:uid="{00000000-0005-0000-0000-00006F800000}"/>
    <cellStyle name="Percent 8 6 2 4 2" xfId="13755" xr:uid="{00000000-0005-0000-0000-000070800000}"/>
    <cellStyle name="Percent 8 6 2 4 2 2" xfId="30695" xr:uid="{00000000-0005-0000-0000-000071800000}"/>
    <cellStyle name="Percent 8 6 2 4 3" xfId="22247" xr:uid="{00000000-0005-0000-0000-000072800000}"/>
    <cellStyle name="Percent 8 6 2 5" xfId="9531" xr:uid="{00000000-0005-0000-0000-000073800000}"/>
    <cellStyle name="Percent 8 6 2 5 2" xfId="26471" xr:uid="{00000000-0005-0000-0000-000074800000}"/>
    <cellStyle name="Percent 8 6 2 6" xfId="18023" xr:uid="{00000000-0005-0000-0000-000075800000}"/>
    <cellStyle name="Percent 8 6 3" xfId="1785" xr:uid="{00000000-0005-0000-0000-000076800000}"/>
    <cellStyle name="Percent 8 6 3 2" xfId="3897" xr:uid="{00000000-0005-0000-0000-000077800000}"/>
    <cellStyle name="Percent 8 6 3 2 2" xfId="8123" xr:uid="{00000000-0005-0000-0000-000078800000}"/>
    <cellStyle name="Percent 8 6 3 2 2 2" xfId="16571" xr:uid="{00000000-0005-0000-0000-000079800000}"/>
    <cellStyle name="Percent 8 6 3 2 2 2 2" xfId="33511" xr:uid="{00000000-0005-0000-0000-00007A800000}"/>
    <cellStyle name="Percent 8 6 3 2 2 3" xfId="25063" xr:uid="{00000000-0005-0000-0000-00007B800000}"/>
    <cellStyle name="Percent 8 6 3 2 3" xfId="12347" xr:uid="{00000000-0005-0000-0000-00007C800000}"/>
    <cellStyle name="Percent 8 6 3 2 3 2" xfId="29287" xr:uid="{00000000-0005-0000-0000-00007D800000}"/>
    <cellStyle name="Percent 8 6 3 2 4" xfId="20839" xr:uid="{00000000-0005-0000-0000-00007E800000}"/>
    <cellStyle name="Percent 8 6 3 3" xfId="6011" xr:uid="{00000000-0005-0000-0000-00007F800000}"/>
    <cellStyle name="Percent 8 6 3 3 2" xfId="14459" xr:uid="{00000000-0005-0000-0000-000080800000}"/>
    <cellStyle name="Percent 8 6 3 3 2 2" xfId="31399" xr:uid="{00000000-0005-0000-0000-000081800000}"/>
    <cellStyle name="Percent 8 6 3 3 3" xfId="22951" xr:uid="{00000000-0005-0000-0000-000082800000}"/>
    <cellStyle name="Percent 8 6 3 4" xfId="10235" xr:uid="{00000000-0005-0000-0000-000083800000}"/>
    <cellStyle name="Percent 8 6 3 4 2" xfId="27175" xr:uid="{00000000-0005-0000-0000-000084800000}"/>
    <cellStyle name="Percent 8 6 3 5" xfId="18727" xr:uid="{00000000-0005-0000-0000-000085800000}"/>
    <cellStyle name="Percent 8 6 4" xfId="2841" xr:uid="{00000000-0005-0000-0000-000086800000}"/>
    <cellStyle name="Percent 8 6 4 2" xfId="7067" xr:uid="{00000000-0005-0000-0000-000087800000}"/>
    <cellStyle name="Percent 8 6 4 2 2" xfId="15515" xr:uid="{00000000-0005-0000-0000-000088800000}"/>
    <cellStyle name="Percent 8 6 4 2 2 2" xfId="32455" xr:uid="{00000000-0005-0000-0000-000089800000}"/>
    <cellStyle name="Percent 8 6 4 2 3" xfId="24007" xr:uid="{00000000-0005-0000-0000-00008A800000}"/>
    <cellStyle name="Percent 8 6 4 3" xfId="11291" xr:uid="{00000000-0005-0000-0000-00008B800000}"/>
    <cellStyle name="Percent 8 6 4 3 2" xfId="28231" xr:uid="{00000000-0005-0000-0000-00008C800000}"/>
    <cellStyle name="Percent 8 6 4 4" xfId="19783" xr:uid="{00000000-0005-0000-0000-00008D800000}"/>
    <cellStyle name="Percent 8 6 5" xfId="4955" xr:uid="{00000000-0005-0000-0000-00008E800000}"/>
    <cellStyle name="Percent 8 6 5 2" xfId="13403" xr:uid="{00000000-0005-0000-0000-00008F800000}"/>
    <cellStyle name="Percent 8 6 5 2 2" xfId="30343" xr:uid="{00000000-0005-0000-0000-000090800000}"/>
    <cellStyle name="Percent 8 6 5 3" xfId="21895" xr:uid="{00000000-0005-0000-0000-000091800000}"/>
    <cellStyle name="Percent 8 6 6" xfId="9179" xr:uid="{00000000-0005-0000-0000-000092800000}"/>
    <cellStyle name="Percent 8 6 6 2" xfId="26119" xr:uid="{00000000-0005-0000-0000-000093800000}"/>
    <cellStyle name="Percent 8 6 7" xfId="17671" xr:uid="{00000000-0005-0000-0000-000094800000}"/>
    <cellStyle name="Percent 8 7" xfId="899" xr:uid="{00000000-0005-0000-0000-000095800000}"/>
    <cellStyle name="Percent 8 7 2" xfId="1961" xr:uid="{00000000-0005-0000-0000-000096800000}"/>
    <cellStyle name="Percent 8 7 2 2" xfId="4073" xr:uid="{00000000-0005-0000-0000-000097800000}"/>
    <cellStyle name="Percent 8 7 2 2 2" xfId="8299" xr:uid="{00000000-0005-0000-0000-000098800000}"/>
    <cellStyle name="Percent 8 7 2 2 2 2" xfId="16747" xr:uid="{00000000-0005-0000-0000-000099800000}"/>
    <cellStyle name="Percent 8 7 2 2 2 2 2" xfId="33687" xr:uid="{00000000-0005-0000-0000-00009A800000}"/>
    <cellStyle name="Percent 8 7 2 2 2 3" xfId="25239" xr:uid="{00000000-0005-0000-0000-00009B800000}"/>
    <cellStyle name="Percent 8 7 2 2 3" xfId="12523" xr:uid="{00000000-0005-0000-0000-00009C800000}"/>
    <cellStyle name="Percent 8 7 2 2 3 2" xfId="29463" xr:uid="{00000000-0005-0000-0000-00009D800000}"/>
    <cellStyle name="Percent 8 7 2 2 4" xfId="21015" xr:uid="{00000000-0005-0000-0000-00009E800000}"/>
    <cellStyle name="Percent 8 7 2 3" xfId="6187" xr:uid="{00000000-0005-0000-0000-00009F800000}"/>
    <cellStyle name="Percent 8 7 2 3 2" xfId="14635" xr:uid="{00000000-0005-0000-0000-0000A0800000}"/>
    <cellStyle name="Percent 8 7 2 3 2 2" xfId="31575" xr:uid="{00000000-0005-0000-0000-0000A1800000}"/>
    <cellStyle name="Percent 8 7 2 3 3" xfId="23127" xr:uid="{00000000-0005-0000-0000-0000A2800000}"/>
    <cellStyle name="Percent 8 7 2 4" xfId="10411" xr:uid="{00000000-0005-0000-0000-0000A3800000}"/>
    <cellStyle name="Percent 8 7 2 4 2" xfId="27351" xr:uid="{00000000-0005-0000-0000-0000A4800000}"/>
    <cellStyle name="Percent 8 7 2 5" xfId="18903" xr:uid="{00000000-0005-0000-0000-0000A5800000}"/>
    <cellStyle name="Percent 8 7 3" xfId="3017" xr:uid="{00000000-0005-0000-0000-0000A6800000}"/>
    <cellStyle name="Percent 8 7 3 2" xfId="7243" xr:uid="{00000000-0005-0000-0000-0000A7800000}"/>
    <cellStyle name="Percent 8 7 3 2 2" xfId="15691" xr:uid="{00000000-0005-0000-0000-0000A8800000}"/>
    <cellStyle name="Percent 8 7 3 2 2 2" xfId="32631" xr:uid="{00000000-0005-0000-0000-0000A9800000}"/>
    <cellStyle name="Percent 8 7 3 2 3" xfId="24183" xr:uid="{00000000-0005-0000-0000-0000AA800000}"/>
    <cellStyle name="Percent 8 7 3 3" xfId="11467" xr:uid="{00000000-0005-0000-0000-0000AB800000}"/>
    <cellStyle name="Percent 8 7 3 3 2" xfId="28407" xr:uid="{00000000-0005-0000-0000-0000AC800000}"/>
    <cellStyle name="Percent 8 7 3 4" xfId="19959" xr:uid="{00000000-0005-0000-0000-0000AD800000}"/>
    <cellStyle name="Percent 8 7 4" xfId="5131" xr:uid="{00000000-0005-0000-0000-0000AE800000}"/>
    <cellStyle name="Percent 8 7 4 2" xfId="13579" xr:uid="{00000000-0005-0000-0000-0000AF800000}"/>
    <cellStyle name="Percent 8 7 4 2 2" xfId="30519" xr:uid="{00000000-0005-0000-0000-0000B0800000}"/>
    <cellStyle name="Percent 8 7 4 3" xfId="22071" xr:uid="{00000000-0005-0000-0000-0000B1800000}"/>
    <cellStyle name="Percent 8 7 5" xfId="9355" xr:uid="{00000000-0005-0000-0000-0000B2800000}"/>
    <cellStyle name="Percent 8 7 5 2" xfId="26295" xr:uid="{00000000-0005-0000-0000-0000B3800000}"/>
    <cellStyle name="Percent 8 7 6" xfId="17847" xr:uid="{00000000-0005-0000-0000-0000B4800000}"/>
    <cellStyle name="Percent 8 8" xfId="1251" xr:uid="{00000000-0005-0000-0000-0000B5800000}"/>
    <cellStyle name="Percent 8 8 2" xfId="2313" xr:uid="{00000000-0005-0000-0000-0000B6800000}"/>
    <cellStyle name="Percent 8 8 2 2" xfId="4425" xr:uid="{00000000-0005-0000-0000-0000B7800000}"/>
    <cellStyle name="Percent 8 8 2 2 2" xfId="8651" xr:uid="{00000000-0005-0000-0000-0000B8800000}"/>
    <cellStyle name="Percent 8 8 2 2 2 2" xfId="17099" xr:uid="{00000000-0005-0000-0000-0000B9800000}"/>
    <cellStyle name="Percent 8 8 2 2 2 2 2" xfId="34039" xr:uid="{00000000-0005-0000-0000-0000BA800000}"/>
    <cellStyle name="Percent 8 8 2 2 2 3" xfId="25591" xr:uid="{00000000-0005-0000-0000-0000BB800000}"/>
    <cellStyle name="Percent 8 8 2 2 3" xfId="12875" xr:uid="{00000000-0005-0000-0000-0000BC800000}"/>
    <cellStyle name="Percent 8 8 2 2 3 2" xfId="29815" xr:uid="{00000000-0005-0000-0000-0000BD800000}"/>
    <cellStyle name="Percent 8 8 2 2 4" xfId="21367" xr:uid="{00000000-0005-0000-0000-0000BE800000}"/>
    <cellStyle name="Percent 8 8 2 3" xfId="6539" xr:uid="{00000000-0005-0000-0000-0000BF800000}"/>
    <cellStyle name="Percent 8 8 2 3 2" xfId="14987" xr:uid="{00000000-0005-0000-0000-0000C0800000}"/>
    <cellStyle name="Percent 8 8 2 3 2 2" xfId="31927" xr:uid="{00000000-0005-0000-0000-0000C1800000}"/>
    <cellStyle name="Percent 8 8 2 3 3" xfId="23479" xr:uid="{00000000-0005-0000-0000-0000C2800000}"/>
    <cellStyle name="Percent 8 8 2 4" xfId="10763" xr:uid="{00000000-0005-0000-0000-0000C3800000}"/>
    <cellStyle name="Percent 8 8 2 4 2" xfId="27703" xr:uid="{00000000-0005-0000-0000-0000C4800000}"/>
    <cellStyle name="Percent 8 8 2 5" xfId="19255" xr:uid="{00000000-0005-0000-0000-0000C5800000}"/>
    <cellStyle name="Percent 8 8 3" xfId="3369" xr:uid="{00000000-0005-0000-0000-0000C6800000}"/>
    <cellStyle name="Percent 8 8 3 2" xfId="7595" xr:uid="{00000000-0005-0000-0000-0000C7800000}"/>
    <cellStyle name="Percent 8 8 3 2 2" xfId="16043" xr:uid="{00000000-0005-0000-0000-0000C8800000}"/>
    <cellStyle name="Percent 8 8 3 2 2 2" xfId="32983" xr:uid="{00000000-0005-0000-0000-0000C9800000}"/>
    <cellStyle name="Percent 8 8 3 2 3" xfId="24535" xr:uid="{00000000-0005-0000-0000-0000CA800000}"/>
    <cellStyle name="Percent 8 8 3 3" xfId="11819" xr:uid="{00000000-0005-0000-0000-0000CB800000}"/>
    <cellStyle name="Percent 8 8 3 3 2" xfId="28759" xr:uid="{00000000-0005-0000-0000-0000CC800000}"/>
    <cellStyle name="Percent 8 8 3 4" xfId="20311" xr:uid="{00000000-0005-0000-0000-0000CD800000}"/>
    <cellStyle name="Percent 8 8 4" xfId="5483" xr:uid="{00000000-0005-0000-0000-0000CE800000}"/>
    <cellStyle name="Percent 8 8 4 2" xfId="13931" xr:uid="{00000000-0005-0000-0000-0000CF800000}"/>
    <cellStyle name="Percent 8 8 4 2 2" xfId="30871" xr:uid="{00000000-0005-0000-0000-0000D0800000}"/>
    <cellStyle name="Percent 8 8 4 3" xfId="22423" xr:uid="{00000000-0005-0000-0000-0000D1800000}"/>
    <cellStyle name="Percent 8 8 5" xfId="9707" xr:uid="{00000000-0005-0000-0000-0000D2800000}"/>
    <cellStyle name="Percent 8 8 5 2" xfId="26647" xr:uid="{00000000-0005-0000-0000-0000D3800000}"/>
    <cellStyle name="Percent 8 8 6" xfId="18199" xr:uid="{00000000-0005-0000-0000-0000D4800000}"/>
    <cellStyle name="Percent 8 9" xfId="1433" xr:uid="{00000000-0005-0000-0000-0000D5800000}"/>
    <cellStyle name="Percent 8 9 2" xfId="2489" xr:uid="{00000000-0005-0000-0000-0000D6800000}"/>
    <cellStyle name="Percent 8 9 2 2" xfId="4601" xr:uid="{00000000-0005-0000-0000-0000D7800000}"/>
    <cellStyle name="Percent 8 9 2 2 2" xfId="8827" xr:uid="{00000000-0005-0000-0000-0000D8800000}"/>
    <cellStyle name="Percent 8 9 2 2 2 2" xfId="17275" xr:uid="{00000000-0005-0000-0000-0000D9800000}"/>
    <cellStyle name="Percent 8 9 2 2 2 2 2" xfId="34215" xr:uid="{00000000-0005-0000-0000-0000DA800000}"/>
    <cellStyle name="Percent 8 9 2 2 2 3" xfId="25767" xr:uid="{00000000-0005-0000-0000-0000DB800000}"/>
    <cellStyle name="Percent 8 9 2 2 3" xfId="13051" xr:uid="{00000000-0005-0000-0000-0000DC800000}"/>
    <cellStyle name="Percent 8 9 2 2 3 2" xfId="29991" xr:uid="{00000000-0005-0000-0000-0000DD800000}"/>
    <cellStyle name="Percent 8 9 2 2 4" xfId="21543" xr:uid="{00000000-0005-0000-0000-0000DE800000}"/>
    <cellStyle name="Percent 8 9 2 3" xfId="6715" xr:uid="{00000000-0005-0000-0000-0000DF800000}"/>
    <cellStyle name="Percent 8 9 2 3 2" xfId="15163" xr:uid="{00000000-0005-0000-0000-0000E0800000}"/>
    <cellStyle name="Percent 8 9 2 3 2 2" xfId="32103" xr:uid="{00000000-0005-0000-0000-0000E1800000}"/>
    <cellStyle name="Percent 8 9 2 3 3" xfId="23655" xr:uid="{00000000-0005-0000-0000-0000E2800000}"/>
    <cellStyle name="Percent 8 9 2 4" xfId="10939" xr:uid="{00000000-0005-0000-0000-0000E3800000}"/>
    <cellStyle name="Percent 8 9 2 4 2" xfId="27879" xr:uid="{00000000-0005-0000-0000-0000E4800000}"/>
    <cellStyle name="Percent 8 9 2 5" xfId="19431" xr:uid="{00000000-0005-0000-0000-0000E5800000}"/>
    <cellStyle name="Percent 8 9 3" xfId="3545" xr:uid="{00000000-0005-0000-0000-0000E6800000}"/>
    <cellStyle name="Percent 8 9 3 2" xfId="7771" xr:uid="{00000000-0005-0000-0000-0000E7800000}"/>
    <cellStyle name="Percent 8 9 3 2 2" xfId="16219" xr:uid="{00000000-0005-0000-0000-0000E8800000}"/>
    <cellStyle name="Percent 8 9 3 2 2 2" xfId="33159" xr:uid="{00000000-0005-0000-0000-0000E9800000}"/>
    <cellStyle name="Percent 8 9 3 2 3" xfId="24711" xr:uid="{00000000-0005-0000-0000-0000EA800000}"/>
    <cellStyle name="Percent 8 9 3 3" xfId="11995" xr:uid="{00000000-0005-0000-0000-0000EB800000}"/>
    <cellStyle name="Percent 8 9 3 3 2" xfId="28935" xr:uid="{00000000-0005-0000-0000-0000EC800000}"/>
    <cellStyle name="Percent 8 9 3 4" xfId="20487" xr:uid="{00000000-0005-0000-0000-0000ED800000}"/>
    <cellStyle name="Percent 8 9 4" xfId="5659" xr:uid="{00000000-0005-0000-0000-0000EE800000}"/>
    <cellStyle name="Percent 8 9 4 2" xfId="14107" xr:uid="{00000000-0005-0000-0000-0000EF800000}"/>
    <cellStyle name="Percent 8 9 4 2 2" xfId="31047" xr:uid="{00000000-0005-0000-0000-0000F0800000}"/>
    <cellStyle name="Percent 8 9 4 3" xfId="22599" xr:uid="{00000000-0005-0000-0000-0000F1800000}"/>
    <cellStyle name="Percent 8 9 5" xfId="9883" xr:uid="{00000000-0005-0000-0000-0000F2800000}"/>
    <cellStyle name="Percent 8 9 5 2" xfId="26823" xr:uid="{00000000-0005-0000-0000-0000F3800000}"/>
    <cellStyle name="Percent 8 9 6" xfId="18375" xr:uid="{00000000-0005-0000-0000-0000F4800000}"/>
    <cellStyle name="Percent 9" xfId="480" xr:uid="{00000000-0005-0000-0000-0000F5800000}"/>
    <cellStyle name="Percent 9 10" xfId="1615" xr:uid="{00000000-0005-0000-0000-0000F6800000}"/>
    <cellStyle name="Percent 9 10 2" xfId="3727" xr:uid="{00000000-0005-0000-0000-0000F7800000}"/>
    <cellStyle name="Percent 9 10 2 2" xfId="7953" xr:uid="{00000000-0005-0000-0000-0000F8800000}"/>
    <cellStyle name="Percent 9 10 2 2 2" xfId="16401" xr:uid="{00000000-0005-0000-0000-0000F9800000}"/>
    <cellStyle name="Percent 9 10 2 2 2 2" xfId="33341" xr:uid="{00000000-0005-0000-0000-0000FA800000}"/>
    <cellStyle name="Percent 9 10 2 2 3" xfId="24893" xr:uid="{00000000-0005-0000-0000-0000FB800000}"/>
    <cellStyle name="Percent 9 10 2 3" xfId="12177" xr:uid="{00000000-0005-0000-0000-0000FC800000}"/>
    <cellStyle name="Percent 9 10 2 3 2" xfId="29117" xr:uid="{00000000-0005-0000-0000-0000FD800000}"/>
    <cellStyle name="Percent 9 10 2 4" xfId="20669" xr:uid="{00000000-0005-0000-0000-0000FE800000}"/>
    <cellStyle name="Percent 9 10 3" xfId="5841" xr:uid="{00000000-0005-0000-0000-0000FF800000}"/>
    <cellStyle name="Percent 9 10 3 2" xfId="14289" xr:uid="{00000000-0005-0000-0000-000000810000}"/>
    <cellStyle name="Percent 9 10 3 2 2" xfId="31229" xr:uid="{00000000-0005-0000-0000-000001810000}"/>
    <cellStyle name="Percent 9 10 3 3" xfId="22781" xr:uid="{00000000-0005-0000-0000-000002810000}"/>
    <cellStyle name="Percent 9 10 4" xfId="10065" xr:uid="{00000000-0005-0000-0000-000003810000}"/>
    <cellStyle name="Percent 9 10 4 2" xfId="27005" xr:uid="{00000000-0005-0000-0000-000004810000}"/>
    <cellStyle name="Percent 9 10 5" xfId="18557" xr:uid="{00000000-0005-0000-0000-000005810000}"/>
    <cellStyle name="Percent 9 11" xfId="2671" xr:uid="{00000000-0005-0000-0000-000006810000}"/>
    <cellStyle name="Percent 9 11 2" xfId="6897" xr:uid="{00000000-0005-0000-0000-000007810000}"/>
    <cellStyle name="Percent 9 11 2 2" xfId="15345" xr:uid="{00000000-0005-0000-0000-000008810000}"/>
    <cellStyle name="Percent 9 11 2 2 2" xfId="32285" xr:uid="{00000000-0005-0000-0000-000009810000}"/>
    <cellStyle name="Percent 9 11 2 3" xfId="23837" xr:uid="{00000000-0005-0000-0000-00000A810000}"/>
    <cellStyle name="Percent 9 11 3" xfId="11121" xr:uid="{00000000-0005-0000-0000-00000B810000}"/>
    <cellStyle name="Percent 9 11 3 2" xfId="28061" xr:uid="{00000000-0005-0000-0000-00000C810000}"/>
    <cellStyle name="Percent 9 11 4" xfId="19613" xr:uid="{00000000-0005-0000-0000-00000D810000}"/>
    <cellStyle name="Percent 9 12" xfId="4784" xr:uid="{00000000-0005-0000-0000-00000E810000}"/>
    <cellStyle name="Percent 9 12 2" xfId="13233" xr:uid="{00000000-0005-0000-0000-00000F810000}"/>
    <cellStyle name="Percent 9 12 2 2" xfId="30173" xr:uid="{00000000-0005-0000-0000-000010810000}"/>
    <cellStyle name="Percent 9 12 3" xfId="21725" xr:uid="{00000000-0005-0000-0000-000011810000}"/>
    <cellStyle name="Percent 9 13" xfId="9009" xr:uid="{00000000-0005-0000-0000-000012810000}"/>
    <cellStyle name="Percent 9 13 2" xfId="25949" xr:uid="{00000000-0005-0000-0000-000013810000}"/>
    <cellStyle name="Percent 9 14" xfId="17501" xr:uid="{00000000-0005-0000-0000-000014810000}"/>
    <cellStyle name="Percent 9 2" xfId="481" xr:uid="{00000000-0005-0000-0000-000015810000}"/>
    <cellStyle name="Percent 9 2 10" xfId="4785" xr:uid="{00000000-0005-0000-0000-000016810000}"/>
    <cellStyle name="Percent 9 2 10 2" xfId="13234" xr:uid="{00000000-0005-0000-0000-000017810000}"/>
    <cellStyle name="Percent 9 2 10 2 2" xfId="30174" xr:uid="{00000000-0005-0000-0000-000018810000}"/>
    <cellStyle name="Percent 9 2 10 3" xfId="21726" xr:uid="{00000000-0005-0000-0000-000019810000}"/>
    <cellStyle name="Percent 9 2 11" xfId="9010" xr:uid="{00000000-0005-0000-0000-00001A810000}"/>
    <cellStyle name="Percent 9 2 11 2" xfId="25950" xr:uid="{00000000-0005-0000-0000-00001B810000}"/>
    <cellStyle name="Percent 9 2 12" xfId="17502" xr:uid="{00000000-0005-0000-0000-00001C810000}"/>
    <cellStyle name="Percent 9 2 2" xfId="482" xr:uid="{00000000-0005-0000-0000-00001D810000}"/>
    <cellStyle name="Percent 9 2 2 10" xfId="17503" xr:uid="{00000000-0005-0000-0000-00001E810000}"/>
    <cellStyle name="Percent 9 2 2 2" xfId="731" xr:uid="{00000000-0005-0000-0000-00001F810000}"/>
    <cellStyle name="Percent 9 2 2 2 2" xfId="1083" xr:uid="{00000000-0005-0000-0000-000020810000}"/>
    <cellStyle name="Percent 9 2 2 2 2 2" xfId="2145" xr:uid="{00000000-0005-0000-0000-000021810000}"/>
    <cellStyle name="Percent 9 2 2 2 2 2 2" xfId="4257" xr:uid="{00000000-0005-0000-0000-000022810000}"/>
    <cellStyle name="Percent 9 2 2 2 2 2 2 2" xfId="8483" xr:uid="{00000000-0005-0000-0000-000023810000}"/>
    <cellStyle name="Percent 9 2 2 2 2 2 2 2 2" xfId="16931" xr:uid="{00000000-0005-0000-0000-000024810000}"/>
    <cellStyle name="Percent 9 2 2 2 2 2 2 2 2 2" xfId="33871" xr:uid="{00000000-0005-0000-0000-000025810000}"/>
    <cellStyle name="Percent 9 2 2 2 2 2 2 2 3" xfId="25423" xr:uid="{00000000-0005-0000-0000-000026810000}"/>
    <cellStyle name="Percent 9 2 2 2 2 2 2 3" xfId="12707" xr:uid="{00000000-0005-0000-0000-000027810000}"/>
    <cellStyle name="Percent 9 2 2 2 2 2 2 3 2" xfId="29647" xr:uid="{00000000-0005-0000-0000-000028810000}"/>
    <cellStyle name="Percent 9 2 2 2 2 2 2 4" xfId="21199" xr:uid="{00000000-0005-0000-0000-000029810000}"/>
    <cellStyle name="Percent 9 2 2 2 2 2 3" xfId="6371" xr:uid="{00000000-0005-0000-0000-00002A810000}"/>
    <cellStyle name="Percent 9 2 2 2 2 2 3 2" xfId="14819" xr:uid="{00000000-0005-0000-0000-00002B810000}"/>
    <cellStyle name="Percent 9 2 2 2 2 2 3 2 2" xfId="31759" xr:uid="{00000000-0005-0000-0000-00002C810000}"/>
    <cellStyle name="Percent 9 2 2 2 2 2 3 3" xfId="23311" xr:uid="{00000000-0005-0000-0000-00002D810000}"/>
    <cellStyle name="Percent 9 2 2 2 2 2 4" xfId="10595" xr:uid="{00000000-0005-0000-0000-00002E810000}"/>
    <cellStyle name="Percent 9 2 2 2 2 2 4 2" xfId="27535" xr:uid="{00000000-0005-0000-0000-00002F810000}"/>
    <cellStyle name="Percent 9 2 2 2 2 2 5" xfId="19087" xr:uid="{00000000-0005-0000-0000-000030810000}"/>
    <cellStyle name="Percent 9 2 2 2 2 3" xfId="3201" xr:uid="{00000000-0005-0000-0000-000031810000}"/>
    <cellStyle name="Percent 9 2 2 2 2 3 2" xfId="7427" xr:uid="{00000000-0005-0000-0000-000032810000}"/>
    <cellStyle name="Percent 9 2 2 2 2 3 2 2" xfId="15875" xr:uid="{00000000-0005-0000-0000-000033810000}"/>
    <cellStyle name="Percent 9 2 2 2 2 3 2 2 2" xfId="32815" xr:uid="{00000000-0005-0000-0000-000034810000}"/>
    <cellStyle name="Percent 9 2 2 2 2 3 2 3" xfId="24367" xr:uid="{00000000-0005-0000-0000-000035810000}"/>
    <cellStyle name="Percent 9 2 2 2 2 3 3" xfId="11651" xr:uid="{00000000-0005-0000-0000-000036810000}"/>
    <cellStyle name="Percent 9 2 2 2 2 3 3 2" xfId="28591" xr:uid="{00000000-0005-0000-0000-000037810000}"/>
    <cellStyle name="Percent 9 2 2 2 2 3 4" xfId="20143" xr:uid="{00000000-0005-0000-0000-000038810000}"/>
    <cellStyle name="Percent 9 2 2 2 2 4" xfId="5315" xr:uid="{00000000-0005-0000-0000-000039810000}"/>
    <cellStyle name="Percent 9 2 2 2 2 4 2" xfId="13763" xr:uid="{00000000-0005-0000-0000-00003A810000}"/>
    <cellStyle name="Percent 9 2 2 2 2 4 2 2" xfId="30703" xr:uid="{00000000-0005-0000-0000-00003B810000}"/>
    <cellStyle name="Percent 9 2 2 2 2 4 3" xfId="22255" xr:uid="{00000000-0005-0000-0000-00003C810000}"/>
    <cellStyle name="Percent 9 2 2 2 2 5" xfId="9539" xr:uid="{00000000-0005-0000-0000-00003D810000}"/>
    <cellStyle name="Percent 9 2 2 2 2 5 2" xfId="26479" xr:uid="{00000000-0005-0000-0000-00003E810000}"/>
    <cellStyle name="Percent 9 2 2 2 2 6" xfId="18031" xr:uid="{00000000-0005-0000-0000-00003F810000}"/>
    <cellStyle name="Percent 9 2 2 2 3" xfId="1793" xr:uid="{00000000-0005-0000-0000-000040810000}"/>
    <cellStyle name="Percent 9 2 2 2 3 2" xfId="3905" xr:uid="{00000000-0005-0000-0000-000041810000}"/>
    <cellStyle name="Percent 9 2 2 2 3 2 2" xfId="8131" xr:uid="{00000000-0005-0000-0000-000042810000}"/>
    <cellStyle name="Percent 9 2 2 2 3 2 2 2" xfId="16579" xr:uid="{00000000-0005-0000-0000-000043810000}"/>
    <cellStyle name="Percent 9 2 2 2 3 2 2 2 2" xfId="33519" xr:uid="{00000000-0005-0000-0000-000044810000}"/>
    <cellStyle name="Percent 9 2 2 2 3 2 2 3" xfId="25071" xr:uid="{00000000-0005-0000-0000-000045810000}"/>
    <cellStyle name="Percent 9 2 2 2 3 2 3" xfId="12355" xr:uid="{00000000-0005-0000-0000-000046810000}"/>
    <cellStyle name="Percent 9 2 2 2 3 2 3 2" xfId="29295" xr:uid="{00000000-0005-0000-0000-000047810000}"/>
    <cellStyle name="Percent 9 2 2 2 3 2 4" xfId="20847" xr:uid="{00000000-0005-0000-0000-000048810000}"/>
    <cellStyle name="Percent 9 2 2 2 3 3" xfId="6019" xr:uid="{00000000-0005-0000-0000-000049810000}"/>
    <cellStyle name="Percent 9 2 2 2 3 3 2" xfId="14467" xr:uid="{00000000-0005-0000-0000-00004A810000}"/>
    <cellStyle name="Percent 9 2 2 2 3 3 2 2" xfId="31407" xr:uid="{00000000-0005-0000-0000-00004B810000}"/>
    <cellStyle name="Percent 9 2 2 2 3 3 3" xfId="22959" xr:uid="{00000000-0005-0000-0000-00004C810000}"/>
    <cellStyle name="Percent 9 2 2 2 3 4" xfId="10243" xr:uid="{00000000-0005-0000-0000-00004D810000}"/>
    <cellStyle name="Percent 9 2 2 2 3 4 2" xfId="27183" xr:uid="{00000000-0005-0000-0000-00004E810000}"/>
    <cellStyle name="Percent 9 2 2 2 3 5" xfId="18735" xr:uid="{00000000-0005-0000-0000-00004F810000}"/>
    <cellStyle name="Percent 9 2 2 2 4" xfId="2849" xr:uid="{00000000-0005-0000-0000-000050810000}"/>
    <cellStyle name="Percent 9 2 2 2 4 2" xfId="7075" xr:uid="{00000000-0005-0000-0000-000051810000}"/>
    <cellStyle name="Percent 9 2 2 2 4 2 2" xfId="15523" xr:uid="{00000000-0005-0000-0000-000052810000}"/>
    <cellStyle name="Percent 9 2 2 2 4 2 2 2" xfId="32463" xr:uid="{00000000-0005-0000-0000-000053810000}"/>
    <cellStyle name="Percent 9 2 2 2 4 2 3" xfId="24015" xr:uid="{00000000-0005-0000-0000-000054810000}"/>
    <cellStyle name="Percent 9 2 2 2 4 3" xfId="11299" xr:uid="{00000000-0005-0000-0000-000055810000}"/>
    <cellStyle name="Percent 9 2 2 2 4 3 2" xfId="28239" xr:uid="{00000000-0005-0000-0000-000056810000}"/>
    <cellStyle name="Percent 9 2 2 2 4 4" xfId="19791" xr:uid="{00000000-0005-0000-0000-000057810000}"/>
    <cellStyle name="Percent 9 2 2 2 5" xfId="4963" xr:uid="{00000000-0005-0000-0000-000058810000}"/>
    <cellStyle name="Percent 9 2 2 2 5 2" xfId="13411" xr:uid="{00000000-0005-0000-0000-000059810000}"/>
    <cellStyle name="Percent 9 2 2 2 5 2 2" xfId="30351" xr:uid="{00000000-0005-0000-0000-00005A810000}"/>
    <cellStyle name="Percent 9 2 2 2 5 3" xfId="21903" xr:uid="{00000000-0005-0000-0000-00005B810000}"/>
    <cellStyle name="Percent 9 2 2 2 6" xfId="9187" xr:uid="{00000000-0005-0000-0000-00005C810000}"/>
    <cellStyle name="Percent 9 2 2 2 6 2" xfId="26127" xr:uid="{00000000-0005-0000-0000-00005D810000}"/>
    <cellStyle name="Percent 9 2 2 2 7" xfId="17679" xr:uid="{00000000-0005-0000-0000-00005E810000}"/>
    <cellStyle name="Percent 9 2 2 3" xfId="907" xr:uid="{00000000-0005-0000-0000-00005F810000}"/>
    <cellStyle name="Percent 9 2 2 3 2" xfId="1969" xr:uid="{00000000-0005-0000-0000-000060810000}"/>
    <cellStyle name="Percent 9 2 2 3 2 2" xfId="4081" xr:uid="{00000000-0005-0000-0000-000061810000}"/>
    <cellStyle name="Percent 9 2 2 3 2 2 2" xfId="8307" xr:uid="{00000000-0005-0000-0000-000062810000}"/>
    <cellStyle name="Percent 9 2 2 3 2 2 2 2" xfId="16755" xr:uid="{00000000-0005-0000-0000-000063810000}"/>
    <cellStyle name="Percent 9 2 2 3 2 2 2 2 2" xfId="33695" xr:uid="{00000000-0005-0000-0000-000064810000}"/>
    <cellStyle name="Percent 9 2 2 3 2 2 2 3" xfId="25247" xr:uid="{00000000-0005-0000-0000-000065810000}"/>
    <cellStyle name="Percent 9 2 2 3 2 2 3" xfId="12531" xr:uid="{00000000-0005-0000-0000-000066810000}"/>
    <cellStyle name="Percent 9 2 2 3 2 2 3 2" xfId="29471" xr:uid="{00000000-0005-0000-0000-000067810000}"/>
    <cellStyle name="Percent 9 2 2 3 2 2 4" xfId="21023" xr:uid="{00000000-0005-0000-0000-000068810000}"/>
    <cellStyle name="Percent 9 2 2 3 2 3" xfId="6195" xr:uid="{00000000-0005-0000-0000-000069810000}"/>
    <cellStyle name="Percent 9 2 2 3 2 3 2" xfId="14643" xr:uid="{00000000-0005-0000-0000-00006A810000}"/>
    <cellStyle name="Percent 9 2 2 3 2 3 2 2" xfId="31583" xr:uid="{00000000-0005-0000-0000-00006B810000}"/>
    <cellStyle name="Percent 9 2 2 3 2 3 3" xfId="23135" xr:uid="{00000000-0005-0000-0000-00006C810000}"/>
    <cellStyle name="Percent 9 2 2 3 2 4" xfId="10419" xr:uid="{00000000-0005-0000-0000-00006D810000}"/>
    <cellStyle name="Percent 9 2 2 3 2 4 2" xfId="27359" xr:uid="{00000000-0005-0000-0000-00006E810000}"/>
    <cellStyle name="Percent 9 2 2 3 2 5" xfId="18911" xr:uid="{00000000-0005-0000-0000-00006F810000}"/>
    <cellStyle name="Percent 9 2 2 3 3" xfId="3025" xr:uid="{00000000-0005-0000-0000-000070810000}"/>
    <cellStyle name="Percent 9 2 2 3 3 2" xfId="7251" xr:uid="{00000000-0005-0000-0000-000071810000}"/>
    <cellStyle name="Percent 9 2 2 3 3 2 2" xfId="15699" xr:uid="{00000000-0005-0000-0000-000072810000}"/>
    <cellStyle name="Percent 9 2 2 3 3 2 2 2" xfId="32639" xr:uid="{00000000-0005-0000-0000-000073810000}"/>
    <cellStyle name="Percent 9 2 2 3 3 2 3" xfId="24191" xr:uid="{00000000-0005-0000-0000-000074810000}"/>
    <cellStyle name="Percent 9 2 2 3 3 3" xfId="11475" xr:uid="{00000000-0005-0000-0000-000075810000}"/>
    <cellStyle name="Percent 9 2 2 3 3 3 2" xfId="28415" xr:uid="{00000000-0005-0000-0000-000076810000}"/>
    <cellStyle name="Percent 9 2 2 3 3 4" xfId="19967" xr:uid="{00000000-0005-0000-0000-000077810000}"/>
    <cellStyle name="Percent 9 2 2 3 4" xfId="5139" xr:uid="{00000000-0005-0000-0000-000078810000}"/>
    <cellStyle name="Percent 9 2 2 3 4 2" xfId="13587" xr:uid="{00000000-0005-0000-0000-000079810000}"/>
    <cellStyle name="Percent 9 2 2 3 4 2 2" xfId="30527" xr:uid="{00000000-0005-0000-0000-00007A810000}"/>
    <cellStyle name="Percent 9 2 2 3 4 3" xfId="22079" xr:uid="{00000000-0005-0000-0000-00007B810000}"/>
    <cellStyle name="Percent 9 2 2 3 5" xfId="9363" xr:uid="{00000000-0005-0000-0000-00007C810000}"/>
    <cellStyle name="Percent 9 2 2 3 5 2" xfId="26303" xr:uid="{00000000-0005-0000-0000-00007D810000}"/>
    <cellStyle name="Percent 9 2 2 3 6" xfId="17855" xr:uid="{00000000-0005-0000-0000-00007E810000}"/>
    <cellStyle name="Percent 9 2 2 4" xfId="1259" xr:uid="{00000000-0005-0000-0000-00007F810000}"/>
    <cellStyle name="Percent 9 2 2 4 2" xfId="2321" xr:uid="{00000000-0005-0000-0000-000080810000}"/>
    <cellStyle name="Percent 9 2 2 4 2 2" xfId="4433" xr:uid="{00000000-0005-0000-0000-000081810000}"/>
    <cellStyle name="Percent 9 2 2 4 2 2 2" xfId="8659" xr:uid="{00000000-0005-0000-0000-000082810000}"/>
    <cellStyle name="Percent 9 2 2 4 2 2 2 2" xfId="17107" xr:uid="{00000000-0005-0000-0000-000083810000}"/>
    <cellStyle name="Percent 9 2 2 4 2 2 2 2 2" xfId="34047" xr:uid="{00000000-0005-0000-0000-000084810000}"/>
    <cellStyle name="Percent 9 2 2 4 2 2 2 3" xfId="25599" xr:uid="{00000000-0005-0000-0000-000085810000}"/>
    <cellStyle name="Percent 9 2 2 4 2 2 3" xfId="12883" xr:uid="{00000000-0005-0000-0000-000086810000}"/>
    <cellStyle name="Percent 9 2 2 4 2 2 3 2" xfId="29823" xr:uid="{00000000-0005-0000-0000-000087810000}"/>
    <cellStyle name="Percent 9 2 2 4 2 2 4" xfId="21375" xr:uid="{00000000-0005-0000-0000-000088810000}"/>
    <cellStyle name="Percent 9 2 2 4 2 3" xfId="6547" xr:uid="{00000000-0005-0000-0000-000089810000}"/>
    <cellStyle name="Percent 9 2 2 4 2 3 2" xfId="14995" xr:uid="{00000000-0005-0000-0000-00008A810000}"/>
    <cellStyle name="Percent 9 2 2 4 2 3 2 2" xfId="31935" xr:uid="{00000000-0005-0000-0000-00008B810000}"/>
    <cellStyle name="Percent 9 2 2 4 2 3 3" xfId="23487" xr:uid="{00000000-0005-0000-0000-00008C810000}"/>
    <cellStyle name="Percent 9 2 2 4 2 4" xfId="10771" xr:uid="{00000000-0005-0000-0000-00008D810000}"/>
    <cellStyle name="Percent 9 2 2 4 2 4 2" xfId="27711" xr:uid="{00000000-0005-0000-0000-00008E810000}"/>
    <cellStyle name="Percent 9 2 2 4 2 5" xfId="19263" xr:uid="{00000000-0005-0000-0000-00008F810000}"/>
    <cellStyle name="Percent 9 2 2 4 3" xfId="3377" xr:uid="{00000000-0005-0000-0000-000090810000}"/>
    <cellStyle name="Percent 9 2 2 4 3 2" xfId="7603" xr:uid="{00000000-0005-0000-0000-000091810000}"/>
    <cellStyle name="Percent 9 2 2 4 3 2 2" xfId="16051" xr:uid="{00000000-0005-0000-0000-000092810000}"/>
    <cellStyle name="Percent 9 2 2 4 3 2 2 2" xfId="32991" xr:uid="{00000000-0005-0000-0000-000093810000}"/>
    <cellStyle name="Percent 9 2 2 4 3 2 3" xfId="24543" xr:uid="{00000000-0005-0000-0000-000094810000}"/>
    <cellStyle name="Percent 9 2 2 4 3 3" xfId="11827" xr:uid="{00000000-0005-0000-0000-000095810000}"/>
    <cellStyle name="Percent 9 2 2 4 3 3 2" xfId="28767" xr:uid="{00000000-0005-0000-0000-000096810000}"/>
    <cellStyle name="Percent 9 2 2 4 3 4" xfId="20319" xr:uid="{00000000-0005-0000-0000-000097810000}"/>
    <cellStyle name="Percent 9 2 2 4 4" xfId="5491" xr:uid="{00000000-0005-0000-0000-000098810000}"/>
    <cellStyle name="Percent 9 2 2 4 4 2" xfId="13939" xr:uid="{00000000-0005-0000-0000-000099810000}"/>
    <cellStyle name="Percent 9 2 2 4 4 2 2" xfId="30879" xr:uid="{00000000-0005-0000-0000-00009A810000}"/>
    <cellStyle name="Percent 9 2 2 4 4 3" xfId="22431" xr:uid="{00000000-0005-0000-0000-00009B810000}"/>
    <cellStyle name="Percent 9 2 2 4 5" xfId="9715" xr:uid="{00000000-0005-0000-0000-00009C810000}"/>
    <cellStyle name="Percent 9 2 2 4 5 2" xfId="26655" xr:uid="{00000000-0005-0000-0000-00009D810000}"/>
    <cellStyle name="Percent 9 2 2 4 6" xfId="18207" xr:uid="{00000000-0005-0000-0000-00009E810000}"/>
    <cellStyle name="Percent 9 2 2 5" xfId="1441" xr:uid="{00000000-0005-0000-0000-00009F810000}"/>
    <cellStyle name="Percent 9 2 2 5 2" xfId="2497" xr:uid="{00000000-0005-0000-0000-0000A0810000}"/>
    <cellStyle name="Percent 9 2 2 5 2 2" xfId="4609" xr:uid="{00000000-0005-0000-0000-0000A1810000}"/>
    <cellStyle name="Percent 9 2 2 5 2 2 2" xfId="8835" xr:uid="{00000000-0005-0000-0000-0000A2810000}"/>
    <cellStyle name="Percent 9 2 2 5 2 2 2 2" xfId="17283" xr:uid="{00000000-0005-0000-0000-0000A3810000}"/>
    <cellStyle name="Percent 9 2 2 5 2 2 2 2 2" xfId="34223" xr:uid="{00000000-0005-0000-0000-0000A4810000}"/>
    <cellStyle name="Percent 9 2 2 5 2 2 2 3" xfId="25775" xr:uid="{00000000-0005-0000-0000-0000A5810000}"/>
    <cellStyle name="Percent 9 2 2 5 2 2 3" xfId="13059" xr:uid="{00000000-0005-0000-0000-0000A6810000}"/>
    <cellStyle name="Percent 9 2 2 5 2 2 3 2" xfId="29999" xr:uid="{00000000-0005-0000-0000-0000A7810000}"/>
    <cellStyle name="Percent 9 2 2 5 2 2 4" xfId="21551" xr:uid="{00000000-0005-0000-0000-0000A8810000}"/>
    <cellStyle name="Percent 9 2 2 5 2 3" xfId="6723" xr:uid="{00000000-0005-0000-0000-0000A9810000}"/>
    <cellStyle name="Percent 9 2 2 5 2 3 2" xfId="15171" xr:uid="{00000000-0005-0000-0000-0000AA810000}"/>
    <cellStyle name="Percent 9 2 2 5 2 3 2 2" xfId="32111" xr:uid="{00000000-0005-0000-0000-0000AB810000}"/>
    <cellStyle name="Percent 9 2 2 5 2 3 3" xfId="23663" xr:uid="{00000000-0005-0000-0000-0000AC810000}"/>
    <cellStyle name="Percent 9 2 2 5 2 4" xfId="10947" xr:uid="{00000000-0005-0000-0000-0000AD810000}"/>
    <cellStyle name="Percent 9 2 2 5 2 4 2" xfId="27887" xr:uid="{00000000-0005-0000-0000-0000AE810000}"/>
    <cellStyle name="Percent 9 2 2 5 2 5" xfId="19439" xr:uid="{00000000-0005-0000-0000-0000AF810000}"/>
    <cellStyle name="Percent 9 2 2 5 3" xfId="3553" xr:uid="{00000000-0005-0000-0000-0000B0810000}"/>
    <cellStyle name="Percent 9 2 2 5 3 2" xfId="7779" xr:uid="{00000000-0005-0000-0000-0000B1810000}"/>
    <cellStyle name="Percent 9 2 2 5 3 2 2" xfId="16227" xr:uid="{00000000-0005-0000-0000-0000B2810000}"/>
    <cellStyle name="Percent 9 2 2 5 3 2 2 2" xfId="33167" xr:uid="{00000000-0005-0000-0000-0000B3810000}"/>
    <cellStyle name="Percent 9 2 2 5 3 2 3" xfId="24719" xr:uid="{00000000-0005-0000-0000-0000B4810000}"/>
    <cellStyle name="Percent 9 2 2 5 3 3" xfId="12003" xr:uid="{00000000-0005-0000-0000-0000B5810000}"/>
    <cellStyle name="Percent 9 2 2 5 3 3 2" xfId="28943" xr:uid="{00000000-0005-0000-0000-0000B6810000}"/>
    <cellStyle name="Percent 9 2 2 5 3 4" xfId="20495" xr:uid="{00000000-0005-0000-0000-0000B7810000}"/>
    <cellStyle name="Percent 9 2 2 5 4" xfId="5667" xr:uid="{00000000-0005-0000-0000-0000B8810000}"/>
    <cellStyle name="Percent 9 2 2 5 4 2" xfId="14115" xr:uid="{00000000-0005-0000-0000-0000B9810000}"/>
    <cellStyle name="Percent 9 2 2 5 4 2 2" xfId="31055" xr:uid="{00000000-0005-0000-0000-0000BA810000}"/>
    <cellStyle name="Percent 9 2 2 5 4 3" xfId="22607" xr:uid="{00000000-0005-0000-0000-0000BB810000}"/>
    <cellStyle name="Percent 9 2 2 5 5" xfId="9891" xr:uid="{00000000-0005-0000-0000-0000BC810000}"/>
    <cellStyle name="Percent 9 2 2 5 5 2" xfId="26831" xr:uid="{00000000-0005-0000-0000-0000BD810000}"/>
    <cellStyle name="Percent 9 2 2 5 6" xfId="18383" xr:uid="{00000000-0005-0000-0000-0000BE810000}"/>
    <cellStyle name="Percent 9 2 2 6" xfId="1617" xr:uid="{00000000-0005-0000-0000-0000BF810000}"/>
    <cellStyle name="Percent 9 2 2 6 2" xfId="3729" xr:uid="{00000000-0005-0000-0000-0000C0810000}"/>
    <cellStyle name="Percent 9 2 2 6 2 2" xfId="7955" xr:uid="{00000000-0005-0000-0000-0000C1810000}"/>
    <cellStyle name="Percent 9 2 2 6 2 2 2" xfId="16403" xr:uid="{00000000-0005-0000-0000-0000C2810000}"/>
    <cellStyle name="Percent 9 2 2 6 2 2 2 2" xfId="33343" xr:uid="{00000000-0005-0000-0000-0000C3810000}"/>
    <cellStyle name="Percent 9 2 2 6 2 2 3" xfId="24895" xr:uid="{00000000-0005-0000-0000-0000C4810000}"/>
    <cellStyle name="Percent 9 2 2 6 2 3" xfId="12179" xr:uid="{00000000-0005-0000-0000-0000C5810000}"/>
    <cellStyle name="Percent 9 2 2 6 2 3 2" xfId="29119" xr:uid="{00000000-0005-0000-0000-0000C6810000}"/>
    <cellStyle name="Percent 9 2 2 6 2 4" xfId="20671" xr:uid="{00000000-0005-0000-0000-0000C7810000}"/>
    <cellStyle name="Percent 9 2 2 6 3" xfId="5843" xr:uid="{00000000-0005-0000-0000-0000C8810000}"/>
    <cellStyle name="Percent 9 2 2 6 3 2" xfId="14291" xr:uid="{00000000-0005-0000-0000-0000C9810000}"/>
    <cellStyle name="Percent 9 2 2 6 3 2 2" xfId="31231" xr:uid="{00000000-0005-0000-0000-0000CA810000}"/>
    <cellStyle name="Percent 9 2 2 6 3 3" xfId="22783" xr:uid="{00000000-0005-0000-0000-0000CB810000}"/>
    <cellStyle name="Percent 9 2 2 6 4" xfId="10067" xr:uid="{00000000-0005-0000-0000-0000CC810000}"/>
    <cellStyle name="Percent 9 2 2 6 4 2" xfId="27007" xr:uid="{00000000-0005-0000-0000-0000CD810000}"/>
    <cellStyle name="Percent 9 2 2 6 5" xfId="18559" xr:uid="{00000000-0005-0000-0000-0000CE810000}"/>
    <cellStyle name="Percent 9 2 2 7" xfId="2673" xr:uid="{00000000-0005-0000-0000-0000CF810000}"/>
    <cellStyle name="Percent 9 2 2 7 2" xfId="6899" xr:uid="{00000000-0005-0000-0000-0000D0810000}"/>
    <cellStyle name="Percent 9 2 2 7 2 2" xfId="15347" xr:uid="{00000000-0005-0000-0000-0000D1810000}"/>
    <cellStyle name="Percent 9 2 2 7 2 2 2" xfId="32287" xr:uid="{00000000-0005-0000-0000-0000D2810000}"/>
    <cellStyle name="Percent 9 2 2 7 2 3" xfId="23839" xr:uid="{00000000-0005-0000-0000-0000D3810000}"/>
    <cellStyle name="Percent 9 2 2 7 3" xfId="11123" xr:uid="{00000000-0005-0000-0000-0000D4810000}"/>
    <cellStyle name="Percent 9 2 2 7 3 2" xfId="28063" xr:uid="{00000000-0005-0000-0000-0000D5810000}"/>
    <cellStyle name="Percent 9 2 2 7 4" xfId="19615" xr:uid="{00000000-0005-0000-0000-0000D6810000}"/>
    <cellStyle name="Percent 9 2 2 8" xfId="4786" xr:uid="{00000000-0005-0000-0000-0000D7810000}"/>
    <cellStyle name="Percent 9 2 2 8 2" xfId="13235" xr:uid="{00000000-0005-0000-0000-0000D8810000}"/>
    <cellStyle name="Percent 9 2 2 8 2 2" xfId="30175" xr:uid="{00000000-0005-0000-0000-0000D9810000}"/>
    <cellStyle name="Percent 9 2 2 8 3" xfId="21727" xr:uid="{00000000-0005-0000-0000-0000DA810000}"/>
    <cellStyle name="Percent 9 2 2 9" xfId="9011" xr:uid="{00000000-0005-0000-0000-0000DB810000}"/>
    <cellStyle name="Percent 9 2 2 9 2" xfId="25951" xr:uid="{00000000-0005-0000-0000-0000DC810000}"/>
    <cellStyle name="Percent 9 2 3" xfId="483" xr:uid="{00000000-0005-0000-0000-0000DD810000}"/>
    <cellStyle name="Percent 9 2 3 10" xfId="17504" xr:uid="{00000000-0005-0000-0000-0000DE810000}"/>
    <cellStyle name="Percent 9 2 3 2" xfId="732" xr:uid="{00000000-0005-0000-0000-0000DF810000}"/>
    <cellStyle name="Percent 9 2 3 2 2" xfId="1084" xr:uid="{00000000-0005-0000-0000-0000E0810000}"/>
    <cellStyle name="Percent 9 2 3 2 2 2" xfId="2146" xr:uid="{00000000-0005-0000-0000-0000E1810000}"/>
    <cellStyle name="Percent 9 2 3 2 2 2 2" xfId="4258" xr:uid="{00000000-0005-0000-0000-0000E2810000}"/>
    <cellStyle name="Percent 9 2 3 2 2 2 2 2" xfId="8484" xr:uid="{00000000-0005-0000-0000-0000E3810000}"/>
    <cellStyle name="Percent 9 2 3 2 2 2 2 2 2" xfId="16932" xr:uid="{00000000-0005-0000-0000-0000E4810000}"/>
    <cellStyle name="Percent 9 2 3 2 2 2 2 2 2 2" xfId="33872" xr:uid="{00000000-0005-0000-0000-0000E5810000}"/>
    <cellStyle name="Percent 9 2 3 2 2 2 2 2 3" xfId="25424" xr:uid="{00000000-0005-0000-0000-0000E6810000}"/>
    <cellStyle name="Percent 9 2 3 2 2 2 2 3" xfId="12708" xr:uid="{00000000-0005-0000-0000-0000E7810000}"/>
    <cellStyle name="Percent 9 2 3 2 2 2 2 3 2" xfId="29648" xr:uid="{00000000-0005-0000-0000-0000E8810000}"/>
    <cellStyle name="Percent 9 2 3 2 2 2 2 4" xfId="21200" xr:uid="{00000000-0005-0000-0000-0000E9810000}"/>
    <cellStyle name="Percent 9 2 3 2 2 2 3" xfId="6372" xr:uid="{00000000-0005-0000-0000-0000EA810000}"/>
    <cellStyle name="Percent 9 2 3 2 2 2 3 2" xfId="14820" xr:uid="{00000000-0005-0000-0000-0000EB810000}"/>
    <cellStyle name="Percent 9 2 3 2 2 2 3 2 2" xfId="31760" xr:uid="{00000000-0005-0000-0000-0000EC810000}"/>
    <cellStyle name="Percent 9 2 3 2 2 2 3 3" xfId="23312" xr:uid="{00000000-0005-0000-0000-0000ED810000}"/>
    <cellStyle name="Percent 9 2 3 2 2 2 4" xfId="10596" xr:uid="{00000000-0005-0000-0000-0000EE810000}"/>
    <cellStyle name="Percent 9 2 3 2 2 2 4 2" xfId="27536" xr:uid="{00000000-0005-0000-0000-0000EF810000}"/>
    <cellStyle name="Percent 9 2 3 2 2 2 5" xfId="19088" xr:uid="{00000000-0005-0000-0000-0000F0810000}"/>
    <cellStyle name="Percent 9 2 3 2 2 3" xfId="3202" xr:uid="{00000000-0005-0000-0000-0000F1810000}"/>
    <cellStyle name="Percent 9 2 3 2 2 3 2" xfId="7428" xr:uid="{00000000-0005-0000-0000-0000F2810000}"/>
    <cellStyle name="Percent 9 2 3 2 2 3 2 2" xfId="15876" xr:uid="{00000000-0005-0000-0000-0000F3810000}"/>
    <cellStyle name="Percent 9 2 3 2 2 3 2 2 2" xfId="32816" xr:uid="{00000000-0005-0000-0000-0000F4810000}"/>
    <cellStyle name="Percent 9 2 3 2 2 3 2 3" xfId="24368" xr:uid="{00000000-0005-0000-0000-0000F5810000}"/>
    <cellStyle name="Percent 9 2 3 2 2 3 3" xfId="11652" xr:uid="{00000000-0005-0000-0000-0000F6810000}"/>
    <cellStyle name="Percent 9 2 3 2 2 3 3 2" xfId="28592" xr:uid="{00000000-0005-0000-0000-0000F7810000}"/>
    <cellStyle name="Percent 9 2 3 2 2 3 4" xfId="20144" xr:uid="{00000000-0005-0000-0000-0000F8810000}"/>
    <cellStyle name="Percent 9 2 3 2 2 4" xfId="5316" xr:uid="{00000000-0005-0000-0000-0000F9810000}"/>
    <cellStyle name="Percent 9 2 3 2 2 4 2" xfId="13764" xr:uid="{00000000-0005-0000-0000-0000FA810000}"/>
    <cellStyle name="Percent 9 2 3 2 2 4 2 2" xfId="30704" xr:uid="{00000000-0005-0000-0000-0000FB810000}"/>
    <cellStyle name="Percent 9 2 3 2 2 4 3" xfId="22256" xr:uid="{00000000-0005-0000-0000-0000FC810000}"/>
    <cellStyle name="Percent 9 2 3 2 2 5" xfId="9540" xr:uid="{00000000-0005-0000-0000-0000FD810000}"/>
    <cellStyle name="Percent 9 2 3 2 2 5 2" xfId="26480" xr:uid="{00000000-0005-0000-0000-0000FE810000}"/>
    <cellStyle name="Percent 9 2 3 2 2 6" xfId="18032" xr:uid="{00000000-0005-0000-0000-0000FF810000}"/>
    <cellStyle name="Percent 9 2 3 2 3" xfId="1794" xr:uid="{00000000-0005-0000-0000-000000820000}"/>
    <cellStyle name="Percent 9 2 3 2 3 2" xfId="3906" xr:uid="{00000000-0005-0000-0000-000001820000}"/>
    <cellStyle name="Percent 9 2 3 2 3 2 2" xfId="8132" xr:uid="{00000000-0005-0000-0000-000002820000}"/>
    <cellStyle name="Percent 9 2 3 2 3 2 2 2" xfId="16580" xr:uid="{00000000-0005-0000-0000-000003820000}"/>
    <cellStyle name="Percent 9 2 3 2 3 2 2 2 2" xfId="33520" xr:uid="{00000000-0005-0000-0000-000004820000}"/>
    <cellStyle name="Percent 9 2 3 2 3 2 2 3" xfId="25072" xr:uid="{00000000-0005-0000-0000-000005820000}"/>
    <cellStyle name="Percent 9 2 3 2 3 2 3" xfId="12356" xr:uid="{00000000-0005-0000-0000-000006820000}"/>
    <cellStyle name="Percent 9 2 3 2 3 2 3 2" xfId="29296" xr:uid="{00000000-0005-0000-0000-000007820000}"/>
    <cellStyle name="Percent 9 2 3 2 3 2 4" xfId="20848" xr:uid="{00000000-0005-0000-0000-000008820000}"/>
    <cellStyle name="Percent 9 2 3 2 3 3" xfId="6020" xr:uid="{00000000-0005-0000-0000-000009820000}"/>
    <cellStyle name="Percent 9 2 3 2 3 3 2" xfId="14468" xr:uid="{00000000-0005-0000-0000-00000A820000}"/>
    <cellStyle name="Percent 9 2 3 2 3 3 2 2" xfId="31408" xr:uid="{00000000-0005-0000-0000-00000B820000}"/>
    <cellStyle name="Percent 9 2 3 2 3 3 3" xfId="22960" xr:uid="{00000000-0005-0000-0000-00000C820000}"/>
    <cellStyle name="Percent 9 2 3 2 3 4" xfId="10244" xr:uid="{00000000-0005-0000-0000-00000D820000}"/>
    <cellStyle name="Percent 9 2 3 2 3 4 2" xfId="27184" xr:uid="{00000000-0005-0000-0000-00000E820000}"/>
    <cellStyle name="Percent 9 2 3 2 3 5" xfId="18736" xr:uid="{00000000-0005-0000-0000-00000F820000}"/>
    <cellStyle name="Percent 9 2 3 2 4" xfId="2850" xr:uid="{00000000-0005-0000-0000-000010820000}"/>
    <cellStyle name="Percent 9 2 3 2 4 2" xfId="7076" xr:uid="{00000000-0005-0000-0000-000011820000}"/>
    <cellStyle name="Percent 9 2 3 2 4 2 2" xfId="15524" xr:uid="{00000000-0005-0000-0000-000012820000}"/>
    <cellStyle name="Percent 9 2 3 2 4 2 2 2" xfId="32464" xr:uid="{00000000-0005-0000-0000-000013820000}"/>
    <cellStyle name="Percent 9 2 3 2 4 2 3" xfId="24016" xr:uid="{00000000-0005-0000-0000-000014820000}"/>
    <cellStyle name="Percent 9 2 3 2 4 3" xfId="11300" xr:uid="{00000000-0005-0000-0000-000015820000}"/>
    <cellStyle name="Percent 9 2 3 2 4 3 2" xfId="28240" xr:uid="{00000000-0005-0000-0000-000016820000}"/>
    <cellStyle name="Percent 9 2 3 2 4 4" xfId="19792" xr:uid="{00000000-0005-0000-0000-000017820000}"/>
    <cellStyle name="Percent 9 2 3 2 5" xfId="4964" xr:uid="{00000000-0005-0000-0000-000018820000}"/>
    <cellStyle name="Percent 9 2 3 2 5 2" xfId="13412" xr:uid="{00000000-0005-0000-0000-000019820000}"/>
    <cellStyle name="Percent 9 2 3 2 5 2 2" xfId="30352" xr:uid="{00000000-0005-0000-0000-00001A820000}"/>
    <cellStyle name="Percent 9 2 3 2 5 3" xfId="21904" xr:uid="{00000000-0005-0000-0000-00001B820000}"/>
    <cellStyle name="Percent 9 2 3 2 6" xfId="9188" xr:uid="{00000000-0005-0000-0000-00001C820000}"/>
    <cellStyle name="Percent 9 2 3 2 6 2" xfId="26128" xr:uid="{00000000-0005-0000-0000-00001D820000}"/>
    <cellStyle name="Percent 9 2 3 2 7" xfId="17680" xr:uid="{00000000-0005-0000-0000-00001E820000}"/>
    <cellStyle name="Percent 9 2 3 3" xfId="908" xr:uid="{00000000-0005-0000-0000-00001F820000}"/>
    <cellStyle name="Percent 9 2 3 3 2" xfId="1970" xr:uid="{00000000-0005-0000-0000-000020820000}"/>
    <cellStyle name="Percent 9 2 3 3 2 2" xfId="4082" xr:uid="{00000000-0005-0000-0000-000021820000}"/>
    <cellStyle name="Percent 9 2 3 3 2 2 2" xfId="8308" xr:uid="{00000000-0005-0000-0000-000022820000}"/>
    <cellStyle name="Percent 9 2 3 3 2 2 2 2" xfId="16756" xr:uid="{00000000-0005-0000-0000-000023820000}"/>
    <cellStyle name="Percent 9 2 3 3 2 2 2 2 2" xfId="33696" xr:uid="{00000000-0005-0000-0000-000024820000}"/>
    <cellStyle name="Percent 9 2 3 3 2 2 2 3" xfId="25248" xr:uid="{00000000-0005-0000-0000-000025820000}"/>
    <cellStyle name="Percent 9 2 3 3 2 2 3" xfId="12532" xr:uid="{00000000-0005-0000-0000-000026820000}"/>
    <cellStyle name="Percent 9 2 3 3 2 2 3 2" xfId="29472" xr:uid="{00000000-0005-0000-0000-000027820000}"/>
    <cellStyle name="Percent 9 2 3 3 2 2 4" xfId="21024" xr:uid="{00000000-0005-0000-0000-000028820000}"/>
    <cellStyle name="Percent 9 2 3 3 2 3" xfId="6196" xr:uid="{00000000-0005-0000-0000-000029820000}"/>
    <cellStyle name="Percent 9 2 3 3 2 3 2" xfId="14644" xr:uid="{00000000-0005-0000-0000-00002A820000}"/>
    <cellStyle name="Percent 9 2 3 3 2 3 2 2" xfId="31584" xr:uid="{00000000-0005-0000-0000-00002B820000}"/>
    <cellStyle name="Percent 9 2 3 3 2 3 3" xfId="23136" xr:uid="{00000000-0005-0000-0000-00002C820000}"/>
    <cellStyle name="Percent 9 2 3 3 2 4" xfId="10420" xr:uid="{00000000-0005-0000-0000-00002D820000}"/>
    <cellStyle name="Percent 9 2 3 3 2 4 2" xfId="27360" xr:uid="{00000000-0005-0000-0000-00002E820000}"/>
    <cellStyle name="Percent 9 2 3 3 2 5" xfId="18912" xr:uid="{00000000-0005-0000-0000-00002F820000}"/>
    <cellStyle name="Percent 9 2 3 3 3" xfId="3026" xr:uid="{00000000-0005-0000-0000-000030820000}"/>
    <cellStyle name="Percent 9 2 3 3 3 2" xfId="7252" xr:uid="{00000000-0005-0000-0000-000031820000}"/>
    <cellStyle name="Percent 9 2 3 3 3 2 2" xfId="15700" xr:uid="{00000000-0005-0000-0000-000032820000}"/>
    <cellStyle name="Percent 9 2 3 3 3 2 2 2" xfId="32640" xr:uid="{00000000-0005-0000-0000-000033820000}"/>
    <cellStyle name="Percent 9 2 3 3 3 2 3" xfId="24192" xr:uid="{00000000-0005-0000-0000-000034820000}"/>
    <cellStyle name="Percent 9 2 3 3 3 3" xfId="11476" xr:uid="{00000000-0005-0000-0000-000035820000}"/>
    <cellStyle name="Percent 9 2 3 3 3 3 2" xfId="28416" xr:uid="{00000000-0005-0000-0000-000036820000}"/>
    <cellStyle name="Percent 9 2 3 3 3 4" xfId="19968" xr:uid="{00000000-0005-0000-0000-000037820000}"/>
    <cellStyle name="Percent 9 2 3 3 4" xfId="5140" xr:uid="{00000000-0005-0000-0000-000038820000}"/>
    <cellStyle name="Percent 9 2 3 3 4 2" xfId="13588" xr:uid="{00000000-0005-0000-0000-000039820000}"/>
    <cellStyle name="Percent 9 2 3 3 4 2 2" xfId="30528" xr:uid="{00000000-0005-0000-0000-00003A820000}"/>
    <cellStyle name="Percent 9 2 3 3 4 3" xfId="22080" xr:uid="{00000000-0005-0000-0000-00003B820000}"/>
    <cellStyle name="Percent 9 2 3 3 5" xfId="9364" xr:uid="{00000000-0005-0000-0000-00003C820000}"/>
    <cellStyle name="Percent 9 2 3 3 5 2" xfId="26304" xr:uid="{00000000-0005-0000-0000-00003D820000}"/>
    <cellStyle name="Percent 9 2 3 3 6" xfId="17856" xr:uid="{00000000-0005-0000-0000-00003E820000}"/>
    <cellStyle name="Percent 9 2 3 4" xfId="1260" xr:uid="{00000000-0005-0000-0000-00003F820000}"/>
    <cellStyle name="Percent 9 2 3 4 2" xfId="2322" xr:uid="{00000000-0005-0000-0000-000040820000}"/>
    <cellStyle name="Percent 9 2 3 4 2 2" xfId="4434" xr:uid="{00000000-0005-0000-0000-000041820000}"/>
    <cellStyle name="Percent 9 2 3 4 2 2 2" xfId="8660" xr:uid="{00000000-0005-0000-0000-000042820000}"/>
    <cellStyle name="Percent 9 2 3 4 2 2 2 2" xfId="17108" xr:uid="{00000000-0005-0000-0000-000043820000}"/>
    <cellStyle name="Percent 9 2 3 4 2 2 2 2 2" xfId="34048" xr:uid="{00000000-0005-0000-0000-000044820000}"/>
    <cellStyle name="Percent 9 2 3 4 2 2 2 3" xfId="25600" xr:uid="{00000000-0005-0000-0000-000045820000}"/>
    <cellStyle name="Percent 9 2 3 4 2 2 3" xfId="12884" xr:uid="{00000000-0005-0000-0000-000046820000}"/>
    <cellStyle name="Percent 9 2 3 4 2 2 3 2" xfId="29824" xr:uid="{00000000-0005-0000-0000-000047820000}"/>
    <cellStyle name="Percent 9 2 3 4 2 2 4" xfId="21376" xr:uid="{00000000-0005-0000-0000-000048820000}"/>
    <cellStyle name="Percent 9 2 3 4 2 3" xfId="6548" xr:uid="{00000000-0005-0000-0000-000049820000}"/>
    <cellStyle name="Percent 9 2 3 4 2 3 2" xfId="14996" xr:uid="{00000000-0005-0000-0000-00004A820000}"/>
    <cellStyle name="Percent 9 2 3 4 2 3 2 2" xfId="31936" xr:uid="{00000000-0005-0000-0000-00004B820000}"/>
    <cellStyle name="Percent 9 2 3 4 2 3 3" xfId="23488" xr:uid="{00000000-0005-0000-0000-00004C820000}"/>
    <cellStyle name="Percent 9 2 3 4 2 4" xfId="10772" xr:uid="{00000000-0005-0000-0000-00004D820000}"/>
    <cellStyle name="Percent 9 2 3 4 2 4 2" xfId="27712" xr:uid="{00000000-0005-0000-0000-00004E820000}"/>
    <cellStyle name="Percent 9 2 3 4 2 5" xfId="19264" xr:uid="{00000000-0005-0000-0000-00004F820000}"/>
    <cellStyle name="Percent 9 2 3 4 3" xfId="3378" xr:uid="{00000000-0005-0000-0000-000050820000}"/>
    <cellStyle name="Percent 9 2 3 4 3 2" xfId="7604" xr:uid="{00000000-0005-0000-0000-000051820000}"/>
    <cellStyle name="Percent 9 2 3 4 3 2 2" xfId="16052" xr:uid="{00000000-0005-0000-0000-000052820000}"/>
    <cellStyle name="Percent 9 2 3 4 3 2 2 2" xfId="32992" xr:uid="{00000000-0005-0000-0000-000053820000}"/>
    <cellStyle name="Percent 9 2 3 4 3 2 3" xfId="24544" xr:uid="{00000000-0005-0000-0000-000054820000}"/>
    <cellStyle name="Percent 9 2 3 4 3 3" xfId="11828" xr:uid="{00000000-0005-0000-0000-000055820000}"/>
    <cellStyle name="Percent 9 2 3 4 3 3 2" xfId="28768" xr:uid="{00000000-0005-0000-0000-000056820000}"/>
    <cellStyle name="Percent 9 2 3 4 3 4" xfId="20320" xr:uid="{00000000-0005-0000-0000-000057820000}"/>
    <cellStyle name="Percent 9 2 3 4 4" xfId="5492" xr:uid="{00000000-0005-0000-0000-000058820000}"/>
    <cellStyle name="Percent 9 2 3 4 4 2" xfId="13940" xr:uid="{00000000-0005-0000-0000-000059820000}"/>
    <cellStyle name="Percent 9 2 3 4 4 2 2" xfId="30880" xr:uid="{00000000-0005-0000-0000-00005A820000}"/>
    <cellStyle name="Percent 9 2 3 4 4 3" xfId="22432" xr:uid="{00000000-0005-0000-0000-00005B820000}"/>
    <cellStyle name="Percent 9 2 3 4 5" xfId="9716" xr:uid="{00000000-0005-0000-0000-00005C820000}"/>
    <cellStyle name="Percent 9 2 3 4 5 2" xfId="26656" xr:uid="{00000000-0005-0000-0000-00005D820000}"/>
    <cellStyle name="Percent 9 2 3 4 6" xfId="18208" xr:uid="{00000000-0005-0000-0000-00005E820000}"/>
    <cellStyle name="Percent 9 2 3 5" xfId="1442" xr:uid="{00000000-0005-0000-0000-00005F820000}"/>
    <cellStyle name="Percent 9 2 3 5 2" xfId="2498" xr:uid="{00000000-0005-0000-0000-000060820000}"/>
    <cellStyle name="Percent 9 2 3 5 2 2" xfId="4610" xr:uid="{00000000-0005-0000-0000-000061820000}"/>
    <cellStyle name="Percent 9 2 3 5 2 2 2" xfId="8836" xr:uid="{00000000-0005-0000-0000-000062820000}"/>
    <cellStyle name="Percent 9 2 3 5 2 2 2 2" xfId="17284" xr:uid="{00000000-0005-0000-0000-000063820000}"/>
    <cellStyle name="Percent 9 2 3 5 2 2 2 2 2" xfId="34224" xr:uid="{00000000-0005-0000-0000-000064820000}"/>
    <cellStyle name="Percent 9 2 3 5 2 2 2 3" xfId="25776" xr:uid="{00000000-0005-0000-0000-000065820000}"/>
    <cellStyle name="Percent 9 2 3 5 2 2 3" xfId="13060" xr:uid="{00000000-0005-0000-0000-000066820000}"/>
    <cellStyle name="Percent 9 2 3 5 2 2 3 2" xfId="30000" xr:uid="{00000000-0005-0000-0000-000067820000}"/>
    <cellStyle name="Percent 9 2 3 5 2 2 4" xfId="21552" xr:uid="{00000000-0005-0000-0000-000068820000}"/>
    <cellStyle name="Percent 9 2 3 5 2 3" xfId="6724" xr:uid="{00000000-0005-0000-0000-000069820000}"/>
    <cellStyle name="Percent 9 2 3 5 2 3 2" xfId="15172" xr:uid="{00000000-0005-0000-0000-00006A820000}"/>
    <cellStyle name="Percent 9 2 3 5 2 3 2 2" xfId="32112" xr:uid="{00000000-0005-0000-0000-00006B820000}"/>
    <cellStyle name="Percent 9 2 3 5 2 3 3" xfId="23664" xr:uid="{00000000-0005-0000-0000-00006C820000}"/>
    <cellStyle name="Percent 9 2 3 5 2 4" xfId="10948" xr:uid="{00000000-0005-0000-0000-00006D820000}"/>
    <cellStyle name="Percent 9 2 3 5 2 4 2" xfId="27888" xr:uid="{00000000-0005-0000-0000-00006E820000}"/>
    <cellStyle name="Percent 9 2 3 5 2 5" xfId="19440" xr:uid="{00000000-0005-0000-0000-00006F820000}"/>
    <cellStyle name="Percent 9 2 3 5 3" xfId="3554" xr:uid="{00000000-0005-0000-0000-000070820000}"/>
    <cellStyle name="Percent 9 2 3 5 3 2" xfId="7780" xr:uid="{00000000-0005-0000-0000-000071820000}"/>
    <cellStyle name="Percent 9 2 3 5 3 2 2" xfId="16228" xr:uid="{00000000-0005-0000-0000-000072820000}"/>
    <cellStyle name="Percent 9 2 3 5 3 2 2 2" xfId="33168" xr:uid="{00000000-0005-0000-0000-000073820000}"/>
    <cellStyle name="Percent 9 2 3 5 3 2 3" xfId="24720" xr:uid="{00000000-0005-0000-0000-000074820000}"/>
    <cellStyle name="Percent 9 2 3 5 3 3" xfId="12004" xr:uid="{00000000-0005-0000-0000-000075820000}"/>
    <cellStyle name="Percent 9 2 3 5 3 3 2" xfId="28944" xr:uid="{00000000-0005-0000-0000-000076820000}"/>
    <cellStyle name="Percent 9 2 3 5 3 4" xfId="20496" xr:uid="{00000000-0005-0000-0000-000077820000}"/>
    <cellStyle name="Percent 9 2 3 5 4" xfId="5668" xr:uid="{00000000-0005-0000-0000-000078820000}"/>
    <cellStyle name="Percent 9 2 3 5 4 2" xfId="14116" xr:uid="{00000000-0005-0000-0000-000079820000}"/>
    <cellStyle name="Percent 9 2 3 5 4 2 2" xfId="31056" xr:uid="{00000000-0005-0000-0000-00007A820000}"/>
    <cellStyle name="Percent 9 2 3 5 4 3" xfId="22608" xr:uid="{00000000-0005-0000-0000-00007B820000}"/>
    <cellStyle name="Percent 9 2 3 5 5" xfId="9892" xr:uid="{00000000-0005-0000-0000-00007C820000}"/>
    <cellStyle name="Percent 9 2 3 5 5 2" xfId="26832" xr:uid="{00000000-0005-0000-0000-00007D820000}"/>
    <cellStyle name="Percent 9 2 3 5 6" xfId="18384" xr:uid="{00000000-0005-0000-0000-00007E820000}"/>
    <cellStyle name="Percent 9 2 3 6" xfId="1618" xr:uid="{00000000-0005-0000-0000-00007F820000}"/>
    <cellStyle name="Percent 9 2 3 6 2" xfId="3730" xr:uid="{00000000-0005-0000-0000-000080820000}"/>
    <cellStyle name="Percent 9 2 3 6 2 2" xfId="7956" xr:uid="{00000000-0005-0000-0000-000081820000}"/>
    <cellStyle name="Percent 9 2 3 6 2 2 2" xfId="16404" xr:uid="{00000000-0005-0000-0000-000082820000}"/>
    <cellStyle name="Percent 9 2 3 6 2 2 2 2" xfId="33344" xr:uid="{00000000-0005-0000-0000-000083820000}"/>
    <cellStyle name="Percent 9 2 3 6 2 2 3" xfId="24896" xr:uid="{00000000-0005-0000-0000-000084820000}"/>
    <cellStyle name="Percent 9 2 3 6 2 3" xfId="12180" xr:uid="{00000000-0005-0000-0000-000085820000}"/>
    <cellStyle name="Percent 9 2 3 6 2 3 2" xfId="29120" xr:uid="{00000000-0005-0000-0000-000086820000}"/>
    <cellStyle name="Percent 9 2 3 6 2 4" xfId="20672" xr:uid="{00000000-0005-0000-0000-000087820000}"/>
    <cellStyle name="Percent 9 2 3 6 3" xfId="5844" xr:uid="{00000000-0005-0000-0000-000088820000}"/>
    <cellStyle name="Percent 9 2 3 6 3 2" xfId="14292" xr:uid="{00000000-0005-0000-0000-000089820000}"/>
    <cellStyle name="Percent 9 2 3 6 3 2 2" xfId="31232" xr:uid="{00000000-0005-0000-0000-00008A820000}"/>
    <cellStyle name="Percent 9 2 3 6 3 3" xfId="22784" xr:uid="{00000000-0005-0000-0000-00008B820000}"/>
    <cellStyle name="Percent 9 2 3 6 4" xfId="10068" xr:uid="{00000000-0005-0000-0000-00008C820000}"/>
    <cellStyle name="Percent 9 2 3 6 4 2" xfId="27008" xr:uid="{00000000-0005-0000-0000-00008D820000}"/>
    <cellStyle name="Percent 9 2 3 6 5" xfId="18560" xr:uid="{00000000-0005-0000-0000-00008E820000}"/>
    <cellStyle name="Percent 9 2 3 7" xfId="2674" xr:uid="{00000000-0005-0000-0000-00008F820000}"/>
    <cellStyle name="Percent 9 2 3 7 2" xfId="6900" xr:uid="{00000000-0005-0000-0000-000090820000}"/>
    <cellStyle name="Percent 9 2 3 7 2 2" xfId="15348" xr:uid="{00000000-0005-0000-0000-000091820000}"/>
    <cellStyle name="Percent 9 2 3 7 2 2 2" xfId="32288" xr:uid="{00000000-0005-0000-0000-000092820000}"/>
    <cellStyle name="Percent 9 2 3 7 2 3" xfId="23840" xr:uid="{00000000-0005-0000-0000-000093820000}"/>
    <cellStyle name="Percent 9 2 3 7 3" xfId="11124" xr:uid="{00000000-0005-0000-0000-000094820000}"/>
    <cellStyle name="Percent 9 2 3 7 3 2" xfId="28064" xr:uid="{00000000-0005-0000-0000-000095820000}"/>
    <cellStyle name="Percent 9 2 3 7 4" xfId="19616" xr:uid="{00000000-0005-0000-0000-000096820000}"/>
    <cellStyle name="Percent 9 2 3 8" xfId="4787" xr:uid="{00000000-0005-0000-0000-000097820000}"/>
    <cellStyle name="Percent 9 2 3 8 2" xfId="13236" xr:uid="{00000000-0005-0000-0000-000098820000}"/>
    <cellStyle name="Percent 9 2 3 8 2 2" xfId="30176" xr:uid="{00000000-0005-0000-0000-000099820000}"/>
    <cellStyle name="Percent 9 2 3 8 3" xfId="21728" xr:uid="{00000000-0005-0000-0000-00009A820000}"/>
    <cellStyle name="Percent 9 2 3 9" xfId="9012" xr:uid="{00000000-0005-0000-0000-00009B820000}"/>
    <cellStyle name="Percent 9 2 3 9 2" xfId="25952" xr:uid="{00000000-0005-0000-0000-00009C820000}"/>
    <cellStyle name="Percent 9 2 4" xfId="730" xr:uid="{00000000-0005-0000-0000-00009D820000}"/>
    <cellStyle name="Percent 9 2 4 2" xfId="1082" xr:uid="{00000000-0005-0000-0000-00009E820000}"/>
    <cellStyle name="Percent 9 2 4 2 2" xfId="2144" xr:uid="{00000000-0005-0000-0000-00009F820000}"/>
    <cellStyle name="Percent 9 2 4 2 2 2" xfId="4256" xr:uid="{00000000-0005-0000-0000-0000A0820000}"/>
    <cellStyle name="Percent 9 2 4 2 2 2 2" xfId="8482" xr:uid="{00000000-0005-0000-0000-0000A1820000}"/>
    <cellStyle name="Percent 9 2 4 2 2 2 2 2" xfId="16930" xr:uid="{00000000-0005-0000-0000-0000A2820000}"/>
    <cellStyle name="Percent 9 2 4 2 2 2 2 2 2" xfId="33870" xr:uid="{00000000-0005-0000-0000-0000A3820000}"/>
    <cellStyle name="Percent 9 2 4 2 2 2 2 3" xfId="25422" xr:uid="{00000000-0005-0000-0000-0000A4820000}"/>
    <cellStyle name="Percent 9 2 4 2 2 2 3" xfId="12706" xr:uid="{00000000-0005-0000-0000-0000A5820000}"/>
    <cellStyle name="Percent 9 2 4 2 2 2 3 2" xfId="29646" xr:uid="{00000000-0005-0000-0000-0000A6820000}"/>
    <cellStyle name="Percent 9 2 4 2 2 2 4" xfId="21198" xr:uid="{00000000-0005-0000-0000-0000A7820000}"/>
    <cellStyle name="Percent 9 2 4 2 2 3" xfId="6370" xr:uid="{00000000-0005-0000-0000-0000A8820000}"/>
    <cellStyle name="Percent 9 2 4 2 2 3 2" xfId="14818" xr:uid="{00000000-0005-0000-0000-0000A9820000}"/>
    <cellStyle name="Percent 9 2 4 2 2 3 2 2" xfId="31758" xr:uid="{00000000-0005-0000-0000-0000AA820000}"/>
    <cellStyle name="Percent 9 2 4 2 2 3 3" xfId="23310" xr:uid="{00000000-0005-0000-0000-0000AB820000}"/>
    <cellStyle name="Percent 9 2 4 2 2 4" xfId="10594" xr:uid="{00000000-0005-0000-0000-0000AC820000}"/>
    <cellStyle name="Percent 9 2 4 2 2 4 2" xfId="27534" xr:uid="{00000000-0005-0000-0000-0000AD820000}"/>
    <cellStyle name="Percent 9 2 4 2 2 5" xfId="19086" xr:uid="{00000000-0005-0000-0000-0000AE820000}"/>
    <cellStyle name="Percent 9 2 4 2 3" xfId="3200" xr:uid="{00000000-0005-0000-0000-0000AF820000}"/>
    <cellStyle name="Percent 9 2 4 2 3 2" xfId="7426" xr:uid="{00000000-0005-0000-0000-0000B0820000}"/>
    <cellStyle name="Percent 9 2 4 2 3 2 2" xfId="15874" xr:uid="{00000000-0005-0000-0000-0000B1820000}"/>
    <cellStyle name="Percent 9 2 4 2 3 2 2 2" xfId="32814" xr:uid="{00000000-0005-0000-0000-0000B2820000}"/>
    <cellStyle name="Percent 9 2 4 2 3 2 3" xfId="24366" xr:uid="{00000000-0005-0000-0000-0000B3820000}"/>
    <cellStyle name="Percent 9 2 4 2 3 3" xfId="11650" xr:uid="{00000000-0005-0000-0000-0000B4820000}"/>
    <cellStyle name="Percent 9 2 4 2 3 3 2" xfId="28590" xr:uid="{00000000-0005-0000-0000-0000B5820000}"/>
    <cellStyle name="Percent 9 2 4 2 3 4" xfId="20142" xr:uid="{00000000-0005-0000-0000-0000B6820000}"/>
    <cellStyle name="Percent 9 2 4 2 4" xfId="5314" xr:uid="{00000000-0005-0000-0000-0000B7820000}"/>
    <cellStyle name="Percent 9 2 4 2 4 2" xfId="13762" xr:uid="{00000000-0005-0000-0000-0000B8820000}"/>
    <cellStyle name="Percent 9 2 4 2 4 2 2" xfId="30702" xr:uid="{00000000-0005-0000-0000-0000B9820000}"/>
    <cellStyle name="Percent 9 2 4 2 4 3" xfId="22254" xr:uid="{00000000-0005-0000-0000-0000BA820000}"/>
    <cellStyle name="Percent 9 2 4 2 5" xfId="9538" xr:uid="{00000000-0005-0000-0000-0000BB820000}"/>
    <cellStyle name="Percent 9 2 4 2 5 2" xfId="26478" xr:uid="{00000000-0005-0000-0000-0000BC820000}"/>
    <cellStyle name="Percent 9 2 4 2 6" xfId="18030" xr:uid="{00000000-0005-0000-0000-0000BD820000}"/>
    <cellStyle name="Percent 9 2 4 3" xfId="1792" xr:uid="{00000000-0005-0000-0000-0000BE820000}"/>
    <cellStyle name="Percent 9 2 4 3 2" xfId="3904" xr:uid="{00000000-0005-0000-0000-0000BF820000}"/>
    <cellStyle name="Percent 9 2 4 3 2 2" xfId="8130" xr:uid="{00000000-0005-0000-0000-0000C0820000}"/>
    <cellStyle name="Percent 9 2 4 3 2 2 2" xfId="16578" xr:uid="{00000000-0005-0000-0000-0000C1820000}"/>
    <cellStyle name="Percent 9 2 4 3 2 2 2 2" xfId="33518" xr:uid="{00000000-0005-0000-0000-0000C2820000}"/>
    <cellStyle name="Percent 9 2 4 3 2 2 3" xfId="25070" xr:uid="{00000000-0005-0000-0000-0000C3820000}"/>
    <cellStyle name="Percent 9 2 4 3 2 3" xfId="12354" xr:uid="{00000000-0005-0000-0000-0000C4820000}"/>
    <cellStyle name="Percent 9 2 4 3 2 3 2" xfId="29294" xr:uid="{00000000-0005-0000-0000-0000C5820000}"/>
    <cellStyle name="Percent 9 2 4 3 2 4" xfId="20846" xr:uid="{00000000-0005-0000-0000-0000C6820000}"/>
    <cellStyle name="Percent 9 2 4 3 3" xfId="6018" xr:uid="{00000000-0005-0000-0000-0000C7820000}"/>
    <cellStyle name="Percent 9 2 4 3 3 2" xfId="14466" xr:uid="{00000000-0005-0000-0000-0000C8820000}"/>
    <cellStyle name="Percent 9 2 4 3 3 2 2" xfId="31406" xr:uid="{00000000-0005-0000-0000-0000C9820000}"/>
    <cellStyle name="Percent 9 2 4 3 3 3" xfId="22958" xr:uid="{00000000-0005-0000-0000-0000CA820000}"/>
    <cellStyle name="Percent 9 2 4 3 4" xfId="10242" xr:uid="{00000000-0005-0000-0000-0000CB820000}"/>
    <cellStyle name="Percent 9 2 4 3 4 2" xfId="27182" xr:uid="{00000000-0005-0000-0000-0000CC820000}"/>
    <cellStyle name="Percent 9 2 4 3 5" xfId="18734" xr:uid="{00000000-0005-0000-0000-0000CD820000}"/>
    <cellStyle name="Percent 9 2 4 4" xfId="2848" xr:uid="{00000000-0005-0000-0000-0000CE820000}"/>
    <cellStyle name="Percent 9 2 4 4 2" xfId="7074" xr:uid="{00000000-0005-0000-0000-0000CF820000}"/>
    <cellStyle name="Percent 9 2 4 4 2 2" xfId="15522" xr:uid="{00000000-0005-0000-0000-0000D0820000}"/>
    <cellStyle name="Percent 9 2 4 4 2 2 2" xfId="32462" xr:uid="{00000000-0005-0000-0000-0000D1820000}"/>
    <cellStyle name="Percent 9 2 4 4 2 3" xfId="24014" xr:uid="{00000000-0005-0000-0000-0000D2820000}"/>
    <cellStyle name="Percent 9 2 4 4 3" xfId="11298" xr:uid="{00000000-0005-0000-0000-0000D3820000}"/>
    <cellStyle name="Percent 9 2 4 4 3 2" xfId="28238" xr:uid="{00000000-0005-0000-0000-0000D4820000}"/>
    <cellStyle name="Percent 9 2 4 4 4" xfId="19790" xr:uid="{00000000-0005-0000-0000-0000D5820000}"/>
    <cellStyle name="Percent 9 2 4 5" xfId="4962" xr:uid="{00000000-0005-0000-0000-0000D6820000}"/>
    <cellStyle name="Percent 9 2 4 5 2" xfId="13410" xr:uid="{00000000-0005-0000-0000-0000D7820000}"/>
    <cellStyle name="Percent 9 2 4 5 2 2" xfId="30350" xr:uid="{00000000-0005-0000-0000-0000D8820000}"/>
    <cellStyle name="Percent 9 2 4 5 3" xfId="21902" xr:uid="{00000000-0005-0000-0000-0000D9820000}"/>
    <cellStyle name="Percent 9 2 4 6" xfId="9186" xr:uid="{00000000-0005-0000-0000-0000DA820000}"/>
    <cellStyle name="Percent 9 2 4 6 2" xfId="26126" xr:uid="{00000000-0005-0000-0000-0000DB820000}"/>
    <cellStyle name="Percent 9 2 4 7" xfId="17678" xr:uid="{00000000-0005-0000-0000-0000DC820000}"/>
    <cellStyle name="Percent 9 2 5" xfId="906" xr:uid="{00000000-0005-0000-0000-0000DD820000}"/>
    <cellStyle name="Percent 9 2 5 2" xfId="1968" xr:uid="{00000000-0005-0000-0000-0000DE820000}"/>
    <cellStyle name="Percent 9 2 5 2 2" xfId="4080" xr:uid="{00000000-0005-0000-0000-0000DF820000}"/>
    <cellStyle name="Percent 9 2 5 2 2 2" xfId="8306" xr:uid="{00000000-0005-0000-0000-0000E0820000}"/>
    <cellStyle name="Percent 9 2 5 2 2 2 2" xfId="16754" xr:uid="{00000000-0005-0000-0000-0000E1820000}"/>
    <cellStyle name="Percent 9 2 5 2 2 2 2 2" xfId="33694" xr:uid="{00000000-0005-0000-0000-0000E2820000}"/>
    <cellStyle name="Percent 9 2 5 2 2 2 3" xfId="25246" xr:uid="{00000000-0005-0000-0000-0000E3820000}"/>
    <cellStyle name="Percent 9 2 5 2 2 3" xfId="12530" xr:uid="{00000000-0005-0000-0000-0000E4820000}"/>
    <cellStyle name="Percent 9 2 5 2 2 3 2" xfId="29470" xr:uid="{00000000-0005-0000-0000-0000E5820000}"/>
    <cellStyle name="Percent 9 2 5 2 2 4" xfId="21022" xr:uid="{00000000-0005-0000-0000-0000E6820000}"/>
    <cellStyle name="Percent 9 2 5 2 3" xfId="6194" xr:uid="{00000000-0005-0000-0000-0000E7820000}"/>
    <cellStyle name="Percent 9 2 5 2 3 2" xfId="14642" xr:uid="{00000000-0005-0000-0000-0000E8820000}"/>
    <cellStyle name="Percent 9 2 5 2 3 2 2" xfId="31582" xr:uid="{00000000-0005-0000-0000-0000E9820000}"/>
    <cellStyle name="Percent 9 2 5 2 3 3" xfId="23134" xr:uid="{00000000-0005-0000-0000-0000EA820000}"/>
    <cellStyle name="Percent 9 2 5 2 4" xfId="10418" xr:uid="{00000000-0005-0000-0000-0000EB820000}"/>
    <cellStyle name="Percent 9 2 5 2 4 2" xfId="27358" xr:uid="{00000000-0005-0000-0000-0000EC820000}"/>
    <cellStyle name="Percent 9 2 5 2 5" xfId="18910" xr:uid="{00000000-0005-0000-0000-0000ED820000}"/>
    <cellStyle name="Percent 9 2 5 3" xfId="3024" xr:uid="{00000000-0005-0000-0000-0000EE820000}"/>
    <cellStyle name="Percent 9 2 5 3 2" xfId="7250" xr:uid="{00000000-0005-0000-0000-0000EF820000}"/>
    <cellStyle name="Percent 9 2 5 3 2 2" xfId="15698" xr:uid="{00000000-0005-0000-0000-0000F0820000}"/>
    <cellStyle name="Percent 9 2 5 3 2 2 2" xfId="32638" xr:uid="{00000000-0005-0000-0000-0000F1820000}"/>
    <cellStyle name="Percent 9 2 5 3 2 3" xfId="24190" xr:uid="{00000000-0005-0000-0000-0000F2820000}"/>
    <cellStyle name="Percent 9 2 5 3 3" xfId="11474" xr:uid="{00000000-0005-0000-0000-0000F3820000}"/>
    <cellStyle name="Percent 9 2 5 3 3 2" xfId="28414" xr:uid="{00000000-0005-0000-0000-0000F4820000}"/>
    <cellStyle name="Percent 9 2 5 3 4" xfId="19966" xr:uid="{00000000-0005-0000-0000-0000F5820000}"/>
    <cellStyle name="Percent 9 2 5 4" xfId="5138" xr:uid="{00000000-0005-0000-0000-0000F6820000}"/>
    <cellStyle name="Percent 9 2 5 4 2" xfId="13586" xr:uid="{00000000-0005-0000-0000-0000F7820000}"/>
    <cellStyle name="Percent 9 2 5 4 2 2" xfId="30526" xr:uid="{00000000-0005-0000-0000-0000F8820000}"/>
    <cellStyle name="Percent 9 2 5 4 3" xfId="22078" xr:uid="{00000000-0005-0000-0000-0000F9820000}"/>
    <cellStyle name="Percent 9 2 5 5" xfId="9362" xr:uid="{00000000-0005-0000-0000-0000FA820000}"/>
    <cellStyle name="Percent 9 2 5 5 2" xfId="26302" xr:uid="{00000000-0005-0000-0000-0000FB820000}"/>
    <cellStyle name="Percent 9 2 5 6" xfId="17854" xr:uid="{00000000-0005-0000-0000-0000FC820000}"/>
    <cellStyle name="Percent 9 2 6" xfId="1258" xr:uid="{00000000-0005-0000-0000-0000FD820000}"/>
    <cellStyle name="Percent 9 2 6 2" xfId="2320" xr:uid="{00000000-0005-0000-0000-0000FE820000}"/>
    <cellStyle name="Percent 9 2 6 2 2" xfId="4432" xr:uid="{00000000-0005-0000-0000-0000FF820000}"/>
    <cellStyle name="Percent 9 2 6 2 2 2" xfId="8658" xr:uid="{00000000-0005-0000-0000-000000830000}"/>
    <cellStyle name="Percent 9 2 6 2 2 2 2" xfId="17106" xr:uid="{00000000-0005-0000-0000-000001830000}"/>
    <cellStyle name="Percent 9 2 6 2 2 2 2 2" xfId="34046" xr:uid="{00000000-0005-0000-0000-000002830000}"/>
    <cellStyle name="Percent 9 2 6 2 2 2 3" xfId="25598" xr:uid="{00000000-0005-0000-0000-000003830000}"/>
    <cellStyle name="Percent 9 2 6 2 2 3" xfId="12882" xr:uid="{00000000-0005-0000-0000-000004830000}"/>
    <cellStyle name="Percent 9 2 6 2 2 3 2" xfId="29822" xr:uid="{00000000-0005-0000-0000-000005830000}"/>
    <cellStyle name="Percent 9 2 6 2 2 4" xfId="21374" xr:uid="{00000000-0005-0000-0000-000006830000}"/>
    <cellStyle name="Percent 9 2 6 2 3" xfId="6546" xr:uid="{00000000-0005-0000-0000-000007830000}"/>
    <cellStyle name="Percent 9 2 6 2 3 2" xfId="14994" xr:uid="{00000000-0005-0000-0000-000008830000}"/>
    <cellStyle name="Percent 9 2 6 2 3 2 2" xfId="31934" xr:uid="{00000000-0005-0000-0000-000009830000}"/>
    <cellStyle name="Percent 9 2 6 2 3 3" xfId="23486" xr:uid="{00000000-0005-0000-0000-00000A830000}"/>
    <cellStyle name="Percent 9 2 6 2 4" xfId="10770" xr:uid="{00000000-0005-0000-0000-00000B830000}"/>
    <cellStyle name="Percent 9 2 6 2 4 2" xfId="27710" xr:uid="{00000000-0005-0000-0000-00000C830000}"/>
    <cellStyle name="Percent 9 2 6 2 5" xfId="19262" xr:uid="{00000000-0005-0000-0000-00000D830000}"/>
    <cellStyle name="Percent 9 2 6 3" xfId="3376" xr:uid="{00000000-0005-0000-0000-00000E830000}"/>
    <cellStyle name="Percent 9 2 6 3 2" xfId="7602" xr:uid="{00000000-0005-0000-0000-00000F830000}"/>
    <cellStyle name="Percent 9 2 6 3 2 2" xfId="16050" xr:uid="{00000000-0005-0000-0000-000010830000}"/>
    <cellStyle name="Percent 9 2 6 3 2 2 2" xfId="32990" xr:uid="{00000000-0005-0000-0000-000011830000}"/>
    <cellStyle name="Percent 9 2 6 3 2 3" xfId="24542" xr:uid="{00000000-0005-0000-0000-000012830000}"/>
    <cellStyle name="Percent 9 2 6 3 3" xfId="11826" xr:uid="{00000000-0005-0000-0000-000013830000}"/>
    <cellStyle name="Percent 9 2 6 3 3 2" xfId="28766" xr:uid="{00000000-0005-0000-0000-000014830000}"/>
    <cellStyle name="Percent 9 2 6 3 4" xfId="20318" xr:uid="{00000000-0005-0000-0000-000015830000}"/>
    <cellStyle name="Percent 9 2 6 4" xfId="5490" xr:uid="{00000000-0005-0000-0000-000016830000}"/>
    <cellStyle name="Percent 9 2 6 4 2" xfId="13938" xr:uid="{00000000-0005-0000-0000-000017830000}"/>
    <cellStyle name="Percent 9 2 6 4 2 2" xfId="30878" xr:uid="{00000000-0005-0000-0000-000018830000}"/>
    <cellStyle name="Percent 9 2 6 4 3" xfId="22430" xr:uid="{00000000-0005-0000-0000-000019830000}"/>
    <cellStyle name="Percent 9 2 6 5" xfId="9714" xr:uid="{00000000-0005-0000-0000-00001A830000}"/>
    <cellStyle name="Percent 9 2 6 5 2" xfId="26654" xr:uid="{00000000-0005-0000-0000-00001B830000}"/>
    <cellStyle name="Percent 9 2 6 6" xfId="18206" xr:uid="{00000000-0005-0000-0000-00001C830000}"/>
    <cellStyle name="Percent 9 2 7" xfId="1440" xr:uid="{00000000-0005-0000-0000-00001D830000}"/>
    <cellStyle name="Percent 9 2 7 2" xfId="2496" xr:uid="{00000000-0005-0000-0000-00001E830000}"/>
    <cellStyle name="Percent 9 2 7 2 2" xfId="4608" xr:uid="{00000000-0005-0000-0000-00001F830000}"/>
    <cellStyle name="Percent 9 2 7 2 2 2" xfId="8834" xr:uid="{00000000-0005-0000-0000-000020830000}"/>
    <cellStyle name="Percent 9 2 7 2 2 2 2" xfId="17282" xr:uid="{00000000-0005-0000-0000-000021830000}"/>
    <cellStyle name="Percent 9 2 7 2 2 2 2 2" xfId="34222" xr:uid="{00000000-0005-0000-0000-000022830000}"/>
    <cellStyle name="Percent 9 2 7 2 2 2 3" xfId="25774" xr:uid="{00000000-0005-0000-0000-000023830000}"/>
    <cellStyle name="Percent 9 2 7 2 2 3" xfId="13058" xr:uid="{00000000-0005-0000-0000-000024830000}"/>
    <cellStyle name="Percent 9 2 7 2 2 3 2" xfId="29998" xr:uid="{00000000-0005-0000-0000-000025830000}"/>
    <cellStyle name="Percent 9 2 7 2 2 4" xfId="21550" xr:uid="{00000000-0005-0000-0000-000026830000}"/>
    <cellStyle name="Percent 9 2 7 2 3" xfId="6722" xr:uid="{00000000-0005-0000-0000-000027830000}"/>
    <cellStyle name="Percent 9 2 7 2 3 2" xfId="15170" xr:uid="{00000000-0005-0000-0000-000028830000}"/>
    <cellStyle name="Percent 9 2 7 2 3 2 2" xfId="32110" xr:uid="{00000000-0005-0000-0000-000029830000}"/>
    <cellStyle name="Percent 9 2 7 2 3 3" xfId="23662" xr:uid="{00000000-0005-0000-0000-00002A830000}"/>
    <cellStyle name="Percent 9 2 7 2 4" xfId="10946" xr:uid="{00000000-0005-0000-0000-00002B830000}"/>
    <cellStyle name="Percent 9 2 7 2 4 2" xfId="27886" xr:uid="{00000000-0005-0000-0000-00002C830000}"/>
    <cellStyle name="Percent 9 2 7 2 5" xfId="19438" xr:uid="{00000000-0005-0000-0000-00002D830000}"/>
    <cellStyle name="Percent 9 2 7 3" xfId="3552" xr:uid="{00000000-0005-0000-0000-00002E830000}"/>
    <cellStyle name="Percent 9 2 7 3 2" xfId="7778" xr:uid="{00000000-0005-0000-0000-00002F830000}"/>
    <cellStyle name="Percent 9 2 7 3 2 2" xfId="16226" xr:uid="{00000000-0005-0000-0000-000030830000}"/>
    <cellStyle name="Percent 9 2 7 3 2 2 2" xfId="33166" xr:uid="{00000000-0005-0000-0000-000031830000}"/>
    <cellStyle name="Percent 9 2 7 3 2 3" xfId="24718" xr:uid="{00000000-0005-0000-0000-000032830000}"/>
    <cellStyle name="Percent 9 2 7 3 3" xfId="12002" xr:uid="{00000000-0005-0000-0000-000033830000}"/>
    <cellStyle name="Percent 9 2 7 3 3 2" xfId="28942" xr:uid="{00000000-0005-0000-0000-000034830000}"/>
    <cellStyle name="Percent 9 2 7 3 4" xfId="20494" xr:uid="{00000000-0005-0000-0000-000035830000}"/>
    <cellStyle name="Percent 9 2 7 4" xfId="5666" xr:uid="{00000000-0005-0000-0000-000036830000}"/>
    <cellStyle name="Percent 9 2 7 4 2" xfId="14114" xr:uid="{00000000-0005-0000-0000-000037830000}"/>
    <cellStyle name="Percent 9 2 7 4 2 2" xfId="31054" xr:uid="{00000000-0005-0000-0000-000038830000}"/>
    <cellStyle name="Percent 9 2 7 4 3" xfId="22606" xr:uid="{00000000-0005-0000-0000-000039830000}"/>
    <cellStyle name="Percent 9 2 7 5" xfId="9890" xr:uid="{00000000-0005-0000-0000-00003A830000}"/>
    <cellStyle name="Percent 9 2 7 5 2" xfId="26830" xr:uid="{00000000-0005-0000-0000-00003B830000}"/>
    <cellStyle name="Percent 9 2 7 6" xfId="18382" xr:uid="{00000000-0005-0000-0000-00003C830000}"/>
    <cellStyle name="Percent 9 2 8" xfId="1616" xr:uid="{00000000-0005-0000-0000-00003D830000}"/>
    <cellStyle name="Percent 9 2 8 2" xfId="3728" xr:uid="{00000000-0005-0000-0000-00003E830000}"/>
    <cellStyle name="Percent 9 2 8 2 2" xfId="7954" xr:uid="{00000000-0005-0000-0000-00003F830000}"/>
    <cellStyle name="Percent 9 2 8 2 2 2" xfId="16402" xr:uid="{00000000-0005-0000-0000-000040830000}"/>
    <cellStyle name="Percent 9 2 8 2 2 2 2" xfId="33342" xr:uid="{00000000-0005-0000-0000-000041830000}"/>
    <cellStyle name="Percent 9 2 8 2 2 3" xfId="24894" xr:uid="{00000000-0005-0000-0000-000042830000}"/>
    <cellStyle name="Percent 9 2 8 2 3" xfId="12178" xr:uid="{00000000-0005-0000-0000-000043830000}"/>
    <cellStyle name="Percent 9 2 8 2 3 2" xfId="29118" xr:uid="{00000000-0005-0000-0000-000044830000}"/>
    <cellStyle name="Percent 9 2 8 2 4" xfId="20670" xr:uid="{00000000-0005-0000-0000-000045830000}"/>
    <cellStyle name="Percent 9 2 8 3" xfId="5842" xr:uid="{00000000-0005-0000-0000-000046830000}"/>
    <cellStyle name="Percent 9 2 8 3 2" xfId="14290" xr:uid="{00000000-0005-0000-0000-000047830000}"/>
    <cellStyle name="Percent 9 2 8 3 2 2" xfId="31230" xr:uid="{00000000-0005-0000-0000-000048830000}"/>
    <cellStyle name="Percent 9 2 8 3 3" xfId="22782" xr:uid="{00000000-0005-0000-0000-000049830000}"/>
    <cellStyle name="Percent 9 2 8 4" xfId="10066" xr:uid="{00000000-0005-0000-0000-00004A830000}"/>
    <cellStyle name="Percent 9 2 8 4 2" xfId="27006" xr:uid="{00000000-0005-0000-0000-00004B830000}"/>
    <cellStyle name="Percent 9 2 8 5" xfId="18558" xr:uid="{00000000-0005-0000-0000-00004C830000}"/>
    <cellStyle name="Percent 9 2 9" xfId="2672" xr:uid="{00000000-0005-0000-0000-00004D830000}"/>
    <cellStyle name="Percent 9 2 9 2" xfId="6898" xr:uid="{00000000-0005-0000-0000-00004E830000}"/>
    <cellStyle name="Percent 9 2 9 2 2" xfId="15346" xr:uid="{00000000-0005-0000-0000-00004F830000}"/>
    <cellStyle name="Percent 9 2 9 2 2 2" xfId="32286" xr:uid="{00000000-0005-0000-0000-000050830000}"/>
    <cellStyle name="Percent 9 2 9 2 3" xfId="23838" xr:uid="{00000000-0005-0000-0000-000051830000}"/>
    <cellStyle name="Percent 9 2 9 3" xfId="11122" xr:uid="{00000000-0005-0000-0000-000052830000}"/>
    <cellStyle name="Percent 9 2 9 3 2" xfId="28062" xr:uid="{00000000-0005-0000-0000-000053830000}"/>
    <cellStyle name="Percent 9 2 9 4" xfId="19614" xr:uid="{00000000-0005-0000-0000-000054830000}"/>
    <cellStyle name="Percent 9 3" xfId="484" xr:uid="{00000000-0005-0000-0000-000055830000}"/>
    <cellStyle name="Percent 9 4" xfId="485" xr:uid="{00000000-0005-0000-0000-000056830000}"/>
    <cellStyle name="Percent 9 4 10" xfId="17505" xr:uid="{00000000-0005-0000-0000-000057830000}"/>
    <cellStyle name="Percent 9 4 2" xfId="733" xr:uid="{00000000-0005-0000-0000-000058830000}"/>
    <cellStyle name="Percent 9 4 2 2" xfId="1085" xr:uid="{00000000-0005-0000-0000-000059830000}"/>
    <cellStyle name="Percent 9 4 2 2 2" xfId="2147" xr:uid="{00000000-0005-0000-0000-00005A830000}"/>
    <cellStyle name="Percent 9 4 2 2 2 2" xfId="4259" xr:uid="{00000000-0005-0000-0000-00005B830000}"/>
    <cellStyle name="Percent 9 4 2 2 2 2 2" xfId="8485" xr:uid="{00000000-0005-0000-0000-00005C830000}"/>
    <cellStyle name="Percent 9 4 2 2 2 2 2 2" xfId="16933" xr:uid="{00000000-0005-0000-0000-00005D830000}"/>
    <cellStyle name="Percent 9 4 2 2 2 2 2 2 2" xfId="33873" xr:uid="{00000000-0005-0000-0000-00005E830000}"/>
    <cellStyle name="Percent 9 4 2 2 2 2 2 3" xfId="25425" xr:uid="{00000000-0005-0000-0000-00005F830000}"/>
    <cellStyle name="Percent 9 4 2 2 2 2 3" xfId="12709" xr:uid="{00000000-0005-0000-0000-000060830000}"/>
    <cellStyle name="Percent 9 4 2 2 2 2 3 2" xfId="29649" xr:uid="{00000000-0005-0000-0000-000061830000}"/>
    <cellStyle name="Percent 9 4 2 2 2 2 4" xfId="21201" xr:uid="{00000000-0005-0000-0000-000062830000}"/>
    <cellStyle name="Percent 9 4 2 2 2 3" xfId="6373" xr:uid="{00000000-0005-0000-0000-000063830000}"/>
    <cellStyle name="Percent 9 4 2 2 2 3 2" xfId="14821" xr:uid="{00000000-0005-0000-0000-000064830000}"/>
    <cellStyle name="Percent 9 4 2 2 2 3 2 2" xfId="31761" xr:uid="{00000000-0005-0000-0000-000065830000}"/>
    <cellStyle name="Percent 9 4 2 2 2 3 3" xfId="23313" xr:uid="{00000000-0005-0000-0000-000066830000}"/>
    <cellStyle name="Percent 9 4 2 2 2 4" xfId="10597" xr:uid="{00000000-0005-0000-0000-000067830000}"/>
    <cellStyle name="Percent 9 4 2 2 2 4 2" xfId="27537" xr:uid="{00000000-0005-0000-0000-000068830000}"/>
    <cellStyle name="Percent 9 4 2 2 2 5" xfId="19089" xr:uid="{00000000-0005-0000-0000-000069830000}"/>
    <cellStyle name="Percent 9 4 2 2 3" xfId="3203" xr:uid="{00000000-0005-0000-0000-00006A830000}"/>
    <cellStyle name="Percent 9 4 2 2 3 2" xfId="7429" xr:uid="{00000000-0005-0000-0000-00006B830000}"/>
    <cellStyle name="Percent 9 4 2 2 3 2 2" xfId="15877" xr:uid="{00000000-0005-0000-0000-00006C830000}"/>
    <cellStyle name="Percent 9 4 2 2 3 2 2 2" xfId="32817" xr:uid="{00000000-0005-0000-0000-00006D830000}"/>
    <cellStyle name="Percent 9 4 2 2 3 2 3" xfId="24369" xr:uid="{00000000-0005-0000-0000-00006E830000}"/>
    <cellStyle name="Percent 9 4 2 2 3 3" xfId="11653" xr:uid="{00000000-0005-0000-0000-00006F830000}"/>
    <cellStyle name="Percent 9 4 2 2 3 3 2" xfId="28593" xr:uid="{00000000-0005-0000-0000-000070830000}"/>
    <cellStyle name="Percent 9 4 2 2 3 4" xfId="20145" xr:uid="{00000000-0005-0000-0000-000071830000}"/>
    <cellStyle name="Percent 9 4 2 2 4" xfId="5317" xr:uid="{00000000-0005-0000-0000-000072830000}"/>
    <cellStyle name="Percent 9 4 2 2 4 2" xfId="13765" xr:uid="{00000000-0005-0000-0000-000073830000}"/>
    <cellStyle name="Percent 9 4 2 2 4 2 2" xfId="30705" xr:uid="{00000000-0005-0000-0000-000074830000}"/>
    <cellStyle name="Percent 9 4 2 2 4 3" xfId="22257" xr:uid="{00000000-0005-0000-0000-000075830000}"/>
    <cellStyle name="Percent 9 4 2 2 5" xfId="9541" xr:uid="{00000000-0005-0000-0000-000076830000}"/>
    <cellStyle name="Percent 9 4 2 2 5 2" xfId="26481" xr:uid="{00000000-0005-0000-0000-000077830000}"/>
    <cellStyle name="Percent 9 4 2 2 6" xfId="18033" xr:uid="{00000000-0005-0000-0000-000078830000}"/>
    <cellStyle name="Percent 9 4 2 3" xfId="1795" xr:uid="{00000000-0005-0000-0000-000079830000}"/>
    <cellStyle name="Percent 9 4 2 3 2" xfId="3907" xr:uid="{00000000-0005-0000-0000-00007A830000}"/>
    <cellStyle name="Percent 9 4 2 3 2 2" xfId="8133" xr:uid="{00000000-0005-0000-0000-00007B830000}"/>
    <cellStyle name="Percent 9 4 2 3 2 2 2" xfId="16581" xr:uid="{00000000-0005-0000-0000-00007C830000}"/>
    <cellStyle name="Percent 9 4 2 3 2 2 2 2" xfId="33521" xr:uid="{00000000-0005-0000-0000-00007D830000}"/>
    <cellStyle name="Percent 9 4 2 3 2 2 3" xfId="25073" xr:uid="{00000000-0005-0000-0000-00007E830000}"/>
    <cellStyle name="Percent 9 4 2 3 2 3" xfId="12357" xr:uid="{00000000-0005-0000-0000-00007F830000}"/>
    <cellStyle name="Percent 9 4 2 3 2 3 2" xfId="29297" xr:uid="{00000000-0005-0000-0000-000080830000}"/>
    <cellStyle name="Percent 9 4 2 3 2 4" xfId="20849" xr:uid="{00000000-0005-0000-0000-000081830000}"/>
    <cellStyle name="Percent 9 4 2 3 3" xfId="6021" xr:uid="{00000000-0005-0000-0000-000082830000}"/>
    <cellStyle name="Percent 9 4 2 3 3 2" xfId="14469" xr:uid="{00000000-0005-0000-0000-000083830000}"/>
    <cellStyle name="Percent 9 4 2 3 3 2 2" xfId="31409" xr:uid="{00000000-0005-0000-0000-000084830000}"/>
    <cellStyle name="Percent 9 4 2 3 3 3" xfId="22961" xr:uid="{00000000-0005-0000-0000-000085830000}"/>
    <cellStyle name="Percent 9 4 2 3 4" xfId="10245" xr:uid="{00000000-0005-0000-0000-000086830000}"/>
    <cellStyle name="Percent 9 4 2 3 4 2" xfId="27185" xr:uid="{00000000-0005-0000-0000-000087830000}"/>
    <cellStyle name="Percent 9 4 2 3 5" xfId="18737" xr:uid="{00000000-0005-0000-0000-000088830000}"/>
    <cellStyle name="Percent 9 4 2 4" xfId="2851" xr:uid="{00000000-0005-0000-0000-000089830000}"/>
    <cellStyle name="Percent 9 4 2 4 2" xfId="7077" xr:uid="{00000000-0005-0000-0000-00008A830000}"/>
    <cellStyle name="Percent 9 4 2 4 2 2" xfId="15525" xr:uid="{00000000-0005-0000-0000-00008B830000}"/>
    <cellStyle name="Percent 9 4 2 4 2 2 2" xfId="32465" xr:uid="{00000000-0005-0000-0000-00008C830000}"/>
    <cellStyle name="Percent 9 4 2 4 2 3" xfId="24017" xr:uid="{00000000-0005-0000-0000-00008D830000}"/>
    <cellStyle name="Percent 9 4 2 4 3" xfId="11301" xr:uid="{00000000-0005-0000-0000-00008E830000}"/>
    <cellStyle name="Percent 9 4 2 4 3 2" xfId="28241" xr:uid="{00000000-0005-0000-0000-00008F830000}"/>
    <cellStyle name="Percent 9 4 2 4 4" xfId="19793" xr:uid="{00000000-0005-0000-0000-000090830000}"/>
    <cellStyle name="Percent 9 4 2 5" xfId="4965" xr:uid="{00000000-0005-0000-0000-000091830000}"/>
    <cellStyle name="Percent 9 4 2 5 2" xfId="13413" xr:uid="{00000000-0005-0000-0000-000092830000}"/>
    <cellStyle name="Percent 9 4 2 5 2 2" xfId="30353" xr:uid="{00000000-0005-0000-0000-000093830000}"/>
    <cellStyle name="Percent 9 4 2 5 3" xfId="21905" xr:uid="{00000000-0005-0000-0000-000094830000}"/>
    <cellStyle name="Percent 9 4 2 6" xfId="9189" xr:uid="{00000000-0005-0000-0000-000095830000}"/>
    <cellStyle name="Percent 9 4 2 6 2" xfId="26129" xr:uid="{00000000-0005-0000-0000-000096830000}"/>
    <cellStyle name="Percent 9 4 2 7" xfId="17681" xr:uid="{00000000-0005-0000-0000-000097830000}"/>
    <cellStyle name="Percent 9 4 3" xfId="909" xr:uid="{00000000-0005-0000-0000-000098830000}"/>
    <cellStyle name="Percent 9 4 3 2" xfId="1971" xr:uid="{00000000-0005-0000-0000-000099830000}"/>
    <cellStyle name="Percent 9 4 3 2 2" xfId="4083" xr:uid="{00000000-0005-0000-0000-00009A830000}"/>
    <cellStyle name="Percent 9 4 3 2 2 2" xfId="8309" xr:uid="{00000000-0005-0000-0000-00009B830000}"/>
    <cellStyle name="Percent 9 4 3 2 2 2 2" xfId="16757" xr:uid="{00000000-0005-0000-0000-00009C830000}"/>
    <cellStyle name="Percent 9 4 3 2 2 2 2 2" xfId="33697" xr:uid="{00000000-0005-0000-0000-00009D830000}"/>
    <cellStyle name="Percent 9 4 3 2 2 2 3" xfId="25249" xr:uid="{00000000-0005-0000-0000-00009E830000}"/>
    <cellStyle name="Percent 9 4 3 2 2 3" xfId="12533" xr:uid="{00000000-0005-0000-0000-00009F830000}"/>
    <cellStyle name="Percent 9 4 3 2 2 3 2" xfId="29473" xr:uid="{00000000-0005-0000-0000-0000A0830000}"/>
    <cellStyle name="Percent 9 4 3 2 2 4" xfId="21025" xr:uid="{00000000-0005-0000-0000-0000A1830000}"/>
    <cellStyle name="Percent 9 4 3 2 3" xfId="6197" xr:uid="{00000000-0005-0000-0000-0000A2830000}"/>
    <cellStyle name="Percent 9 4 3 2 3 2" xfId="14645" xr:uid="{00000000-0005-0000-0000-0000A3830000}"/>
    <cellStyle name="Percent 9 4 3 2 3 2 2" xfId="31585" xr:uid="{00000000-0005-0000-0000-0000A4830000}"/>
    <cellStyle name="Percent 9 4 3 2 3 3" xfId="23137" xr:uid="{00000000-0005-0000-0000-0000A5830000}"/>
    <cellStyle name="Percent 9 4 3 2 4" xfId="10421" xr:uid="{00000000-0005-0000-0000-0000A6830000}"/>
    <cellStyle name="Percent 9 4 3 2 4 2" xfId="27361" xr:uid="{00000000-0005-0000-0000-0000A7830000}"/>
    <cellStyle name="Percent 9 4 3 2 5" xfId="18913" xr:uid="{00000000-0005-0000-0000-0000A8830000}"/>
    <cellStyle name="Percent 9 4 3 3" xfId="3027" xr:uid="{00000000-0005-0000-0000-0000A9830000}"/>
    <cellStyle name="Percent 9 4 3 3 2" xfId="7253" xr:uid="{00000000-0005-0000-0000-0000AA830000}"/>
    <cellStyle name="Percent 9 4 3 3 2 2" xfId="15701" xr:uid="{00000000-0005-0000-0000-0000AB830000}"/>
    <cellStyle name="Percent 9 4 3 3 2 2 2" xfId="32641" xr:uid="{00000000-0005-0000-0000-0000AC830000}"/>
    <cellStyle name="Percent 9 4 3 3 2 3" xfId="24193" xr:uid="{00000000-0005-0000-0000-0000AD830000}"/>
    <cellStyle name="Percent 9 4 3 3 3" xfId="11477" xr:uid="{00000000-0005-0000-0000-0000AE830000}"/>
    <cellStyle name="Percent 9 4 3 3 3 2" xfId="28417" xr:uid="{00000000-0005-0000-0000-0000AF830000}"/>
    <cellStyle name="Percent 9 4 3 3 4" xfId="19969" xr:uid="{00000000-0005-0000-0000-0000B0830000}"/>
    <cellStyle name="Percent 9 4 3 4" xfId="5141" xr:uid="{00000000-0005-0000-0000-0000B1830000}"/>
    <cellStyle name="Percent 9 4 3 4 2" xfId="13589" xr:uid="{00000000-0005-0000-0000-0000B2830000}"/>
    <cellStyle name="Percent 9 4 3 4 2 2" xfId="30529" xr:uid="{00000000-0005-0000-0000-0000B3830000}"/>
    <cellStyle name="Percent 9 4 3 4 3" xfId="22081" xr:uid="{00000000-0005-0000-0000-0000B4830000}"/>
    <cellStyle name="Percent 9 4 3 5" xfId="9365" xr:uid="{00000000-0005-0000-0000-0000B5830000}"/>
    <cellStyle name="Percent 9 4 3 5 2" xfId="26305" xr:uid="{00000000-0005-0000-0000-0000B6830000}"/>
    <cellStyle name="Percent 9 4 3 6" xfId="17857" xr:uid="{00000000-0005-0000-0000-0000B7830000}"/>
    <cellStyle name="Percent 9 4 4" xfId="1261" xr:uid="{00000000-0005-0000-0000-0000B8830000}"/>
    <cellStyle name="Percent 9 4 4 2" xfId="2323" xr:uid="{00000000-0005-0000-0000-0000B9830000}"/>
    <cellStyle name="Percent 9 4 4 2 2" xfId="4435" xr:uid="{00000000-0005-0000-0000-0000BA830000}"/>
    <cellStyle name="Percent 9 4 4 2 2 2" xfId="8661" xr:uid="{00000000-0005-0000-0000-0000BB830000}"/>
    <cellStyle name="Percent 9 4 4 2 2 2 2" xfId="17109" xr:uid="{00000000-0005-0000-0000-0000BC830000}"/>
    <cellStyle name="Percent 9 4 4 2 2 2 2 2" xfId="34049" xr:uid="{00000000-0005-0000-0000-0000BD830000}"/>
    <cellStyle name="Percent 9 4 4 2 2 2 3" xfId="25601" xr:uid="{00000000-0005-0000-0000-0000BE830000}"/>
    <cellStyle name="Percent 9 4 4 2 2 3" xfId="12885" xr:uid="{00000000-0005-0000-0000-0000BF830000}"/>
    <cellStyle name="Percent 9 4 4 2 2 3 2" xfId="29825" xr:uid="{00000000-0005-0000-0000-0000C0830000}"/>
    <cellStyle name="Percent 9 4 4 2 2 4" xfId="21377" xr:uid="{00000000-0005-0000-0000-0000C1830000}"/>
    <cellStyle name="Percent 9 4 4 2 3" xfId="6549" xr:uid="{00000000-0005-0000-0000-0000C2830000}"/>
    <cellStyle name="Percent 9 4 4 2 3 2" xfId="14997" xr:uid="{00000000-0005-0000-0000-0000C3830000}"/>
    <cellStyle name="Percent 9 4 4 2 3 2 2" xfId="31937" xr:uid="{00000000-0005-0000-0000-0000C4830000}"/>
    <cellStyle name="Percent 9 4 4 2 3 3" xfId="23489" xr:uid="{00000000-0005-0000-0000-0000C5830000}"/>
    <cellStyle name="Percent 9 4 4 2 4" xfId="10773" xr:uid="{00000000-0005-0000-0000-0000C6830000}"/>
    <cellStyle name="Percent 9 4 4 2 4 2" xfId="27713" xr:uid="{00000000-0005-0000-0000-0000C7830000}"/>
    <cellStyle name="Percent 9 4 4 2 5" xfId="19265" xr:uid="{00000000-0005-0000-0000-0000C8830000}"/>
    <cellStyle name="Percent 9 4 4 3" xfId="3379" xr:uid="{00000000-0005-0000-0000-0000C9830000}"/>
    <cellStyle name="Percent 9 4 4 3 2" xfId="7605" xr:uid="{00000000-0005-0000-0000-0000CA830000}"/>
    <cellStyle name="Percent 9 4 4 3 2 2" xfId="16053" xr:uid="{00000000-0005-0000-0000-0000CB830000}"/>
    <cellStyle name="Percent 9 4 4 3 2 2 2" xfId="32993" xr:uid="{00000000-0005-0000-0000-0000CC830000}"/>
    <cellStyle name="Percent 9 4 4 3 2 3" xfId="24545" xr:uid="{00000000-0005-0000-0000-0000CD830000}"/>
    <cellStyle name="Percent 9 4 4 3 3" xfId="11829" xr:uid="{00000000-0005-0000-0000-0000CE830000}"/>
    <cellStyle name="Percent 9 4 4 3 3 2" xfId="28769" xr:uid="{00000000-0005-0000-0000-0000CF830000}"/>
    <cellStyle name="Percent 9 4 4 3 4" xfId="20321" xr:uid="{00000000-0005-0000-0000-0000D0830000}"/>
    <cellStyle name="Percent 9 4 4 4" xfId="5493" xr:uid="{00000000-0005-0000-0000-0000D1830000}"/>
    <cellStyle name="Percent 9 4 4 4 2" xfId="13941" xr:uid="{00000000-0005-0000-0000-0000D2830000}"/>
    <cellStyle name="Percent 9 4 4 4 2 2" xfId="30881" xr:uid="{00000000-0005-0000-0000-0000D3830000}"/>
    <cellStyle name="Percent 9 4 4 4 3" xfId="22433" xr:uid="{00000000-0005-0000-0000-0000D4830000}"/>
    <cellStyle name="Percent 9 4 4 5" xfId="9717" xr:uid="{00000000-0005-0000-0000-0000D5830000}"/>
    <cellStyle name="Percent 9 4 4 5 2" xfId="26657" xr:uid="{00000000-0005-0000-0000-0000D6830000}"/>
    <cellStyle name="Percent 9 4 4 6" xfId="18209" xr:uid="{00000000-0005-0000-0000-0000D7830000}"/>
    <cellStyle name="Percent 9 4 5" xfId="1443" xr:uid="{00000000-0005-0000-0000-0000D8830000}"/>
    <cellStyle name="Percent 9 4 5 2" xfId="2499" xr:uid="{00000000-0005-0000-0000-0000D9830000}"/>
    <cellStyle name="Percent 9 4 5 2 2" xfId="4611" xr:uid="{00000000-0005-0000-0000-0000DA830000}"/>
    <cellStyle name="Percent 9 4 5 2 2 2" xfId="8837" xr:uid="{00000000-0005-0000-0000-0000DB830000}"/>
    <cellStyle name="Percent 9 4 5 2 2 2 2" xfId="17285" xr:uid="{00000000-0005-0000-0000-0000DC830000}"/>
    <cellStyle name="Percent 9 4 5 2 2 2 2 2" xfId="34225" xr:uid="{00000000-0005-0000-0000-0000DD830000}"/>
    <cellStyle name="Percent 9 4 5 2 2 2 3" xfId="25777" xr:uid="{00000000-0005-0000-0000-0000DE830000}"/>
    <cellStyle name="Percent 9 4 5 2 2 3" xfId="13061" xr:uid="{00000000-0005-0000-0000-0000DF830000}"/>
    <cellStyle name="Percent 9 4 5 2 2 3 2" xfId="30001" xr:uid="{00000000-0005-0000-0000-0000E0830000}"/>
    <cellStyle name="Percent 9 4 5 2 2 4" xfId="21553" xr:uid="{00000000-0005-0000-0000-0000E1830000}"/>
    <cellStyle name="Percent 9 4 5 2 3" xfId="6725" xr:uid="{00000000-0005-0000-0000-0000E2830000}"/>
    <cellStyle name="Percent 9 4 5 2 3 2" xfId="15173" xr:uid="{00000000-0005-0000-0000-0000E3830000}"/>
    <cellStyle name="Percent 9 4 5 2 3 2 2" xfId="32113" xr:uid="{00000000-0005-0000-0000-0000E4830000}"/>
    <cellStyle name="Percent 9 4 5 2 3 3" xfId="23665" xr:uid="{00000000-0005-0000-0000-0000E5830000}"/>
    <cellStyle name="Percent 9 4 5 2 4" xfId="10949" xr:uid="{00000000-0005-0000-0000-0000E6830000}"/>
    <cellStyle name="Percent 9 4 5 2 4 2" xfId="27889" xr:uid="{00000000-0005-0000-0000-0000E7830000}"/>
    <cellStyle name="Percent 9 4 5 2 5" xfId="19441" xr:uid="{00000000-0005-0000-0000-0000E8830000}"/>
    <cellStyle name="Percent 9 4 5 3" xfId="3555" xr:uid="{00000000-0005-0000-0000-0000E9830000}"/>
    <cellStyle name="Percent 9 4 5 3 2" xfId="7781" xr:uid="{00000000-0005-0000-0000-0000EA830000}"/>
    <cellStyle name="Percent 9 4 5 3 2 2" xfId="16229" xr:uid="{00000000-0005-0000-0000-0000EB830000}"/>
    <cellStyle name="Percent 9 4 5 3 2 2 2" xfId="33169" xr:uid="{00000000-0005-0000-0000-0000EC830000}"/>
    <cellStyle name="Percent 9 4 5 3 2 3" xfId="24721" xr:uid="{00000000-0005-0000-0000-0000ED830000}"/>
    <cellStyle name="Percent 9 4 5 3 3" xfId="12005" xr:uid="{00000000-0005-0000-0000-0000EE830000}"/>
    <cellStyle name="Percent 9 4 5 3 3 2" xfId="28945" xr:uid="{00000000-0005-0000-0000-0000EF830000}"/>
    <cellStyle name="Percent 9 4 5 3 4" xfId="20497" xr:uid="{00000000-0005-0000-0000-0000F0830000}"/>
    <cellStyle name="Percent 9 4 5 4" xfId="5669" xr:uid="{00000000-0005-0000-0000-0000F1830000}"/>
    <cellStyle name="Percent 9 4 5 4 2" xfId="14117" xr:uid="{00000000-0005-0000-0000-0000F2830000}"/>
    <cellStyle name="Percent 9 4 5 4 2 2" xfId="31057" xr:uid="{00000000-0005-0000-0000-0000F3830000}"/>
    <cellStyle name="Percent 9 4 5 4 3" xfId="22609" xr:uid="{00000000-0005-0000-0000-0000F4830000}"/>
    <cellStyle name="Percent 9 4 5 5" xfId="9893" xr:uid="{00000000-0005-0000-0000-0000F5830000}"/>
    <cellStyle name="Percent 9 4 5 5 2" xfId="26833" xr:uid="{00000000-0005-0000-0000-0000F6830000}"/>
    <cellStyle name="Percent 9 4 5 6" xfId="18385" xr:uid="{00000000-0005-0000-0000-0000F7830000}"/>
    <cellStyle name="Percent 9 4 6" xfId="1619" xr:uid="{00000000-0005-0000-0000-0000F8830000}"/>
    <cellStyle name="Percent 9 4 6 2" xfId="3731" xr:uid="{00000000-0005-0000-0000-0000F9830000}"/>
    <cellStyle name="Percent 9 4 6 2 2" xfId="7957" xr:uid="{00000000-0005-0000-0000-0000FA830000}"/>
    <cellStyle name="Percent 9 4 6 2 2 2" xfId="16405" xr:uid="{00000000-0005-0000-0000-0000FB830000}"/>
    <cellStyle name="Percent 9 4 6 2 2 2 2" xfId="33345" xr:uid="{00000000-0005-0000-0000-0000FC830000}"/>
    <cellStyle name="Percent 9 4 6 2 2 3" xfId="24897" xr:uid="{00000000-0005-0000-0000-0000FD830000}"/>
    <cellStyle name="Percent 9 4 6 2 3" xfId="12181" xr:uid="{00000000-0005-0000-0000-0000FE830000}"/>
    <cellStyle name="Percent 9 4 6 2 3 2" xfId="29121" xr:uid="{00000000-0005-0000-0000-0000FF830000}"/>
    <cellStyle name="Percent 9 4 6 2 4" xfId="20673" xr:uid="{00000000-0005-0000-0000-000000840000}"/>
    <cellStyle name="Percent 9 4 6 3" xfId="5845" xr:uid="{00000000-0005-0000-0000-000001840000}"/>
    <cellStyle name="Percent 9 4 6 3 2" xfId="14293" xr:uid="{00000000-0005-0000-0000-000002840000}"/>
    <cellStyle name="Percent 9 4 6 3 2 2" xfId="31233" xr:uid="{00000000-0005-0000-0000-000003840000}"/>
    <cellStyle name="Percent 9 4 6 3 3" xfId="22785" xr:uid="{00000000-0005-0000-0000-000004840000}"/>
    <cellStyle name="Percent 9 4 6 4" xfId="10069" xr:uid="{00000000-0005-0000-0000-000005840000}"/>
    <cellStyle name="Percent 9 4 6 4 2" xfId="27009" xr:uid="{00000000-0005-0000-0000-000006840000}"/>
    <cellStyle name="Percent 9 4 6 5" xfId="18561" xr:uid="{00000000-0005-0000-0000-000007840000}"/>
    <cellStyle name="Percent 9 4 7" xfId="2675" xr:uid="{00000000-0005-0000-0000-000008840000}"/>
    <cellStyle name="Percent 9 4 7 2" xfId="6901" xr:uid="{00000000-0005-0000-0000-000009840000}"/>
    <cellStyle name="Percent 9 4 7 2 2" xfId="15349" xr:uid="{00000000-0005-0000-0000-00000A840000}"/>
    <cellStyle name="Percent 9 4 7 2 2 2" xfId="32289" xr:uid="{00000000-0005-0000-0000-00000B840000}"/>
    <cellStyle name="Percent 9 4 7 2 3" xfId="23841" xr:uid="{00000000-0005-0000-0000-00000C840000}"/>
    <cellStyle name="Percent 9 4 7 3" xfId="11125" xr:uid="{00000000-0005-0000-0000-00000D840000}"/>
    <cellStyle name="Percent 9 4 7 3 2" xfId="28065" xr:uid="{00000000-0005-0000-0000-00000E840000}"/>
    <cellStyle name="Percent 9 4 7 4" xfId="19617" xr:uid="{00000000-0005-0000-0000-00000F840000}"/>
    <cellStyle name="Percent 9 4 8" xfId="4788" xr:uid="{00000000-0005-0000-0000-000010840000}"/>
    <cellStyle name="Percent 9 4 8 2" xfId="13237" xr:uid="{00000000-0005-0000-0000-000011840000}"/>
    <cellStyle name="Percent 9 4 8 2 2" xfId="30177" xr:uid="{00000000-0005-0000-0000-000012840000}"/>
    <cellStyle name="Percent 9 4 8 3" xfId="21729" xr:uid="{00000000-0005-0000-0000-000013840000}"/>
    <cellStyle name="Percent 9 4 9" xfId="9013" xr:uid="{00000000-0005-0000-0000-000014840000}"/>
    <cellStyle name="Percent 9 4 9 2" xfId="25953" xr:uid="{00000000-0005-0000-0000-000015840000}"/>
    <cellStyle name="Percent 9 5" xfId="486" xr:uid="{00000000-0005-0000-0000-000016840000}"/>
    <cellStyle name="Percent 9 5 10" xfId="17506" xr:uid="{00000000-0005-0000-0000-000017840000}"/>
    <cellStyle name="Percent 9 5 2" xfId="734" xr:uid="{00000000-0005-0000-0000-000018840000}"/>
    <cellStyle name="Percent 9 5 2 2" xfId="1086" xr:uid="{00000000-0005-0000-0000-000019840000}"/>
    <cellStyle name="Percent 9 5 2 2 2" xfId="2148" xr:uid="{00000000-0005-0000-0000-00001A840000}"/>
    <cellStyle name="Percent 9 5 2 2 2 2" xfId="4260" xr:uid="{00000000-0005-0000-0000-00001B840000}"/>
    <cellStyle name="Percent 9 5 2 2 2 2 2" xfId="8486" xr:uid="{00000000-0005-0000-0000-00001C840000}"/>
    <cellStyle name="Percent 9 5 2 2 2 2 2 2" xfId="16934" xr:uid="{00000000-0005-0000-0000-00001D840000}"/>
    <cellStyle name="Percent 9 5 2 2 2 2 2 2 2" xfId="33874" xr:uid="{00000000-0005-0000-0000-00001E840000}"/>
    <cellStyle name="Percent 9 5 2 2 2 2 2 3" xfId="25426" xr:uid="{00000000-0005-0000-0000-00001F840000}"/>
    <cellStyle name="Percent 9 5 2 2 2 2 3" xfId="12710" xr:uid="{00000000-0005-0000-0000-000020840000}"/>
    <cellStyle name="Percent 9 5 2 2 2 2 3 2" xfId="29650" xr:uid="{00000000-0005-0000-0000-000021840000}"/>
    <cellStyle name="Percent 9 5 2 2 2 2 4" xfId="21202" xr:uid="{00000000-0005-0000-0000-000022840000}"/>
    <cellStyle name="Percent 9 5 2 2 2 3" xfId="6374" xr:uid="{00000000-0005-0000-0000-000023840000}"/>
    <cellStyle name="Percent 9 5 2 2 2 3 2" xfId="14822" xr:uid="{00000000-0005-0000-0000-000024840000}"/>
    <cellStyle name="Percent 9 5 2 2 2 3 2 2" xfId="31762" xr:uid="{00000000-0005-0000-0000-000025840000}"/>
    <cellStyle name="Percent 9 5 2 2 2 3 3" xfId="23314" xr:uid="{00000000-0005-0000-0000-000026840000}"/>
    <cellStyle name="Percent 9 5 2 2 2 4" xfId="10598" xr:uid="{00000000-0005-0000-0000-000027840000}"/>
    <cellStyle name="Percent 9 5 2 2 2 4 2" xfId="27538" xr:uid="{00000000-0005-0000-0000-000028840000}"/>
    <cellStyle name="Percent 9 5 2 2 2 5" xfId="19090" xr:uid="{00000000-0005-0000-0000-000029840000}"/>
    <cellStyle name="Percent 9 5 2 2 3" xfId="3204" xr:uid="{00000000-0005-0000-0000-00002A840000}"/>
    <cellStyle name="Percent 9 5 2 2 3 2" xfId="7430" xr:uid="{00000000-0005-0000-0000-00002B840000}"/>
    <cellStyle name="Percent 9 5 2 2 3 2 2" xfId="15878" xr:uid="{00000000-0005-0000-0000-00002C840000}"/>
    <cellStyle name="Percent 9 5 2 2 3 2 2 2" xfId="32818" xr:uid="{00000000-0005-0000-0000-00002D840000}"/>
    <cellStyle name="Percent 9 5 2 2 3 2 3" xfId="24370" xr:uid="{00000000-0005-0000-0000-00002E840000}"/>
    <cellStyle name="Percent 9 5 2 2 3 3" xfId="11654" xr:uid="{00000000-0005-0000-0000-00002F840000}"/>
    <cellStyle name="Percent 9 5 2 2 3 3 2" xfId="28594" xr:uid="{00000000-0005-0000-0000-000030840000}"/>
    <cellStyle name="Percent 9 5 2 2 3 4" xfId="20146" xr:uid="{00000000-0005-0000-0000-000031840000}"/>
    <cellStyle name="Percent 9 5 2 2 4" xfId="5318" xr:uid="{00000000-0005-0000-0000-000032840000}"/>
    <cellStyle name="Percent 9 5 2 2 4 2" xfId="13766" xr:uid="{00000000-0005-0000-0000-000033840000}"/>
    <cellStyle name="Percent 9 5 2 2 4 2 2" xfId="30706" xr:uid="{00000000-0005-0000-0000-000034840000}"/>
    <cellStyle name="Percent 9 5 2 2 4 3" xfId="22258" xr:uid="{00000000-0005-0000-0000-000035840000}"/>
    <cellStyle name="Percent 9 5 2 2 5" xfId="9542" xr:uid="{00000000-0005-0000-0000-000036840000}"/>
    <cellStyle name="Percent 9 5 2 2 5 2" xfId="26482" xr:uid="{00000000-0005-0000-0000-000037840000}"/>
    <cellStyle name="Percent 9 5 2 2 6" xfId="18034" xr:uid="{00000000-0005-0000-0000-000038840000}"/>
    <cellStyle name="Percent 9 5 2 3" xfId="1796" xr:uid="{00000000-0005-0000-0000-000039840000}"/>
    <cellStyle name="Percent 9 5 2 3 2" xfId="3908" xr:uid="{00000000-0005-0000-0000-00003A840000}"/>
    <cellStyle name="Percent 9 5 2 3 2 2" xfId="8134" xr:uid="{00000000-0005-0000-0000-00003B840000}"/>
    <cellStyle name="Percent 9 5 2 3 2 2 2" xfId="16582" xr:uid="{00000000-0005-0000-0000-00003C840000}"/>
    <cellStyle name="Percent 9 5 2 3 2 2 2 2" xfId="33522" xr:uid="{00000000-0005-0000-0000-00003D840000}"/>
    <cellStyle name="Percent 9 5 2 3 2 2 3" xfId="25074" xr:uid="{00000000-0005-0000-0000-00003E840000}"/>
    <cellStyle name="Percent 9 5 2 3 2 3" xfId="12358" xr:uid="{00000000-0005-0000-0000-00003F840000}"/>
    <cellStyle name="Percent 9 5 2 3 2 3 2" xfId="29298" xr:uid="{00000000-0005-0000-0000-000040840000}"/>
    <cellStyle name="Percent 9 5 2 3 2 4" xfId="20850" xr:uid="{00000000-0005-0000-0000-000041840000}"/>
    <cellStyle name="Percent 9 5 2 3 3" xfId="6022" xr:uid="{00000000-0005-0000-0000-000042840000}"/>
    <cellStyle name="Percent 9 5 2 3 3 2" xfId="14470" xr:uid="{00000000-0005-0000-0000-000043840000}"/>
    <cellStyle name="Percent 9 5 2 3 3 2 2" xfId="31410" xr:uid="{00000000-0005-0000-0000-000044840000}"/>
    <cellStyle name="Percent 9 5 2 3 3 3" xfId="22962" xr:uid="{00000000-0005-0000-0000-000045840000}"/>
    <cellStyle name="Percent 9 5 2 3 4" xfId="10246" xr:uid="{00000000-0005-0000-0000-000046840000}"/>
    <cellStyle name="Percent 9 5 2 3 4 2" xfId="27186" xr:uid="{00000000-0005-0000-0000-000047840000}"/>
    <cellStyle name="Percent 9 5 2 3 5" xfId="18738" xr:uid="{00000000-0005-0000-0000-000048840000}"/>
    <cellStyle name="Percent 9 5 2 4" xfId="2852" xr:uid="{00000000-0005-0000-0000-000049840000}"/>
    <cellStyle name="Percent 9 5 2 4 2" xfId="7078" xr:uid="{00000000-0005-0000-0000-00004A840000}"/>
    <cellStyle name="Percent 9 5 2 4 2 2" xfId="15526" xr:uid="{00000000-0005-0000-0000-00004B840000}"/>
    <cellStyle name="Percent 9 5 2 4 2 2 2" xfId="32466" xr:uid="{00000000-0005-0000-0000-00004C840000}"/>
    <cellStyle name="Percent 9 5 2 4 2 3" xfId="24018" xr:uid="{00000000-0005-0000-0000-00004D840000}"/>
    <cellStyle name="Percent 9 5 2 4 3" xfId="11302" xr:uid="{00000000-0005-0000-0000-00004E840000}"/>
    <cellStyle name="Percent 9 5 2 4 3 2" xfId="28242" xr:uid="{00000000-0005-0000-0000-00004F840000}"/>
    <cellStyle name="Percent 9 5 2 4 4" xfId="19794" xr:uid="{00000000-0005-0000-0000-000050840000}"/>
    <cellStyle name="Percent 9 5 2 5" xfId="4966" xr:uid="{00000000-0005-0000-0000-000051840000}"/>
    <cellStyle name="Percent 9 5 2 5 2" xfId="13414" xr:uid="{00000000-0005-0000-0000-000052840000}"/>
    <cellStyle name="Percent 9 5 2 5 2 2" xfId="30354" xr:uid="{00000000-0005-0000-0000-000053840000}"/>
    <cellStyle name="Percent 9 5 2 5 3" xfId="21906" xr:uid="{00000000-0005-0000-0000-000054840000}"/>
    <cellStyle name="Percent 9 5 2 6" xfId="9190" xr:uid="{00000000-0005-0000-0000-000055840000}"/>
    <cellStyle name="Percent 9 5 2 6 2" xfId="26130" xr:uid="{00000000-0005-0000-0000-000056840000}"/>
    <cellStyle name="Percent 9 5 2 7" xfId="17682" xr:uid="{00000000-0005-0000-0000-000057840000}"/>
    <cellStyle name="Percent 9 5 3" xfId="910" xr:uid="{00000000-0005-0000-0000-000058840000}"/>
    <cellStyle name="Percent 9 5 3 2" xfId="1972" xr:uid="{00000000-0005-0000-0000-000059840000}"/>
    <cellStyle name="Percent 9 5 3 2 2" xfId="4084" xr:uid="{00000000-0005-0000-0000-00005A840000}"/>
    <cellStyle name="Percent 9 5 3 2 2 2" xfId="8310" xr:uid="{00000000-0005-0000-0000-00005B840000}"/>
    <cellStyle name="Percent 9 5 3 2 2 2 2" xfId="16758" xr:uid="{00000000-0005-0000-0000-00005C840000}"/>
    <cellStyle name="Percent 9 5 3 2 2 2 2 2" xfId="33698" xr:uid="{00000000-0005-0000-0000-00005D840000}"/>
    <cellStyle name="Percent 9 5 3 2 2 2 3" xfId="25250" xr:uid="{00000000-0005-0000-0000-00005E840000}"/>
    <cellStyle name="Percent 9 5 3 2 2 3" xfId="12534" xr:uid="{00000000-0005-0000-0000-00005F840000}"/>
    <cellStyle name="Percent 9 5 3 2 2 3 2" xfId="29474" xr:uid="{00000000-0005-0000-0000-000060840000}"/>
    <cellStyle name="Percent 9 5 3 2 2 4" xfId="21026" xr:uid="{00000000-0005-0000-0000-000061840000}"/>
    <cellStyle name="Percent 9 5 3 2 3" xfId="6198" xr:uid="{00000000-0005-0000-0000-000062840000}"/>
    <cellStyle name="Percent 9 5 3 2 3 2" xfId="14646" xr:uid="{00000000-0005-0000-0000-000063840000}"/>
    <cellStyle name="Percent 9 5 3 2 3 2 2" xfId="31586" xr:uid="{00000000-0005-0000-0000-000064840000}"/>
    <cellStyle name="Percent 9 5 3 2 3 3" xfId="23138" xr:uid="{00000000-0005-0000-0000-000065840000}"/>
    <cellStyle name="Percent 9 5 3 2 4" xfId="10422" xr:uid="{00000000-0005-0000-0000-000066840000}"/>
    <cellStyle name="Percent 9 5 3 2 4 2" xfId="27362" xr:uid="{00000000-0005-0000-0000-000067840000}"/>
    <cellStyle name="Percent 9 5 3 2 5" xfId="18914" xr:uid="{00000000-0005-0000-0000-000068840000}"/>
    <cellStyle name="Percent 9 5 3 3" xfId="3028" xr:uid="{00000000-0005-0000-0000-000069840000}"/>
    <cellStyle name="Percent 9 5 3 3 2" xfId="7254" xr:uid="{00000000-0005-0000-0000-00006A840000}"/>
    <cellStyle name="Percent 9 5 3 3 2 2" xfId="15702" xr:uid="{00000000-0005-0000-0000-00006B840000}"/>
    <cellStyle name="Percent 9 5 3 3 2 2 2" xfId="32642" xr:uid="{00000000-0005-0000-0000-00006C840000}"/>
    <cellStyle name="Percent 9 5 3 3 2 3" xfId="24194" xr:uid="{00000000-0005-0000-0000-00006D840000}"/>
    <cellStyle name="Percent 9 5 3 3 3" xfId="11478" xr:uid="{00000000-0005-0000-0000-00006E840000}"/>
    <cellStyle name="Percent 9 5 3 3 3 2" xfId="28418" xr:uid="{00000000-0005-0000-0000-00006F840000}"/>
    <cellStyle name="Percent 9 5 3 3 4" xfId="19970" xr:uid="{00000000-0005-0000-0000-000070840000}"/>
    <cellStyle name="Percent 9 5 3 4" xfId="5142" xr:uid="{00000000-0005-0000-0000-000071840000}"/>
    <cellStyle name="Percent 9 5 3 4 2" xfId="13590" xr:uid="{00000000-0005-0000-0000-000072840000}"/>
    <cellStyle name="Percent 9 5 3 4 2 2" xfId="30530" xr:uid="{00000000-0005-0000-0000-000073840000}"/>
    <cellStyle name="Percent 9 5 3 4 3" xfId="22082" xr:uid="{00000000-0005-0000-0000-000074840000}"/>
    <cellStyle name="Percent 9 5 3 5" xfId="9366" xr:uid="{00000000-0005-0000-0000-000075840000}"/>
    <cellStyle name="Percent 9 5 3 5 2" xfId="26306" xr:uid="{00000000-0005-0000-0000-000076840000}"/>
    <cellStyle name="Percent 9 5 3 6" xfId="17858" xr:uid="{00000000-0005-0000-0000-000077840000}"/>
    <cellStyle name="Percent 9 5 4" xfId="1262" xr:uid="{00000000-0005-0000-0000-000078840000}"/>
    <cellStyle name="Percent 9 5 4 2" xfId="2324" xr:uid="{00000000-0005-0000-0000-000079840000}"/>
    <cellStyle name="Percent 9 5 4 2 2" xfId="4436" xr:uid="{00000000-0005-0000-0000-00007A840000}"/>
    <cellStyle name="Percent 9 5 4 2 2 2" xfId="8662" xr:uid="{00000000-0005-0000-0000-00007B840000}"/>
    <cellStyle name="Percent 9 5 4 2 2 2 2" xfId="17110" xr:uid="{00000000-0005-0000-0000-00007C840000}"/>
    <cellStyle name="Percent 9 5 4 2 2 2 2 2" xfId="34050" xr:uid="{00000000-0005-0000-0000-00007D840000}"/>
    <cellStyle name="Percent 9 5 4 2 2 2 3" xfId="25602" xr:uid="{00000000-0005-0000-0000-00007E840000}"/>
    <cellStyle name="Percent 9 5 4 2 2 3" xfId="12886" xr:uid="{00000000-0005-0000-0000-00007F840000}"/>
    <cellStyle name="Percent 9 5 4 2 2 3 2" xfId="29826" xr:uid="{00000000-0005-0000-0000-000080840000}"/>
    <cellStyle name="Percent 9 5 4 2 2 4" xfId="21378" xr:uid="{00000000-0005-0000-0000-000081840000}"/>
    <cellStyle name="Percent 9 5 4 2 3" xfId="6550" xr:uid="{00000000-0005-0000-0000-000082840000}"/>
    <cellStyle name="Percent 9 5 4 2 3 2" xfId="14998" xr:uid="{00000000-0005-0000-0000-000083840000}"/>
    <cellStyle name="Percent 9 5 4 2 3 2 2" xfId="31938" xr:uid="{00000000-0005-0000-0000-000084840000}"/>
    <cellStyle name="Percent 9 5 4 2 3 3" xfId="23490" xr:uid="{00000000-0005-0000-0000-000085840000}"/>
    <cellStyle name="Percent 9 5 4 2 4" xfId="10774" xr:uid="{00000000-0005-0000-0000-000086840000}"/>
    <cellStyle name="Percent 9 5 4 2 4 2" xfId="27714" xr:uid="{00000000-0005-0000-0000-000087840000}"/>
    <cellStyle name="Percent 9 5 4 2 5" xfId="19266" xr:uid="{00000000-0005-0000-0000-000088840000}"/>
    <cellStyle name="Percent 9 5 4 3" xfId="3380" xr:uid="{00000000-0005-0000-0000-000089840000}"/>
    <cellStyle name="Percent 9 5 4 3 2" xfId="7606" xr:uid="{00000000-0005-0000-0000-00008A840000}"/>
    <cellStyle name="Percent 9 5 4 3 2 2" xfId="16054" xr:uid="{00000000-0005-0000-0000-00008B840000}"/>
    <cellStyle name="Percent 9 5 4 3 2 2 2" xfId="32994" xr:uid="{00000000-0005-0000-0000-00008C840000}"/>
    <cellStyle name="Percent 9 5 4 3 2 3" xfId="24546" xr:uid="{00000000-0005-0000-0000-00008D840000}"/>
    <cellStyle name="Percent 9 5 4 3 3" xfId="11830" xr:uid="{00000000-0005-0000-0000-00008E840000}"/>
    <cellStyle name="Percent 9 5 4 3 3 2" xfId="28770" xr:uid="{00000000-0005-0000-0000-00008F840000}"/>
    <cellStyle name="Percent 9 5 4 3 4" xfId="20322" xr:uid="{00000000-0005-0000-0000-000090840000}"/>
    <cellStyle name="Percent 9 5 4 4" xfId="5494" xr:uid="{00000000-0005-0000-0000-000091840000}"/>
    <cellStyle name="Percent 9 5 4 4 2" xfId="13942" xr:uid="{00000000-0005-0000-0000-000092840000}"/>
    <cellStyle name="Percent 9 5 4 4 2 2" xfId="30882" xr:uid="{00000000-0005-0000-0000-000093840000}"/>
    <cellStyle name="Percent 9 5 4 4 3" xfId="22434" xr:uid="{00000000-0005-0000-0000-000094840000}"/>
    <cellStyle name="Percent 9 5 4 5" xfId="9718" xr:uid="{00000000-0005-0000-0000-000095840000}"/>
    <cellStyle name="Percent 9 5 4 5 2" xfId="26658" xr:uid="{00000000-0005-0000-0000-000096840000}"/>
    <cellStyle name="Percent 9 5 4 6" xfId="18210" xr:uid="{00000000-0005-0000-0000-000097840000}"/>
    <cellStyle name="Percent 9 5 5" xfId="1444" xr:uid="{00000000-0005-0000-0000-000098840000}"/>
    <cellStyle name="Percent 9 5 5 2" xfId="2500" xr:uid="{00000000-0005-0000-0000-000099840000}"/>
    <cellStyle name="Percent 9 5 5 2 2" xfId="4612" xr:uid="{00000000-0005-0000-0000-00009A840000}"/>
    <cellStyle name="Percent 9 5 5 2 2 2" xfId="8838" xr:uid="{00000000-0005-0000-0000-00009B840000}"/>
    <cellStyle name="Percent 9 5 5 2 2 2 2" xfId="17286" xr:uid="{00000000-0005-0000-0000-00009C840000}"/>
    <cellStyle name="Percent 9 5 5 2 2 2 2 2" xfId="34226" xr:uid="{00000000-0005-0000-0000-00009D840000}"/>
    <cellStyle name="Percent 9 5 5 2 2 2 3" xfId="25778" xr:uid="{00000000-0005-0000-0000-00009E840000}"/>
    <cellStyle name="Percent 9 5 5 2 2 3" xfId="13062" xr:uid="{00000000-0005-0000-0000-00009F840000}"/>
    <cellStyle name="Percent 9 5 5 2 2 3 2" xfId="30002" xr:uid="{00000000-0005-0000-0000-0000A0840000}"/>
    <cellStyle name="Percent 9 5 5 2 2 4" xfId="21554" xr:uid="{00000000-0005-0000-0000-0000A1840000}"/>
    <cellStyle name="Percent 9 5 5 2 3" xfId="6726" xr:uid="{00000000-0005-0000-0000-0000A2840000}"/>
    <cellStyle name="Percent 9 5 5 2 3 2" xfId="15174" xr:uid="{00000000-0005-0000-0000-0000A3840000}"/>
    <cellStyle name="Percent 9 5 5 2 3 2 2" xfId="32114" xr:uid="{00000000-0005-0000-0000-0000A4840000}"/>
    <cellStyle name="Percent 9 5 5 2 3 3" xfId="23666" xr:uid="{00000000-0005-0000-0000-0000A5840000}"/>
    <cellStyle name="Percent 9 5 5 2 4" xfId="10950" xr:uid="{00000000-0005-0000-0000-0000A6840000}"/>
    <cellStyle name="Percent 9 5 5 2 4 2" xfId="27890" xr:uid="{00000000-0005-0000-0000-0000A7840000}"/>
    <cellStyle name="Percent 9 5 5 2 5" xfId="19442" xr:uid="{00000000-0005-0000-0000-0000A8840000}"/>
    <cellStyle name="Percent 9 5 5 3" xfId="3556" xr:uid="{00000000-0005-0000-0000-0000A9840000}"/>
    <cellStyle name="Percent 9 5 5 3 2" xfId="7782" xr:uid="{00000000-0005-0000-0000-0000AA840000}"/>
    <cellStyle name="Percent 9 5 5 3 2 2" xfId="16230" xr:uid="{00000000-0005-0000-0000-0000AB840000}"/>
    <cellStyle name="Percent 9 5 5 3 2 2 2" xfId="33170" xr:uid="{00000000-0005-0000-0000-0000AC840000}"/>
    <cellStyle name="Percent 9 5 5 3 2 3" xfId="24722" xr:uid="{00000000-0005-0000-0000-0000AD840000}"/>
    <cellStyle name="Percent 9 5 5 3 3" xfId="12006" xr:uid="{00000000-0005-0000-0000-0000AE840000}"/>
    <cellStyle name="Percent 9 5 5 3 3 2" xfId="28946" xr:uid="{00000000-0005-0000-0000-0000AF840000}"/>
    <cellStyle name="Percent 9 5 5 3 4" xfId="20498" xr:uid="{00000000-0005-0000-0000-0000B0840000}"/>
    <cellStyle name="Percent 9 5 5 4" xfId="5670" xr:uid="{00000000-0005-0000-0000-0000B1840000}"/>
    <cellStyle name="Percent 9 5 5 4 2" xfId="14118" xr:uid="{00000000-0005-0000-0000-0000B2840000}"/>
    <cellStyle name="Percent 9 5 5 4 2 2" xfId="31058" xr:uid="{00000000-0005-0000-0000-0000B3840000}"/>
    <cellStyle name="Percent 9 5 5 4 3" xfId="22610" xr:uid="{00000000-0005-0000-0000-0000B4840000}"/>
    <cellStyle name="Percent 9 5 5 5" xfId="9894" xr:uid="{00000000-0005-0000-0000-0000B5840000}"/>
    <cellStyle name="Percent 9 5 5 5 2" xfId="26834" xr:uid="{00000000-0005-0000-0000-0000B6840000}"/>
    <cellStyle name="Percent 9 5 5 6" xfId="18386" xr:uid="{00000000-0005-0000-0000-0000B7840000}"/>
    <cellStyle name="Percent 9 5 6" xfId="1620" xr:uid="{00000000-0005-0000-0000-0000B8840000}"/>
    <cellStyle name="Percent 9 5 6 2" xfId="3732" xr:uid="{00000000-0005-0000-0000-0000B9840000}"/>
    <cellStyle name="Percent 9 5 6 2 2" xfId="7958" xr:uid="{00000000-0005-0000-0000-0000BA840000}"/>
    <cellStyle name="Percent 9 5 6 2 2 2" xfId="16406" xr:uid="{00000000-0005-0000-0000-0000BB840000}"/>
    <cellStyle name="Percent 9 5 6 2 2 2 2" xfId="33346" xr:uid="{00000000-0005-0000-0000-0000BC840000}"/>
    <cellStyle name="Percent 9 5 6 2 2 3" xfId="24898" xr:uid="{00000000-0005-0000-0000-0000BD840000}"/>
    <cellStyle name="Percent 9 5 6 2 3" xfId="12182" xr:uid="{00000000-0005-0000-0000-0000BE840000}"/>
    <cellStyle name="Percent 9 5 6 2 3 2" xfId="29122" xr:uid="{00000000-0005-0000-0000-0000BF840000}"/>
    <cellStyle name="Percent 9 5 6 2 4" xfId="20674" xr:uid="{00000000-0005-0000-0000-0000C0840000}"/>
    <cellStyle name="Percent 9 5 6 3" xfId="5846" xr:uid="{00000000-0005-0000-0000-0000C1840000}"/>
    <cellStyle name="Percent 9 5 6 3 2" xfId="14294" xr:uid="{00000000-0005-0000-0000-0000C2840000}"/>
    <cellStyle name="Percent 9 5 6 3 2 2" xfId="31234" xr:uid="{00000000-0005-0000-0000-0000C3840000}"/>
    <cellStyle name="Percent 9 5 6 3 3" xfId="22786" xr:uid="{00000000-0005-0000-0000-0000C4840000}"/>
    <cellStyle name="Percent 9 5 6 4" xfId="10070" xr:uid="{00000000-0005-0000-0000-0000C5840000}"/>
    <cellStyle name="Percent 9 5 6 4 2" xfId="27010" xr:uid="{00000000-0005-0000-0000-0000C6840000}"/>
    <cellStyle name="Percent 9 5 6 5" xfId="18562" xr:uid="{00000000-0005-0000-0000-0000C7840000}"/>
    <cellStyle name="Percent 9 5 7" xfId="2676" xr:uid="{00000000-0005-0000-0000-0000C8840000}"/>
    <cellStyle name="Percent 9 5 7 2" xfId="6902" xr:uid="{00000000-0005-0000-0000-0000C9840000}"/>
    <cellStyle name="Percent 9 5 7 2 2" xfId="15350" xr:uid="{00000000-0005-0000-0000-0000CA840000}"/>
    <cellStyle name="Percent 9 5 7 2 2 2" xfId="32290" xr:uid="{00000000-0005-0000-0000-0000CB840000}"/>
    <cellStyle name="Percent 9 5 7 2 3" xfId="23842" xr:uid="{00000000-0005-0000-0000-0000CC840000}"/>
    <cellStyle name="Percent 9 5 7 3" xfId="11126" xr:uid="{00000000-0005-0000-0000-0000CD840000}"/>
    <cellStyle name="Percent 9 5 7 3 2" xfId="28066" xr:uid="{00000000-0005-0000-0000-0000CE840000}"/>
    <cellStyle name="Percent 9 5 7 4" xfId="19618" xr:uid="{00000000-0005-0000-0000-0000CF840000}"/>
    <cellStyle name="Percent 9 5 8" xfId="4789" xr:uid="{00000000-0005-0000-0000-0000D0840000}"/>
    <cellStyle name="Percent 9 5 8 2" xfId="13238" xr:uid="{00000000-0005-0000-0000-0000D1840000}"/>
    <cellStyle name="Percent 9 5 8 2 2" xfId="30178" xr:uid="{00000000-0005-0000-0000-0000D2840000}"/>
    <cellStyle name="Percent 9 5 8 3" xfId="21730" xr:uid="{00000000-0005-0000-0000-0000D3840000}"/>
    <cellStyle name="Percent 9 5 9" xfId="9014" xr:uid="{00000000-0005-0000-0000-0000D4840000}"/>
    <cellStyle name="Percent 9 5 9 2" xfId="25954" xr:uid="{00000000-0005-0000-0000-0000D5840000}"/>
    <cellStyle name="Percent 9 6" xfId="729" xr:uid="{00000000-0005-0000-0000-0000D6840000}"/>
    <cellStyle name="Percent 9 6 2" xfId="1081" xr:uid="{00000000-0005-0000-0000-0000D7840000}"/>
    <cellStyle name="Percent 9 6 2 2" xfId="2143" xr:uid="{00000000-0005-0000-0000-0000D8840000}"/>
    <cellStyle name="Percent 9 6 2 2 2" xfId="4255" xr:uid="{00000000-0005-0000-0000-0000D9840000}"/>
    <cellStyle name="Percent 9 6 2 2 2 2" xfId="8481" xr:uid="{00000000-0005-0000-0000-0000DA840000}"/>
    <cellStyle name="Percent 9 6 2 2 2 2 2" xfId="16929" xr:uid="{00000000-0005-0000-0000-0000DB840000}"/>
    <cellStyle name="Percent 9 6 2 2 2 2 2 2" xfId="33869" xr:uid="{00000000-0005-0000-0000-0000DC840000}"/>
    <cellStyle name="Percent 9 6 2 2 2 2 3" xfId="25421" xr:uid="{00000000-0005-0000-0000-0000DD840000}"/>
    <cellStyle name="Percent 9 6 2 2 2 3" xfId="12705" xr:uid="{00000000-0005-0000-0000-0000DE840000}"/>
    <cellStyle name="Percent 9 6 2 2 2 3 2" xfId="29645" xr:uid="{00000000-0005-0000-0000-0000DF840000}"/>
    <cellStyle name="Percent 9 6 2 2 2 4" xfId="21197" xr:uid="{00000000-0005-0000-0000-0000E0840000}"/>
    <cellStyle name="Percent 9 6 2 2 3" xfId="6369" xr:uid="{00000000-0005-0000-0000-0000E1840000}"/>
    <cellStyle name="Percent 9 6 2 2 3 2" xfId="14817" xr:uid="{00000000-0005-0000-0000-0000E2840000}"/>
    <cellStyle name="Percent 9 6 2 2 3 2 2" xfId="31757" xr:uid="{00000000-0005-0000-0000-0000E3840000}"/>
    <cellStyle name="Percent 9 6 2 2 3 3" xfId="23309" xr:uid="{00000000-0005-0000-0000-0000E4840000}"/>
    <cellStyle name="Percent 9 6 2 2 4" xfId="10593" xr:uid="{00000000-0005-0000-0000-0000E5840000}"/>
    <cellStyle name="Percent 9 6 2 2 4 2" xfId="27533" xr:uid="{00000000-0005-0000-0000-0000E6840000}"/>
    <cellStyle name="Percent 9 6 2 2 5" xfId="19085" xr:uid="{00000000-0005-0000-0000-0000E7840000}"/>
    <cellStyle name="Percent 9 6 2 3" xfId="3199" xr:uid="{00000000-0005-0000-0000-0000E8840000}"/>
    <cellStyle name="Percent 9 6 2 3 2" xfId="7425" xr:uid="{00000000-0005-0000-0000-0000E9840000}"/>
    <cellStyle name="Percent 9 6 2 3 2 2" xfId="15873" xr:uid="{00000000-0005-0000-0000-0000EA840000}"/>
    <cellStyle name="Percent 9 6 2 3 2 2 2" xfId="32813" xr:uid="{00000000-0005-0000-0000-0000EB840000}"/>
    <cellStyle name="Percent 9 6 2 3 2 3" xfId="24365" xr:uid="{00000000-0005-0000-0000-0000EC840000}"/>
    <cellStyle name="Percent 9 6 2 3 3" xfId="11649" xr:uid="{00000000-0005-0000-0000-0000ED840000}"/>
    <cellStyle name="Percent 9 6 2 3 3 2" xfId="28589" xr:uid="{00000000-0005-0000-0000-0000EE840000}"/>
    <cellStyle name="Percent 9 6 2 3 4" xfId="20141" xr:uid="{00000000-0005-0000-0000-0000EF840000}"/>
    <cellStyle name="Percent 9 6 2 4" xfId="5313" xr:uid="{00000000-0005-0000-0000-0000F0840000}"/>
    <cellStyle name="Percent 9 6 2 4 2" xfId="13761" xr:uid="{00000000-0005-0000-0000-0000F1840000}"/>
    <cellStyle name="Percent 9 6 2 4 2 2" xfId="30701" xr:uid="{00000000-0005-0000-0000-0000F2840000}"/>
    <cellStyle name="Percent 9 6 2 4 3" xfId="22253" xr:uid="{00000000-0005-0000-0000-0000F3840000}"/>
    <cellStyle name="Percent 9 6 2 5" xfId="9537" xr:uid="{00000000-0005-0000-0000-0000F4840000}"/>
    <cellStyle name="Percent 9 6 2 5 2" xfId="26477" xr:uid="{00000000-0005-0000-0000-0000F5840000}"/>
    <cellStyle name="Percent 9 6 2 6" xfId="18029" xr:uid="{00000000-0005-0000-0000-0000F6840000}"/>
    <cellStyle name="Percent 9 6 3" xfId="1791" xr:uid="{00000000-0005-0000-0000-0000F7840000}"/>
    <cellStyle name="Percent 9 6 3 2" xfId="3903" xr:uid="{00000000-0005-0000-0000-0000F8840000}"/>
    <cellStyle name="Percent 9 6 3 2 2" xfId="8129" xr:uid="{00000000-0005-0000-0000-0000F9840000}"/>
    <cellStyle name="Percent 9 6 3 2 2 2" xfId="16577" xr:uid="{00000000-0005-0000-0000-0000FA840000}"/>
    <cellStyle name="Percent 9 6 3 2 2 2 2" xfId="33517" xr:uid="{00000000-0005-0000-0000-0000FB840000}"/>
    <cellStyle name="Percent 9 6 3 2 2 3" xfId="25069" xr:uid="{00000000-0005-0000-0000-0000FC840000}"/>
    <cellStyle name="Percent 9 6 3 2 3" xfId="12353" xr:uid="{00000000-0005-0000-0000-0000FD840000}"/>
    <cellStyle name="Percent 9 6 3 2 3 2" xfId="29293" xr:uid="{00000000-0005-0000-0000-0000FE840000}"/>
    <cellStyle name="Percent 9 6 3 2 4" xfId="20845" xr:uid="{00000000-0005-0000-0000-0000FF840000}"/>
    <cellStyle name="Percent 9 6 3 3" xfId="6017" xr:uid="{00000000-0005-0000-0000-000000850000}"/>
    <cellStyle name="Percent 9 6 3 3 2" xfId="14465" xr:uid="{00000000-0005-0000-0000-000001850000}"/>
    <cellStyle name="Percent 9 6 3 3 2 2" xfId="31405" xr:uid="{00000000-0005-0000-0000-000002850000}"/>
    <cellStyle name="Percent 9 6 3 3 3" xfId="22957" xr:uid="{00000000-0005-0000-0000-000003850000}"/>
    <cellStyle name="Percent 9 6 3 4" xfId="10241" xr:uid="{00000000-0005-0000-0000-000004850000}"/>
    <cellStyle name="Percent 9 6 3 4 2" xfId="27181" xr:uid="{00000000-0005-0000-0000-000005850000}"/>
    <cellStyle name="Percent 9 6 3 5" xfId="18733" xr:uid="{00000000-0005-0000-0000-000006850000}"/>
    <cellStyle name="Percent 9 6 4" xfId="2847" xr:uid="{00000000-0005-0000-0000-000007850000}"/>
    <cellStyle name="Percent 9 6 4 2" xfId="7073" xr:uid="{00000000-0005-0000-0000-000008850000}"/>
    <cellStyle name="Percent 9 6 4 2 2" xfId="15521" xr:uid="{00000000-0005-0000-0000-000009850000}"/>
    <cellStyle name="Percent 9 6 4 2 2 2" xfId="32461" xr:uid="{00000000-0005-0000-0000-00000A850000}"/>
    <cellStyle name="Percent 9 6 4 2 3" xfId="24013" xr:uid="{00000000-0005-0000-0000-00000B850000}"/>
    <cellStyle name="Percent 9 6 4 3" xfId="11297" xr:uid="{00000000-0005-0000-0000-00000C850000}"/>
    <cellStyle name="Percent 9 6 4 3 2" xfId="28237" xr:uid="{00000000-0005-0000-0000-00000D850000}"/>
    <cellStyle name="Percent 9 6 4 4" xfId="19789" xr:uid="{00000000-0005-0000-0000-00000E850000}"/>
    <cellStyle name="Percent 9 6 5" xfId="4961" xr:uid="{00000000-0005-0000-0000-00000F850000}"/>
    <cellStyle name="Percent 9 6 5 2" xfId="13409" xr:uid="{00000000-0005-0000-0000-000010850000}"/>
    <cellStyle name="Percent 9 6 5 2 2" xfId="30349" xr:uid="{00000000-0005-0000-0000-000011850000}"/>
    <cellStyle name="Percent 9 6 5 3" xfId="21901" xr:uid="{00000000-0005-0000-0000-000012850000}"/>
    <cellStyle name="Percent 9 6 6" xfId="9185" xr:uid="{00000000-0005-0000-0000-000013850000}"/>
    <cellStyle name="Percent 9 6 6 2" xfId="26125" xr:uid="{00000000-0005-0000-0000-000014850000}"/>
    <cellStyle name="Percent 9 6 7" xfId="17677" xr:uid="{00000000-0005-0000-0000-000015850000}"/>
    <cellStyle name="Percent 9 7" xfId="905" xr:uid="{00000000-0005-0000-0000-000016850000}"/>
    <cellStyle name="Percent 9 7 2" xfId="1967" xr:uid="{00000000-0005-0000-0000-000017850000}"/>
    <cellStyle name="Percent 9 7 2 2" xfId="4079" xr:uid="{00000000-0005-0000-0000-000018850000}"/>
    <cellStyle name="Percent 9 7 2 2 2" xfId="8305" xr:uid="{00000000-0005-0000-0000-000019850000}"/>
    <cellStyle name="Percent 9 7 2 2 2 2" xfId="16753" xr:uid="{00000000-0005-0000-0000-00001A850000}"/>
    <cellStyle name="Percent 9 7 2 2 2 2 2" xfId="33693" xr:uid="{00000000-0005-0000-0000-00001B850000}"/>
    <cellStyle name="Percent 9 7 2 2 2 3" xfId="25245" xr:uid="{00000000-0005-0000-0000-00001C850000}"/>
    <cellStyle name="Percent 9 7 2 2 3" xfId="12529" xr:uid="{00000000-0005-0000-0000-00001D850000}"/>
    <cellStyle name="Percent 9 7 2 2 3 2" xfId="29469" xr:uid="{00000000-0005-0000-0000-00001E850000}"/>
    <cellStyle name="Percent 9 7 2 2 4" xfId="21021" xr:uid="{00000000-0005-0000-0000-00001F850000}"/>
    <cellStyle name="Percent 9 7 2 3" xfId="6193" xr:uid="{00000000-0005-0000-0000-000020850000}"/>
    <cellStyle name="Percent 9 7 2 3 2" xfId="14641" xr:uid="{00000000-0005-0000-0000-000021850000}"/>
    <cellStyle name="Percent 9 7 2 3 2 2" xfId="31581" xr:uid="{00000000-0005-0000-0000-000022850000}"/>
    <cellStyle name="Percent 9 7 2 3 3" xfId="23133" xr:uid="{00000000-0005-0000-0000-000023850000}"/>
    <cellStyle name="Percent 9 7 2 4" xfId="10417" xr:uid="{00000000-0005-0000-0000-000024850000}"/>
    <cellStyle name="Percent 9 7 2 4 2" xfId="27357" xr:uid="{00000000-0005-0000-0000-000025850000}"/>
    <cellStyle name="Percent 9 7 2 5" xfId="18909" xr:uid="{00000000-0005-0000-0000-000026850000}"/>
    <cellStyle name="Percent 9 7 3" xfId="3023" xr:uid="{00000000-0005-0000-0000-000027850000}"/>
    <cellStyle name="Percent 9 7 3 2" xfId="7249" xr:uid="{00000000-0005-0000-0000-000028850000}"/>
    <cellStyle name="Percent 9 7 3 2 2" xfId="15697" xr:uid="{00000000-0005-0000-0000-000029850000}"/>
    <cellStyle name="Percent 9 7 3 2 2 2" xfId="32637" xr:uid="{00000000-0005-0000-0000-00002A850000}"/>
    <cellStyle name="Percent 9 7 3 2 3" xfId="24189" xr:uid="{00000000-0005-0000-0000-00002B850000}"/>
    <cellStyle name="Percent 9 7 3 3" xfId="11473" xr:uid="{00000000-0005-0000-0000-00002C850000}"/>
    <cellStyle name="Percent 9 7 3 3 2" xfId="28413" xr:uid="{00000000-0005-0000-0000-00002D850000}"/>
    <cellStyle name="Percent 9 7 3 4" xfId="19965" xr:uid="{00000000-0005-0000-0000-00002E850000}"/>
    <cellStyle name="Percent 9 7 4" xfId="5137" xr:uid="{00000000-0005-0000-0000-00002F850000}"/>
    <cellStyle name="Percent 9 7 4 2" xfId="13585" xr:uid="{00000000-0005-0000-0000-000030850000}"/>
    <cellStyle name="Percent 9 7 4 2 2" xfId="30525" xr:uid="{00000000-0005-0000-0000-000031850000}"/>
    <cellStyle name="Percent 9 7 4 3" xfId="22077" xr:uid="{00000000-0005-0000-0000-000032850000}"/>
    <cellStyle name="Percent 9 7 5" xfId="9361" xr:uid="{00000000-0005-0000-0000-000033850000}"/>
    <cellStyle name="Percent 9 7 5 2" xfId="26301" xr:uid="{00000000-0005-0000-0000-000034850000}"/>
    <cellStyle name="Percent 9 7 6" xfId="17853" xr:uid="{00000000-0005-0000-0000-000035850000}"/>
    <cellStyle name="Percent 9 8" xfId="1257" xr:uid="{00000000-0005-0000-0000-000036850000}"/>
    <cellStyle name="Percent 9 8 2" xfId="2319" xr:uid="{00000000-0005-0000-0000-000037850000}"/>
    <cellStyle name="Percent 9 8 2 2" xfId="4431" xr:uid="{00000000-0005-0000-0000-000038850000}"/>
    <cellStyle name="Percent 9 8 2 2 2" xfId="8657" xr:uid="{00000000-0005-0000-0000-000039850000}"/>
    <cellStyle name="Percent 9 8 2 2 2 2" xfId="17105" xr:uid="{00000000-0005-0000-0000-00003A850000}"/>
    <cellStyle name="Percent 9 8 2 2 2 2 2" xfId="34045" xr:uid="{00000000-0005-0000-0000-00003B850000}"/>
    <cellStyle name="Percent 9 8 2 2 2 3" xfId="25597" xr:uid="{00000000-0005-0000-0000-00003C850000}"/>
    <cellStyle name="Percent 9 8 2 2 3" xfId="12881" xr:uid="{00000000-0005-0000-0000-00003D850000}"/>
    <cellStyle name="Percent 9 8 2 2 3 2" xfId="29821" xr:uid="{00000000-0005-0000-0000-00003E850000}"/>
    <cellStyle name="Percent 9 8 2 2 4" xfId="21373" xr:uid="{00000000-0005-0000-0000-00003F850000}"/>
    <cellStyle name="Percent 9 8 2 3" xfId="6545" xr:uid="{00000000-0005-0000-0000-000040850000}"/>
    <cellStyle name="Percent 9 8 2 3 2" xfId="14993" xr:uid="{00000000-0005-0000-0000-000041850000}"/>
    <cellStyle name="Percent 9 8 2 3 2 2" xfId="31933" xr:uid="{00000000-0005-0000-0000-000042850000}"/>
    <cellStyle name="Percent 9 8 2 3 3" xfId="23485" xr:uid="{00000000-0005-0000-0000-000043850000}"/>
    <cellStyle name="Percent 9 8 2 4" xfId="10769" xr:uid="{00000000-0005-0000-0000-000044850000}"/>
    <cellStyle name="Percent 9 8 2 4 2" xfId="27709" xr:uid="{00000000-0005-0000-0000-000045850000}"/>
    <cellStyle name="Percent 9 8 2 5" xfId="19261" xr:uid="{00000000-0005-0000-0000-000046850000}"/>
    <cellStyle name="Percent 9 8 3" xfId="3375" xr:uid="{00000000-0005-0000-0000-000047850000}"/>
    <cellStyle name="Percent 9 8 3 2" xfId="7601" xr:uid="{00000000-0005-0000-0000-000048850000}"/>
    <cellStyle name="Percent 9 8 3 2 2" xfId="16049" xr:uid="{00000000-0005-0000-0000-000049850000}"/>
    <cellStyle name="Percent 9 8 3 2 2 2" xfId="32989" xr:uid="{00000000-0005-0000-0000-00004A850000}"/>
    <cellStyle name="Percent 9 8 3 2 3" xfId="24541" xr:uid="{00000000-0005-0000-0000-00004B850000}"/>
    <cellStyle name="Percent 9 8 3 3" xfId="11825" xr:uid="{00000000-0005-0000-0000-00004C850000}"/>
    <cellStyle name="Percent 9 8 3 3 2" xfId="28765" xr:uid="{00000000-0005-0000-0000-00004D850000}"/>
    <cellStyle name="Percent 9 8 3 4" xfId="20317" xr:uid="{00000000-0005-0000-0000-00004E850000}"/>
    <cellStyle name="Percent 9 8 4" xfId="5489" xr:uid="{00000000-0005-0000-0000-00004F850000}"/>
    <cellStyle name="Percent 9 8 4 2" xfId="13937" xr:uid="{00000000-0005-0000-0000-000050850000}"/>
    <cellStyle name="Percent 9 8 4 2 2" xfId="30877" xr:uid="{00000000-0005-0000-0000-000051850000}"/>
    <cellStyle name="Percent 9 8 4 3" xfId="22429" xr:uid="{00000000-0005-0000-0000-000052850000}"/>
    <cellStyle name="Percent 9 8 5" xfId="9713" xr:uid="{00000000-0005-0000-0000-000053850000}"/>
    <cellStyle name="Percent 9 8 5 2" xfId="26653" xr:uid="{00000000-0005-0000-0000-000054850000}"/>
    <cellStyle name="Percent 9 8 6" xfId="18205" xr:uid="{00000000-0005-0000-0000-000055850000}"/>
    <cellStyle name="Percent 9 9" xfId="1439" xr:uid="{00000000-0005-0000-0000-000056850000}"/>
    <cellStyle name="Percent 9 9 2" xfId="2495" xr:uid="{00000000-0005-0000-0000-000057850000}"/>
    <cellStyle name="Percent 9 9 2 2" xfId="4607" xr:uid="{00000000-0005-0000-0000-000058850000}"/>
    <cellStyle name="Percent 9 9 2 2 2" xfId="8833" xr:uid="{00000000-0005-0000-0000-000059850000}"/>
    <cellStyle name="Percent 9 9 2 2 2 2" xfId="17281" xr:uid="{00000000-0005-0000-0000-00005A850000}"/>
    <cellStyle name="Percent 9 9 2 2 2 2 2" xfId="34221" xr:uid="{00000000-0005-0000-0000-00005B850000}"/>
    <cellStyle name="Percent 9 9 2 2 2 3" xfId="25773" xr:uid="{00000000-0005-0000-0000-00005C850000}"/>
    <cellStyle name="Percent 9 9 2 2 3" xfId="13057" xr:uid="{00000000-0005-0000-0000-00005D850000}"/>
    <cellStyle name="Percent 9 9 2 2 3 2" xfId="29997" xr:uid="{00000000-0005-0000-0000-00005E850000}"/>
    <cellStyle name="Percent 9 9 2 2 4" xfId="21549" xr:uid="{00000000-0005-0000-0000-00005F850000}"/>
    <cellStyle name="Percent 9 9 2 3" xfId="6721" xr:uid="{00000000-0005-0000-0000-000060850000}"/>
    <cellStyle name="Percent 9 9 2 3 2" xfId="15169" xr:uid="{00000000-0005-0000-0000-000061850000}"/>
    <cellStyle name="Percent 9 9 2 3 2 2" xfId="32109" xr:uid="{00000000-0005-0000-0000-000062850000}"/>
    <cellStyle name="Percent 9 9 2 3 3" xfId="23661" xr:uid="{00000000-0005-0000-0000-000063850000}"/>
    <cellStyle name="Percent 9 9 2 4" xfId="10945" xr:uid="{00000000-0005-0000-0000-000064850000}"/>
    <cellStyle name="Percent 9 9 2 4 2" xfId="27885" xr:uid="{00000000-0005-0000-0000-000065850000}"/>
    <cellStyle name="Percent 9 9 2 5" xfId="19437" xr:uid="{00000000-0005-0000-0000-000066850000}"/>
    <cellStyle name="Percent 9 9 3" xfId="3551" xr:uid="{00000000-0005-0000-0000-000067850000}"/>
    <cellStyle name="Percent 9 9 3 2" xfId="7777" xr:uid="{00000000-0005-0000-0000-000068850000}"/>
    <cellStyle name="Percent 9 9 3 2 2" xfId="16225" xr:uid="{00000000-0005-0000-0000-000069850000}"/>
    <cellStyle name="Percent 9 9 3 2 2 2" xfId="33165" xr:uid="{00000000-0005-0000-0000-00006A850000}"/>
    <cellStyle name="Percent 9 9 3 2 3" xfId="24717" xr:uid="{00000000-0005-0000-0000-00006B850000}"/>
    <cellStyle name="Percent 9 9 3 3" xfId="12001" xr:uid="{00000000-0005-0000-0000-00006C850000}"/>
    <cellStyle name="Percent 9 9 3 3 2" xfId="28941" xr:uid="{00000000-0005-0000-0000-00006D850000}"/>
    <cellStyle name="Percent 9 9 3 4" xfId="20493" xr:uid="{00000000-0005-0000-0000-00006E850000}"/>
    <cellStyle name="Percent 9 9 4" xfId="5665" xr:uid="{00000000-0005-0000-0000-00006F850000}"/>
    <cellStyle name="Percent 9 9 4 2" xfId="14113" xr:uid="{00000000-0005-0000-0000-000070850000}"/>
    <cellStyle name="Percent 9 9 4 2 2" xfId="31053" xr:uid="{00000000-0005-0000-0000-000071850000}"/>
    <cellStyle name="Percent 9 9 4 3" xfId="22605" xr:uid="{00000000-0005-0000-0000-000072850000}"/>
    <cellStyle name="Percent 9 9 5" xfId="9889" xr:uid="{00000000-0005-0000-0000-000073850000}"/>
    <cellStyle name="Percent 9 9 5 2" xfId="26829" xr:uid="{00000000-0005-0000-0000-000074850000}"/>
    <cellStyle name="Percent 9 9 6" xfId="18381" xr:uid="{00000000-0005-0000-0000-000075850000}"/>
    <cellStyle name="PrePop Currency (0)" xfId="487" xr:uid="{00000000-0005-0000-0000-000076850000}"/>
    <cellStyle name="PrePop Currency (0) 2" xfId="488" xr:uid="{00000000-0005-0000-0000-000077850000}"/>
    <cellStyle name="PrePop Currency (2)" xfId="489" xr:uid="{00000000-0005-0000-0000-000078850000}"/>
    <cellStyle name="PrePop Currency (2) 2" xfId="490" xr:uid="{00000000-0005-0000-0000-000079850000}"/>
    <cellStyle name="PrePop Units (0)" xfId="491" xr:uid="{00000000-0005-0000-0000-00007A850000}"/>
    <cellStyle name="PrePop Units (0) 2" xfId="492" xr:uid="{00000000-0005-0000-0000-00007B850000}"/>
    <cellStyle name="PrePop Units (1)" xfId="493" xr:uid="{00000000-0005-0000-0000-00007C850000}"/>
    <cellStyle name="PrePop Units (1) 2" xfId="494" xr:uid="{00000000-0005-0000-0000-00007D850000}"/>
    <cellStyle name="PrePop Units (2)" xfId="495" xr:uid="{00000000-0005-0000-0000-00007E850000}"/>
    <cellStyle name="PrePop Units (2) 2" xfId="496" xr:uid="{00000000-0005-0000-0000-00007F850000}"/>
    <cellStyle name="SAPBEXaggData" xfId="497" xr:uid="{00000000-0005-0000-0000-000080850000}"/>
    <cellStyle name="SAPBEXaggDataEmph" xfId="498" xr:uid="{00000000-0005-0000-0000-000081850000}"/>
    <cellStyle name="SAPBEXaggItem" xfId="499" xr:uid="{00000000-0005-0000-0000-000082850000}"/>
    <cellStyle name="SAPBEXaggItemX" xfId="500" xr:uid="{00000000-0005-0000-0000-000083850000}"/>
    <cellStyle name="SAPBEXchaText" xfId="501" xr:uid="{00000000-0005-0000-0000-000084850000}"/>
    <cellStyle name="SAPBEXexcBad7" xfId="502" xr:uid="{00000000-0005-0000-0000-000085850000}"/>
    <cellStyle name="SAPBEXexcBad8" xfId="503" xr:uid="{00000000-0005-0000-0000-000086850000}"/>
    <cellStyle name="SAPBEXexcBad9" xfId="504" xr:uid="{00000000-0005-0000-0000-000087850000}"/>
    <cellStyle name="SAPBEXexcCritical4" xfId="505" xr:uid="{00000000-0005-0000-0000-000088850000}"/>
    <cellStyle name="SAPBEXexcCritical5" xfId="506" xr:uid="{00000000-0005-0000-0000-000089850000}"/>
    <cellStyle name="SAPBEXexcCritical6" xfId="507" xr:uid="{00000000-0005-0000-0000-00008A850000}"/>
    <cellStyle name="SAPBEXexcGood1" xfId="508" xr:uid="{00000000-0005-0000-0000-00008B850000}"/>
    <cellStyle name="SAPBEXexcGood2" xfId="509" xr:uid="{00000000-0005-0000-0000-00008C850000}"/>
    <cellStyle name="SAPBEXexcGood3" xfId="510" xr:uid="{00000000-0005-0000-0000-00008D850000}"/>
    <cellStyle name="SAPBEXfilterDrill" xfId="511" xr:uid="{00000000-0005-0000-0000-00008E850000}"/>
    <cellStyle name="SAPBEXfilterItem" xfId="512" xr:uid="{00000000-0005-0000-0000-00008F850000}"/>
    <cellStyle name="SAPBEXfilterText" xfId="513" xr:uid="{00000000-0005-0000-0000-000090850000}"/>
    <cellStyle name="SAPBEXformats" xfId="514" xr:uid="{00000000-0005-0000-0000-000091850000}"/>
    <cellStyle name="SAPBEXheaderItem" xfId="515" xr:uid="{00000000-0005-0000-0000-000092850000}"/>
    <cellStyle name="SAPBEXheaderText" xfId="516" xr:uid="{00000000-0005-0000-0000-000093850000}"/>
    <cellStyle name="SAPBEXHLevel0" xfId="517" xr:uid="{00000000-0005-0000-0000-000094850000}"/>
    <cellStyle name="SAPBEXHLevel0 2" xfId="518" xr:uid="{00000000-0005-0000-0000-000095850000}"/>
    <cellStyle name="SAPBEXHLevel0X" xfId="519" xr:uid="{00000000-0005-0000-0000-000096850000}"/>
    <cellStyle name="SAPBEXHLevel0X 2" xfId="520" xr:uid="{00000000-0005-0000-0000-000097850000}"/>
    <cellStyle name="SAPBEXHLevel1" xfId="521" xr:uid="{00000000-0005-0000-0000-000098850000}"/>
    <cellStyle name="SAPBEXHLevel1 2" xfId="522" xr:uid="{00000000-0005-0000-0000-000099850000}"/>
    <cellStyle name="SAPBEXHLevel1X" xfId="523" xr:uid="{00000000-0005-0000-0000-00009A850000}"/>
    <cellStyle name="SAPBEXHLevel1X 2" xfId="524" xr:uid="{00000000-0005-0000-0000-00009B850000}"/>
    <cellStyle name="SAPBEXHLevel2" xfId="525" xr:uid="{00000000-0005-0000-0000-00009C850000}"/>
    <cellStyle name="SAPBEXHLevel2 2" xfId="526" xr:uid="{00000000-0005-0000-0000-00009D850000}"/>
    <cellStyle name="SAPBEXHLevel2X" xfId="527" xr:uid="{00000000-0005-0000-0000-00009E850000}"/>
    <cellStyle name="SAPBEXHLevel2X 2" xfId="528" xr:uid="{00000000-0005-0000-0000-00009F850000}"/>
    <cellStyle name="SAPBEXHLevel3" xfId="529" xr:uid="{00000000-0005-0000-0000-0000A0850000}"/>
    <cellStyle name="SAPBEXHLevel3 2" xfId="530" xr:uid="{00000000-0005-0000-0000-0000A1850000}"/>
    <cellStyle name="SAPBEXHLevel3X" xfId="531" xr:uid="{00000000-0005-0000-0000-0000A2850000}"/>
    <cellStyle name="SAPBEXHLevel3X 2" xfId="532" xr:uid="{00000000-0005-0000-0000-0000A3850000}"/>
    <cellStyle name="SAPBEXresData" xfId="533" xr:uid="{00000000-0005-0000-0000-0000A4850000}"/>
    <cellStyle name="SAPBEXresDataEmph" xfId="534" xr:uid="{00000000-0005-0000-0000-0000A5850000}"/>
    <cellStyle name="SAPBEXresItem" xfId="535" xr:uid="{00000000-0005-0000-0000-0000A6850000}"/>
    <cellStyle name="SAPBEXresItemX" xfId="536" xr:uid="{00000000-0005-0000-0000-0000A7850000}"/>
    <cellStyle name="SAPBEXstdData" xfId="537" xr:uid="{00000000-0005-0000-0000-0000A8850000}"/>
    <cellStyle name="SAPBEXstdDataEmph" xfId="538" xr:uid="{00000000-0005-0000-0000-0000A9850000}"/>
    <cellStyle name="SAPBEXstdItem" xfId="539" xr:uid="{00000000-0005-0000-0000-0000AA850000}"/>
    <cellStyle name="SAPBEXstdItemX" xfId="540" xr:uid="{00000000-0005-0000-0000-0000AB850000}"/>
    <cellStyle name="SAPBEXtitle" xfId="541" xr:uid="{00000000-0005-0000-0000-0000AC850000}"/>
    <cellStyle name="SAPBEXundefined" xfId="542" xr:uid="{00000000-0005-0000-0000-0000AD850000}"/>
    <cellStyle name="Standard_Anpassen der Amortisation" xfId="543" xr:uid="{00000000-0005-0000-0000-0000AE850000}"/>
    <cellStyle name="Table Text" xfId="544" xr:uid="{00000000-0005-0000-0000-0000AF850000}"/>
    <cellStyle name="Table Text 2" xfId="545" xr:uid="{00000000-0005-0000-0000-0000B0850000}"/>
    <cellStyle name="Text Indent A" xfId="546" xr:uid="{00000000-0005-0000-0000-0000B1850000}"/>
    <cellStyle name="Text Indent B" xfId="547" xr:uid="{00000000-0005-0000-0000-0000B2850000}"/>
    <cellStyle name="Text Indent B 2" xfId="548" xr:uid="{00000000-0005-0000-0000-0000B3850000}"/>
    <cellStyle name="Text Indent C" xfId="549" xr:uid="{00000000-0005-0000-0000-0000B4850000}"/>
    <cellStyle name="Text Indent C 2" xfId="550" xr:uid="{00000000-0005-0000-0000-0000B5850000}"/>
    <cellStyle name="Title 2" xfId="551" xr:uid="{00000000-0005-0000-0000-0000B6850000}"/>
    <cellStyle name="Total 2" xfId="552" xr:uid="{00000000-0005-0000-0000-0000B7850000}"/>
    <cellStyle name="Total 3" xfId="553" xr:uid="{00000000-0005-0000-0000-0000B8850000}"/>
    <cellStyle name="Währung [0]_Compiling Utility Macros" xfId="554" xr:uid="{00000000-0005-0000-0000-0000B9850000}"/>
    <cellStyle name="Währung_Compiling Utility Macros" xfId="555" xr:uid="{00000000-0005-0000-0000-0000BA850000}"/>
    <cellStyle name="Warning Text 2" xfId="556" xr:uid="{00000000-0005-0000-0000-0000BB8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1/Table%201%20-%20October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PY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3/Table%203%20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3/Table%203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3/Table%20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%20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3/Table%203%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3/Table%203%2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3/Table%203%2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5/Additional%20Inform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5/Additional%20Inform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5/Additional%20Informat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5/Additional%20Information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5/Additional%20Informatio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C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H116">
            <v>1694492121.8660131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I48">
            <v>1031822641</v>
          </cell>
        </row>
        <row r="63">
          <cell r="B63" t="str">
            <v>Denel (Public Enterprises)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  <sheetName val="21-22"/>
    </sheetNames>
    <sheetDataSet>
      <sheetData sheetId="0">
        <row r="65">
          <cell r="A65" t="str">
            <v>Provisional allocations not assigned to votes</v>
          </cell>
        </row>
        <row r="66">
          <cell r="A66" t="str">
            <v>Infrastructure Fund not assigned to votes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2022/23</v>
          </cell>
          <cell r="BZ8" t="str">
            <v>2021/22</v>
          </cell>
        </row>
        <row r="9">
          <cell r="H9" t="str">
            <v>Revised</v>
          </cell>
          <cell r="BZ9" t="str">
            <v>Preliminary</v>
          </cell>
        </row>
        <row r="13">
          <cell r="H13">
            <v>-3400000</v>
          </cell>
          <cell r="AQ13">
            <v>-7686538</v>
          </cell>
        </row>
        <row r="25">
          <cell r="H25">
            <v>344012000</v>
          </cell>
          <cell r="AQ25">
            <v>34472211</v>
          </cell>
        </row>
        <row r="26">
          <cell r="H26">
            <v>-44612000</v>
          </cell>
          <cell r="AQ26">
            <v>-5173710</v>
          </cell>
        </row>
        <row r="27">
          <cell r="H27">
            <v>-71712000</v>
          </cell>
          <cell r="AQ27">
            <v>-692919</v>
          </cell>
        </row>
        <row r="31">
          <cell r="H31">
            <v>8874774</v>
          </cell>
          <cell r="AQ31">
            <v>0</v>
          </cell>
        </row>
        <row r="32">
          <cell r="H32">
            <v>-1093260</v>
          </cell>
          <cell r="AQ32">
            <v>0</v>
          </cell>
        </row>
        <row r="33">
          <cell r="H33">
            <v>-7695000</v>
          </cell>
          <cell r="AQ33">
            <v>0</v>
          </cell>
        </row>
        <row r="36">
          <cell r="H36">
            <v>8349673</v>
          </cell>
          <cell r="AQ36">
            <v>513226</v>
          </cell>
        </row>
        <row r="37">
          <cell r="H37">
            <v>-8349673</v>
          </cell>
          <cell r="AQ37">
            <v>-458033</v>
          </cell>
        </row>
        <row r="42">
          <cell r="H42">
            <v>73821000</v>
          </cell>
          <cell r="AQ42">
            <v>0</v>
          </cell>
        </row>
        <row r="45">
          <cell r="H45">
            <v>-7115000</v>
          </cell>
          <cell r="AQ45">
            <v>0</v>
          </cell>
        </row>
        <row r="46">
          <cell r="H46">
            <v>-8646600</v>
          </cell>
          <cell r="AQ46">
            <v>0</v>
          </cell>
        </row>
        <row r="65">
          <cell r="H65">
            <v>0</v>
          </cell>
          <cell r="AQ65">
            <v>8772236</v>
          </cell>
        </row>
        <row r="66">
          <cell r="H66">
            <v>0</v>
          </cell>
          <cell r="AQ66">
            <v>0</v>
          </cell>
        </row>
        <row r="67">
          <cell r="H67">
            <v>-776091.86601304996</v>
          </cell>
          <cell r="AQ67">
            <v>1340721</v>
          </cell>
        </row>
        <row r="68">
          <cell r="H68">
            <v>0</v>
          </cell>
          <cell r="AQ68">
            <v>-962616</v>
          </cell>
        </row>
      </sheetData>
      <sheetData sheetId="1"/>
      <sheetData sheetId="2"/>
      <sheetData sheetId="3"/>
      <sheetData sheetId="4">
        <row r="14">
          <cell r="H14">
            <v>145289346</v>
          </cell>
        </row>
        <row r="15">
          <cell r="H15">
            <v>128695533</v>
          </cell>
        </row>
        <row r="18">
          <cell r="H18">
            <v>124462000</v>
          </cell>
          <cell r="AQ18">
            <v>166304630</v>
          </cell>
        </row>
        <row r="19">
          <cell r="H19">
            <v>107445000</v>
          </cell>
          <cell r="AQ19">
            <v>145123495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M13">
            <v>1030450</v>
          </cell>
        </row>
        <row r="25">
          <cell r="M25">
            <v>23849866</v>
          </cell>
        </row>
        <row r="26">
          <cell r="M26">
            <v>-3357671</v>
          </cell>
        </row>
        <row r="27">
          <cell r="M27">
            <v>-513949</v>
          </cell>
        </row>
        <row r="31">
          <cell r="M31">
            <v>3409508</v>
          </cell>
        </row>
        <row r="32">
          <cell r="M32">
            <v>-337249</v>
          </cell>
        </row>
        <row r="33">
          <cell r="M33">
            <v>-3035000</v>
          </cell>
        </row>
        <row r="36">
          <cell r="M36">
            <v>827198</v>
          </cell>
        </row>
        <row r="37">
          <cell r="M37">
            <v>-827198</v>
          </cell>
        </row>
        <row r="42">
          <cell r="M42">
            <v>46626420</v>
          </cell>
        </row>
        <row r="45">
          <cell r="M45">
            <v>0</v>
          </cell>
        </row>
        <row r="46">
          <cell r="M46">
            <v>0</v>
          </cell>
        </row>
        <row r="65">
          <cell r="M65">
            <v>32499994</v>
          </cell>
        </row>
        <row r="66">
          <cell r="M66">
            <v>0</v>
          </cell>
        </row>
        <row r="67">
          <cell r="M67">
            <v>1585476</v>
          </cell>
        </row>
        <row r="68">
          <cell r="M68">
            <v>0</v>
          </cell>
        </row>
      </sheetData>
      <sheetData sheetId="1"/>
      <sheetData sheetId="2"/>
      <sheetData sheetId="3"/>
      <sheetData sheetId="4">
        <row r="14">
          <cell r="M14">
            <v>145289346</v>
          </cell>
        </row>
        <row r="15">
          <cell r="M15">
            <v>128695533</v>
          </cell>
        </row>
        <row r="18">
          <cell r="M18">
            <v>189293723</v>
          </cell>
        </row>
        <row r="19">
          <cell r="M19">
            <v>108403175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-592737</v>
          </cell>
        </row>
        <row r="25">
          <cell r="R25">
            <v>30102790</v>
          </cell>
        </row>
        <row r="26">
          <cell r="R26">
            <v>-4348042</v>
          </cell>
        </row>
        <row r="27">
          <cell r="R27">
            <v>-384648</v>
          </cell>
        </row>
        <row r="31">
          <cell r="R31">
            <v>4054354</v>
          </cell>
        </row>
        <row r="32">
          <cell r="R32">
            <v>-605312</v>
          </cell>
        </row>
        <row r="33">
          <cell r="R33">
            <v>-3410000</v>
          </cell>
        </row>
        <row r="36">
          <cell r="R36">
            <v>3114442</v>
          </cell>
        </row>
        <row r="37">
          <cell r="R37">
            <v>-3068181</v>
          </cell>
        </row>
        <row r="42">
          <cell r="R42">
            <v>0</v>
          </cell>
        </row>
        <row r="45">
          <cell r="R45">
            <v>-7115000</v>
          </cell>
        </row>
        <row r="46">
          <cell r="R46">
            <v>-8646600</v>
          </cell>
        </row>
        <row r="65">
          <cell r="R65">
            <v>1683425</v>
          </cell>
        </row>
        <row r="66">
          <cell r="R66">
            <v>0</v>
          </cell>
        </row>
        <row r="67">
          <cell r="R67">
            <v>1883939</v>
          </cell>
        </row>
        <row r="68">
          <cell r="R68">
            <v>0</v>
          </cell>
        </row>
      </sheetData>
      <sheetData sheetId="1"/>
      <sheetData sheetId="2"/>
      <sheetData sheetId="3"/>
      <sheetData sheetId="4">
        <row r="18">
          <cell r="R18">
            <v>172981345</v>
          </cell>
        </row>
        <row r="19">
          <cell r="R19">
            <v>114741326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W13">
            <v>3367677</v>
          </cell>
        </row>
        <row r="25">
          <cell r="W25">
            <v>29395127</v>
          </cell>
        </row>
        <row r="26">
          <cell r="W26">
            <v>-5199615</v>
          </cell>
        </row>
        <row r="27">
          <cell r="W27">
            <v>-416656</v>
          </cell>
        </row>
        <row r="31">
          <cell r="W31">
            <v>1410912</v>
          </cell>
        </row>
        <row r="32">
          <cell r="W32">
            <v>-150699</v>
          </cell>
        </row>
        <row r="33">
          <cell r="W33">
            <v>-1250000</v>
          </cell>
        </row>
        <row r="36">
          <cell r="W36">
            <v>860933</v>
          </cell>
        </row>
        <row r="37">
          <cell r="W37">
            <v>-907194</v>
          </cell>
        </row>
        <row r="42">
          <cell r="W42">
            <v>0</v>
          </cell>
        </row>
        <row r="45">
          <cell r="W45">
            <v>0</v>
          </cell>
        </row>
        <row r="46">
          <cell r="W46">
            <v>0</v>
          </cell>
        </row>
        <row r="65">
          <cell r="W65">
            <v>3575832</v>
          </cell>
        </row>
        <row r="66">
          <cell r="W66">
            <v>0</v>
          </cell>
        </row>
        <row r="67">
          <cell r="W67">
            <v>1345</v>
          </cell>
        </row>
        <row r="68">
          <cell r="W68">
            <v>-28311</v>
          </cell>
        </row>
      </sheetData>
      <sheetData sheetId="1"/>
      <sheetData sheetId="2"/>
      <sheetData sheetId="3"/>
      <sheetData sheetId="4">
        <row r="18">
          <cell r="W18">
            <v>170907699</v>
          </cell>
        </row>
        <row r="19">
          <cell r="W19">
            <v>224891115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B13">
            <v>2072474</v>
          </cell>
        </row>
        <row r="25">
          <cell r="AB25">
            <v>52376510</v>
          </cell>
        </row>
        <row r="26">
          <cell r="AB26">
            <v>-6163152</v>
          </cell>
        </row>
        <row r="27">
          <cell r="AB27">
            <v>-496510</v>
          </cell>
        </row>
        <row r="31">
          <cell r="AB31">
            <v>0</v>
          </cell>
        </row>
        <row r="32">
          <cell r="AB32">
            <v>0</v>
          </cell>
        </row>
        <row r="33">
          <cell r="AB33">
            <v>0</v>
          </cell>
        </row>
        <row r="36">
          <cell r="AB36">
            <v>95339</v>
          </cell>
        </row>
        <row r="37">
          <cell r="AB37">
            <v>-95339</v>
          </cell>
        </row>
        <row r="42">
          <cell r="AB42">
            <v>0</v>
          </cell>
        </row>
        <row r="45">
          <cell r="AB45">
            <v>0</v>
          </cell>
        </row>
        <row r="46">
          <cell r="AB46">
            <v>0</v>
          </cell>
        </row>
        <row r="65">
          <cell r="AB65">
            <v>53727650</v>
          </cell>
        </row>
        <row r="66">
          <cell r="AB66">
            <v>0</v>
          </cell>
        </row>
        <row r="67">
          <cell r="AB67">
            <v>7623</v>
          </cell>
        </row>
        <row r="68">
          <cell r="AB68">
            <v>28311</v>
          </cell>
        </row>
      </sheetData>
      <sheetData sheetId="1"/>
      <sheetData sheetId="2"/>
      <sheetData sheetId="3"/>
      <sheetData sheetId="4">
        <row r="18">
          <cell r="AB18">
            <v>169083708</v>
          </cell>
        </row>
        <row r="19">
          <cell r="AB19">
            <v>191548216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G13">
            <v>-3444064</v>
          </cell>
        </row>
        <row r="25">
          <cell r="AG25">
            <v>35558950</v>
          </cell>
        </row>
        <row r="26">
          <cell r="AG26">
            <v>-5523545</v>
          </cell>
        </row>
        <row r="27">
          <cell r="AG27">
            <v>-802735</v>
          </cell>
        </row>
        <row r="31">
          <cell r="AG31">
            <v>0</v>
          </cell>
        </row>
        <row r="32">
          <cell r="AG32">
            <v>0</v>
          </cell>
        </row>
        <row r="33">
          <cell r="AG33">
            <v>0</v>
          </cell>
        </row>
        <row r="36">
          <cell r="AG36">
            <v>2945441</v>
          </cell>
        </row>
        <row r="37">
          <cell r="AG37">
            <v>-2800245</v>
          </cell>
        </row>
        <row r="42">
          <cell r="AG42">
            <v>0</v>
          </cell>
        </row>
        <row r="45">
          <cell r="AG45">
            <v>0</v>
          </cell>
        </row>
        <row r="46">
          <cell r="AG46">
            <v>0</v>
          </cell>
        </row>
        <row r="65">
          <cell r="AG65">
            <v>-54202159</v>
          </cell>
        </row>
        <row r="66">
          <cell r="AG66">
            <v>0</v>
          </cell>
        </row>
        <row r="67">
          <cell r="AG67">
            <v>2785125</v>
          </cell>
        </row>
        <row r="68">
          <cell r="AG68">
            <v>-30170</v>
          </cell>
        </row>
      </sheetData>
      <sheetData sheetId="1"/>
      <sheetData sheetId="2"/>
      <sheetData sheetId="3"/>
      <sheetData sheetId="4">
        <row r="18">
          <cell r="AG18">
            <v>168176276</v>
          </cell>
        </row>
        <row r="19">
          <cell r="AG19">
            <v>129864367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8">
          <cell r="H8" t="str">
            <v>2022/23</v>
          </cell>
        </row>
        <row r="13">
          <cell r="AL13">
            <v>-6180235</v>
          </cell>
        </row>
        <row r="25">
          <cell r="AL25">
            <v>38933593</v>
          </cell>
        </row>
        <row r="26">
          <cell r="AL26">
            <v>-5238994</v>
          </cell>
        </row>
        <row r="27">
          <cell r="AL27">
            <v>-474068</v>
          </cell>
        </row>
        <row r="31">
          <cell r="AL31">
            <v>0</v>
          </cell>
        </row>
        <row r="32">
          <cell r="AL32">
            <v>0</v>
          </cell>
        </row>
        <row r="33">
          <cell r="AL33">
            <v>0</v>
          </cell>
        </row>
        <row r="36">
          <cell r="AL36">
            <v>506320</v>
          </cell>
        </row>
        <row r="37">
          <cell r="AL37">
            <v>-651516</v>
          </cell>
        </row>
        <row r="42">
          <cell r="AL42">
            <v>6790681</v>
          </cell>
        </row>
        <row r="45">
          <cell r="AL45">
            <v>0</v>
          </cell>
        </row>
        <row r="46">
          <cell r="AL46">
            <v>0</v>
          </cell>
        </row>
        <row r="65">
          <cell r="AL65">
            <v>-3465898</v>
          </cell>
        </row>
        <row r="66">
          <cell r="AL66">
            <v>0</v>
          </cell>
        </row>
        <row r="67">
          <cell r="AL67">
            <v>4713582</v>
          </cell>
        </row>
        <row r="68">
          <cell r="AL68">
            <v>-107886</v>
          </cell>
        </row>
      </sheetData>
      <sheetData sheetId="1" refreshError="1"/>
      <sheetData sheetId="2" refreshError="1"/>
      <sheetData sheetId="3" refreshError="1"/>
      <sheetData sheetId="4" refreshError="1">
        <row r="12">
          <cell r="H12">
            <v>99611000</v>
          </cell>
        </row>
        <row r="18">
          <cell r="BU18">
            <v>169665345</v>
          </cell>
        </row>
        <row r="19">
          <cell r="BU19">
            <v>158337940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9">
          <cell r="H9" t="str">
            <v>Budget</v>
          </cell>
        </row>
        <row r="43">
          <cell r="H43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29806</v>
          </cell>
        </row>
        <row r="40">
          <cell r="G40">
            <v>-183362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601632</v>
          </cell>
        </row>
        <row r="40">
          <cell r="H40">
            <v>-60398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97661</v>
          </cell>
        </row>
        <row r="40">
          <cell r="I40">
            <v>-19201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217829</v>
          </cell>
        </row>
        <row r="40">
          <cell r="J40">
            <v>-9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105991</v>
          </cell>
        </row>
        <row r="40">
          <cell r="K40">
            <v>-118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950856</v>
          </cell>
        </row>
        <row r="40">
          <cell r="L40">
            <v>-24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M6">
            <v>824100</v>
          </cell>
        </row>
        <row r="40">
          <cell r="M40">
            <v>-19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I48">
            <v>1057028607</v>
          </cell>
        </row>
        <row r="51">
          <cell r="I51">
            <v>7704</v>
          </cell>
        </row>
        <row r="52">
          <cell r="I52">
            <v>471709</v>
          </cell>
        </row>
        <row r="53">
          <cell r="I53">
            <v>301806272</v>
          </cell>
        </row>
        <row r="56">
          <cell r="I56">
            <v>560756789</v>
          </cell>
        </row>
        <row r="57">
          <cell r="I57">
            <v>15334823</v>
          </cell>
        </row>
        <row r="58">
          <cell r="I58">
            <v>56116</v>
          </cell>
        </row>
        <row r="59">
          <cell r="I59">
            <v>72582</v>
          </cell>
        </row>
        <row r="62">
          <cell r="I62">
            <v>20619315</v>
          </cell>
        </row>
        <row r="63">
          <cell r="I63">
            <v>2398506</v>
          </cell>
        </row>
        <row r="64">
          <cell r="I64">
            <v>1122588</v>
          </cell>
        </row>
        <row r="65">
          <cell r="I65">
            <v>12034</v>
          </cell>
        </row>
        <row r="68">
          <cell r="I68">
            <v>44706036</v>
          </cell>
        </row>
        <row r="69">
          <cell r="I69">
            <v>14752085</v>
          </cell>
        </row>
        <row r="70">
          <cell r="I70">
            <v>0</v>
          </cell>
        </row>
        <row r="71">
          <cell r="A71" t="str">
            <v>Contingency reserve</v>
          </cell>
          <cell r="I71">
            <v>5000000</v>
          </cell>
        </row>
        <row r="72">
          <cell r="A72" t="str">
            <v>National government projected underspending</v>
          </cell>
          <cell r="I72">
            <v>-3917343</v>
          </cell>
        </row>
        <row r="73">
          <cell r="A73" t="str">
            <v>Local government repayment to the National Revenue Fund</v>
          </cell>
          <cell r="I73">
            <v>-2000000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BN236"/>
  <sheetViews>
    <sheetView tabSelected="1" view="pageBreakPreview" topLeftCell="F30" zoomScale="120" zoomScaleNormal="100" zoomScaleSheetLayoutView="120" workbookViewId="0">
      <selection activeCell="K42" sqref="K42"/>
    </sheetView>
  </sheetViews>
  <sheetFormatPr defaultColWidth="3" defaultRowHeight="12.75" x14ac:dyDescent="0.25"/>
  <cols>
    <col min="1" max="1" width="0.85546875" style="3" customWidth="1"/>
    <col min="2" max="2" width="1" style="3" customWidth="1"/>
    <col min="3" max="3" width="1.28515625" style="3" customWidth="1"/>
    <col min="4" max="4" width="61" style="3" customWidth="1"/>
    <col min="5" max="5" width="0.140625" style="3" customWidth="1"/>
    <col min="6" max="6" width="5.7109375" style="3" customWidth="1"/>
    <col min="7" max="14" width="17.7109375" style="3" customWidth="1"/>
    <col min="15" max="19" width="17.7109375" style="3" hidden="1" customWidth="1"/>
    <col min="20" max="20" width="17.7109375" style="3" customWidth="1"/>
    <col min="21" max="21" width="1.7109375" style="3" customWidth="1"/>
    <col min="22" max="22" width="14.28515625" style="6" hidden="1" customWidth="1"/>
    <col min="23" max="23" width="11.28515625" style="3" hidden="1" customWidth="1"/>
    <col min="24" max="24" width="12" style="3" hidden="1" customWidth="1"/>
    <col min="25" max="25" width="15.140625" style="8" hidden="1" customWidth="1"/>
    <col min="26" max="26" width="10.7109375" style="8" hidden="1" customWidth="1"/>
    <col min="27" max="27" width="12" style="8" hidden="1" customWidth="1"/>
    <col min="28" max="29" width="8.7109375" style="8" hidden="1" customWidth="1"/>
    <col min="30" max="30" width="8.42578125" style="8" hidden="1" customWidth="1"/>
    <col min="31" max="33" width="8.7109375" style="8" hidden="1" customWidth="1"/>
    <col min="34" max="34" width="11.28515625" style="8" bestFit="1" customWidth="1"/>
    <col min="35" max="35" width="11.85546875" style="8" bestFit="1" customWidth="1"/>
    <col min="36" max="36" width="10.7109375" style="8" bestFit="1" customWidth="1"/>
    <col min="37" max="37" width="9.28515625" style="8" customWidth="1"/>
    <col min="38" max="38" width="7.7109375" style="8" customWidth="1"/>
    <col min="39" max="39" width="7.28515625" style="8" customWidth="1"/>
    <col min="40" max="40" width="3.7109375" style="8" customWidth="1"/>
    <col min="41" max="44" width="3.140625" style="8" customWidth="1"/>
    <col min="45" max="45" width="4" style="3" customWidth="1"/>
    <col min="46" max="46" width="3.28515625" style="3" customWidth="1"/>
    <col min="47" max="49" width="3.140625" style="3" customWidth="1"/>
    <col min="50" max="50" width="9.28515625" style="3" customWidth="1"/>
    <col min="51" max="52" width="3.140625" style="3" customWidth="1"/>
    <col min="53" max="95" width="1.7109375" style="3" customWidth="1"/>
    <col min="96" max="16384" width="3" style="3"/>
  </cols>
  <sheetData>
    <row r="1" spans="2:66" ht="14.25" customHeight="1" x14ac:dyDescent="0.25">
      <c r="B1" s="4"/>
      <c r="C1" s="5"/>
      <c r="F1" s="6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6"/>
    </row>
    <row r="2" spans="2:66" ht="15.75" x14ac:dyDescent="0.25">
      <c r="B2" s="9" t="s">
        <v>0</v>
      </c>
      <c r="C2" s="10"/>
      <c r="D2" s="11"/>
      <c r="E2" s="11"/>
      <c r="F2" s="12"/>
      <c r="G2" s="11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2"/>
    </row>
    <row r="3" spans="2:66" s="40" customFormat="1" x14ac:dyDescent="0.2">
      <c r="B3" s="14"/>
      <c r="C3" s="5"/>
      <c r="D3" s="5"/>
      <c r="E3" s="5"/>
      <c r="F3" s="15"/>
      <c r="G3" s="667" t="s">
        <v>1</v>
      </c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9"/>
      <c r="U3" s="16"/>
      <c r="V3" s="5"/>
      <c r="Y3" s="390"/>
      <c r="Z3" s="390"/>
      <c r="AA3" s="390"/>
      <c r="AB3" s="390"/>
      <c r="AC3" s="390"/>
      <c r="AD3" s="390"/>
      <c r="AE3" s="390"/>
      <c r="AF3" s="390"/>
      <c r="AG3" s="390"/>
      <c r="AH3" s="390"/>
      <c r="AI3" s="390"/>
      <c r="AJ3" s="390"/>
      <c r="AK3" s="390"/>
      <c r="AL3" s="390"/>
      <c r="AM3" s="390"/>
      <c r="AN3" s="390"/>
      <c r="AO3" s="390"/>
      <c r="AP3" s="390"/>
      <c r="AQ3" s="390"/>
      <c r="AR3" s="390"/>
    </row>
    <row r="4" spans="2:66" s="40" customFormat="1" x14ac:dyDescent="0.2">
      <c r="B4" s="14"/>
      <c r="C4" s="5"/>
      <c r="D4" s="5"/>
      <c r="E4" s="5"/>
      <c r="F4" s="20"/>
      <c r="G4" s="21" t="s">
        <v>3</v>
      </c>
      <c r="H4" s="21" t="s">
        <v>4</v>
      </c>
      <c r="I4" s="22" t="s">
        <v>5</v>
      </c>
      <c r="J4" s="22" t="s">
        <v>6</v>
      </c>
      <c r="K4" s="22" t="s">
        <v>7</v>
      </c>
      <c r="L4" s="22" t="s">
        <v>8</v>
      </c>
      <c r="M4" s="22" t="s">
        <v>9</v>
      </c>
      <c r="N4" s="22" t="s">
        <v>10</v>
      </c>
      <c r="O4" s="22" t="s">
        <v>11</v>
      </c>
      <c r="P4" s="22" t="s">
        <v>12</v>
      </c>
      <c r="Q4" s="22" t="s">
        <v>13</v>
      </c>
      <c r="R4" s="22" t="s">
        <v>14</v>
      </c>
      <c r="S4" s="22" t="s">
        <v>15</v>
      </c>
      <c r="T4" s="23" t="s">
        <v>16</v>
      </c>
      <c r="U4" s="16"/>
      <c r="V4" s="5"/>
      <c r="W4" s="5"/>
      <c r="X4" s="5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5"/>
      <c r="AT4" s="5"/>
      <c r="AU4" s="5"/>
      <c r="AV4" s="5"/>
      <c r="AW4" s="5"/>
      <c r="AX4" s="5"/>
    </row>
    <row r="5" spans="2:66" s="40" customFormat="1" x14ac:dyDescent="0.2">
      <c r="B5" s="25" t="s">
        <v>17</v>
      </c>
      <c r="C5" s="26"/>
      <c r="D5" s="26"/>
      <c r="E5" s="26"/>
      <c r="F5" s="27" t="s">
        <v>18</v>
      </c>
      <c r="G5" s="28" t="s">
        <v>19</v>
      </c>
      <c r="H5" s="28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30"/>
      <c r="U5" s="16"/>
      <c r="V5" s="5"/>
      <c r="W5" s="5"/>
      <c r="X5" s="5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5"/>
      <c r="AT5" s="5"/>
      <c r="AU5" s="5"/>
      <c r="AV5" s="5"/>
      <c r="AW5" s="5"/>
      <c r="AX5" s="5"/>
    </row>
    <row r="6" spans="2:66" s="40" customFormat="1" x14ac:dyDescent="0.2">
      <c r="B6" s="32"/>
      <c r="C6" s="33"/>
      <c r="D6" s="33"/>
      <c r="E6" s="33"/>
      <c r="F6" s="34"/>
      <c r="G6" s="35"/>
      <c r="H6" s="36"/>
      <c r="I6" s="36"/>
      <c r="J6" s="36"/>
      <c r="K6" s="36"/>
      <c r="L6" s="36"/>
      <c r="M6" s="37"/>
      <c r="N6" s="37"/>
      <c r="O6" s="37"/>
      <c r="P6" s="37"/>
      <c r="Q6" s="37"/>
      <c r="R6" s="37"/>
      <c r="S6" s="37"/>
      <c r="T6" s="38"/>
      <c r="U6" s="16"/>
      <c r="V6" s="329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390"/>
      <c r="AL6" s="671"/>
      <c r="AM6" s="671"/>
      <c r="AN6" s="671"/>
      <c r="AO6" s="671"/>
      <c r="AP6" s="390"/>
      <c r="AQ6" s="390"/>
      <c r="AR6" s="390"/>
    </row>
    <row r="7" spans="2:66" s="40" customFormat="1" x14ac:dyDescent="0.2">
      <c r="B7" s="14" t="s">
        <v>20</v>
      </c>
      <c r="C7" s="5"/>
      <c r="F7" s="20">
        <v>1</v>
      </c>
      <c r="G7" s="36">
        <v>1694492121.8660131</v>
      </c>
      <c r="H7" s="36">
        <v>93283884.275460005</v>
      </c>
      <c r="I7" s="36">
        <v>106512134.41681997</v>
      </c>
      <c r="J7" s="36">
        <v>224189683.75835001</v>
      </c>
      <c r="K7" s="36">
        <v>86135375.092829973</v>
      </c>
      <c r="L7" s="36">
        <v>138637269.66596001</v>
      </c>
      <c r="M7" s="36">
        <v>135850869.15157002</v>
      </c>
      <c r="N7" s="36">
        <v>105123000.20174001</v>
      </c>
      <c r="O7" s="36"/>
      <c r="P7" s="36"/>
      <c r="Q7" s="36"/>
      <c r="R7" s="36"/>
      <c r="S7" s="36"/>
      <c r="T7" s="36">
        <v>889732216.56273007</v>
      </c>
      <c r="U7" s="43"/>
      <c r="V7" s="44">
        <v>1351672125</v>
      </c>
      <c r="W7" s="44">
        <v>99192221</v>
      </c>
      <c r="X7" s="45">
        <v>820711389</v>
      </c>
      <c r="Y7" s="41">
        <v>1238369459</v>
      </c>
      <c r="Z7" s="41">
        <v>83230717</v>
      </c>
      <c r="AA7" s="41">
        <v>593367722</v>
      </c>
      <c r="AB7" s="41">
        <v>-342819996.86601305</v>
      </c>
      <c r="AC7" s="41">
        <v>-5930779.2017400116</v>
      </c>
      <c r="AD7" s="41">
        <v>-69020827.562730074</v>
      </c>
      <c r="AE7" s="41">
        <v>-325947306.28896999</v>
      </c>
      <c r="AF7" s="41">
        <v>-15961504.386340007</v>
      </c>
      <c r="AG7" s="41">
        <v>-227343666.19388604</v>
      </c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125"/>
      <c r="AT7" s="125"/>
      <c r="AU7" s="125"/>
      <c r="AV7" s="125"/>
      <c r="AW7" s="125"/>
      <c r="AX7" s="125"/>
      <c r="AY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</row>
    <row r="8" spans="2:66" s="40" customFormat="1" x14ac:dyDescent="0.2">
      <c r="B8" s="16"/>
      <c r="F8" s="46"/>
      <c r="G8" s="47"/>
      <c r="H8" s="48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50"/>
      <c r="U8" s="43"/>
      <c r="V8" s="44"/>
      <c r="W8" s="296"/>
      <c r="X8" s="296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296"/>
      <c r="AT8" s="296"/>
      <c r="AU8" s="296"/>
      <c r="AV8" s="296"/>
      <c r="AW8" s="296"/>
      <c r="AX8" s="296"/>
    </row>
    <row r="9" spans="2:66" s="40" customFormat="1" x14ac:dyDescent="0.2">
      <c r="B9" s="14" t="s">
        <v>21</v>
      </c>
      <c r="C9" s="5"/>
      <c r="F9" s="20">
        <v>2</v>
      </c>
      <c r="G9" s="36">
        <v>2018227823</v>
      </c>
      <c r="H9" s="36">
        <v>138493389.50347</v>
      </c>
      <c r="I9" s="36">
        <v>123642173.95199999</v>
      </c>
      <c r="J9" s="36">
        <v>150351395</v>
      </c>
      <c r="K9" s="36">
        <v>215658163.014</v>
      </c>
      <c r="L9" s="36">
        <v>181302587</v>
      </c>
      <c r="M9" s="36">
        <v>139143564.07300001</v>
      </c>
      <c r="N9" s="36">
        <v>145687983</v>
      </c>
      <c r="O9" s="36"/>
      <c r="P9" s="36"/>
      <c r="Q9" s="36"/>
      <c r="R9" s="36"/>
      <c r="S9" s="36"/>
      <c r="T9" s="36">
        <v>1094279255.54247</v>
      </c>
      <c r="U9" s="43"/>
      <c r="V9" s="41">
        <v>1834252150</v>
      </c>
      <c r="W9" s="41" t="e">
        <v>#REF!</v>
      </c>
      <c r="X9" s="41" t="e">
        <v>#REF!</v>
      </c>
      <c r="Y9" s="41" t="e">
        <v>#REF!</v>
      </c>
      <c r="Z9" s="41" t="e">
        <v>#REF!</v>
      </c>
      <c r="AA9" s="41" t="e">
        <v>#REF!</v>
      </c>
      <c r="AB9" s="41">
        <v>-183975673</v>
      </c>
      <c r="AC9" s="41" t="e">
        <v>#REF!</v>
      </c>
      <c r="AD9" s="41" t="e">
        <v>#REF!</v>
      </c>
      <c r="AE9" s="41" t="e">
        <v>#REF!</v>
      </c>
      <c r="AF9" s="41" t="e">
        <v>#REF!</v>
      </c>
      <c r="AG9" s="41" t="e">
        <v>#REF!</v>
      </c>
      <c r="AH9" s="41"/>
      <c r="AI9" s="41"/>
      <c r="AJ9" s="41"/>
      <c r="AK9" s="51"/>
      <c r="AL9" s="51"/>
      <c r="AM9" s="51"/>
      <c r="AN9" s="51"/>
      <c r="AO9" s="51"/>
      <c r="AP9" s="51"/>
      <c r="AQ9" s="51"/>
      <c r="AR9" s="51"/>
      <c r="AS9" s="296"/>
      <c r="AT9" s="296"/>
      <c r="AU9" s="296"/>
      <c r="AV9" s="296"/>
      <c r="AW9" s="296"/>
      <c r="AX9" s="296"/>
    </row>
    <row r="10" spans="2:66" s="40" customFormat="1" x14ac:dyDescent="0.2">
      <c r="B10" s="14"/>
      <c r="C10" s="5"/>
      <c r="F10" s="20"/>
      <c r="G10" s="36"/>
      <c r="H10" s="36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43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51"/>
      <c r="AL10" s="51"/>
      <c r="AM10" s="51"/>
      <c r="AN10" s="51"/>
      <c r="AO10" s="51"/>
      <c r="AP10" s="51"/>
      <c r="AQ10" s="51"/>
      <c r="AR10" s="51"/>
      <c r="AS10" s="296"/>
      <c r="AT10" s="296"/>
      <c r="AU10" s="296"/>
      <c r="AV10" s="296"/>
      <c r="AW10" s="296"/>
      <c r="AX10" s="296"/>
    </row>
    <row r="11" spans="2:66" s="40" customFormat="1" x14ac:dyDescent="0.2">
      <c r="B11" s="54"/>
      <c r="C11" s="5" t="s">
        <v>22</v>
      </c>
      <c r="F11" s="20">
        <v>2</v>
      </c>
      <c r="G11" s="55">
        <v>1057028607</v>
      </c>
      <c r="H11" s="55">
        <v>85995101</v>
      </c>
      <c r="I11" s="55">
        <v>72269046</v>
      </c>
      <c r="J11" s="55">
        <v>73372195</v>
      </c>
      <c r="K11" s="55">
        <v>120451030</v>
      </c>
      <c r="L11" s="55">
        <v>85259339</v>
      </c>
      <c r="M11" s="55">
        <v>65273947</v>
      </c>
      <c r="N11" s="55">
        <v>90426120</v>
      </c>
      <c r="O11" s="55"/>
      <c r="P11" s="55"/>
      <c r="Q11" s="55"/>
      <c r="R11" s="55"/>
      <c r="S11" s="55"/>
      <c r="T11" s="42">
        <v>593046778</v>
      </c>
      <c r="U11" s="43"/>
      <c r="V11" s="41" t="e">
        <v>#REF!</v>
      </c>
      <c r="W11" s="41" t="e">
        <v>#REF!</v>
      </c>
      <c r="X11" s="41" t="e">
        <v>#REF!</v>
      </c>
      <c r="Y11" s="41" t="e">
        <v>#REF!</v>
      </c>
      <c r="Z11" s="41" t="e">
        <v>#REF!</v>
      </c>
      <c r="AA11" s="41" t="e">
        <v>#REF!</v>
      </c>
      <c r="AB11" s="41" t="e">
        <v>#REF!</v>
      </c>
      <c r="AC11" s="41" t="e">
        <v>#REF!</v>
      </c>
      <c r="AD11" s="41" t="e">
        <v>#REF!</v>
      </c>
      <c r="AE11" s="41" t="e">
        <v>#REF!</v>
      </c>
      <c r="AF11" s="41" t="e">
        <v>#REF!</v>
      </c>
      <c r="AG11" s="41" t="e">
        <v>#REF!</v>
      </c>
      <c r="AH11" s="41"/>
      <c r="AI11" s="41"/>
      <c r="AJ11" s="41"/>
      <c r="AK11" s="51"/>
      <c r="AL11" s="51"/>
      <c r="AM11" s="51"/>
      <c r="AN11" s="51"/>
      <c r="AO11" s="51"/>
      <c r="AP11" s="51"/>
      <c r="AQ11" s="51"/>
      <c r="AR11" s="51"/>
      <c r="AS11" s="296"/>
      <c r="AT11" s="296"/>
      <c r="AU11" s="296"/>
      <c r="AV11" s="296"/>
      <c r="AW11" s="296"/>
      <c r="AX11" s="296"/>
    </row>
    <row r="12" spans="2:66" s="40" customFormat="1" x14ac:dyDescent="0.2">
      <c r="B12" s="14"/>
      <c r="C12" s="5"/>
      <c r="F12" s="20"/>
      <c r="G12" s="36"/>
      <c r="H12" s="36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43"/>
      <c r="V12" s="4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296"/>
      <c r="AT12" s="296"/>
      <c r="AU12" s="296"/>
      <c r="AV12" s="296"/>
      <c r="AW12" s="296"/>
      <c r="AX12" s="296"/>
    </row>
    <row r="13" spans="2:66" s="40" customFormat="1" x14ac:dyDescent="0.2">
      <c r="B13" s="54"/>
      <c r="C13" s="5" t="s">
        <v>23</v>
      </c>
      <c r="F13" s="20">
        <v>2</v>
      </c>
      <c r="G13" s="55">
        <v>902658438</v>
      </c>
      <c r="H13" s="55">
        <v>52498288.503470004</v>
      </c>
      <c r="I13" s="55">
        <v>51373127.952</v>
      </c>
      <c r="J13" s="55">
        <v>76979200</v>
      </c>
      <c r="K13" s="55">
        <v>95207133.013999999</v>
      </c>
      <c r="L13" s="55">
        <v>96043248</v>
      </c>
      <c r="M13" s="55">
        <v>73869617.072999999</v>
      </c>
      <c r="N13" s="55">
        <v>55261863</v>
      </c>
      <c r="O13" s="55"/>
      <c r="P13" s="55"/>
      <c r="Q13" s="55"/>
      <c r="R13" s="55"/>
      <c r="S13" s="55"/>
      <c r="T13" s="55">
        <v>501232477.54246998</v>
      </c>
      <c r="U13" s="56"/>
      <c r="V13" s="41" t="e">
        <v>#REF!</v>
      </c>
      <c r="W13" s="41" t="e">
        <v>#REF!</v>
      </c>
      <c r="X13" s="41" t="e">
        <v>#REF!</v>
      </c>
      <c r="Y13" s="41" t="e">
        <v>#REF!</v>
      </c>
      <c r="Z13" s="41" t="e">
        <v>#REF!</v>
      </c>
      <c r="AA13" s="41" t="e">
        <v>#REF!</v>
      </c>
      <c r="AB13" s="41" t="e">
        <v>#REF!</v>
      </c>
      <c r="AC13" s="41" t="e">
        <v>#REF!</v>
      </c>
      <c r="AD13" s="41" t="e">
        <v>#REF!</v>
      </c>
      <c r="AE13" s="41">
        <v>0</v>
      </c>
      <c r="AF13" s="41" t="e">
        <v>#REF!</v>
      </c>
      <c r="AG13" s="41" t="e">
        <v>#REF!</v>
      </c>
      <c r="AH13" s="41"/>
      <c r="AI13" s="41"/>
      <c r="AJ13" s="41"/>
      <c r="AK13" s="51"/>
      <c r="AL13" s="51"/>
      <c r="AM13" s="51"/>
      <c r="AN13" s="51"/>
      <c r="AO13" s="51"/>
      <c r="AP13" s="51"/>
      <c r="AQ13" s="51"/>
      <c r="AR13" s="51"/>
      <c r="AS13" s="296"/>
      <c r="AT13" s="296"/>
      <c r="AU13" s="296"/>
      <c r="AV13" s="296"/>
      <c r="AW13" s="296"/>
      <c r="AX13" s="296"/>
    </row>
    <row r="14" spans="2:66" s="58" customFormat="1" x14ac:dyDescent="0.2">
      <c r="B14" s="54"/>
      <c r="C14" s="57"/>
      <c r="D14" s="58" t="s">
        <v>24</v>
      </c>
      <c r="F14" s="59"/>
      <c r="G14" s="60">
        <v>301806272</v>
      </c>
      <c r="H14" s="60">
        <v>3383917.5034699999</v>
      </c>
      <c r="I14" s="61">
        <v>2612522.952</v>
      </c>
      <c r="J14" s="61">
        <v>29876720</v>
      </c>
      <c r="K14" s="61">
        <v>46420658.013999999</v>
      </c>
      <c r="L14" s="61">
        <v>40543167</v>
      </c>
      <c r="M14" s="61">
        <v>24956108.072999999</v>
      </c>
      <c r="N14" s="61">
        <v>6483835</v>
      </c>
      <c r="O14" s="61"/>
      <c r="P14" s="61"/>
      <c r="Q14" s="61"/>
      <c r="R14" s="61"/>
      <c r="S14" s="61"/>
      <c r="T14" s="61">
        <v>154276928.54246998</v>
      </c>
      <c r="U14" s="63"/>
      <c r="V14" s="90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7"/>
      <c r="AT14" s="107"/>
      <c r="AU14" s="107"/>
      <c r="AV14" s="107"/>
      <c r="AW14" s="107"/>
      <c r="AX14" s="107"/>
    </row>
    <row r="15" spans="2:66" s="58" customFormat="1" x14ac:dyDescent="0.2">
      <c r="B15" s="54"/>
      <c r="C15" s="57"/>
      <c r="D15" s="58" t="s">
        <v>25</v>
      </c>
      <c r="F15" s="59"/>
      <c r="G15" s="60">
        <v>560756789</v>
      </c>
      <c r="H15" s="60">
        <v>46729733</v>
      </c>
      <c r="I15" s="61">
        <v>46729733</v>
      </c>
      <c r="J15" s="61">
        <v>46729733</v>
      </c>
      <c r="K15" s="61">
        <v>46729733</v>
      </c>
      <c r="L15" s="61">
        <v>46729733</v>
      </c>
      <c r="M15" s="61">
        <v>46729733</v>
      </c>
      <c r="N15" s="61">
        <v>46729733</v>
      </c>
      <c r="O15" s="61"/>
      <c r="P15" s="61"/>
      <c r="Q15" s="61"/>
      <c r="R15" s="61"/>
      <c r="S15" s="61"/>
      <c r="T15" s="61">
        <v>327108131</v>
      </c>
      <c r="U15" s="63"/>
      <c r="V15" s="90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7"/>
      <c r="AT15" s="107"/>
      <c r="AU15" s="107"/>
      <c r="AV15" s="107"/>
      <c r="AW15" s="107"/>
      <c r="AX15" s="107"/>
    </row>
    <row r="16" spans="2:66" s="58" customFormat="1" x14ac:dyDescent="0.2">
      <c r="B16" s="54"/>
      <c r="C16" s="57"/>
      <c r="D16" s="58" t="s">
        <v>26</v>
      </c>
      <c r="F16" s="59"/>
      <c r="G16" s="60">
        <v>15334823</v>
      </c>
      <c r="H16" s="60">
        <v>0</v>
      </c>
      <c r="I16" s="61">
        <v>0</v>
      </c>
      <c r="J16" s="61">
        <v>0</v>
      </c>
      <c r="K16" s="61">
        <v>0</v>
      </c>
      <c r="L16" s="61">
        <v>5111607</v>
      </c>
      <c r="M16" s="61">
        <v>0</v>
      </c>
      <c r="N16" s="61">
        <v>0</v>
      </c>
      <c r="O16" s="61"/>
      <c r="P16" s="61"/>
      <c r="Q16" s="61"/>
      <c r="R16" s="61"/>
      <c r="S16" s="61"/>
      <c r="T16" s="61">
        <v>5111607</v>
      </c>
      <c r="U16" s="63"/>
      <c r="V16" s="90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7"/>
      <c r="AT16" s="107"/>
      <c r="AU16" s="107"/>
      <c r="AV16" s="107"/>
      <c r="AW16" s="107"/>
      <c r="AX16" s="107"/>
    </row>
    <row r="17" spans="2:50" s="58" customFormat="1" x14ac:dyDescent="0.2">
      <c r="B17" s="54"/>
      <c r="C17" s="57"/>
      <c r="D17" s="58" t="s">
        <v>27</v>
      </c>
      <c r="F17" s="59"/>
      <c r="G17" s="60">
        <v>20619315</v>
      </c>
      <c r="H17" s="60">
        <v>1894466</v>
      </c>
      <c r="I17" s="61">
        <v>1656276</v>
      </c>
      <c r="J17" s="61">
        <v>340</v>
      </c>
      <c r="K17" s="61">
        <v>1612402</v>
      </c>
      <c r="L17" s="61">
        <v>3319943</v>
      </c>
      <c r="M17" s="61">
        <v>1666735</v>
      </c>
      <c r="N17" s="61">
        <v>1719424</v>
      </c>
      <c r="O17" s="61"/>
      <c r="P17" s="61"/>
      <c r="Q17" s="61"/>
      <c r="R17" s="61"/>
      <c r="S17" s="61"/>
      <c r="T17" s="61">
        <v>11869586</v>
      </c>
      <c r="U17" s="63"/>
      <c r="V17" s="90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7"/>
      <c r="AT17" s="107"/>
      <c r="AU17" s="107"/>
      <c r="AV17" s="107"/>
      <c r="AW17" s="107"/>
      <c r="AX17" s="107"/>
    </row>
    <row r="18" spans="2:50" s="58" customFormat="1" x14ac:dyDescent="0.2">
      <c r="B18" s="54"/>
      <c r="C18" s="57"/>
      <c r="D18" s="58" t="s">
        <v>28</v>
      </c>
      <c r="F18" s="59"/>
      <c r="G18" s="60">
        <v>4141239</v>
      </c>
      <c r="H18" s="60">
        <v>490172</v>
      </c>
      <c r="I18" s="61">
        <v>374596</v>
      </c>
      <c r="J18" s="61">
        <v>372407</v>
      </c>
      <c r="K18" s="61">
        <v>439148</v>
      </c>
      <c r="L18" s="61">
        <v>338798</v>
      </c>
      <c r="M18" s="61">
        <v>321574</v>
      </c>
      <c r="N18" s="61">
        <v>328871</v>
      </c>
      <c r="O18" s="61"/>
      <c r="P18" s="61"/>
      <c r="Q18" s="61"/>
      <c r="R18" s="61"/>
      <c r="S18" s="61"/>
      <c r="T18" s="61">
        <v>2665566</v>
      </c>
      <c r="U18" s="63"/>
      <c r="V18" s="90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7"/>
      <c r="AT18" s="107"/>
      <c r="AU18" s="107"/>
      <c r="AV18" s="107"/>
      <c r="AW18" s="107"/>
      <c r="AX18" s="107"/>
    </row>
    <row r="19" spans="2:50" s="40" customFormat="1" x14ac:dyDescent="0.2">
      <c r="B19" s="54"/>
      <c r="C19" s="5"/>
      <c r="D19" s="58" t="s">
        <v>131</v>
      </c>
      <c r="E19" s="58"/>
      <c r="F19" s="20"/>
      <c r="G19" s="60"/>
      <c r="H19" s="60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43"/>
      <c r="V19" s="4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296"/>
      <c r="AT19" s="296"/>
      <c r="AU19" s="296"/>
      <c r="AV19" s="296"/>
      <c r="AW19" s="296"/>
      <c r="AX19" s="296"/>
    </row>
    <row r="20" spans="2:50" s="67" customFormat="1" x14ac:dyDescent="0.2">
      <c r="B20" s="66"/>
      <c r="D20" s="68" t="s">
        <v>29</v>
      </c>
      <c r="F20" s="69"/>
      <c r="G20" s="70">
        <v>0</v>
      </c>
      <c r="H20" s="70">
        <v>0</v>
      </c>
      <c r="I20" s="70">
        <v>0</v>
      </c>
      <c r="J20" s="70">
        <v>0</v>
      </c>
      <c r="K20" s="70">
        <v>5192</v>
      </c>
      <c r="L20" s="70">
        <v>0</v>
      </c>
      <c r="M20" s="70">
        <v>195467</v>
      </c>
      <c r="N20" s="70">
        <v>0</v>
      </c>
      <c r="O20" s="70"/>
      <c r="P20" s="70"/>
      <c r="Q20" s="70"/>
      <c r="R20" s="70"/>
      <c r="S20" s="70"/>
      <c r="T20" s="70">
        <v>200659</v>
      </c>
      <c r="U20" s="71"/>
      <c r="V20" s="657"/>
      <c r="W20" s="657"/>
      <c r="X20" s="657"/>
      <c r="Y20" s="657"/>
      <c r="Z20" s="657"/>
      <c r="AA20" s="657"/>
      <c r="AB20" s="657"/>
      <c r="AC20" s="657"/>
      <c r="AD20" s="657"/>
      <c r="AE20" s="657"/>
      <c r="AF20" s="657"/>
      <c r="AG20" s="657"/>
      <c r="AH20" s="657"/>
      <c r="AI20" s="657"/>
      <c r="AJ20" s="657"/>
      <c r="AK20" s="657"/>
      <c r="AL20" s="657"/>
      <c r="AM20" s="657"/>
      <c r="AN20" s="657"/>
      <c r="AO20" s="657"/>
      <c r="AP20" s="657"/>
      <c r="AQ20" s="657"/>
      <c r="AR20" s="657"/>
    </row>
    <row r="21" spans="2:50" s="58" customFormat="1" x14ac:dyDescent="0.2">
      <c r="B21" s="72"/>
      <c r="D21" s="73" t="s">
        <v>132</v>
      </c>
      <c r="F21" s="74"/>
      <c r="G21" s="60">
        <v>0</v>
      </c>
      <c r="H21" s="60">
        <v>0</v>
      </c>
      <c r="I21" s="61">
        <v>0</v>
      </c>
      <c r="J21" s="61">
        <v>0</v>
      </c>
      <c r="K21" s="61">
        <v>5192</v>
      </c>
      <c r="L21" s="62">
        <v>0</v>
      </c>
      <c r="M21" s="60">
        <v>195467</v>
      </c>
      <c r="N21" s="61">
        <v>0</v>
      </c>
      <c r="O21" s="61"/>
      <c r="P21" s="61"/>
      <c r="Q21" s="61"/>
      <c r="R21" s="61"/>
      <c r="S21" s="61"/>
      <c r="T21" s="60">
        <v>200659</v>
      </c>
      <c r="U21" s="63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7"/>
      <c r="AT21" s="107"/>
      <c r="AU21" s="107"/>
      <c r="AV21" s="107"/>
      <c r="AW21" s="107"/>
      <c r="AX21" s="107"/>
    </row>
    <row r="22" spans="2:50" s="58" customFormat="1" hidden="1" x14ac:dyDescent="0.2">
      <c r="B22" s="72"/>
      <c r="D22" s="75" t="s">
        <v>30</v>
      </c>
      <c r="F22" s="74"/>
      <c r="G22" s="60">
        <v>0</v>
      </c>
      <c r="H22" s="60"/>
      <c r="I22" s="61">
        <v>0</v>
      </c>
      <c r="J22" s="61">
        <v>0</v>
      </c>
      <c r="K22" s="61">
        <v>0</v>
      </c>
      <c r="L22" s="62">
        <v>0</v>
      </c>
      <c r="M22" s="60">
        <v>0</v>
      </c>
      <c r="N22" s="61">
        <v>0</v>
      </c>
      <c r="O22" s="61"/>
      <c r="P22" s="61"/>
      <c r="Q22" s="61"/>
      <c r="R22" s="61"/>
      <c r="S22" s="61"/>
      <c r="T22" s="60">
        <v>0</v>
      </c>
      <c r="U22" s="63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7"/>
      <c r="AT22" s="107"/>
      <c r="AU22" s="107"/>
      <c r="AV22" s="107"/>
      <c r="AW22" s="107"/>
      <c r="AX22" s="107"/>
    </row>
    <row r="23" spans="2:50" s="40" customFormat="1" ht="13.15" hidden="1" customHeight="1" x14ac:dyDescent="0.2">
      <c r="B23" s="16"/>
      <c r="C23" s="67" t="s">
        <v>544</v>
      </c>
      <c r="D23" s="58"/>
      <c r="F23" s="46"/>
      <c r="G23" s="76">
        <v>0</v>
      </c>
      <c r="H23" s="60">
        <v>0</v>
      </c>
      <c r="I23" s="76">
        <v>0</v>
      </c>
      <c r="J23" s="76">
        <v>0</v>
      </c>
      <c r="K23" s="76">
        <v>0</v>
      </c>
      <c r="L23" s="76">
        <v>0</v>
      </c>
      <c r="M23" s="76">
        <v>0</v>
      </c>
      <c r="N23" s="76"/>
      <c r="O23" s="76"/>
      <c r="P23" s="76"/>
      <c r="Q23" s="76"/>
      <c r="R23" s="76"/>
      <c r="S23" s="76"/>
      <c r="T23" s="76">
        <v>0</v>
      </c>
      <c r="U23" s="43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296"/>
      <c r="AT23" s="296"/>
      <c r="AU23" s="296"/>
      <c r="AV23" s="296"/>
      <c r="AW23" s="296"/>
      <c r="AX23" s="296"/>
    </row>
    <row r="24" spans="2:50" s="58" customFormat="1" hidden="1" x14ac:dyDescent="0.2">
      <c r="B24" s="72"/>
      <c r="D24" s="73" t="s">
        <v>31</v>
      </c>
      <c r="F24" s="74"/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/>
      <c r="O24" s="60"/>
      <c r="P24" s="60"/>
      <c r="Q24" s="60"/>
      <c r="R24" s="61"/>
      <c r="S24" s="61"/>
      <c r="T24" s="61">
        <v>0</v>
      </c>
      <c r="U24" s="63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7"/>
      <c r="AT24" s="107"/>
      <c r="AU24" s="107"/>
      <c r="AV24" s="107"/>
      <c r="AW24" s="107"/>
      <c r="AX24" s="107"/>
    </row>
    <row r="25" spans="2:50" s="40" customFormat="1" hidden="1" x14ac:dyDescent="0.2">
      <c r="B25" s="14"/>
      <c r="D25" s="40" t="s">
        <v>32</v>
      </c>
      <c r="F25" s="20"/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/>
      <c r="O25" s="76"/>
      <c r="P25" s="76"/>
      <c r="Q25" s="76"/>
      <c r="R25" s="76"/>
      <c r="S25" s="76"/>
      <c r="T25" s="76">
        <v>0</v>
      </c>
      <c r="U25" s="43"/>
      <c r="V25" s="4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296"/>
      <c r="AT25" s="296"/>
      <c r="AU25" s="296"/>
      <c r="AV25" s="296"/>
      <c r="AW25" s="296"/>
      <c r="AX25" s="296"/>
    </row>
    <row r="26" spans="2:50" s="58" customFormat="1" hidden="1" x14ac:dyDescent="0.2">
      <c r="B26" s="54"/>
      <c r="D26" s="73" t="s">
        <v>31</v>
      </c>
      <c r="F26" s="59"/>
      <c r="G26" s="60">
        <v>0</v>
      </c>
      <c r="H26" s="60">
        <v>0</v>
      </c>
      <c r="I26" s="61">
        <v>0</v>
      </c>
      <c r="J26" s="61">
        <v>0</v>
      </c>
      <c r="K26" s="61">
        <v>0</v>
      </c>
      <c r="L26" s="61">
        <v>0</v>
      </c>
      <c r="M26" s="61">
        <v>0</v>
      </c>
      <c r="N26" s="61"/>
      <c r="O26" s="61"/>
      <c r="P26" s="61"/>
      <c r="Q26" s="61"/>
      <c r="R26" s="61"/>
      <c r="S26" s="61"/>
      <c r="T26" s="61">
        <v>0</v>
      </c>
      <c r="U26" s="63"/>
      <c r="V26" s="90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7"/>
      <c r="AT26" s="107"/>
      <c r="AU26" s="107"/>
      <c r="AV26" s="107"/>
      <c r="AW26" s="107"/>
      <c r="AX26" s="107"/>
    </row>
    <row r="27" spans="2:50" s="58" customFormat="1" x14ac:dyDescent="0.2">
      <c r="B27" s="54"/>
      <c r="C27" s="40" t="s">
        <v>33</v>
      </c>
      <c r="D27" s="73"/>
      <c r="F27" s="59"/>
      <c r="G27" s="60">
        <v>44706036</v>
      </c>
      <c r="H27" s="60">
        <v>0</v>
      </c>
      <c r="I27" s="61">
        <v>0</v>
      </c>
      <c r="J27" s="61">
        <v>0</v>
      </c>
      <c r="K27" s="61">
        <v>0</v>
      </c>
      <c r="L27" s="61">
        <v>0</v>
      </c>
      <c r="M27" s="61">
        <v>0</v>
      </c>
      <c r="N27" s="61">
        <v>0</v>
      </c>
      <c r="O27" s="61"/>
      <c r="P27" s="61"/>
      <c r="Q27" s="61"/>
      <c r="R27" s="61"/>
      <c r="S27" s="61"/>
      <c r="T27" s="61">
        <v>0</v>
      </c>
      <c r="U27" s="63"/>
      <c r="V27" s="90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7"/>
      <c r="AT27" s="107"/>
      <c r="AU27" s="107"/>
      <c r="AV27" s="107"/>
      <c r="AW27" s="107"/>
      <c r="AX27" s="107"/>
    </row>
    <row r="28" spans="2:50" s="58" customFormat="1" x14ac:dyDescent="0.2">
      <c r="B28" s="77"/>
      <c r="C28" s="78" t="s">
        <v>121</v>
      </c>
      <c r="D28" s="73"/>
      <c r="F28" s="59"/>
      <c r="G28" s="76">
        <v>14752085</v>
      </c>
      <c r="H28" s="60">
        <v>0</v>
      </c>
      <c r="I28" s="61">
        <v>0</v>
      </c>
      <c r="J28" s="61">
        <v>0</v>
      </c>
      <c r="K28" s="61">
        <v>0</v>
      </c>
      <c r="L28" s="61">
        <v>0</v>
      </c>
      <c r="M28" s="61">
        <v>0</v>
      </c>
      <c r="N28" s="61">
        <v>0</v>
      </c>
      <c r="O28" s="61"/>
      <c r="P28" s="61"/>
      <c r="Q28" s="61"/>
      <c r="R28" s="61"/>
      <c r="S28" s="61"/>
      <c r="T28" s="61">
        <v>0</v>
      </c>
      <c r="U28" s="63"/>
      <c r="V28" s="90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7"/>
      <c r="AT28" s="107"/>
      <c r="AU28" s="107"/>
      <c r="AV28" s="107"/>
      <c r="AW28" s="107"/>
      <c r="AX28" s="107"/>
    </row>
    <row r="29" spans="2:50" s="5" customFormat="1" hidden="1" x14ac:dyDescent="0.2">
      <c r="B29" s="54"/>
      <c r="C29" s="78" t="s">
        <v>122</v>
      </c>
      <c r="F29" s="20"/>
      <c r="G29" s="76">
        <v>0</v>
      </c>
      <c r="H29" s="60">
        <v>0</v>
      </c>
      <c r="I29" s="61">
        <v>0</v>
      </c>
      <c r="J29" s="61">
        <v>0</v>
      </c>
      <c r="K29" s="61">
        <v>0</v>
      </c>
      <c r="L29" s="61">
        <v>0</v>
      </c>
      <c r="M29" s="61">
        <v>0</v>
      </c>
      <c r="N29" s="61">
        <v>0</v>
      </c>
      <c r="O29" s="61"/>
      <c r="P29" s="61"/>
      <c r="Q29" s="61"/>
      <c r="R29" s="61"/>
      <c r="S29" s="61"/>
      <c r="T29" s="61">
        <v>0</v>
      </c>
      <c r="U29" s="8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125"/>
      <c r="AT29" s="125"/>
      <c r="AU29" s="125"/>
      <c r="AV29" s="125"/>
      <c r="AW29" s="125"/>
      <c r="AX29" s="125"/>
    </row>
    <row r="30" spans="2:50" s="5" customFormat="1" x14ac:dyDescent="0.2">
      <c r="B30" s="54"/>
      <c r="C30" s="78" t="s">
        <v>123</v>
      </c>
      <c r="F30" s="20"/>
      <c r="G30" s="76">
        <v>5000000</v>
      </c>
      <c r="H30" s="60">
        <v>0</v>
      </c>
      <c r="I30" s="61">
        <v>0</v>
      </c>
      <c r="J30" s="61">
        <v>0</v>
      </c>
      <c r="K30" s="61">
        <v>0</v>
      </c>
      <c r="L30" s="61">
        <v>0</v>
      </c>
      <c r="M30" s="61">
        <v>0</v>
      </c>
      <c r="N30" s="61">
        <v>0</v>
      </c>
      <c r="O30" s="61"/>
      <c r="P30" s="61"/>
      <c r="Q30" s="61"/>
      <c r="R30" s="61"/>
      <c r="S30" s="61"/>
      <c r="T30" s="61">
        <v>0</v>
      </c>
      <c r="U30" s="8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125"/>
      <c r="AT30" s="125"/>
      <c r="AU30" s="125"/>
      <c r="AV30" s="125"/>
      <c r="AW30" s="125"/>
      <c r="AX30" s="125"/>
    </row>
    <row r="31" spans="2:50" s="5" customFormat="1" x14ac:dyDescent="0.2">
      <c r="B31" s="54"/>
      <c r="C31" s="78" t="s">
        <v>124</v>
      </c>
      <c r="F31" s="20"/>
      <c r="G31" s="76">
        <v>-3917343</v>
      </c>
      <c r="H31" s="60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/>
      <c r="P31" s="61"/>
      <c r="Q31" s="61"/>
      <c r="R31" s="61"/>
      <c r="S31" s="61"/>
      <c r="T31" s="61">
        <v>0</v>
      </c>
      <c r="U31" s="8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125"/>
      <c r="AT31" s="125"/>
      <c r="AU31" s="125"/>
      <c r="AV31" s="125"/>
      <c r="AW31" s="125"/>
      <c r="AX31" s="125"/>
    </row>
    <row r="32" spans="2:50" s="5" customFormat="1" x14ac:dyDescent="0.2">
      <c r="B32" s="54"/>
      <c r="C32" s="78" t="s">
        <v>125</v>
      </c>
      <c r="F32" s="20"/>
      <c r="G32" s="76">
        <v>-2000000</v>
      </c>
      <c r="H32" s="60">
        <v>0</v>
      </c>
      <c r="I32" s="61">
        <v>0</v>
      </c>
      <c r="J32" s="61">
        <v>0</v>
      </c>
      <c r="K32" s="61">
        <v>0</v>
      </c>
      <c r="L32" s="61">
        <v>0</v>
      </c>
      <c r="M32" s="61">
        <v>0</v>
      </c>
      <c r="N32" s="61">
        <v>0</v>
      </c>
      <c r="O32" s="61"/>
      <c r="P32" s="61"/>
      <c r="Q32" s="61"/>
      <c r="R32" s="61"/>
      <c r="S32" s="61"/>
      <c r="T32" s="61">
        <v>0</v>
      </c>
      <c r="U32" s="8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125"/>
      <c r="AT32" s="125"/>
      <c r="AU32" s="125"/>
      <c r="AV32" s="125"/>
      <c r="AW32" s="125"/>
      <c r="AX32" s="125"/>
    </row>
    <row r="33" spans="2:64" s="5" customFormat="1" x14ac:dyDescent="0.2">
      <c r="B33" s="54"/>
      <c r="C33" s="78"/>
      <c r="F33" s="20"/>
      <c r="G33" s="76"/>
      <c r="H33" s="76"/>
      <c r="I33" s="42"/>
      <c r="J33" s="42"/>
      <c r="K33" s="79"/>
      <c r="L33" s="79"/>
      <c r="M33" s="42"/>
      <c r="N33" s="79"/>
      <c r="O33" s="42"/>
      <c r="P33" s="42"/>
      <c r="Q33" s="42"/>
      <c r="R33" s="42"/>
      <c r="S33" s="42"/>
      <c r="T33" s="79"/>
      <c r="U33" s="8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125"/>
      <c r="AT33" s="125"/>
      <c r="AU33" s="125"/>
      <c r="AV33" s="125"/>
      <c r="AW33" s="125"/>
      <c r="AX33" s="125"/>
    </row>
    <row r="34" spans="2:64" s="40" customFormat="1" x14ac:dyDescent="0.2">
      <c r="B34" s="14" t="s">
        <v>34</v>
      </c>
      <c r="C34" s="5"/>
      <c r="D34" s="5"/>
      <c r="E34" s="5"/>
      <c r="F34" s="20"/>
      <c r="G34" s="82">
        <v>-323735701.13398695</v>
      </c>
      <c r="H34" s="82">
        <f>-45209504.22801-1</f>
        <v>-45209505.228009999</v>
      </c>
      <c r="I34" s="82">
        <v>-17130039.535180017</v>
      </c>
      <c r="J34" s="82">
        <v>73838288.758350015</v>
      </c>
      <c r="K34" s="82">
        <v>-129522787.92117003</v>
      </c>
      <c r="L34" s="82">
        <v>-42665317.334039986</v>
      </c>
      <c r="M34" s="82">
        <v>-3292694.9214299917</v>
      </c>
      <c r="N34" s="82">
        <v>-40564982.798259988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3">
        <v>-204547038.9797399</v>
      </c>
      <c r="U34" s="43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125"/>
      <c r="AT34" s="125"/>
      <c r="AU34" s="125"/>
      <c r="AV34" s="125"/>
      <c r="AW34" s="125"/>
      <c r="AX34" s="125"/>
      <c r="AY34" s="296"/>
      <c r="AZ34" s="296"/>
    </row>
    <row r="35" spans="2:64" s="40" customFormat="1" x14ac:dyDescent="0.2">
      <c r="B35" s="16"/>
      <c r="F35" s="20"/>
      <c r="G35" s="84"/>
      <c r="H35" s="84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43"/>
      <c r="V35" s="4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296"/>
      <c r="AT35" s="296"/>
      <c r="AU35" s="296"/>
      <c r="AV35" s="296"/>
      <c r="AW35" s="296"/>
      <c r="AX35" s="296"/>
    </row>
    <row r="36" spans="2:64" s="40" customFormat="1" x14ac:dyDescent="0.2">
      <c r="B36" s="14"/>
      <c r="C36" s="5"/>
      <c r="F36" s="59"/>
      <c r="G36" s="86"/>
      <c r="H36" s="86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43"/>
      <c r="V36" s="4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296"/>
      <c r="AT36" s="296"/>
      <c r="AU36" s="296"/>
      <c r="AV36" s="296"/>
      <c r="AW36" s="296"/>
      <c r="AX36" s="296"/>
    </row>
    <row r="37" spans="2:64" s="40" customFormat="1" x14ac:dyDescent="0.2">
      <c r="B37" s="14" t="s">
        <v>35</v>
      </c>
      <c r="C37" s="5"/>
      <c r="F37" s="59"/>
      <c r="G37" s="88"/>
      <c r="H37" s="88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43"/>
      <c r="V37" s="4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296"/>
      <c r="AT37" s="296"/>
      <c r="AU37" s="296"/>
      <c r="AV37" s="296"/>
      <c r="AW37" s="296"/>
      <c r="AX37" s="296"/>
    </row>
    <row r="38" spans="2:64" s="40" customFormat="1" x14ac:dyDescent="0.2">
      <c r="B38" s="14"/>
      <c r="C38" s="5"/>
      <c r="F38" s="59"/>
      <c r="G38" s="88"/>
      <c r="H38" s="88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43"/>
      <c r="V38" s="4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296"/>
      <c r="AT38" s="296"/>
      <c r="AU38" s="296"/>
      <c r="AV38" s="296"/>
      <c r="AW38" s="296"/>
      <c r="AX38" s="296"/>
    </row>
    <row r="39" spans="2:64" s="40" customFormat="1" x14ac:dyDescent="0.2">
      <c r="B39" s="14" t="s">
        <v>36</v>
      </c>
      <c r="C39" s="57"/>
      <c r="E39" s="91"/>
      <c r="F39" s="20">
        <v>3</v>
      </c>
      <c r="G39" s="55">
        <v>-3400000</v>
      </c>
      <c r="H39" s="55">
        <v>1030450</v>
      </c>
      <c r="I39" s="55">
        <v>-592737</v>
      </c>
      <c r="J39" s="55">
        <v>3367677</v>
      </c>
      <c r="K39" s="55">
        <v>2072474</v>
      </c>
      <c r="L39" s="55">
        <v>-3444064</v>
      </c>
      <c r="M39" s="55">
        <v>-6180235</v>
      </c>
      <c r="N39" s="55">
        <v>-7686538</v>
      </c>
      <c r="O39" s="55"/>
      <c r="P39" s="55"/>
      <c r="Q39" s="55"/>
      <c r="R39" s="55"/>
      <c r="S39" s="55"/>
      <c r="T39" s="53">
        <v>-11432973</v>
      </c>
      <c r="U39" s="43"/>
      <c r="V39" s="41">
        <v>9000000</v>
      </c>
      <c r="W39" s="41">
        <v>-3832432</v>
      </c>
      <c r="X39" s="41">
        <v>-3078131</v>
      </c>
      <c r="Y39" s="41">
        <v>95325424</v>
      </c>
      <c r="Z39" s="41">
        <v>31098565</v>
      </c>
      <c r="AA39" s="41">
        <v>118004808</v>
      </c>
      <c r="AB39" s="41">
        <v>12400000</v>
      </c>
      <c r="AC39" s="41">
        <v>3854106</v>
      </c>
      <c r="AD39" s="41">
        <v>8354842</v>
      </c>
      <c r="AE39" s="41">
        <v>0</v>
      </c>
      <c r="AF39" s="41">
        <v>34930997</v>
      </c>
      <c r="AG39" s="41">
        <v>121082939</v>
      </c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</row>
    <row r="40" spans="2:64" s="40" customFormat="1" x14ac:dyDescent="0.2">
      <c r="B40" s="14"/>
      <c r="C40" s="57"/>
      <c r="F40" s="20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42"/>
      <c r="U40" s="43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</row>
    <row r="41" spans="2:64" s="40" customFormat="1" x14ac:dyDescent="0.2">
      <c r="B41" s="14" t="s">
        <v>37</v>
      </c>
      <c r="C41" s="57"/>
      <c r="F41" s="20">
        <v>3</v>
      </c>
      <c r="G41" s="55">
        <v>227774514</v>
      </c>
      <c r="H41" s="55">
        <v>20015505</v>
      </c>
      <c r="I41" s="55">
        <v>25455403</v>
      </c>
      <c r="J41" s="55">
        <v>23742808</v>
      </c>
      <c r="K41" s="55">
        <v>45716848</v>
      </c>
      <c r="L41" s="55">
        <v>29377866</v>
      </c>
      <c r="M41" s="55">
        <v>33075335</v>
      </c>
      <c r="N41" s="55">
        <v>28660775</v>
      </c>
      <c r="O41" s="55"/>
      <c r="P41" s="55"/>
      <c r="Q41" s="55"/>
      <c r="R41" s="55"/>
      <c r="S41" s="55"/>
      <c r="T41" s="53">
        <v>206044540</v>
      </c>
      <c r="U41" s="43"/>
      <c r="V41" s="41">
        <v>319185000</v>
      </c>
      <c r="W41" s="41">
        <v>27957835</v>
      </c>
      <c r="X41" s="41">
        <v>177903091</v>
      </c>
      <c r="Y41" s="41">
        <v>470195262.74399996</v>
      </c>
      <c r="Z41" s="41">
        <v>50571945</v>
      </c>
      <c r="AA41" s="41">
        <v>315721651.74399996</v>
      </c>
      <c r="AB41" s="41">
        <v>91410486</v>
      </c>
      <c r="AC41" s="41">
        <v>-702940</v>
      </c>
      <c r="AD41" s="41">
        <v>-28141449</v>
      </c>
      <c r="AE41" s="41">
        <v>0</v>
      </c>
      <c r="AF41" s="41">
        <v>22614110</v>
      </c>
      <c r="AG41" s="41">
        <v>137818560.74399996</v>
      </c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</row>
    <row r="42" spans="2:64" s="40" customFormat="1" x14ac:dyDescent="0.2">
      <c r="B42" s="16"/>
      <c r="F42" s="20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50"/>
      <c r="U42" s="43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</row>
    <row r="43" spans="2:64" s="40" customFormat="1" x14ac:dyDescent="0.2">
      <c r="B43" s="14" t="s">
        <v>38</v>
      </c>
      <c r="C43" s="57"/>
      <c r="F43" s="20">
        <v>3</v>
      </c>
      <c r="G43" s="36">
        <v>58059400</v>
      </c>
      <c r="H43" s="36">
        <v>46626420</v>
      </c>
      <c r="I43" s="36">
        <v>-15761600</v>
      </c>
      <c r="J43" s="36">
        <v>0</v>
      </c>
      <c r="K43" s="36">
        <v>0</v>
      </c>
      <c r="L43" s="36">
        <v>0</v>
      </c>
      <c r="M43" s="36">
        <v>6790681</v>
      </c>
      <c r="N43" s="36">
        <v>0</v>
      </c>
      <c r="O43" s="36"/>
      <c r="P43" s="36"/>
      <c r="Q43" s="36"/>
      <c r="R43" s="36"/>
      <c r="S43" s="36"/>
      <c r="T43" s="53">
        <v>37655501</v>
      </c>
      <c r="U43" s="92"/>
      <c r="V43" s="41">
        <v>41795000</v>
      </c>
      <c r="W43" s="41">
        <v>0</v>
      </c>
      <c r="X43" s="41">
        <v>10169566</v>
      </c>
      <c r="Y43" s="41">
        <v>77503430</v>
      </c>
      <c r="Z43" s="41">
        <v>5008164</v>
      </c>
      <c r="AA43" s="41">
        <v>77510397</v>
      </c>
      <c r="AB43" s="41">
        <v>-16264400</v>
      </c>
      <c r="AC43" s="41">
        <v>0</v>
      </c>
      <c r="AD43" s="41">
        <v>-27485935</v>
      </c>
      <c r="AE43" s="41">
        <v>0</v>
      </c>
      <c r="AF43" s="41">
        <v>5008164</v>
      </c>
      <c r="AG43" s="41">
        <v>67340831</v>
      </c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</row>
    <row r="44" spans="2:64" s="40" customFormat="1" x14ac:dyDescent="0.2">
      <c r="B44" s="14"/>
      <c r="C44" s="57"/>
      <c r="F44" s="4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50"/>
      <c r="U44" s="92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</row>
    <row r="45" spans="2:64" s="40" customFormat="1" x14ac:dyDescent="0.2">
      <c r="B45" s="14" t="s">
        <v>39</v>
      </c>
      <c r="C45" s="57"/>
      <c r="F45" s="20">
        <v>3</v>
      </c>
      <c r="G45" s="36">
        <v>41301787.13398695</v>
      </c>
      <c r="H45" s="36">
        <v>-22462869.771990001</v>
      </c>
      <c r="I45" s="36">
        <v>8028973.5351800174</v>
      </c>
      <c r="J45" s="36">
        <v>-100948773.75835001</v>
      </c>
      <c r="K45" s="36">
        <v>81733465.921170026</v>
      </c>
      <c r="L45" s="36">
        <v>16731515.334039986</v>
      </c>
      <c r="M45" s="36">
        <v>-30393086.078570008</v>
      </c>
      <c r="N45" s="36">
        <v>19590745.798259988</v>
      </c>
      <c r="O45" s="36"/>
      <c r="P45" s="36"/>
      <c r="Q45" s="36"/>
      <c r="R45" s="36"/>
      <c r="S45" s="36"/>
      <c r="T45" s="53">
        <v>-27720029.020260006</v>
      </c>
      <c r="U45" s="92"/>
      <c r="V45" s="41">
        <v>112600025.47646379</v>
      </c>
      <c r="W45" s="41">
        <v>12671526.501660004</v>
      </c>
      <c r="X45" s="41">
        <v>54252878.560154036</v>
      </c>
      <c r="Y45" s="41">
        <v>-92375236.557159662</v>
      </c>
      <c r="Z45" s="41">
        <v>-36949546.152860001</v>
      </c>
      <c r="AA45" s="41">
        <v>-94615765.652539998</v>
      </c>
      <c r="AB45" s="41">
        <v>71298238.342476845</v>
      </c>
      <c r="AC45" s="41">
        <v>-6919219.2965999842</v>
      </c>
      <c r="AD45" s="41">
        <v>81972907.580414042</v>
      </c>
      <c r="AE45" s="41">
        <v>0</v>
      </c>
      <c r="AF45" s="41">
        <v>-49621072.654520005</v>
      </c>
      <c r="AG45" s="41">
        <v>-148868645.21269405</v>
      </c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</row>
    <row r="46" spans="2:64" s="40" customFormat="1" x14ac:dyDescent="0.2">
      <c r="B46" s="14"/>
      <c r="C46" s="57"/>
      <c r="F46" s="2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4"/>
      <c r="U46" s="92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</row>
    <row r="47" spans="2:64" s="40" customFormat="1" x14ac:dyDescent="0.2">
      <c r="B47" s="14" t="s">
        <v>40</v>
      </c>
      <c r="C47" s="5"/>
      <c r="D47" s="5"/>
      <c r="E47" s="5"/>
      <c r="F47" s="46"/>
      <c r="G47" s="96">
        <v>323735701.13398695</v>
      </c>
      <c r="H47" s="96">
        <v>45209505.228009999</v>
      </c>
      <c r="I47" s="21">
        <v>17130039.535180017</v>
      </c>
      <c r="J47" s="21">
        <v>-73838288.758350015</v>
      </c>
      <c r="K47" s="21">
        <v>129522787.92117003</v>
      </c>
      <c r="L47" s="21">
        <v>42665317.334039986</v>
      </c>
      <c r="M47" s="21">
        <v>3292694.9214299917</v>
      </c>
      <c r="N47" s="21">
        <v>40564982.798259988</v>
      </c>
      <c r="O47" s="21">
        <v>0</v>
      </c>
      <c r="P47" s="22">
        <v>0</v>
      </c>
      <c r="Q47" s="21">
        <v>0</v>
      </c>
      <c r="R47" s="21">
        <v>0</v>
      </c>
      <c r="S47" s="21">
        <v>0</v>
      </c>
      <c r="T47" s="22">
        <v>204547038.97973999</v>
      </c>
      <c r="U47" s="92"/>
      <c r="V47" s="41">
        <v>482580025.47646379</v>
      </c>
      <c r="W47" s="41">
        <v>36796929.501660004</v>
      </c>
      <c r="X47" s="41">
        <v>239247404.56015402</v>
      </c>
      <c r="Y47" s="41">
        <v>550648880.1868403</v>
      </c>
      <c r="Z47" s="41">
        <v>49729127.847139999</v>
      </c>
      <c r="AA47" s="41">
        <v>416621091.09145999</v>
      </c>
      <c r="AB47" s="41">
        <v>158844324.34247684</v>
      </c>
      <c r="AC47" s="41">
        <v>-3768053.2965999842</v>
      </c>
      <c r="AD47" s="41">
        <v>34700365.580414027</v>
      </c>
      <c r="AE47" s="41">
        <v>0</v>
      </c>
      <c r="AF47" s="41">
        <v>12932198.345479995</v>
      </c>
      <c r="AG47" s="41">
        <v>177373685.53130597</v>
      </c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</row>
    <row r="48" spans="2:64" s="40" customFormat="1" x14ac:dyDescent="0.2">
      <c r="B48" s="97"/>
      <c r="C48" s="98"/>
      <c r="D48" s="98"/>
      <c r="E48" s="98"/>
      <c r="F48" s="99"/>
      <c r="G48" s="100"/>
      <c r="H48" s="100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43"/>
      <c r="V48" s="125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</row>
    <row r="49" spans="2:50" s="58" customFormat="1" ht="13.5" x14ac:dyDescent="0.25">
      <c r="B49" s="104" t="s">
        <v>41</v>
      </c>
      <c r="F49" s="105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7"/>
      <c r="V49" s="658"/>
      <c r="W49" s="107"/>
      <c r="X49" s="107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7"/>
      <c r="AT49" s="107"/>
      <c r="AU49" s="107"/>
      <c r="AV49" s="107"/>
      <c r="AW49" s="107"/>
      <c r="AX49" s="107"/>
    </row>
    <row r="50" spans="2:50" s="58" customFormat="1" ht="13.5" x14ac:dyDescent="0.25">
      <c r="B50" s="104" t="s">
        <v>42</v>
      </c>
      <c r="F50" s="105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7"/>
      <c r="V50" s="658"/>
      <c r="W50" s="107"/>
      <c r="X50" s="107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7"/>
      <c r="AT50" s="107"/>
      <c r="AU50" s="107"/>
      <c r="AV50" s="107"/>
      <c r="AW50" s="107"/>
      <c r="AX50" s="107"/>
    </row>
    <row r="51" spans="2:50" s="659" customFormat="1" ht="12.75" customHeight="1" x14ac:dyDescent="0.25">
      <c r="B51" s="104" t="s">
        <v>43</v>
      </c>
      <c r="G51" s="108"/>
      <c r="H51" s="109"/>
      <c r="I51" s="109"/>
      <c r="J51" s="109"/>
      <c r="K51" s="109"/>
      <c r="L51" s="108"/>
      <c r="M51" s="109"/>
      <c r="N51" s="109"/>
      <c r="O51" s="109"/>
      <c r="P51" s="109"/>
      <c r="Q51" s="109"/>
      <c r="R51" s="108"/>
      <c r="S51" s="109"/>
      <c r="T51" s="108"/>
      <c r="U51" s="660"/>
      <c r="V51" s="661"/>
      <c r="W51" s="660"/>
      <c r="X51" s="66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660"/>
      <c r="AT51" s="660"/>
      <c r="AU51" s="660"/>
      <c r="AV51" s="660"/>
      <c r="AW51" s="660"/>
      <c r="AX51" s="660"/>
    </row>
    <row r="52" spans="2:50" x14ac:dyDescent="0.25"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"/>
      <c r="V52" s="656"/>
      <c r="W52" s="1"/>
      <c r="X52" s="1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1"/>
      <c r="AT52" s="1"/>
      <c r="AU52" s="1"/>
      <c r="AV52" s="1"/>
      <c r="AW52" s="1"/>
      <c r="AX52" s="1"/>
    </row>
    <row r="53" spans="2:50" x14ac:dyDescent="0.25"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1"/>
      <c r="V53" s="656"/>
      <c r="W53" s="1"/>
      <c r="X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1"/>
      <c r="AT53" s="1"/>
      <c r="AU53" s="1"/>
      <c r="AV53" s="1"/>
      <c r="AW53" s="1"/>
      <c r="AX53" s="1"/>
    </row>
    <row r="54" spans="2:50" x14ac:dyDescent="0.25"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1"/>
      <c r="V54" s="656"/>
      <c r="W54" s="1"/>
      <c r="X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1"/>
      <c r="AT54" s="1"/>
      <c r="AU54" s="1"/>
      <c r="AV54" s="1"/>
      <c r="AW54" s="1"/>
      <c r="AX54" s="1"/>
    </row>
    <row r="55" spans="2:50" ht="16.5" customHeight="1" x14ac:dyDescent="0.25"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1"/>
      <c r="V55" s="656"/>
      <c r="W55" s="1"/>
      <c r="X55" s="1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1"/>
      <c r="AT55" s="1"/>
      <c r="AU55" s="1"/>
      <c r="AV55" s="1"/>
      <c r="AW55" s="1"/>
      <c r="AX55" s="1"/>
    </row>
    <row r="56" spans="2:50" x14ac:dyDescent="0.25"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1"/>
      <c r="V56" s="656"/>
      <c r="W56" s="1"/>
      <c r="X56" s="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1"/>
      <c r="AT56" s="1"/>
      <c r="AU56" s="1"/>
      <c r="AV56" s="1"/>
      <c r="AW56" s="1"/>
      <c r="AX56" s="1"/>
    </row>
    <row r="57" spans="2:50" x14ac:dyDescent="0.25"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1"/>
      <c r="V57" s="656"/>
      <c r="W57" s="1"/>
      <c r="X57" s="1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1"/>
      <c r="AT57" s="1"/>
      <c r="AU57" s="1"/>
      <c r="AV57" s="1"/>
      <c r="AW57" s="1"/>
      <c r="AX57" s="1"/>
    </row>
    <row r="58" spans="2:50" x14ac:dyDescent="0.25"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1"/>
      <c r="V58" s="656"/>
      <c r="W58" s="1"/>
      <c r="X58" s="1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1"/>
      <c r="AT58" s="1"/>
      <c r="AU58" s="1"/>
      <c r="AV58" s="1"/>
      <c r="AW58" s="1"/>
      <c r="AX58" s="1"/>
    </row>
    <row r="59" spans="2:50" x14ac:dyDescent="0.25"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1"/>
      <c r="V59" s="656"/>
      <c r="W59" s="1"/>
      <c r="X59" s="1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1"/>
      <c r="AT59" s="1"/>
      <c r="AU59" s="1"/>
      <c r="AV59" s="1"/>
      <c r="AW59" s="1"/>
      <c r="AX59" s="1"/>
    </row>
    <row r="60" spans="2:50" x14ac:dyDescent="0.25"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1"/>
      <c r="V60" s="656"/>
      <c r="W60" s="1"/>
      <c r="X60" s="1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1"/>
      <c r="AT60" s="1"/>
      <c r="AU60" s="1"/>
      <c r="AV60" s="1"/>
      <c r="AW60" s="1"/>
      <c r="AX60" s="1"/>
    </row>
    <row r="61" spans="2:50" x14ac:dyDescent="0.25"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1"/>
      <c r="V61" s="656"/>
      <c r="W61" s="1"/>
      <c r="X61" s="1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1"/>
      <c r="AT61" s="1"/>
      <c r="AU61" s="1"/>
      <c r="AV61" s="1"/>
      <c r="AW61" s="1"/>
      <c r="AX61" s="1"/>
    </row>
    <row r="62" spans="2:50" x14ac:dyDescent="0.25"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1"/>
      <c r="V62" s="656"/>
      <c r="W62" s="1"/>
      <c r="X62" s="1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1"/>
      <c r="AT62" s="1"/>
      <c r="AU62" s="1"/>
      <c r="AV62" s="1"/>
      <c r="AW62" s="1"/>
      <c r="AX62" s="1"/>
    </row>
    <row r="63" spans="2:50" x14ac:dyDescent="0.25"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1"/>
      <c r="V63" s="656"/>
      <c r="W63" s="1"/>
      <c r="X63" s="1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1"/>
      <c r="AT63" s="1"/>
      <c r="AU63" s="1"/>
      <c r="AV63" s="1"/>
      <c r="AW63" s="1"/>
      <c r="AX63" s="1"/>
    </row>
    <row r="64" spans="2:50" x14ac:dyDescent="0.25"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1"/>
      <c r="V64" s="656"/>
      <c r="W64" s="1"/>
      <c r="X64" s="1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1"/>
      <c r="AT64" s="1"/>
      <c r="AU64" s="1"/>
      <c r="AV64" s="1"/>
      <c r="AW64" s="1"/>
      <c r="AX64" s="1"/>
    </row>
    <row r="65" spans="7:50" x14ac:dyDescent="0.25"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1"/>
      <c r="V65" s="656"/>
      <c r="W65" s="1"/>
      <c r="X65" s="1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1"/>
      <c r="AT65" s="1"/>
      <c r="AU65" s="1"/>
      <c r="AV65" s="1"/>
      <c r="AW65" s="1"/>
      <c r="AX65" s="1"/>
    </row>
    <row r="66" spans="7:50" x14ac:dyDescent="0.25"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1"/>
      <c r="V66" s="656"/>
      <c r="W66" s="1"/>
      <c r="X66" s="1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1"/>
      <c r="AT66" s="1"/>
      <c r="AU66" s="1"/>
      <c r="AV66" s="1"/>
      <c r="AW66" s="1"/>
      <c r="AX66" s="1"/>
    </row>
    <row r="67" spans="7:50" x14ac:dyDescent="0.25"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1"/>
      <c r="V67" s="656"/>
      <c r="W67" s="1"/>
      <c r="X67" s="1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1"/>
      <c r="AT67" s="1"/>
      <c r="AU67" s="1"/>
      <c r="AV67" s="1"/>
      <c r="AW67" s="1"/>
      <c r="AX67" s="1"/>
    </row>
    <row r="68" spans="7:50" x14ac:dyDescent="0.25"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1"/>
      <c r="V68" s="656"/>
      <c r="W68" s="1"/>
      <c r="X68" s="1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1"/>
      <c r="AT68" s="1"/>
      <c r="AU68" s="1"/>
      <c r="AV68" s="1"/>
      <c r="AW68" s="1"/>
      <c r="AX68" s="1"/>
    </row>
    <row r="69" spans="7:50" x14ac:dyDescent="0.25"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1"/>
      <c r="V69" s="656"/>
      <c r="W69" s="1"/>
      <c r="X69" s="1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1"/>
      <c r="AT69" s="1"/>
      <c r="AU69" s="1"/>
      <c r="AV69" s="1"/>
      <c r="AW69" s="1"/>
      <c r="AX69" s="1"/>
    </row>
    <row r="70" spans="7:50" x14ac:dyDescent="0.25"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1"/>
      <c r="V70" s="656"/>
      <c r="W70" s="1"/>
      <c r="X70" s="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1"/>
      <c r="AT70" s="1"/>
      <c r="AU70" s="1"/>
      <c r="AV70" s="1"/>
      <c r="AW70" s="1"/>
      <c r="AX70" s="1"/>
    </row>
    <row r="71" spans="7:50" x14ac:dyDescent="0.25"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1"/>
      <c r="V71" s="656"/>
      <c r="W71" s="1"/>
      <c r="X71" s="1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1"/>
      <c r="AT71" s="1"/>
      <c r="AU71" s="1"/>
      <c r="AV71" s="1"/>
      <c r="AW71" s="1"/>
      <c r="AX71" s="1"/>
    </row>
    <row r="72" spans="7:50" x14ac:dyDescent="0.25"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1"/>
      <c r="V72" s="656"/>
      <c r="W72" s="1"/>
      <c r="X72" s="1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1"/>
      <c r="AT72" s="1"/>
      <c r="AU72" s="1"/>
      <c r="AV72" s="1"/>
      <c r="AW72" s="1"/>
      <c r="AX72" s="1"/>
    </row>
    <row r="73" spans="7:50" x14ac:dyDescent="0.25"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1"/>
      <c r="V73" s="656"/>
      <c r="W73" s="1"/>
      <c r="X73" s="1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1"/>
      <c r="AT73" s="1"/>
      <c r="AU73" s="1"/>
      <c r="AV73" s="1"/>
      <c r="AW73" s="1"/>
      <c r="AX73" s="1"/>
    </row>
    <row r="74" spans="7:50" x14ac:dyDescent="0.25"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1"/>
      <c r="V74" s="656"/>
      <c r="W74" s="1"/>
      <c r="X74" s="1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1"/>
      <c r="AT74" s="1"/>
      <c r="AU74" s="1"/>
      <c r="AV74" s="1"/>
      <c r="AW74" s="1"/>
      <c r="AX74" s="1"/>
    </row>
    <row r="75" spans="7:50" x14ac:dyDescent="0.25"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1"/>
      <c r="V75" s="656"/>
      <c r="W75" s="1"/>
      <c r="X75" s="1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1"/>
      <c r="AT75" s="1"/>
      <c r="AU75" s="1"/>
      <c r="AV75" s="1"/>
      <c r="AW75" s="1"/>
      <c r="AX75" s="1"/>
    </row>
    <row r="76" spans="7:50" x14ac:dyDescent="0.25"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1"/>
      <c r="V76" s="656"/>
      <c r="W76" s="1"/>
      <c r="X76" s="1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1"/>
      <c r="AT76" s="1"/>
      <c r="AU76" s="1"/>
      <c r="AV76" s="1"/>
      <c r="AW76" s="1"/>
      <c r="AX76" s="1"/>
    </row>
    <row r="77" spans="7:50" x14ac:dyDescent="0.25"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1"/>
      <c r="V77" s="656"/>
      <c r="W77" s="1"/>
      <c r="X77" s="1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1"/>
      <c r="AT77" s="1"/>
      <c r="AU77" s="1"/>
      <c r="AV77" s="1"/>
      <c r="AW77" s="1"/>
      <c r="AX77" s="1"/>
    </row>
    <row r="78" spans="7:50" x14ac:dyDescent="0.25"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1"/>
      <c r="V78" s="656"/>
      <c r="W78" s="1"/>
      <c r="X78" s="1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1"/>
      <c r="AT78" s="1"/>
      <c r="AU78" s="1"/>
      <c r="AV78" s="1"/>
      <c r="AW78" s="1"/>
      <c r="AX78" s="1"/>
    </row>
    <row r="79" spans="7:50" x14ac:dyDescent="0.25"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1"/>
      <c r="V79" s="656"/>
      <c r="W79" s="1"/>
      <c r="X79" s="1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1"/>
      <c r="AT79" s="1"/>
      <c r="AU79" s="1"/>
      <c r="AV79" s="1"/>
      <c r="AW79" s="1"/>
      <c r="AX79" s="1"/>
    </row>
    <row r="80" spans="7:50" x14ac:dyDescent="0.25"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1"/>
      <c r="V80" s="656"/>
      <c r="W80" s="1"/>
      <c r="X80" s="1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1"/>
      <c r="AT80" s="1"/>
      <c r="AU80" s="1"/>
      <c r="AV80" s="1"/>
      <c r="AW80" s="1"/>
      <c r="AX80" s="1"/>
    </row>
    <row r="81" spans="7:50" x14ac:dyDescent="0.25"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1"/>
      <c r="V81" s="656"/>
      <c r="W81" s="1"/>
      <c r="X81" s="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1"/>
      <c r="AT81" s="1"/>
      <c r="AU81" s="1"/>
      <c r="AV81" s="1"/>
      <c r="AW81" s="1"/>
      <c r="AX81" s="1"/>
    </row>
    <row r="82" spans="7:50" x14ac:dyDescent="0.25"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1"/>
      <c r="V82" s="656"/>
      <c r="W82" s="1"/>
      <c r="X82" s="1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1"/>
      <c r="AT82" s="1"/>
      <c r="AU82" s="1"/>
      <c r="AV82" s="1"/>
      <c r="AW82" s="1"/>
      <c r="AX82" s="1"/>
    </row>
    <row r="83" spans="7:50" x14ac:dyDescent="0.25"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1"/>
      <c r="V83" s="656"/>
      <c r="W83" s="1"/>
      <c r="X83" s="1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1"/>
      <c r="AT83" s="1"/>
      <c r="AU83" s="1"/>
      <c r="AV83" s="1"/>
      <c r="AW83" s="1"/>
      <c r="AX83" s="1"/>
    </row>
    <row r="84" spans="7:50" x14ac:dyDescent="0.25"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1"/>
      <c r="V84" s="656"/>
      <c r="W84" s="1"/>
      <c r="X84" s="1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1"/>
      <c r="AT84" s="1"/>
      <c r="AU84" s="1"/>
      <c r="AV84" s="1"/>
      <c r="AW84" s="1"/>
      <c r="AX84" s="1"/>
    </row>
    <row r="85" spans="7:50" x14ac:dyDescent="0.25"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1"/>
      <c r="V85" s="656"/>
      <c r="W85" s="1"/>
      <c r="X85" s="1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1"/>
      <c r="AT85" s="1"/>
      <c r="AU85" s="1"/>
      <c r="AV85" s="1"/>
      <c r="AW85" s="1"/>
      <c r="AX85" s="1"/>
    </row>
    <row r="86" spans="7:50" x14ac:dyDescent="0.25"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1"/>
      <c r="V86" s="656"/>
      <c r="W86" s="1"/>
      <c r="X86" s="1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1"/>
      <c r="AT86" s="1"/>
      <c r="AU86" s="1"/>
      <c r="AV86" s="1"/>
      <c r="AW86" s="1"/>
      <c r="AX86" s="1"/>
    </row>
    <row r="87" spans="7:50" x14ac:dyDescent="0.25"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1"/>
      <c r="V87" s="656"/>
      <c r="W87" s="1"/>
      <c r="X87" s="1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"/>
      <c r="AT87" s="1"/>
      <c r="AU87" s="1"/>
      <c r="AV87" s="1"/>
      <c r="AW87" s="1"/>
      <c r="AX87" s="1"/>
    </row>
    <row r="88" spans="7:50" x14ac:dyDescent="0.25"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1"/>
      <c r="V88" s="656"/>
      <c r="W88" s="1"/>
      <c r="X88" s="1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1"/>
      <c r="AT88" s="1"/>
      <c r="AU88" s="1"/>
      <c r="AV88" s="1"/>
      <c r="AW88" s="1"/>
      <c r="AX88" s="1"/>
    </row>
    <row r="89" spans="7:50" x14ac:dyDescent="0.25"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1"/>
      <c r="V89" s="656"/>
      <c r="W89" s="1"/>
      <c r="X89" s="1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1"/>
      <c r="AT89" s="1"/>
      <c r="AU89" s="1"/>
      <c r="AV89" s="1"/>
      <c r="AW89" s="1"/>
      <c r="AX89" s="1"/>
    </row>
    <row r="90" spans="7:50" x14ac:dyDescent="0.25"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1"/>
      <c r="V90" s="656"/>
      <c r="W90" s="1"/>
      <c r="X90" s="1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1"/>
      <c r="AT90" s="1"/>
      <c r="AU90" s="1"/>
      <c r="AV90" s="1"/>
      <c r="AW90" s="1"/>
      <c r="AX90" s="1"/>
    </row>
    <row r="91" spans="7:50" x14ac:dyDescent="0.25"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1"/>
      <c r="V91" s="656"/>
      <c r="W91" s="1"/>
      <c r="X91" s="1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1"/>
      <c r="AT91" s="1"/>
      <c r="AU91" s="1"/>
      <c r="AV91" s="1"/>
      <c r="AW91" s="1"/>
      <c r="AX91" s="1"/>
    </row>
    <row r="92" spans="7:50" x14ac:dyDescent="0.25"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1"/>
      <c r="V92" s="656"/>
      <c r="W92" s="1"/>
      <c r="X92" s="1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1"/>
      <c r="AT92" s="1"/>
      <c r="AU92" s="1"/>
      <c r="AV92" s="1"/>
      <c r="AW92" s="1"/>
      <c r="AX92" s="1"/>
    </row>
    <row r="93" spans="7:50" x14ac:dyDescent="0.25"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1"/>
      <c r="V93" s="656"/>
      <c r="W93" s="1"/>
      <c r="X93" s="1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1"/>
      <c r="AT93" s="1"/>
      <c r="AU93" s="1"/>
      <c r="AV93" s="1"/>
      <c r="AW93" s="1"/>
      <c r="AX93" s="1"/>
    </row>
    <row r="94" spans="7:50" x14ac:dyDescent="0.25"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1"/>
      <c r="V94" s="656"/>
      <c r="W94" s="1"/>
      <c r="X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1"/>
      <c r="AT94" s="1"/>
      <c r="AU94" s="1"/>
      <c r="AV94" s="1"/>
      <c r="AW94" s="1"/>
      <c r="AX94" s="1"/>
    </row>
    <row r="95" spans="7:50" x14ac:dyDescent="0.25"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1"/>
      <c r="V95" s="656"/>
      <c r="W95" s="1"/>
      <c r="X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1"/>
      <c r="AT95" s="1"/>
      <c r="AU95" s="1"/>
      <c r="AV95" s="1"/>
      <c r="AW95" s="1"/>
      <c r="AX95" s="1"/>
    </row>
    <row r="96" spans="7:50" x14ac:dyDescent="0.25"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"/>
      <c r="V96" s="656"/>
      <c r="W96" s="1"/>
      <c r="X96" s="1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"/>
      <c r="AT96" s="1"/>
      <c r="AU96" s="1"/>
      <c r="AV96" s="1"/>
      <c r="AW96" s="1"/>
      <c r="AX96" s="1"/>
    </row>
    <row r="97" spans="7:50" x14ac:dyDescent="0.25"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"/>
      <c r="V97" s="656"/>
      <c r="W97" s="1"/>
      <c r="X97" s="1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"/>
      <c r="AT97" s="1"/>
      <c r="AU97" s="1"/>
      <c r="AV97" s="1"/>
      <c r="AW97" s="1"/>
      <c r="AX97" s="1"/>
    </row>
    <row r="98" spans="7:50" x14ac:dyDescent="0.25"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1"/>
      <c r="V98" s="656"/>
      <c r="W98" s="1"/>
      <c r="X98" s="1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1"/>
      <c r="AT98" s="1"/>
      <c r="AU98" s="1"/>
      <c r="AV98" s="1"/>
      <c r="AW98" s="1"/>
      <c r="AX98" s="1"/>
    </row>
    <row r="99" spans="7:50" x14ac:dyDescent="0.25"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1"/>
      <c r="V99" s="656"/>
      <c r="W99" s="1"/>
      <c r="X99" s="1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1"/>
      <c r="AT99" s="1"/>
      <c r="AU99" s="1"/>
      <c r="AV99" s="1"/>
      <c r="AW99" s="1"/>
      <c r="AX99" s="1"/>
    </row>
    <row r="100" spans="7:50" x14ac:dyDescent="0.25"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1"/>
      <c r="V100" s="656"/>
      <c r="W100" s="1"/>
      <c r="X100" s="1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1"/>
      <c r="AT100" s="1"/>
      <c r="AU100" s="1"/>
      <c r="AV100" s="1"/>
      <c r="AW100" s="1"/>
      <c r="AX100" s="1"/>
    </row>
    <row r="101" spans="7:50" x14ac:dyDescent="0.25"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"/>
      <c r="V101" s="656"/>
      <c r="W101" s="1"/>
      <c r="X101" s="1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1"/>
      <c r="AT101" s="1"/>
      <c r="AU101" s="1"/>
      <c r="AV101" s="1"/>
      <c r="AW101" s="1"/>
      <c r="AX101" s="1"/>
    </row>
    <row r="102" spans="7:50" x14ac:dyDescent="0.25"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1"/>
      <c r="V102" s="656"/>
      <c r="W102" s="1"/>
      <c r="X102" s="1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1"/>
      <c r="AT102" s="1"/>
      <c r="AU102" s="1"/>
      <c r="AV102" s="1"/>
      <c r="AW102" s="1"/>
      <c r="AX102" s="1"/>
    </row>
    <row r="103" spans="7:50" x14ac:dyDescent="0.25"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"/>
      <c r="V103" s="656"/>
      <c r="W103" s="1"/>
      <c r="X103" s="1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1"/>
      <c r="AT103" s="1"/>
      <c r="AU103" s="1"/>
      <c r="AV103" s="1"/>
      <c r="AW103" s="1"/>
      <c r="AX103" s="1"/>
    </row>
    <row r="104" spans="7:50" x14ac:dyDescent="0.25"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1"/>
      <c r="V104" s="656"/>
      <c r="W104" s="1"/>
      <c r="X104" s="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1"/>
      <c r="AT104" s="1"/>
      <c r="AU104" s="1"/>
      <c r="AV104" s="1"/>
      <c r="AW104" s="1"/>
      <c r="AX104" s="1"/>
    </row>
    <row r="105" spans="7:50" x14ac:dyDescent="0.25"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1"/>
      <c r="V105" s="656"/>
      <c r="W105" s="1"/>
      <c r="X105" s="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1"/>
      <c r="AT105" s="1"/>
      <c r="AU105" s="1"/>
      <c r="AV105" s="1"/>
      <c r="AW105" s="1"/>
      <c r="AX105" s="1"/>
    </row>
    <row r="106" spans="7:50" x14ac:dyDescent="0.25"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1"/>
      <c r="V106" s="656"/>
      <c r="W106" s="1"/>
      <c r="X106" s="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1"/>
      <c r="AT106" s="1"/>
      <c r="AU106" s="1"/>
      <c r="AV106" s="1"/>
      <c r="AW106" s="1"/>
      <c r="AX106" s="1"/>
    </row>
    <row r="107" spans="7:50" x14ac:dyDescent="0.25"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1"/>
      <c r="V107" s="656"/>
      <c r="W107" s="1"/>
      <c r="X107" s="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1"/>
      <c r="AT107" s="1"/>
      <c r="AU107" s="1"/>
      <c r="AV107" s="1"/>
      <c r="AW107" s="1"/>
      <c r="AX107" s="1"/>
    </row>
    <row r="108" spans="7:50" x14ac:dyDescent="0.25"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1"/>
      <c r="V108" s="656"/>
      <c r="W108" s="1"/>
      <c r="X108" s="1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1"/>
      <c r="AT108" s="1"/>
      <c r="AU108" s="1"/>
      <c r="AV108" s="1"/>
      <c r="AW108" s="1"/>
      <c r="AX108" s="1"/>
    </row>
    <row r="109" spans="7:50" x14ac:dyDescent="0.25"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1"/>
      <c r="V109" s="656"/>
      <c r="W109" s="1"/>
      <c r="X109" s="1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1"/>
      <c r="AT109" s="1"/>
      <c r="AU109" s="1"/>
      <c r="AV109" s="1"/>
      <c r="AW109" s="1"/>
      <c r="AX109" s="1"/>
    </row>
    <row r="110" spans="7:50" x14ac:dyDescent="0.25"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1"/>
      <c r="V110" s="656"/>
      <c r="W110" s="1"/>
      <c r="X110" s="1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1"/>
      <c r="AT110" s="1"/>
      <c r="AU110" s="1"/>
      <c r="AV110" s="1"/>
      <c r="AW110" s="1"/>
      <c r="AX110" s="1"/>
    </row>
    <row r="111" spans="7:50" x14ac:dyDescent="0.25"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1"/>
      <c r="V111" s="656"/>
      <c r="W111" s="1"/>
      <c r="X111" s="1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1"/>
      <c r="AT111" s="1"/>
      <c r="AU111" s="1"/>
      <c r="AV111" s="1"/>
      <c r="AW111" s="1"/>
      <c r="AX111" s="1"/>
    </row>
    <row r="112" spans="7:50" x14ac:dyDescent="0.25"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656"/>
      <c r="W112" s="1"/>
      <c r="X112" s="1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1"/>
      <c r="AT112" s="1"/>
      <c r="AU112" s="1"/>
      <c r="AV112" s="1"/>
      <c r="AW112" s="1"/>
      <c r="AX112" s="1"/>
    </row>
    <row r="113" spans="7:50" x14ac:dyDescent="0.25"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656"/>
      <c r="W113" s="1"/>
      <c r="X113" s="1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1"/>
      <c r="AT113" s="1"/>
      <c r="AU113" s="1"/>
      <c r="AV113" s="1"/>
      <c r="AW113" s="1"/>
      <c r="AX113" s="1"/>
    </row>
    <row r="114" spans="7:50" x14ac:dyDescent="0.25"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656"/>
      <c r="W114" s="1"/>
      <c r="X114" s="1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1"/>
      <c r="AT114" s="1"/>
      <c r="AU114" s="1"/>
      <c r="AV114" s="1"/>
      <c r="AW114" s="1"/>
      <c r="AX114" s="1"/>
    </row>
    <row r="115" spans="7:50" x14ac:dyDescent="0.25"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656"/>
      <c r="W115" s="1"/>
      <c r="X115" s="1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1"/>
      <c r="AT115" s="1"/>
      <c r="AU115" s="1"/>
      <c r="AV115" s="1"/>
      <c r="AW115" s="1"/>
      <c r="AX115" s="1"/>
    </row>
    <row r="116" spans="7:50" x14ac:dyDescent="0.25"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656"/>
      <c r="W116" s="1"/>
      <c r="X116" s="1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1"/>
      <c r="AT116" s="1"/>
      <c r="AU116" s="1"/>
      <c r="AV116" s="1"/>
      <c r="AW116" s="1"/>
      <c r="AX116" s="1"/>
    </row>
    <row r="117" spans="7:50" x14ac:dyDescent="0.25"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656"/>
      <c r="W117" s="1"/>
      <c r="X117" s="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1"/>
      <c r="AT117" s="1"/>
      <c r="AU117" s="1"/>
      <c r="AV117" s="1"/>
      <c r="AW117" s="1"/>
      <c r="AX117" s="1"/>
    </row>
    <row r="118" spans="7:50" x14ac:dyDescent="0.25"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656"/>
      <c r="W118" s="1"/>
      <c r="X118" s="1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1"/>
      <c r="AT118" s="1"/>
      <c r="AU118" s="1"/>
      <c r="AV118" s="1"/>
      <c r="AW118" s="1"/>
      <c r="AX118" s="1"/>
    </row>
    <row r="119" spans="7:50" x14ac:dyDescent="0.25"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656"/>
      <c r="W119" s="1"/>
      <c r="X119" s="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1"/>
      <c r="AT119" s="1"/>
      <c r="AU119" s="1"/>
      <c r="AV119" s="1"/>
      <c r="AW119" s="1"/>
      <c r="AX119" s="1"/>
    </row>
    <row r="120" spans="7:50" x14ac:dyDescent="0.25"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656"/>
      <c r="W120" s="1"/>
      <c r="X120" s="1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1"/>
      <c r="AT120" s="1"/>
      <c r="AU120" s="1"/>
      <c r="AV120" s="1"/>
      <c r="AW120" s="1"/>
      <c r="AX120" s="1"/>
    </row>
    <row r="121" spans="7:50" x14ac:dyDescent="0.25"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656"/>
      <c r="W121" s="1"/>
      <c r="X121" s="1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1"/>
      <c r="AT121" s="1"/>
      <c r="AU121" s="1"/>
      <c r="AV121" s="1"/>
      <c r="AW121" s="1"/>
      <c r="AX121" s="1"/>
    </row>
    <row r="122" spans="7:50" x14ac:dyDescent="0.25"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656"/>
      <c r="W122" s="1"/>
      <c r="X122" s="1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1"/>
      <c r="AT122" s="1"/>
      <c r="AU122" s="1"/>
      <c r="AV122" s="1"/>
      <c r="AW122" s="1"/>
      <c r="AX122" s="1"/>
    </row>
    <row r="123" spans="7:50" x14ac:dyDescent="0.25"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656"/>
      <c r="W123" s="1"/>
      <c r="X123" s="1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1"/>
      <c r="AT123" s="1"/>
      <c r="AU123" s="1"/>
      <c r="AV123" s="1"/>
      <c r="AW123" s="1"/>
      <c r="AX123" s="1"/>
    </row>
    <row r="124" spans="7:50" x14ac:dyDescent="0.25"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656"/>
      <c r="W124" s="1"/>
      <c r="X124" s="1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1"/>
      <c r="AT124" s="1"/>
      <c r="AU124" s="1"/>
      <c r="AV124" s="1"/>
      <c r="AW124" s="1"/>
      <c r="AX124" s="1"/>
    </row>
    <row r="125" spans="7:50" x14ac:dyDescent="0.25"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656"/>
      <c r="W125" s="1"/>
      <c r="X125" s="1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1"/>
      <c r="AT125" s="1"/>
      <c r="AU125" s="1"/>
      <c r="AV125" s="1"/>
      <c r="AW125" s="1"/>
      <c r="AX125" s="1"/>
    </row>
    <row r="126" spans="7:50" x14ac:dyDescent="0.25"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656"/>
      <c r="W126" s="1"/>
      <c r="X126" s="1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1"/>
      <c r="AT126" s="1"/>
      <c r="AU126" s="1"/>
      <c r="AV126" s="1"/>
      <c r="AW126" s="1"/>
      <c r="AX126" s="1"/>
    </row>
    <row r="127" spans="7:50" x14ac:dyDescent="0.25"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656"/>
      <c r="W127" s="1"/>
      <c r="X127" s="1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1"/>
      <c r="AT127" s="1"/>
      <c r="AU127" s="1"/>
      <c r="AV127" s="1"/>
      <c r="AW127" s="1"/>
      <c r="AX127" s="1"/>
    </row>
    <row r="128" spans="7:50" x14ac:dyDescent="0.25"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656"/>
      <c r="W128" s="1"/>
      <c r="X128" s="1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1"/>
      <c r="AT128" s="1"/>
      <c r="AU128" s="1"/>
      <c r="AV128" s="1"/>
      <c r="AW128" s="1"/>
      <c r="AX128" s="1"/>
    </row>
    <row r="129" spans="7:50" x14ac:dyDescent="0.25"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656"/>
      <c r="W129" s="1"/>
      <c r="X129" s="1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1"/>
      <c r="AT129" s="1"/>
      <c r="AU129" s="1"/>
      <c r="AV129" s="1"/>
      <c r="AW129" s="1"/>
      <c r="AX129" s="1"/>
    </row>
    <row r="130" spans="7:50" x14ac:dyDescent="0.25"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656"/>
      <c r="W130" s="1"/>
      <c r="X130" s="1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1"/>
      <c r="AT130" s="1"/>
      <c r="AU130" s="1"/>
      <c r="AV130" s="1"/>
      <c r="AW130" s="1"/>
      <c r="AX130" s="1"/>
    </row>
    <row r="131" spans="7:50" x14ac:dyDescent="0.25"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656"/>
      <c r="W131" s="1"/>
      <c r="X131" s="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1"/>
      <c r="AT131" s="1"/>
      <c r="AU131" s="1"/>
      <c r="AV131" s="1"/>
      <c r="AW131" s="1"/>
      <c r="AX131" s="1"/>
    </row>
    <row r="132" spans="7:50" x14ac:dyDescent="0.25"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656"/>
      <c r="W132" s="1"/>
      <c r="X132" s="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1"/>
      <c r="AT132" s="1"/>
      <c r="AU132" s="1"/>
      <c r="AV132" s="1"/>
      <c r="AW132" s="1"/>
      <c r="AX132" s="1"/>
    </row>
    <row r="133" spans="7:50" x14ac:dyDescent="0.25"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656"/>
      <c r="W133" s="1"/>
      <c r="X133" s="1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1"/>
      <c r="AT133" s="1"/>
      <c r="AU133" s="1"/>
      <c r="AV133" s="1"/>
      <c r="AW133" s="1"/>
      <c r="AX133" s="1"/>
    </row>
    <row r="134" spans="7:50" x14ac:dyDescent="0.25"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656"/>
      <c r="W134" s="1"/>
      <c r="X134" s="1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1"/>
      <c r="AT134" s="1"/>
      <c r="AU134" s="1"/>
      <c r="AV134" s="1"/>
      <c r="AW134" s="1"/>
      <c r="AX134" s="1"/>
    </row>
    <row r="135" spans="7:50" x14ac:dyDescent="0.25"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656"/>
      <c r="W135" s="1"/>
      <c r="X135" s="1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1"/>
      <c r="AT135" s="1"/>
      <c r="AU135" s="1"/>
      <c r="AV135" s="1"/>
      <c r="AW135" s="1"/>
      <c r="AX135" s="1"/>
    </row>
    <row r="136" spans="7:50" x14ac:dyDescent="0.25"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656"/>
      <c r="W136" s="1"/>
      <c r="X136" s="1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1"/>
      <c r="AT136" s="1"/>
      <c r="AU136" s="1"/>
      <c r="AV136" s="1"/>
      <c r="AW136" s="1"/>
      <c r="AX136" s="1"/>
    </row>
    <row r="137" spans="7:50" x14ac:dyDescent="0.25"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656"/>
      <c r="W137" s="1"/>
      <c r="X137" s="1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1"/>
      <c r="AT137" s="1"/>
      <c r="AU137" s="1"/>
      <c r="AV137" s="1"/>
      <c r="AW137" s="1"/>
      <c r="AX137" s="1"/>
    </row>
    <row r="138" spans="7:50" x14ac:dyDescent="0.25"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656"/>
      <c r="W138" s="1"/>
      <c r="X138" s="1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1"/>
      <c r="AT138" s="1"/>
      <c r="AU138" s="1"/>
      <c r="AV138" s="1"/>
      <c r="AW138" s="1"/>
      <c r="AX138" s="1"/>
    </row>
    <row r="139" spans="7:50" x14ac:dyDescent="0.25"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656"/>
      <c r="W139" s="1"/>
      <c r="X139" s="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1"/>
      <c r="AT139" s="1"/>
      <c r="AU139" s="1"/>
      <c r="AV139" s="1"/>
      <c r="AW139" s="1"/>
      <c r="AX139" s="1"/>
    </row>
    <row r="140" spans="7:50" x14ac:dyDescent="0.25"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656"/>
      <c r="W140" s="1"/>
      <c r="X140" s="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1"/>
      <c r="AT140" s="1"/>
      <c r="AU140" s="1"/>
      <c r="AV140" s="1"/>
      <c r="AW140" s="1"/>
      <c r="AX140" s="1"/>
    </row>
    <row r="141" spans="7:50" x14ac:dyDescent="0.25"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656"/>
      <c r="W141" s="1"/>
      <c r="X141" s="1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1"/>
      <c r="AT141" s="1"/>
      <c r="AU141" s="1"/>
      <c r="AV141" s="1"/>
      <c r="AW141" s="1"/>
      <c r="AX141" s="1"/>
    </row>
    <row r="142" spans="7:50" x14ac:dyDescent="0.25"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656"/>
      <c r="W142" s="1"/>
      <c r="X142" s="1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1"/>
      <c r="AT142" s="1"/>
      <c r="AU142" s="1"/>
      <c r="AV142" s="1"/>
      <c r="AW142" s="1"/>
      <c r="AX142" s="1"/>
    </row>
    <row r="143" spans="7:50" x14ac:dyDescent="0.25"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656"/>
      <c r="W143" s="1"/>
      <c r="X143" s="1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1"/>
      <c r="AT143" s="1"/>
      <c r="AU143" s="1"/>
      <c r="AV143" s="1"/>
      <c r="AW143" s="1"/>
      <c r="AX143" s="1"/>
    </row>
    <row r="144" spans="7:50" x14ac:dyDescent="0.25"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656"/>
      <c r="W144" s="1"/>
      <c r="X144" s="1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1"/>
      <c r="AT144" s="1"/>
      <c r="AU144" s="1"/>
      <c r="AV144" s="1"/>
      <c r="AW144" s="1"/>
      <c r="AX144" s="1"/>
    </row>
    <row r="145" spans="7:50" x14ac:dyDescent="0.25"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656"/>
      <c r="W145" s="1"/>
      <c r="X145" s="1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1"/>
      <c r="AT145" s="1"/>
      <c r="AU145" s="1"/>
      <c r="AV145" s="1"/>
      <c r="AW145" s="1"/>
      <c r="AX145" s="1"/>
    </row>
    <row r="146" spans="7:50" x14ac:dyDescent="0.25"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656"/>
      <c r="W146" s="1"/>
      <c r="X146" s="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1"/>
      <c r="AT146" s="1"/>
      <c r="AU146" s="1"/>
      <c r="AV146" s="1"/>
      <c r="AW146" s="1"/>
      <c r="AX146" s="1"/>
    </row>
    <row r="147" spans="7:50" x14ac:dyDescent="0.25"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656"/>
      <c r="W147" s="1"/>
      <c r="X147" s="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1"/>
      <c r="AT147" s="1"/>
      <c r="AU147" s="1"/>
      <c r="AV147" s="1"/>
      <c r="AW147" s="1"/>
      <c r="AX147" s="1"/>
    </row>
    <row r="148" spans="7:50" x14ac:dyDescent="0.25"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656"/>
      <c r="W148" s="1"/>
      <c r="X148" s="1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1"/>
      <c r="AT148" s="1"/>
      <c r="AU148" s="1"/>
      <c r="AV148" s="1"/>
      <c r="AW148" s="1"/>
      <c r="AX148" s="1"/>
    </row>
    <row r="149" spans="7:50" x14ac:dyDescent="0.25"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656"/>
      <c r="W149" s="1"/>
      <c r="X149" s="1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1"/>
      <c r="AT149" s="1"/>
      <c r="AU149" s="1"/>
      <c r="AV149" s="1"/>
      <c r="AW149" s="1"/>
      <c r="AX149" s="1"/>
    </row>
    <row r="150" spans="7:50" x14ac:dyDescent="0.25"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656"/>
      <c r="W150" s="1"/>
      <c r="X150" s="1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1"/>
      <c r="AT150" s="1"/>
      <c r="AU150" s="1"/>
      <c r="AV150" s="1"/>
      <c r="AW150" s="1"/>
      <c r="AX150" s="1"/>
    </row>
    <row r="151" spans="7:50" x14ac:dyDescent="0.25"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656"/>
      <c r="W151" s="1"/>
      <c r="X151" s="1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1"/>
      <c r="AT151" s="1"/>
      <c r="AU151" s="1"/>
      <c r="AV151" s="1"/>
      <c r="AW151" s="1"/>
      <c r="AX151" s="1"/>
    </row>
    <row r="152" spans="7:50" x14ac:dyDescent="0.25"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656"/>
      <c r="W152" s="1"/>
      <c r="X152" s="1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1"/>
      <c r="AT152" s="1"/>
      <c r="AU152" s="1"/>
      <c r="AV152" s="1"/>
      <c r="AW152" s="1"/>
      <c r="AX152" s="1"/>
    </row>
    <row r="153" spans="7:50" x14ac:dyDescent="0.25"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656"/>
      <c r="W153" s="1"/>
      <c r="X153" s="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1"/>
      <c r="AT153" s="1"/>
      <c r="AU153" s="1"/>
      <c r="AV153" s="1"/>
      <c r="AW153" s="1"/>
      <c r="AX153" s="1"/>
    </row>
    <row r="154" spans="7:50" x14ac:dyDescent="0.25"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656"/>
      <c r="W154" s="1"/>
      <c r="X154" s="1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1"/>
      <c r="AT154" s="1"/>
      <c r="AU154" s="1"/>
      <c r="AV154" s="1"/>
      <c r="AW154" s="1"/>
      <c r="AX154" s="1"/>
    </row>
    <row r="155" spans="7:50" x14ac:dyDescent="0.25"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656"/>
      <c r="W155" s="1"/>
      <c r="X155" s="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1"/>
      <c r="AT155" s="1"/>
      <c r="AU155" s="1"/>
      <c r="AV155" s="1"/>
      <c r="AW155" s="1"/>
      <c r="AX155" s="1"/>
    </row>
    <row r="156" spans="7:50" x14ac:dyDescent="0.25"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656"/>
      <c r="W156" s="1"/>
      <c r="X156" s="1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1"/>
      <c r="AT156" s="1"/>
      <c r="AU156" s="1"/>
      <c r="AV156" s="1"/>
      <c r="AW156" s="1"/>
      <c r="AX156" s="1"/>
    </row>
    <row r="157" spans="7:50" x14ac:dyDescent="0.25"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656"/>
      <c r="W157" s="1"/>
      <c r="X157" s="1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1"/>
      <c r="AT157" s="1"/>
      <c r="AU157" s="1"/>
      <c r="AV157" s="1"/>
      <c r="AW157" s="1"/>
      <c r="AX157" s="1"/>
    </row>
    <row r="158" spans="7:50" x14ac:dyDescent="0.25"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656"/>
      <c r="W158" s="1"/>
      <c r="X158" s="1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1"/>
      <c r="AT158" s="1"/>
      <c r="AU158" s="1"/>
      <c r="AV158" s="1"/>
      <c r="AW158" s="1"/>
      <c r="AX158" s="1"/>
    </row>
    <row r="159" spans="7:50" x14ac:dyDescent="0.25"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656"/>
      <c r="W159" s="1"/>
      <c r="X159" s="1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1"/>
      <c r="AT159" s="1"/>
      <c r="AU159" s="1"/>
      <c r="AV159" s="1"/>
      <c r="AW159" s="1"/>
      <c r="AX159" s="1"/>
    </row>
    <row r="160" spans="7:50" x14ac:dyDescent="0.25"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656"/>
      <c r="W160" s="1"/>
      <c r="X160" s="1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1"/>
      <c r="AT160" s="1"/>
      <c r="AU160" s="1"/>
      <c r="AV160" s="1"/>
      <c r="AW160" s="1"/>
      <c r="AX160" s="1"/>
    </row>
    <row r="161" spans="7:50" x14ac:dyDescent="0.25"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656"/>
      <c r="W161" s="1"/>
      <c r="X161" s="1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1"/>
      <c r="AT161" s="1"/>
      <c r="AU161" s="1"/>
      <c r="AV161" s="1"/>
      <c r="AW161" s="1"/>
      <c r="AX161" s="1"/>
    </row>
    <row r="162" spans="7:50" x14ac:dyDescent="0.25"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656"/>
      <c r="W162" s="1"/>
      <c r="X162" s="1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1"/>
      <c r="AT162" s="1"/>
      <c r="AU162" s="1"/>
      <c r="AV162" s="1"/>
      <c r="AW162" s="1"/>
      <c r="AX162" s="1"/>
    </row>
    <row r="163" spans="7:50" x14ac:dyDescent="0.25"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656"/>
      <c r="W163" s="1"/>
      <c r="X163" s="1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1"/>
      <c r="AT163" s="1"/>
      <c r="AU163" s="1"/>
      <c r="AV163" s="1"/>
      <c r="AW163" s="1"/>
      <c r="AX163" s="1"/>
    </row>
    <row r="164" spans="7:50" x14ac:dyDescent="0.25"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656"/>
      <c r="W164" s="1"/>
      <c r="X164" s="1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1"/>
      <c r="AT164" s="1"/>
      <c r="AU164" s="1"/>
      <c r="AV164" s="1"/>
      <c r="AW164" s="1"/>
      <c r="AX164" s="1"/>
    </row>
    <row r="165" spans="7:50" x14ac:dyDescent="0.25"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656"/>
      <c r="W165" s="1"/>
      <c r="X165" s="1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1"/>
      <c r="AT165" s="1"/>
      <c r="AU165" s="1"/>
      <c r="AV165" s="1"/>
      <c r="AW165" s="1"/>
      <c r="AX165" s="1"/>
    </row>
    <row r="166" spans="7:50" x14ac:dyDescent="0.25"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656"/>
      <c r="W166" s="1"/>
      <c r="X166" s="1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1"/>
      <c r="AT166" s="1"/>
      <c r="AU166" s="1"/>
      <c r="AV166" s="1"/>
      <c r="AW166" s="1"/>
      <c r="AX166" s="1"/>
    </row>
    <row r="167" spans="7:50" x14ac:dyDescent="0.25"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656"/>
      <c r="W167" s="1"/>
      <c r="X167" s="1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1"/>
      <c r="AT167" s="1"/>
      <c r="AU167" s="1"/>
      <c r="AV167" s="1"/>
      <c r="AW167" s="1"/>
      <c r="AX167" s="1"/>
    </row>
    <row r="168" spans="7:50" x14ac:dyDescent="0.25"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656"/>
      <c r="W168" s="1"/>
      <c r="X168" s="1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1"/>
      <c r="AT168" s="1"/>
      <c r="AU168" s="1"/>
      <c r="AV168" s="1"/>
      <c r="AW168" s="1"/>
      <c r="AX168" s="1"/>
    </row>
    <row r="169" spans="7:50" x14ac:dyDescent="0.25"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656"/>
      <c r="W169" s="1"/>
      <c r="X169" s="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1"/>
      <c r="AT169" s="1"/>
      <c r="AU169" s="1"/>
      <c r="AV169" s="1"/>
      <c r="AW169" s="1"/>
      <c r="AX169" s="1"/>
    </row>
    <row r="170" spans="7:50" x14ac:dyDescent="0.25"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656"/>
      <c r="W170" s="1"/>
      <c r="X170" s="1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1"/>
      <c r="AT170" s="1"/>
      <c r="AU170" s="1"/>
      <c r="AV170" s="1"/>
      <c r="AW170" s="1"/>
      <c r="AX170" s="1"/>
    </row>
    <row r="171" spans="7:50" x14ac:dyDescent="0.25"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656"/>
      <c r="W171" s="1"/>
      <c r="X171" s="1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1"/>
      <c r="AT171" s="1"/>
      <c r="AU171" s="1"/>
      <c r="AV171" s="1"/>
      <c r="AW171" s="1"/>
      <c r="AX171" s="1"/>
    </row>
    <row r="172" spans="7:50" x14ac:dyDescent="0.25"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656"/>
      <c r="W172" s="1"/>
      <c r="X172" s="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1"/>
      <c r="AT172" s="1"/>
      <c r="AU172" s="1"/>
      <c r="AV172" s="1"/>
      <c r="AW172" s="1"/>
      <c r="AX172" s="1"/>
    </row>
    <row r="173" spans="7:50" x14ac:dyDescent="0.25"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656"/>
      <c r="W173" s="1"/>
      <c r="X173" s="1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1"/>
      <c r="AT173" s="1"/>
      <c r="AU173" s="1"/>
      <c r="AV173" s="1"/>
      <c r="AW173" s="1"/>
      <c r="AX173" s="1"/>
    </row>
    <row r="174" spans="7:50" x14ac:dyDescent="0.25"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656"/>
      <c r="W174" s="1"/>
      <c r="X174" s="1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1"/>
      <c r="AT174" s="1"/>
      <c r="AU174" s="1"/>
      <c r="AV174" s="1"/>
      <c r="AW174" s="1"/>
      <c r="AX174" s="1"/>
    </row>
    <row r="175" spans="7:50" x14ac:dyDescent="0.25"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656"/>
      <c r="W175" s="1"/>
      <c r="X175" s="1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1"/>
      <c r="AT175" s="1"/>
      <c r="AU175" s="1"/>
      <c r="AV175" s="1"/>
      <c r="AW175" s="1"/>
      <c r="AX175" s="1"/>
    </row>
    <row r="176" spans="7:50" x14ac:dyDescent="0.25"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656"/>
      <c r="W176" s="1"/>
      <c r="X176" s="1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1"/>
      <c r="AT176" s="1"/>
      <c r="AU176" s="1"/>
      <c r="AV176" s="1"/>
      <c r="AW176" s="1"/>
      <c r="AX176" s="1"/>
    </row>
    <row r="177" spans="7:50" x14ac:dyDescent="0.25"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656"/>
      <c r="W177" s="1"/>
      <c r="X177" s="1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1"/>
      <c r="AT177" s="1"/>
      <c r="AU177" s="1"/>
      <c r="AV177" s="1"/>
      <c r="AW177" s="1"/>
      <c r="AX177" s="1"/>
    </row>
    <row r="178" spans="7:50" x14ac:dyDescent="0.25"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656"/>
      <c r="W178" s="1"/>
      <c r="X178" s="1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1"/>
      <c r="AT178" s="1"/>
      <c r="AU178" s="1"/>
      <c r="AV178" s="1"/>
      <c r="AW178" s="1"/>
      <c r="AX178" s="1"/>
    </row>
    <row r="179" spans="7:50" x14ac:dyDescent="0.25"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656"/>
      <c r="W179" s="1"/>
      <c r="X179" s="1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1"/>
      <c r="AT179" s="1"/>
      <c r="AU179" s="1"/>
      <c r="AV179" s="1"/>
      <c r="AW179" s="1"/>
      <c r="AX179" s="1"/>
    </row>
    <row r="180" spans="7:50" x14ac:dyDescent="0.25"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656"/>
      <c r="W180" s="1"/>
      <c r="X180" s="1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1"/>
      <c r="AT180" s="1"/>
      <c r="AU180" s="1"/>
      <c r="AV180" s="1"/>
      <c r="AW180" s="1"/>
      <c r="AX180" s="1"/>
    </row>
    <row r="181" spans="7:50" x14ac:dyDescent="0.25"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656"/>
      <c r="W181" s="1"/>
      <c r="X181" s="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1"/>
      <c r="AT181" s="1"/>
      <c r="AU181" s="1"/>
      <c r="AV181" s="1"/>
      <c r="AW181" s="1"/>
      <c r="AX181" s="1"/>
    </row>
    <row r="182" spans="7:50" x14ac:dyDescent="0.25"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656"/>
      <c r="W182" s="1"/>
      <c r="X182" s="1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1"/>
      <c r="AT182" s="1"/>
      <c r="AU182" s="1"/>
      <c r="AV182" s="1"/>
      <c r="AW182" s="1"/>
      <c r="AX182" s="1"/>
    </row>
    <row r="183" spans="7:50" x14ac:dyDescent="0.25"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656"/>
      <c r="W183" s="1"/>
      <c r="X183" s="1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1"/>
      <c r="AT183" s="1"/>
      <c r="AU183" s="1"/>
      <c r="AV183" s="1"/>
      <c r="AW183" s="1"/>
      <c r="AX183" s="1"/>
    </row>
    <row r="184" spans="7:50" x14ac:dyDescent="0.25"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656"/>
      <c r="W184" s="1"/>
      <c r="X184" s="1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1"/>
      <c r="AT184" s="1"/>
      <c r="AU184" s="1"/>
      <c r="AV184" s="1"/>
      <c r="AW184" s="1"/>
      <c r="AX184" s="1"/>
    </row>
    <row r="185" spans="7:50" x14ac:dyDescent="0.25"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656"/>
      <c r="W185" s="1"/>
      <c r="X185" s="1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1"/>
      <c r="AT185" s="1"/>
      <c r="AU185" s="1"/>
      <c r="AV185" s="1"/>
      <c r="AW185" s="1"/>
      <c r="AX185" s="1"/>
    </row>
    <row r="186" spans="7:50" x14ac:dyDescent="0.25"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656"/>
      <c r="W186" s="1"/>
      <c r="X186" s="1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1"/>
      <c r="AT186" s="1"/>
      <c r="AU186" s="1"/>
      <c r="AV186" s="1"/>
      <c r="AW186" s="1"/>
      <c r="AX186" s="1"/>
    </row>
    <row r="187" spans="7:50" x14ac:dyDescent="0.25"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656"/>
      <c r="W187" s="1"/>
      <c r="X187" s="1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1"/>
      <c r="AT187" s="1"/>
      <c r="AU187" s="1"/>
      <c r="AV187" s="1"/>
      <c r="AW187" s="1"/>
      <c r="AX187" s="1"/>
    </row>
    <row r="188" spans="7:50" x14ac:dyDescent="0.25"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656"/>
      <c r="W188" s="1"/>
      <c r="X188" s="1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1"/>
      <c r="AT188" s="1"/>
      <c r="AU188" s="1"/>
      <c r="AV188" s="1"/>
      <c r="AW188" s="1"/>
      <c r="AX188" s="1"/>
    </row>
    <row r="189" spans="7:50" x14ac:dyDescent="0.25"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656"/>
      <c r="W189" s="1"/>
      <c r="X189" s="1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1"/>
      <c r="AT189" s="1"/>
      <c r="AU189" s="1"/>
      <c r="AV189" s="1"/>
      <c r="AW189" s="1"/>
      <c r="AX189" s="1"/>
    </row>
    <row r="190" spans="7:50" x14ac:dyDescent="0.25"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656"/>
      <c r="W190" s="1"/>
      <c r="X190" s="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1"/>
      <c r="AT190" s="1"/>
      <c r="AU190" s="1"/>
      <c r="AV190" s="1"/>
      <c r="AW190" s="1"/>
      <c r="AX190" s="1"/>
    </row>
    <row r="191" spans="7:50" x14ac:dyDescent="0.25"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656"/>
      <c r="W191" s="1"/>
      <c r="X191" s="1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1"/>
      <c r="AT191" s="1"/>
      <c r="AU191" s="1"/>
      <c r="AV191" s="1"/>
      <c r="AW191" s="1"/>
      <c r="AX191" s="1"/>
    </row>
    <row r="192" spans="7:50" x14ac:dyDescent="0.25"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656"/>
      <c r="W192" s="1"/>
      <c r="X192" s="1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1"/>
      <c r="AT192" s="1"/>
      <c r="AU192" s="1"/>
      <c r="AV192" s="1"/>
      <c r="AW192" s="1"/>
      <c r="AX192" s="1"/>
    </row>
    <row r="193" spans="7:50" x14ac:dyDescent="0.25"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656"/>
      <c r="W193" s="1"/>
      <c r="X193" s="1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1"/>
      <c r="AT193" s="1"/>
      <c r="AU193" s="1"/>
      <c r="AV193" s="1"/>
      <c r="AW193" s="1"/>
      <c r="AX193" s="1"/>
    </row>
    <row r="194" spans="7:50" x14ac:dyDescent="0.25"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656"/>
      <c r="W194" s="1"/>
      <c r="X194" s="1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1"/>
      <c r="AT194" s="1"/>
      <c r="AU194" s="1"/>
      <c r="AV194" s="1"/>
      <c r="AW194" s="1"/>
      <c r="AX194" s="1"/>
    </row>
    <row r="195" spans="7:50" x14ac:dyDescent="0.25"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656"/>
      <c r="W195" s="1"/>
      <c r="X195" s="1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1"/>
      <c r="AT195" s="1"/>
      <c r="AU195" s="1"/>
      <c r="AV195" s="1"/>
      <c r="AW195" s="1"/>
      <c r="AX195" s="1"/>
    </row>
    <row r="196" spans="7:50" x14ac:dyDescent="0.25"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656"/>
      <c r="W196" s="1"/>
      <c r="X196" s="1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1"/>
      <c r="AT196" s="1"/>
      <c r="AU196" s="1"/>
      <c r="AV196" s="1"/>
      <c r="AW196" s="1"/>
      <c r="AX196" s="1"/>
    </row>
    <row r="197" spans="7:50" x14ac:dyDescent="0.25"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656"/>
      <c r="W197" s="1"/>
      <c r="X197" s="1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1"/>
      <c r="AT197" s="1"/>
      <c r="AU197" s="1"/>
      <c r="AV197" s="1"/>
      <c r="AW197" s="1"/>
      <c r="AX197" s="1"/>
    </row>
    <row r="198" spans="7:50" x14ac:dyDescent="0.25"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656"/>
      <c r="W198" s="1"/>
      <c r="X198" s="1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1"/>
      <c r="AT198" s="1"/>
      <c r="AU198" s="1"/>
      <c r="AV198" s="1"/>
      <c r="AW198" s="1"/>
      <c r="AX198" s="1"/>
    </row>
    <row r="199" spans="7:50" x14ac:dyDescent="0.25"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656"/>
      <c r="W199" s="1"/>
      <c r="X199" s="1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1"/>
      <c r="AT199" s="1"/>
      <c r="AU199" s="1"/>
      <c r="AV199" s="1"/>
      <c r="AW199" s="1"/>
      <c r="AX199" s="1"/>
    </row>
    <row r="200" spans="7:50" x14ac:dyDescent="0.25"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656"/>
      <c r="W200" s="1"/>
      <c r="X200" s="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1"/>
      <c r="AT200" s="1"/>
      <c r="AU200" s="1"/>
      <c r="AV200" s="1"/>
      <c r="AW200" s="1"/>
      <c r="AX200" s="1"/>
    </row>
    <row r="201" spans="7:50" x14ac:dyDescent="0.25"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656"/>
      <c r="W201" s="1"/>
      <c r="X201" s="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1"/>
      <c r="AT201" s="1"/>
      <c r="AU201" s="1"/>
      <c r="AV201" s="1"/>
      <c r="AW201" s="1"/>
      <c r="AX201" s="1"/>
    </row>
    <row r="202" spans="7:50" x14ac:dyDescent="0.25"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656"/>
      <c r="W202" s="1"/>
      <c r="X202" s="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1"/>
      <c r="AT202" s="1"/>
      <c r="AU202" s="1"/>
      <c r="AV202" s="1"/>
      <c r="AW202" s="1"/>
      <c r="AX202" s="1"/>
    </row>
    <row r="203" spans="7:50" x14ac:dyDescent="0.25"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656"/>
      <c r="W203" s="1"/>
      <c r="X203" s="1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1"/>
      <c r="AT203" s="1"/>
      <c r="AU203" s="1"/>
      <c r="AV203" s="1"/>
      <c r="AW203" s="1"/>
      <c r="AX203" s="1"/>
    </row>
    <row r="204" spans="7:50" x14ac:dyDescent="0.25"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656"/>
      <c r="W204" s="1"/>
      <c r="X204" s="1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1"/>
      <c r="AT204" s="1"/>
      <c r="AU204" s="1"/>
      <c r="AV204" s="1"/>
      <c r="AW204" s="1"/>
      <c r="AX204" s="1"/>
    </row>
    <row r="205" spans="7:50" x14ac:dyDescent="0.25"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656"/>
      <c r="W205" s="1"/>
      <c r="X205" s="1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1"/>
      <c r="AT205" s="1"/>
      <c r="AU205" s="1"/>
      <c r="AV205" s="1"/>
      <c r="AW205" s="1"/>
      <c r="AX205" s="1"/>
    </row>
    <row r="206" spans="7:50" x14ac:dyDescent="0.25"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656"/>
      <c r="W206" s="1"/>
      <c r="X206" s="1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1"/>
      <c r="AT206" s="1"/>
      <c r="AU206" s="1"/>
      <c r="AV206" s="1"/>
      <c r="AW206" s="1"/>
      <c r="AX206" s="1"/>
    </row>
    <row r="207" spans="7:50" x14ac:dyDescent="0.25"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656"/>
      <c r="W207" s="1"/>
      <c r="X207" s="1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1"/>
      <c r="AT207" s="1"/>
      <c r="AU207" s="1"/>
      <c r="AV207" s="1"/>
      <c r="AW207" s="1"/>
      <c r="AX207" s="1"/>
    </row>
    <row r="208" spans="7:50" x14ac:dyDescent="0.25"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656"/>
      <c r="W208" s="1"/>
      <c r="X208" s="1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1"/>
      <c r="AT208" s="1"/>
      <c r="AU208" s="1"/>
      <c r="AV208" s="1"/>
      <c r="AW208" s="1"/>
      <c r="AX208" s="1"/>
    </row>
    <row r="209" spans="7:50" x14ac:dyDescent="0.25"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656"/>
      <c r="W209" s="1"/>
      <c r="X209" s="1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1"/>
      <c r="AT209" s="1"/>
      <c r="AU209" s="1"/>
      <c r="AV209" s="1"/>
      <c r="AW209" s="1"/>
      <c r="AX209" s="1"/>
    </row>
    <row r="210" spans="7:50" x14ac:dyDescent="0.25"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656"/>
      <c r="W210" s="1"/>
      <c r="X210" s="1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1"/>
      <c r="AT210" s="1"/>
      <c r="AU210" s="1"/>
      <c r="AV210" s="1"/>
      <c r="AW210" s="1"/>
      <c r="AX210" s="1"/>
    </row>
    <row r="211" spans="7:50" x14ac:dyDescent="0.25"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656"/>
      <c r="W211" s="1"/>
      <c r="X211" s="1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1"/>
      <c r="AT211" s="1"/>
      <c r="AU211" s="1"/>
      <c r="AV211" s="1"/>
      <c r="AW211" s="1"/>
      <c r="AX211" s="1"/>
    </row>
    <row r="212" spans="7:50" x14ac:dyDescent="0.25"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656"/>
      <c r="W212" s="1"/>
      <c r="X212" s="1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1"/>
      <c r="AT212" s="1"/>
      <c r="AU212" s="1"/>
      <c r="AV212" s="1"/>
      <c r="AW212" s="1"/>
      <c r="AX212" s="1"/>
    </row>
    <row r="213" spans="7:50" x14ac:dyDescent="0.25"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656"/>
      <c r="W213" s="1"/>
      <c r="X213" s="1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1"/>
      <c r="AT213" s="1"/>
      <c r="AU213" s="1"/>
      <c r="AV213" s="1"/>
      <c r="AW213" s="1"/>
      <c r="AX213" s="1"/>
    </row>
    <row r="214" spans="7:50" x14ac:dyDescent="0.25"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656"/>
      <c r="W214" s="1"/>
      <c r="X214" s="1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1"/>
      <c r="AT214" s="1"/>
      <c r="AU214" s="1"/>
      <c r="AV214" s="1"/>
      <c r="AW214" s="1"/>
      <c r="AX214" s="1"/>
    </row>
    <row r="215" spans="7:50" x14ac:dyDescent="0.25"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656"/>
      <c r="W215" s="1"/>
      <c r="X215" s="1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1"/>
      <c r="AT215" s="1"/>
      <c r="AU215" s="1"/>
      <c r="AV215" s="1"/>
      <c r="AW215" s="1"/>
      <c r="AX215" s="1"/>
    </row>
    <row r="216" spans="7:50" x14ac:dyDescent="0.25"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656"/>
      <c r="W216" s="1"/>
      <c r="X216" s="1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1"/>
      <c r="AT216" s="1"/>
      <c r="AU216" s="1"/>
      <c r="AV216" s="1"/>
      <c r="AW216" s="1"/>
      <c r="AX216" s="1"/>
    </row>
    <row r="217" spans="7:50" x14ac:dyDescent="0.25"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656"/>
      <c r="W217" s="1"/>
      <c r="X217" s="1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1"/>
      <c r="AT217" s="1"/>
      <c r="AU217" s="1"/>
      <c r="AV217" s="1"/>
      <c r="AW217" s="1"/>
      <c r="AX217" s="1"/>
    </row>
    <row r="218" spans="7:50" x14ac:dyDescent="0.25"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656"/>
      <c r="W218" s="1"/>
      <c r="X218" s="1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1"/>
      <c r="AT218" s="1"/>
      <c r="AU218" s="1"/>
      <c r="AV218" s="1"/>
      <c r="AW218" s="1"/>
      <c r="AX218" s="1"/>
    </row>
    <row r="219" spans="7:50" x14ac:dyDescent="0.25"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656"/>
      <c r="W219" s="1"/>
      <c r="X219" s="1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1"/>
      <c r="AT219" s="1"/>
      <c r="AU219" s="1"/>
      <c r="AV219" s="1"/>
      <c r="AW219" s="1"/>
      <c r="AX219" s="1"/>
    </row>
    <row r="220" spans="7:50" x14ac:dyDescent="0.25"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656"/>
      <c r="W220" s="1"/>
      <c r="X220" s="1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1"/>
      <c r="AT220" s="1"/>
      <c r="AU220" s="1"/>
      <c r="AV220" s="1"/>
      <c r="AW220" s="1"/>
      <c r="AX220" s="1"/>
    </row>
    <row r="221" spans="7:50" x14ac:dyDescent="0.25"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656"/>
      <c r="W221" s="1"/>
      <c r="X221" s="1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1"/>
      <c r="AT221" s="1"/>
      <c r="AU221" s="1"/>
      <c r="AV221" s="1"/>
      <c r="AW221" s="1"/>
      <c r="AX221" s="1"/>
    </row>
    <row r="222" spans="7:50" x14ac:dyDescent="0.25"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656"/>
      <c r="W222" s="1"/>
      <c r="X222" s="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1"/>
      <c r="AT222" s="1"/>
      <c r="AU222" s="1"/>
      <c r="AV222" s="1"/>
      <c r="AW222" s="1"/>
      <c r="AX222" s="1"/>
    </row>
    <row r="223" spans="7:50" x14ac:dyDescent="0.25"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656"/>
      <c r="W223" s="1"/>
      <c r="X223" s="1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1"/>
      <c r="AT223" s="1"/>
      <c r="AU223" s="1"/>
      <c r="AV223" s="1"/>
      <c r="AW223" s="1"/>
      <c r="AX223" s="1"/>
    </row>
    <row r="224" spans="7:50" x14ac:dyDescent="0.25"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656"/>
      <c r="W224" s="1"/>
      <c r="X224" s="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1"/>
      <c r="AT224" s="1"/>
      <c r="AU224" s="1"/>
      <c r="AV224" s="1"/>
      <c r="AW224" s="1"/>
      <c r="AX224" s="1"/>
    </row>
    <row r="225" spans="7:50" x14ac:dyDescent="0.25"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656"/>
      <c r="W225" s="1"/>
      <c r="X225" s="1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1"/>
      <c r="AT225" s="1"/>
      <c r="AU225" s="1"/>
      <c r="AV225" s="1"/>
      <c r="AW225" s="1"/>
      <c r="AX225" s="1"/>
    </row>
    <row r="226" spans="7:50" x14ac:dyDescent="0.25"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656"/>
      <c r="W226" s="1"/>
      <c r="X226" s="1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1"/>
      <c r="AT226" s="1"/>
      <c r="AU226" s="1"/>
      <c r="AV226" s="1"/>
      <c r="AW226" s="1"/>
      <c r="AX226" s="1"/>
    </row>
    <row r="227" spans="7:50" x14ac:dyDescent="0.25"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656"/>
      <c r="W227" s="1"/>
      <c r="X227" s="1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1"/>
      <c r="AT227" s="1"/>
      <c r="AU227" s="1"/>
      <c r="AV227" s="1"/>
      <c r="AW227" s="1"/>
      <c r="AX227" s="1"/>
    </row>
    <row r="228" spans="7:50" x14ac:dyDescent="0.25"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656"/>
      <c r="W228" s="1"/>
      <c r="X228" s="1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1"/>
      <c r="AT228" s="1"/>
      <c r="AU228" s="1"/>
      <c r="AV228" s="1"/>
      <c r="AW228" s="1"/>
      <c r="AX228" s="1"/>
    </row>
    <row r="229" spans="7:50" x14ac:dyDescent="0.25"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656"/>
      <c r="W229" s="1"/>
      <c r="X229" s="1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1"/>
      <c r="AT229" s="1"/>
      <c r="AU229" s="1"/>
      <c r="AV229" s="1"/>
      <c r="AW229" s="1"/>
      <c r="AX229" s="1"/>
    </row>
    <row r="230" spans="7:50" x14ac:dyDescent="0.25"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656"/>
      <c r="W230" s="1"/>
      <c r="X230" s="1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1"/>
      <c r="AT230" s="1"/>
      <c r="AU230" s="1"/>
      <c r="AV230" s="1"/>
      <c r="AW230" s="1"/>
      <c r="AX230" s="1"/>
    </row>
    <row r="231" spans="7:50" x14ac:dyDescent="0.25"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656"/>
      <c r="W231" s="1"/>
      <c r="X231" s="1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1"/>
      <c r="AT231" s="1"/>
      <c r="AU231" s="1"/>
      <c r="AV231" s="1"/>
      <c r="AW231" s="1"/>
      <c r="AX231" s="1"/>
    </row>
    <row r="232" spans="7:50" x14ac:dyDescent="0.25"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656"/>
      <c r="W232" s="1"/>
      <c r="X232" s="1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1"/>
      <c r="AT232" s="1"/>
      <c r="AU232" s="1"/>
      <c r="AV232" s="1"/>
      <c r="AW232" s="1"/>
      <c r="AX232" s="1"/>
    </row>
    <row r="233" spans="7:50" x14ac:dyDescent="0.25"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656"/>
      <c r="W233" s="1"/>
      <c r="X233" s="1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1"/>
      <c r="AT233" s="1"/>
      <c r="AU233" s="1"/>
      <c r="AV233" s="1"/>
      <c r="AW233" s="1"/>
      <c r="AX233" s="1"/>
    </row>
    <row r="234" spans="7:50" x14ac:dyDescent="0.25"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656"/>
      <c r="W234" s="1"/>
      <c r="X234" s="1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1"/>
      <c r="AT234" s="1"/>
      <c r="AU234" s="1"/>
      <c r="AV234" s="1"/>
      <c r="AW234" s="1"/>
      <c r="AX234" s="1"/>
    </row>
    <row r="235" spans="7:50" x14ac:dyDescent="0.25"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656"/>
      <c r="W235" s="1"/>
      <c r="X235" s="1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1"/>
      <c r="AT235" s="1"/>
      <c r="AU235" s="1"/>
      <c r="AV235" s="1"/>
      <c r="AW235" s="1"/>
      <c r="AX235" s="1"/>
    </row>
    <row r="236" spans="7:50" x14ac:dyDescent="0.25"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656"/>
      <c r="W236" s="1"/>
      <c r="X236" s="1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1"/>
      <c r="AT236" s="1"/>
      <c r="AU236" s="1"/>
      <c r="AV236" s="1"/>
      <c r="AW236" s="1"/>
      <c r="AX236" s="1"/>
    </row>
  </sheetData>
  <mergeCells count="3">
    <mergeCell ref="G3:T3"/>
    <mergeCell ref="W6:AJ6"/>
    <mergeCell ref="AL6:AO6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  <colBreaks count="1" manualBreakCount="1">
    <brk id="3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203"/>
  <sheetViews>
    <sheetView view="pageBreakPreview" zoomScale="110" zoomScaleNormal="100" zoomScaleSheetLayoutView="110" workbookViewId="0">
      <selection activeCell="H74" sqref="H74"/>
    </sheetView>
  </sheetViews>
  <sheetFormatPr defaultColWidth="8.85546875" defaultRowHeight="12.75" x14ac:dyDescent="0.2"/>
  <cols>
    <col min="1" max="2" width="0.85546875" style="275" customWidth="1"/>
    <col min="3" max="3" width="2.7109375" style="275" customWidth="1"/>
    <col min="4" max="4" width="35.140625" style="275" customWidth="1"/>
    <col min="5" max="5" width="3" style="299" customWidth="1"/>
    <col min="6" max="8" width="15.7109375" style="299" customWidth="1"/>
    <col min="9" max="9" width="15.140625" style="299" customWidth="1"/>
    <col min="10" max="10" width="15.7109375" style="299" customWidth="1"/>
    <col min="11" max="11" width="15.42578125" style="299" customWidth="1"/>
    <col min="12" max="12" width="15.7109375" style="299" customWidth="1"/>
    <col min="13" max="13" width="16.28515625" style="299" customWidth="1"/>
    <col min="14" max="14" width="15.7109375" style="299" hidden="1" customWidth="1"/>
    <col min="15" max="15" width="15.28515625" style="299" hidden="1" customWidth="1"/>
    <col min="16" max="16" width="12.7109375" style="299" hidden="1" customWidth="1"/>
    <col min="17" max="17" width="15.7109375" style="299" hidden="1" customWidth="1"/>
    <col min="18" max="18" width="14.42578125" style="299" hidden="1" customWidth="1"/>
    <col min="19" max="19" width="15.7109375" style="299" customWidth="1"/>
    <col min="20" max="20" width="2" style="275" customWidth="1"/>
    <col min="21" max="21" width="1.7109375" style="275" customWidth="1"/>
    <col min="22" max="22" width="19.85546875" style="275" customWidth="1"/>
    <col min="23" max="23" width="11" style="275" customWidth="1"/>
    <col min="24" max="24" width="12.5703125" style="275" customWidth="1"/>
    <col min="25" max="16384" width="8.85546875" style="275"/>
  </cols>
  <sheetData>
    <row r="1" spans="1:23" ht="18.75" x14ac:dyDescent="0.25">
      <c r="A1" s="270"/>
      <c r="B1" s="270"/>
      <c r="C1" s="271" t="s">
        <v>545</v>
      </c>
      <c r="D1" s="272"/>
      <c r="E1" s="273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0"/>
      <c r="U1" s="270"/>
    </row>
    <row r="2" spans="1:23" x14ac:dyDescent="0.2">
      <c r="A2" s="270"/>
      <c r="B2" s="270"/>
      <c r="C2" s="276"/>
      <c r="D2" s="277"/>
      <c r="E2" s="278"/>
      <c r="F2" s="667" t="s">
        <v>1</v>
      </c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4"/>
      <c r="T2" s="279"/>
      <c r="U2" s="270"/>
    </row>
    <row r="3" spans="1:23" x14ac:dyDescent="0.2">
      <c r="A3" s="270"/>
      <c r="B3" s="270"/>
      <c r="C3" s="280"/>
      <c r="D3" s="281"/>
      <c r="E3" s="125"/>
      <c r="F3" s="282" t="s">
        <v>3</v>
      </c>
      <c r="G3" s="126" t="s">
        <v>4</v>
      </c>
      <c r="H3" s="136" t="s">
        <v>5</v>
      </c>
      <c r="I3" s="126" t="s">
        <v>6</v>
      </c>
      <c r="J3" s="136" t="s">
        <v>7</v>
      </c>
      <c r="K3" s="126" t="s">
        <v>8</v>
      </c>
      <c r="L3" s="136" t="s">
        <v>9</v>
      </c>
      <c r="M3" s="126" t="s">
        <v>10</v>
      </c>
      <c r="N3" s="136" t="s">
        <v>11</v>
      </c>
      <c r="O3" s="126" t="s">
        <v>12</v>
      </c>
      <c r="P3" s="136" t="s">
        <v>13</v>
      </c>
      <c r="Q3" s="126" t="s">
        <v>14</v>
      </c>
      <c r="R3" s="136" t="s">
        <v>15</v>
      </c>
      <c r="S3" s="136" t="s">
        <v>16</v>
      </c>
      <c r="T3" s="279"/>
      <c r="U3" s="270"/>
    </row>
    <row r="4" spans="1:23" x14ac:dyDescent="0.2">
      <c r="A4" s="270"/>
      <c r="B4" s="270"/>
      <c r="C4" s="283" t="s">
        <v>17</v>
      </c>
      <c r="D4" s="284"/>
      <c r="E4" s="30"/>
      <c r="F4" s="285" t="s">
        <v>19</v>
      </c>
      <c r="G4" s="31"/>
      <c r="H4" s="286"/>
      <c r="I4" s="31"/>
      <c r="J4" s="286"/>
      <c r="K4" s="31"/>
      <c r="L4" s="286"/>
      <c r="M4" s="31"/>
      <c r="N4" s="286"/>
      <c r="O4" s="31"/>
      <c r="P4" s="286"/>
      <c r="Q4" s="31"/>
      <c r="R4" s="286"/>
      <c r="S4" s="286"/>
      <c r="T4" s="279"/>
      <c r="U4" s="270"/>
    </row>
    <row r="5" spans="1:23" x14ac:dyDescent="0.2">
      <c r="A5" s="270"/>
      <c r="B5" s="270"/>
      <c r="C5" s="280"/>
      <c r="D5" s="287"/>
      <c r="E5" s="125"/>
      <c r="F5" s="139"/>
      <c r="G5" s="139"/>
      <c r="H5" s="123"/>
      <c r="I5" s="139"/>
      <c r="J5" s="125"/>
      <c r="K5" s="139"/>
      <c r="L5" s="125"/>
      <c r="M5" s="139"/>
      <c r="N5" s="125"/>
      <c r="O5" s="139"/>
      <c r="P5" s="125"/>
      <c r="Q5" s="139"/>
      <c r="R5" s="125"/>
      <c r="S5" s="201"/>
      <c r="T5" s="279"/>
      <c r="U5" s="270"/>
    </row>
    <row r="6" spans="1:23" x14ac:dyDescent="0.2">
      <c r="A6" s="270"/>
      <c r="B6" s="270"/>
      <c r="C6" s="288" t="s">
        <v>347</v>
      </c>
      <c r="D6" s="281"/>
      <c r="E6" s="107"/>
      <c r="F6" s="201">
        <f>SUM(F7:F38)</f>
        <v>3921105</v>
      </c>
      <c r="G6" s="201">
        <f>SUM(G7:G38)</f>
        <v>29806</v>
      </c>
      <c r="H6" s="201">
        <f t="shared" ref="H6:R6" si="0">SUM(H7:H38)</f>
        <v>601632</v>
      </c>
      <c r="I6" s="201">
        <f>SUM(I7:I38)</f>
        <v>97661</v>
      </c>
      <c r="J6" s="201">
        <f>SUM(J7:J38)</f>
        <v>217829</v>
      </c>
      <c r="K6" s="201">
        <f t="shared" si="0"/>
        <v>105991</v>
      </c>
      <c r="L6" s="201">
        <f>SUM(L7:L38)</f>
        <v>950856</v>
      </c>
      <c r="M6" s="201">
        <f t="shared" si="0"/>
        <v>824100</v>
      </c>
      <c r="N6" s="201">
        <f t="shared" si="0"/>
        <v>0</v>
      </c>
      <c r="O6" s="201">
        <f>SUM(O7:O38)</f>
        <v>0</v>
      </c>
      <c r="P6" s="201">
        <f>SUM(P7:P38)</f>
        <v>0</v>
      </c>
      <c r="Q6" s="201">
        <f t="shared" si="0"/>
        <v>0</v>
      </c>
      <c r="R6" s="201">
        <f t="shared" si="0"/>
        <v>0</v>
      </c>
      <c r="S6" s="201">
        <f>SUM(S7:S38)</f>
        <v>2827875</v>
      </c>
      <c r="T6" s="289"/>
      <c r="U6" s="270"/>
      <c r="V6" s="290"/>
      <c r="W6" s="291"/>
    </row>
    <row r="7" spans="1:23" ht="15.75" hidden="1" customHeight="1" x14ac:dyDescent="0.2">
      <c r="A7" s="270"/>
      <c r="B7" s="270"/>
      <c r="C7" s="288"/>
      <c r="D7" s="40" t="s">
        <v>348</v>
      </c>
      <c r="E7" s="292"/>
      <c r="F7" s="145">
        <v>0</v>
      </c>
      <c r="G7" s="145">
        <v>0</v>
      </c>
      <c r="H7" s="145">
        <v>0</v>
      </c>
      <c r="I7" s="145">
        <v>0</v>
      </c>
      <c r="J7" s="145">
        <v>0</v>
      </c>
      <c r="K7" s="145">
        <v>0</v>
      </c>
      <c r="L7" s="145">
        <v>0</v>
      </c>
      <c r="M7" s="145">
        <v>0</v>
      </c>
      <c r="N7" s="145">
        <v>0</v>
      </c>
      <c r="O7" s="145">
        <v>0</v>
      </c>
      <c r="P7" s="145">
        <v>0</v>
      </c>
      <c r="Q7" s="145">
        <v>0</v>
      </c>
      <c r="R7" s="145">
        <v>0</v>
      </c>
      <c r="S7" s="47">
        <f>SUM(G7:R7)</f>
        <v>0</v>
      </c>
      <c r="T7" s="293"/>
      <c r="U7" s="270"/>
      <c r="V7" s="291"/>
      <c r="W7" s="291"/>
    </row>
    <row r="8" spans="1:23" ht="15.75" hidden="1" customHeight="1" x14ac:dyDescent="0.2">
      <c r="A8" s="270"/>
      <c r="B8" s="270"/>
      <c r="C8" s="288"/>
      <c r="D8" s="294" t="s">
        <v>349</v>
      </c>
      <c r="E8" s="292"/>
      <c r="F8" s="145">
        <v>0</v>
      </c>
      <c r="G8" s="145">
        <v>0</v>
      </c>
      <c r="H8" s="145">
        <v>0</v>
      </c>
      <c r="I8" s="145">
        <v>0</v>
      </c>
      <c r="J8" s="145">
        <v>0</v>
      </c>
      <c r="K8" s="145">
        <v>0</v>
      </c>
      <c r="L8" s="145">
        <v>0</v>
      </c>
      <c r="M8" s="145">
        <v>0</v>
      </c>
      <c r="N8" s="145">
        <v>0</v>
      </c>
      <c r="O8" s="145">
        <v>0</v>
      </c>
      <c r="P8" s="145">
        <v>0</v>
      </c>
      <c r="Q8" s="145">
        <v>0</v>
      </c>
      <c r="R8" s="145">
        <v>0</v>
      </c>
      <c r="S8" s="47">
        <f t="shared" ref="S8:S34" si="1">SUM(G8:R8)</f>
        <v>0</v>
      </c>
      <c r="T8" s="293"/>
      <c r="U8" s="270"/>
      <c r="V8" s="291"/>
      <c r="W8" s="291"/>
    </row>
    <row r="9" spans="1:23" ht="15.75" hidden="1" customHeight="1" x14ac:dyDescent="0.2">
      <c r="A9" s="270"/>
      <c r="B9" s="270"/>
      <c r="C9" s="288"/>
      <c r="D9" s="294" t="s">
        <v>350</v>
      </c>
      <c r="E9" s="292"/>
      <c r="F9" s="145">
        <v>0</v>
      </c>
      <c r="G9" s="145">
        <v>0</v>
      </c>
      <c r="H9" s="145">
        <v>0</v>
      </c>
      <c r="I9" s="145">
        <v>0</v>
      </c>
      <c r="J9" s="145">
        <v>0</v>
      </c>
      <c r="K9" s="145">
        <v>0</v>
      </c>
      <c r="L9" s="145">
        <v>0</v>
      </c>
      <c r="M9" s="145">
        <v>0</v>
      </c>
      <c r="N9" s="145">
        <v>0</v>
      </c>
      <c r="O9" s="145">
        <v>0</v>
      </c>
      <c r="P9" s="145">
        <v>0</v>
      </c>
      <c r="Q9" s="145">
        <v>0</v>
      </c>
      <c r="R9" s="145">
        <v>0</v>
      </c>
      <c r="S9" s="47">
        <f t="shared" si="1"/>
        <v>0</v>
      </c>
      <c r="T9" s="293"/>
      <c r="U9" s="270"/>
      <c r="V9" s="291"/>
      <c r="W9" s="291"/>
    </row>
    <row r="10" spans="1:23" ht="15.75" hidden="1" customHeight="1" x14ac:dyDescent="0.2">
      <c r="A10" s="270"/>
      <c r="B10" s="270"/>
      <c r="C10" s="288"/>
      <c r="D10" s="40" t="s">
        <v>351</v>
      </c>
      <c r="E10" s="166"/>
      <c r="F10" s="145">
        <v>0</v>
      </c>
      <c r="G10" s="145">
        <v>0</v>
      </c>
      <c r="H10" s="145">
        <v>0</v>
      </c>
      <c r="I10" s="145">
        <v>0</v>
      </c>
      <c r="J10" s="145">
        <v>0</v>
      </c>
      <c r="K10" s="145">
        <v>0</v>
      </c>
      <c r="L10" s="145">
        <v>0</v>
      </c>
      <c r="M10" s="145">
        <v>0</v>
      </c>
      <c r="N10" s="145">
        <v>0</v>
      </c>
      <c r="O10" s="145">
        <v>0</v>
      </c>
      <c r="P10" s="145">
        <v>0</v>
      </c>
      <c r="Q10" s="145">
        <v>0</v>
      </c>
      <c r="R10" s="145">
        <v>0</v>
      </c>
      <c r="S10" s="47">
        <f>SUM(G10:R10)</f>
        <v>0</v>
      </c>
      <c r="T10" s="293"/>
      <c r="U10" s="270"/>
      <c r="V10" s="291"/>
      <c r="W10" s="291"/>
    </row>
    <row r="11" spans="1:23" hidden="1" x14ac:dyDescent="0.2">
      <c r="A11" s="270"/>
      <c r="B11" s="270"/>
      <c r="C11" s="288"/>
      <c r="D11" s="294" t="s">
        <v>352</v>
      </c>
      <c r="E11" s="292"/>
      <c r="F11" s="145">
        <v>0</v>
      </c>
      <c r="G11" s="145">
        <v>0</v>
      </c>
      <c r="H11" s="145">
        <v>0</v>
      </c>
      <c r="I11" s="145">
        <v>0</v>
      </c>
      <c r="J11" s="145">
        <v>0</v>
      </c>
      <c r="K11" s="145">
        <v>0</v>
      </c>
      <c r="L11" s="145">
        <v>0</v>
      </c>
      <c r="M11" s="145">
        <v>0</v>
      </c>
      <c r="N11" s="145">
        <v>0</v>
      </c>
      <c r="O11" s="145">
        <v>0</v>
      </c>
      <c r="P11" s="145">
        <v>0</v>
      </c>
      <c r="Q11" s="145">
        <v>0</v>
      </c>
      <c r="R11" s="145">
        <v>0</v>
      </c>
      <c r="S11" s="47">
        <f>SUM(G11:R11)</f>
        <v>0</v>
      </c>
      <c r="T11" s="293"/>
      <c r="U11" s="270"/>
      <c r="V11" s="291"/>
      <c r="W11" s="291"/>
    </row>
    <row r="12" spans="1:23" ht="15.75" hidden="1" customHeight="1" x14ac:dyDescent="0.2">
      <c r="A12" s="270"/>
      <c r="B12" s="270"/>
      <c r="C12" s="288"/>
      <c r="D12" s="294" t="s">
        <v>353</v>
      </c>
      <c r="E12" s="292"/>
      <c r="F12" s="145">
        <v>0</v>
      </c>
      <c r="G12" s="145">
        <v>0</v>
      </c>
      <c r="H12" s="145">
        <v>0</v>
      </c>
      <c r="I12" s="145">
        <v>0</v>
      </c>
      <c r="J12" s="145">
        <v>0</v>
      </c>
      <c r="K12" s="145">
        <v>0</v>
      </c>
      <c r="L12" s="145">
        <v>0</v>
      </c>
      <c r="M12" s="145">
        <v>0</v>
      </c>
      <c r="N12" s="145">
        <v>0</v>
      </c>
      <c r="O12" s="145">
        <v>0</v>
      </c>
      <c r="P12" s="145">
        <v>0</v>
      </c>
      <c r="Q12" s="145">
        <v>0</v>
      </c>
      <c r="R12" s="145">
        <v>0</v>
      </c>
      <c r="S12" s="47">
        <f t="shared" si="1"/>
        <v>0</v>
      </c>
      <c r="T12" s="293"/>
      <c r="U12" s="270"/>
      <c r="V12" s="291"/>
      <c r="W12" s="291"/>
    </row>
    <row r="13" spans="1:23" ht="15.75" hidden="1" customHeight="1" x14ac:dyDescent="0.2">
      <c r="A13" s="270"/>
      <c r="B13" s="270"/>
      <c r="C13" s="288"/>
      <c r="D13" s="40" t="s">
        <v>354</v>
      </c>
      <c r="E13" s="292"/>
      <c r="F13" s="145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  <c r="P13" s="47">
        <v>0</v>
      </c>
      <c r="Q13" s="47">
        <v>0</v>
      </c>
      <c r="R13" s="47">
        <v>0</v>
      </c>
      <c r="S13" s="47">
        <f t="shared" si="1"/>
        <v>0</v>
      </c>
      <c r="T13" s="293"/>
      <c r="U13" s="270"/>
      <c r="V13" s="291"/>
      <c r="W13" s="291"/>
    </row>
    <row r="14" spans="1:23" ht="15.75" hidden="1" customHeight="1" x14ac:dyDescent="0.2">
      <c r="A14" s="270"/>
      <c r="B14" s="270"/>
      <c r="C14" s="288"/>
      <c r="D14" s="294" t="s">
        <v>355</v>
      </c>
      <c r="E14" s="292"/>
      <c r="F14" s="145">
        <v>0</v>
      </c>
      <c r="G14" s="145">
        <v>0</v>
      </c>
      <c r="H14" s="145">
        <v>0</v>
      </c>
      <c r="I14" s="145">
        <v>0</v>
      </c>
      <c r="J14" s="145">
        <v>0</v>
      </c>
      <c r="K14" s="145">
        <v>0</v>
      </c>
      <c r="L14" s="145">
        <v>0</v>
      </c>
      <c r="M14" s="145">
        <v>0</v>
      </c>
      <c r="N14" s="145">
        <v>0</v>
      </c>
      <c r="O14" s="145">
        <v>0</v>
      </c>
      <c r="P14" s="145">
        <v>0</v>
      </c>
      <c r="Q14" s="145">
        <v>0</v>
      </c>
      <c r="R14" s="145">
        <v>0</v>
      </c>
      <c r="S14" s="47">
        <f t="shared" si="1"/>
        <v>0</v>
      </c>
      <c r="T14" s="293"/>
      <c r="U14" s="270"/>
      <c r="V14" s="291"/>
      <c r="W14" s="291"/>
    </row>
    <row r="15" spans="1:23" ht="15.75" hidden="1" customHeight="1" x14ac:dyDescent="0.2">
      <c r="A15" s="270"/>
      <c r="B15" s="270"/>
      <c r="C15" s="288"/>
      <c r="D15" s="294" t="s">
        <v>356</v>
      </c>
      <c r="E15" s="292"/>
      <c r="F15" s="145">
        <v>0</v>
      </c>
      <c r="G15" s="145">
        <v>0</v>
      </c>
      <c r="H15" s="145">
        <v>0</v>
      </c>
      <c r="I15" s="145">
        <v>0</v>
      </c>
      <c r="J15" s="145">
        <v>0</v>
      </c>
      <c r="K15" s="145">
        <v>0</v>
      </c>
      <c r="L15" s="145">
        <v>0</v>
      </c>
      <c r="M15" s="145">
        <v>0</v>
      </c>
      <c r="N15" s="145">
        <v>0</v>
      </c>
      <c r="O15" s="145">
        <v>0</v>
      </c>
      <c r="P15" s="145">
        <v>0</v>
      </c>
      <c r="Q15" s="145">
        <v>0</v>
      </c>
      <c r="R15" s="145">
        <v>0</v>
      </c>
      <c r="S15" s="47">
        <f t="shared" si="1"/>
        <v>0</v>
      </c>
      <c r="T15" s="293"/>
      <c r="U15" s="270"/>
      <c r="V15" s="291"/>
      <c r="W15" s="291"/>
    </row>
    <row r="16" spans="1:23" ht="15.75" hidden="1" customHeight="1" x14ac:dyDescent="0.2">
      <c r="A16" s="270"/>
      <c r="B16" s="270"/>
      <c r="C16" s="288"/>
      <c r="D16" s="294" t="s">
        <v>357</v>
      </c>
      <c r="E16" s="292"/>
      <c r="F16" s="145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0</v>
      </c>
      <c r="Q16" s="47">
        <v>0</v>
      </c>
      <c r="R16" s="47">
        <v>0</v>
      </c>
      <c r="S16" s="47">
        <f t="shared" si="1"/>
        <v>0</v>
      </c>
      <c r="T16" s="293"/>
      <c r="U16" s="270"/>
      <c r="V16" s="291"/>
      <c r="W16" s="291"/>
    </row>
    <row r="17" spans="1:23" ht="15.75" hidden="1" customHeight="1" x14ac:dyDescent="0.2">
      <c r="A17" s="270"/>
      <c r="B17" s="270"/>
      <c r="C17" s="288"/>
      <c r="D17" s="40" t="s">
        <v>358</v>
      </c>
      <c r="E17" s="292"/>
      <c r="F17" s="145">
        <v>0</v>
      </c>
      <c r="G17" s="145">
        <v>0</v>
      </c>
      <c r="H17" s="145">
        <v>0</v>
      </c>
      <c r="I17" s="145">
        <v>0</v>
      </c>
      <c r="J17" s="145">
        <v>0</v>
      </c>
      <c r="K17" s="145">
        <v>0</v>
      </c>
      <c r="L17" s="145">
        <v>0</v>
      </c>
      <c r="M17" s="145">
        <v>0</v>
      </c>
      <c r="N17" s="145">
        <v>0</v>
      </c>
      <c r="O17" s="145">
        <v>0</v>
      </c>
      <c r="P17" s="145">
        <v>0</v>
      </c>
      <c r="Q17" s="145">
        <v>0</v>
      </c>
      <c r="R17" s="145">
        <v>0</v>
      </c>
      <c r="S17" s="47">
        <f t="shared" si="1"/>
        <v>0</v>
      </c>
      <c r="T17" s="293"/>
      <c r="U17" s="270"/>
      <c r="V17" s="291"/>
      <c r="W17" s="291"/>
    </row>
    <row r="18" spans="1:23" x14ac:dyDescent="0.2">
      <c r="A18" s="270"/>
      <c r="B18" s="270"/>
      <c r="C18" s="288"/>
      <c r="D18" s="40" t="s">
        <v>359</v>
      </c>
      <c r="E18" s="292"/>
      <c r="F18" s="295">
        <v>1326</v>
      </c>
      <c r="G18" s="295">
        <v>258</v>
      </c>
      <c r="H18" s="295">
        <v>169</v>
      </c>
      <c r="I18" s="295">
        <v>236</v>
      </c>
      <c r="J18" s="295">
        <v>164</v>
      </c>
      <c r="K18" s="295">
        <v>320</v>
      </c>
      <c r="L18" s="295">
        <v>179</v>
      </c>
      <c r="M18" s="295">
        <v>191</v>
      </c>
      <c r="N18" s="295">
        <v>0</v>
      </c>
      <c r="O18" s="295">
        <v>0</v>
      </c>
      <c r="P18" s="295">
        <v>0</v>
      </c>
      <c r="Q18" s="295">
        <v>0</v>
      </c>
      <c r="R18" s="295">
        <v>0</v>
      </c>
      <c r="S18" s="295">
        <f>SUM(G18:R18)</f>
        <v>1517</v>
      </c>
      <c r="T18" s="293"/>
      <c r="U18" s="270"/>
      <c r="V18" s="291"/>
      <c r="W18" s="291"/>
    </row>
    <row r="19" spans="1:23" ht="12.75" hidden="1" customHeight="1" x14ac:dyDescent="0.2">
      <c r="A19" s="270"/>
      <c r="B19" s="270"/>
      <c r="C19" s="288"/>
      <c r="D19" s="40" t="s">
        <v>360</v>
      </c>
      <c r="E19" s="292"/>
      <c r="F19" s="295">
        <v>0</v>
      </c>
      <c r="G19" s="295">
        <v>0</v>
      </c>
      <c r="H19" s="295">
        <v>0</v>
      </c>
      <c r="I19" s="295">
        <v>0</v>
      </c>
      <c r="J19" s="295">
        <v>0</v>
      </c>
      <c r="K19" s="295">
        <v>0</v>
      </c>
      <c r="L19" s="295">
        <v>0</v>
      </c>
      <c r="M19" s="295">
        <v>0</v>
      </c>
      <c r="N19" s="295">
        <v>0</v>
      </c>
      <c r="O19" s="295">
        <v>0</v>
      </c>
      <c r="P19" s="295">
        <v>0</v>
      </c>
      <c r="Q19" s="295">
        <v>0</v>
      </c>
      <c r="R19" s="295">
        <v>0</v>
      </c>
      <c r="S19" s="295">
        <f t="shared" si="1"/>
        <v>0</v>
      </c>
      <c r="T19" s="293"/>
      <c r="U19" s="270"/>
      <c r="V19" s="291"/>
      <c r="W19" s="291"/>
    </row>
    <row r="20" spans="1:23" ht="12.75" hidden="1" customHeight="1" x14ac:dyDescent="0.2">
      <c r="A20" s="270"/>
      <c r="B20" s="270"/>
      <c r="C20" s="288"/>
      <c r="D20" s="40" t="s">
        <v>361</v>
      </c>
      <c r="E20" s="292"/>
      <c r="F20" s="295">
        <v>0</v>
      </c>
      <c r="G20" s="295">
        <v>0</v>
      </c>
      <c r="H20" s="295">
        <v>0</v>
      </c>
      <c r="I20" s="295">
        <v>0</v>
      </c>
      <c r="J20" s="295">
        <v>0</v>
      </c>
      <c r="K20" s="295">
        <v>0</v>
      </c>
      <c r="L20" s="295">
        <v>0</v>
      </c>
      <c r="M20" s="295">
        <v>0</v>
      </c>
      <c r="N20" s="295">
        <v>0</v>
      </c>
      <c r="O20" s="295">
        <v>0</v>
      </c>
      <c r="P20" s="295">
        <v>0</v>
      </c>
      <c r="Q20" s="295">
        <v>0</v>
      </c>
      <c r="R20" s="295">
        <v>0</v>
      </c>
      <c r="S20" s="295">
        <f t="shared" si="1"/>
        <v>0</v>
      </c>
      <c r="T20" s="293"/>
      <c r="U20" s="270"/>
      <c r="V20" s="291"/>
      <c r="W20" s="291"/>
    </row>
    <row r="21" spans="1:23" ht="12.75" customHeight="1" x14ac:dyDescent="0.2">
      <c r="A21" s="270"/>
      <c r="B21" s="270"/>
      <c r="C21" s="288"/>
      <c r="D21" s="294" t="s">
        <v>362</v>
      </c>
      <c r="E21" s="296"/>
      <c r="F21" s="295">
        <v>0</v>
      </c>
      <c r="G21" s="295">
        <v>0</v>
      </c>
      <c r="H21" s="295">
        <v>0</v>
      </c>
      <c r="I21" s="295">
        <v>0</v>
      </c>
      <c r="J21" s="295">
        <v>0</v>
      </c>
      <c r="K21" s="295">
        <v>0</v>
      </c>
      <c r="L21" s="295">
        <v>0</v>
      </c>
      <c r="M21" s="295">
        <v>0</v>
      </c>
      <c r="N21" s="295">
        <v>0</v>
      </c>
      <c r="O21" s="295">
        <v>0</v>
      </c>
      <c r="P21" s="295">
        <v>0</v>
      </c>
      <c r="Q21" s="295">
        <v>0</v>
      </c>
      <c r="R21" s="295">
        <v>0</v>
      </c>
      <c r="S21" s="295">
        <f t="shared" si="1"/>
        <v>0</v>
      </c>
      <c r="T21" s="293"/>
      <c r="U21" s="270"/>
      <c r="V21" s="291"/>
      <c r="W21" s="291"/>
    </row>
    <row r="22" spans="1:23" x14ac:dyDescent="0.2">
      <c r="A22" s="270"/>
      <c r="B22" s="270"/>
      <c r="C22" s="288"/>
      <c r="D22" s="294" t="s">
        <v>363</v>
      </c>
      <c r="E22" s="107"/>
      <c r="F22" s="295">
        <v>27779</v>
      </c>
      <c r="G22" s="295">
        <v>0</v>
      </c>
      <c r="H22" s="295">
        <v>0</v>
      </c>
      <c r="I22" s="295">
        <v>0</v>
      </c>
      <c r="J22" s="295">
        <v>0</v>
      </c>
      <c r="K22" s="295">
        <v>27779</v>
      </c>
      <c r="L22" s="295">
        <v>116280</v>
      </c>
      <c r="M22" s="295">
        <v>158829</v>
      </c>
      <c r="N22" s="295">
        <v>0</v>
      </c>
      <c r="O22" s="295">
        <v>0</v>
      </c>
      <c r="P22" s="295">
        <v>0</v>
      </c>
      <c r="Q22" s="295">
        <v>0</v>
      </c>
      <c r="R22" s="295">
        <v>0</v>
      </c>
      <c r="S22" s="295">
        <f>SUM(G22:R22)</f>
        <v>302888</v>
      </c>
      <c r="T22" s="293"/>
      <c r="U22" s="270"/>
      <c r="V22" s="291"/>
      <c r="W22" s="291"/>
    </row>
    <row r="23" spans="1:23" ht="12.75" hidden="1" customHeight="1" x14ac:dyDescent="0.2">
      <c r="A23" s="270"/>
      <c r="B23" s="270"/>
      <c r="C23" s="288"/>
      <c r="D23" s="40" t="s">
        <v>364</v>
      </c>
      <c r="E23" s="292"/>
      <c r="F23" s="295">
        <v>0</v>
      </c>
      <c r="G23" s="295">
        <v>0</v>
      </c>
      <c r="H23" s="295">
        <v>0</v>
      </c>
      <c r="I23" s="295">
        <v>0</v>
      </c>
      <c r="J23" s="295">
        <v>0</v>
      </c>
      <c r="K23" s="295">
        <v>0</v>
      </c>
      <c r="L23" s="295">
        <v>0</v>
      </c>
      <c r="M23" s="295">
        <v>0</v>
      </c>
      <c r="N23" s="295">
        <v>0</v>
      </c>
      <c r="O23" s="295">
        <v>0</v>
      </c>
      <c r="P23" s="295">
        <v>0</v>
      </c>
      <c r="Q23" s="295">
        <v>0</v>
      </c>
      <c r="R23" s="295">
        <v>0</v>
      </c>
      <c r="S23" s="295">
        <f t="shared" si="1"/>
        <v>0</v>
      </c>
      <c r="T23" s="293"/>
      <c r="U23" s="270"/>
      <c r="V23" s="291"/>
      <c r="W23" s="291"/>
    </row>
    <row r="24" spans="1:23" ht="12.75" hidden="1" customHeight="1" x14ac:dyDescent="0.2">
      <c r="A24" s="270"/>
      <c r="B24" s="270"/>
      <c r="C24" s="288"/>
      <c r="D24" s="294" t="s">
        <v>365</v>
      </c>
      <c r="E24" s="292"/>
      <c r="F24" s="295">
        <v>0</v>
      </c>
      <c r="G24" s="295">
        <v>0</v>
      </c>
      <c r="H24" s="295">
        <v>0</v>
      </c>
      <c r="I24" s="295">
        <v>0</v>
      </c>
      <c r="J24" s="295">
        <v>0</v>
      </c>
      <c r="K24" s="295">
        <v>0</v>
      </c>
      <c r="L24" s="295">
        <v>0</v>
      </c>
      <c r="M24" s="295">
        <v>0</v>
      </c>
      <c r="N24" s="295">
        <v>0</v>
      </c>
      <c r="O24" s="295">
        <v>0</v>
      </c>
      <c r="P24" s="295">
        <v>0</v>
      </c>
      <c r="Q24" s="295">
        <v>0</v>
      </c>
      <c r="R24" s="295">
        <v>0</v>
      </c>
      <c r="S24" s="295">
        <f t="shared" si="1"/>
        <v>0</v>
      </c>
      <c r="T24" s="293"/>
      <c r="U24" s="270"/>
      <c r="V24" s="291"/>
      <c r="W24" s="291"/>
    </row>
    <row r="25" spans="1:23" ht="12.75" hidden="1" customHeight="1" x14ac:dyDescent="0.2">
      <c r="A25" s="270"/>
      <c r="B25" s="270"/>
      <c r="C25" s="288"/>
      <c r="D25" s="294" t="s">
        <v>366</v>
      </c>
      <c r="E25" s="292"/>
      <c r="F25" s="295">
        <v>0</v>
      </c>
      <c r="G25" s="295">
        <v>0</v>
      </c>
      <c r="H25" s="295">
        <v>0</v>
      </c>
      <c r="I25" s="295">
        <v>0</v>
      </c>
      <c r="J25" s="295">
        <v>0</v>
      </c>
      <c r="K25" s="295">
        <v>0</v>
      </c>
      <c r="L25" s="295">
        <v>0</v>
      </c>
      <c r="M25" s="295">
        <v>0</v>
      </c>
      <c r="N25" s="295">
        <v>0</v>
      </c>
      <c r="O25" s="295">
        <v>0</v>
      </c>
      <c r="P25" s="295">
        <v>0</v>
      </c>
      <c r="Q25" s="295">
        <v>0</v>
      </c>
      <c r="R25" s="295">
        <v>0</v>
      </c>
      <c r="S25" s="295">
        <f t="shared" si="1"/>
        <v>0</v>
      </c>
      <c r="T25" s="293"/>
      <c r="U25" s="270"/>
      <c r="V25" s="291"/>
      <c r="W25" s="291"/>
    </row>
    <row r="26" spans="1:23" x14ac:dyDescent="0.2">
      <c r="A26" s="270"/>
      <c r="B26" s="270"/>
      <c r="C26" s="288"/>
      <c r="D26" s="294" t="s">
        <v>367</v>
      </c>
      <c r="E26" s="292"/>
      <c r="F26" s="295">
        <v>3892000</v>
      </c>
      <c r="G26" s="295">
        <v>29548</v>
      </c>
      <c r="H26" s="295">
        <v>601463</v>
      </c>
      <c r="I26" s="295">
        <v>97425</v>
      </c>
      <c r="J26" s="295">
        <v>217665</v>
      </c>
      <c r="K26" s="295">
        <v>77892</v>
      </c>
      <c r="L26" s="295">
        <v>834397</v>
      </c>
      <c r="M26" s="295">
        <v>665080</v>
      </c>
      <c r="N26" s="295">
        <v>0</v>
      </c>
      <c r="O26" s="295">
        <v>0</v>
      </c>
      <c r="P26" s="295">
        <v>0</v>
      </c>
      <c r="Q26" s="295">
        <v>0</v>
      </c>
      <c r="R26" s="295">
        <v>0</v>
      </c>
      <c r="S26" s="295">
        <f t="shared" si="1"/>
        <v>2523470</v>
      </c>
      <c r="T26" s="293"/>
      <c r="U26" s="270"/>
      <c r="V26" s="291"/>
      <c r="W26" s="291"/>
    </row>
    <row r="27" spans="1:23" ht="12.75" hidden="1" customHeight="1" x14ac:dyDescent="0.2">
      <c r="A27" s="270"/>
      <c r="B27" s="270"/>
      <c r="C27" s="288"/>
      <c r="D27" s="294" t="s">
        <v>368</v>
      </c>
      <c r="E27" s="292"/>
      <c r="F27" s="295">
        <v>0</v>
      </c>
      <c r="G27" s="295">
        <v>0</v>
      </c>
      <c r="H27" s="295">
        <v>0</v>
      </c>
      <c r="I27" s="295">
        <v>0</v>
      </c>
      <c r="J27" s="295">
        <v>0</v>
      </c>
      <c r="K27" s="295">
        <v>0</v>
      </c>
      <c r="L27" s="295">
        <v>0</v>
      </c>
      <c r="M27" s="295">
        <v>0</v>
      </c>
      <c r="N27" s="295">
        <v>0</v>
      </c>
      <c r="O27" s="295">
        <v>0</v>
      </c>
      <c r="P27" s="295">
        <v>0</v>
      </c>
      <c r="Q27" s="295">
        <v>0</v>
      </c>
      <c r="R27" s="295">
        <v>0</v>
      </c>
      <c r="S27" s="47">
        <f t="shared" si="1"/>
        <v>0</v>
      </c>
      <c r="T27" s="293"/>
      <c r="U27" s="270"/>
      <c r="V27" s="291"/>
      <c r="W27" s="291"/>
    </row>
    <row r="28" spans="1:23" ht="12.75" hidden="1" customHeight="1" x14ac:dyDescent="0.2">
      <c r="A28" s="270"/>
      <c r="B28" s="270"/>
      <c r="C28" s="288"/>
      <c r="D28" s="40" t="s">
        <v>369</v>
      </c>
      <c r="E28" s="166" t="s">
        <v>45</v>
      </c>
      <c r="F28" s="295">
        <v>0</v>
      </c>
      <c r="G28" s="295">
        <v>0</v>
      </c>
      <c r="H28" s="295">
        <v>0</v>
      </c>
      <c r="I28" s="295">
        <v>0</v>
      </c>
      <c r="J28" s="295">
        <v>0</v>
      </c>
      <c r="K28" s="295">
        <v>0</v>
      </c>
      <c r="L28" s="295">
        <v>0</v>
      </c>
      <c r="M28" s="295">
        <v>0</v>
      </c>
      <c r="N28" s="295">
        <v>0</v>
      </c>
      <c r="O28" s="295">
        <v>0</v>
      </c>
      <c r="P28" s="295">
        <v>0</v>
      </c>
      <c r="Q28" s="295">
        <v>0</v>
      </c>
      <c r="R28" s="295">
        <v>0</v>
      </c>
      <c r="S28" s="47">
        <f t="shared" si="1"/>
        <v>0</v>
      </c>
      <c r="T28" s="293"/>
      <c r="U28" s="270"/>
      <c r="V28" s="291"/>
      <c r="W28" s="291"/>
    </row>
    <row r="29" spans="1:23" s="299" customFormat="1" ht="12.75" hidden="1" customHeight="1" x14ac:dyDescent="0.2">
      <c r="A29" s="273"/>
      <c r="B29" s="273"/>
      <c r="C29" s="297"/>
      <c r="D29" s="294" t="s">
        <v>370</v>
      </c>
      <c r="E29" s="292"/>
      <c r="F29" s="295">
        <v>0</v>
      </c>
      <c r="G29" s="295">
        <v>0</v>
      </c>
      <c r="H29" s="295">
        <v>0</v>
      </c>
      <c r="I29" s="295">
        <v>0</v>
      </c>
      <c r="J29" s="295">
        <v>0</v>
      </c>
      <c r="K29" s="295">
        <v>0</v>
      </c>
      <c r="L29" s="295">
        <v>0</v>
      </c>
      <c r="M29" s="295">
        <v>0</v>
      </c>
      <c r="N29" s="295">
        <v>0</v>
      </c>
      <c r="O29" s="295">
        <v>0</v>
      </c>
      <c r="P29" s="295">
        <v>0</v>
      </c>
      <c r="Q29" s="295">
        <v>0</v>
      </c>
      <c r="R29" s="295">
        <v>0</v>
      </c>
      <c r="S29" s="47">
        <f>SUM(G29:R29)</f>
        <v>0</v>
      </c>
      <c r="T29" s="298"/>
      <c r="U29" s="273"/>
      <c r="V29" s="291"/>
      <c r="W29" s="291"/>
    </row>
    <row r="30" spans="1:23" s="299" customFormat="1" ht="12.75" hidden="1" customHeight="1" x14ac:dyDescent="0.2">
      <c r="A30" s="273"/>
      <c r="B30" s="273"/>
      <c r="C30" s="297"/>
      <c r="D30" s="40" t="s">
        <v>371</v>
      </c>
      <c r="E30" s="292"/>
      <c r="F30" s="295">
        <v>0</v>
      </c>
      <c r="G30" s="295">
        <v>0</v>
      </c>
      <c r="H30" s="295">
        <v>0</v>
      </c>
      <c r="I30" s="295">
        <v>0</v>
      </c>
      <c r="J30" s="295">
        <v>0</v>
      </c>
      <c r="K30" s="295">
        <v>0</v>
      </c>
      <c r="L30" s="295">
        <v>0</v>
      </c>
      <c r="M30" s="295">
        <v>0</v>
      </c>
      <c r="N30" s="295">
        <v>0</v>
      </c>
      <c r="O30" s="295">
        <v>0</v>
      </c>
      <c r="P30" s="295">
        <v>0</v>
      </c>
      <c r="Q30" s="295">
        <v>0</v>
      </c>
      <c r="R30" s="295">
        <v>0</v>
      </c>
      <c r="S30" s="47">
        <f t="shared" si="1"/>
        <v>0</v>
      </c>
      <c r="T30" s="298"/>
      <c r="U30" s="273"/>
      <c r="V30" s="291"/>
      <c r="W30" s="291"/>
    </row>
    <row r="31" spans="1:23" s="299" customFormat="1" ht="12.75" hidden="1" customHeight="1" x14ac:dyDescent="0.2">
      <c r="A31" s="273"/>
      <c r="B31" s="273"/>
      <c r="C31" s="297"/>
      <c r="D31" s="40" t="s">
        <v>372</v>
      </c>
      <c r="E31" s="292"/>
      <c r="F31" s="295">
        <v>0</v>
      </c>
      <c r="G31" s="295">
        <v>0</v>
      </c>
      <c r="H31" s="295">
        <v>0</v>
      </c>
      <c r="I31" s="295">
        <v>0</v>
      </c>
      <c r="J31" s="295">
        <v>0</v>
      </c>
      <c r="K31" s="295">
        <v>0</v>
      </c>
      <c r="L31" s="295">
        <v>0</v>
      </c>
      <c r="M31" s="295">
        <v>0</v>
      </c>
      <c r="N31" s="295">
        <v>0</v>
      </c>
      <c r="O31" s="295">
        <v>0</v>
      </c>
      <c r="P31" s="295">
        <v>0</v>
      </c>
      <c r="Q31" s="295">
        <v>0</v>
      </c>
      <c r="R31" s="295">
        <v>0</v>
      </c>
      <c r="S31" s="47">
        <f t="shared" si="1"/>
        <v>0</v>
      </c>
      <c r="T31" s="298"/>
      <c r="U31" s="273"/>
      <c r="V31" s="291"/>
      <c r="W31" s="291"/>
    </row>
    <row r="32" spans="1:23" ht="12.75" hidden="1" customHeight="1" x14ac:dyDescent="0.2">
      <c r="A32" s="270"/>
      <c r="B32" s="270"/>
      <c r="C32" s="288"/>
      <c r="D32" s="40" t="s">
        <v>373</v>
      </c>
      <c r="E32" s="292"/>
      <c r="F32" s="295">
        <v>0</v>
      </c>
      <c r="G32" s="295">
        <v>0</v>
      </c>
      <c r="H32" s="295">
        <v>0</v>
      </c>
      <c r="I32" s="295">
        <v>0</v>
      </c>
      <c r="J32" s="295">
        <v>0</v>
      </c>
      <c r="K32" s="295">
        <v>0</v>
      </c>
      <c r="L32" s="295">
        <v>0</v>
      </c>
      <c r="M32" s="295">
        <v>0</v>
      </c>
      <c r="N32" s="295">
        <v>0</v>
      </c>
      <c r="O32" s="295">
        <v>0</v>
      </c>
      <c r="P32" s="295">
        <v>0</v>
      </c>
      <c r="Q32" s="295">
        <v>0</v>
      </c>
      <c r="R32" s="295">
        <v>0</v>
      </c>
      <c r="S32" s="47">
        <f t="shared" si="1"/>
        <v>0</v>
      </c>
      <c r="T32" s="293"/>
      <c r="U32" s="270"/>
      <c r="V32" s="291"/>
      <c r="W32" s="291"/>
    </row>
    <row r="33" spans="1:23" ht="12.75" hidden="1" customHeight="1" x14ac:dyDescent="0.2">
      <c r="A33" s="270"/>
      <c r="B33" s="270"/>
      <c r="C33" s="288"/>
      <c r="D33" s="40" t="s">
        <v>373</v>
      </c>
      <c r="E33" s="292"/>
      <c r="F33" s="295">
        <v>0</v>
      </c>
      <c r="G33" s="295">
        <v>0</v>
      </c>
      <c r="H33" s="295">
        <v>0</v>
      </c>
      <c r="I33" s="295">
        <v>0</v>
      </c>
      <c r="J33" s="295">
        <v>0</v>
      </c>
      <c r="K33" s="295">
        <v>0</v>
      </c>
      <c r="L33" s="295">
        <v>0</v>
      </c>
      <c r="M33" s="295">
        <v>0</v>
      </c>
      <c r="N33" s="295">
        <v>0</v>
      </c>
      <c r="O33" s="295">
        <v>0</v>
      </c>
      <c r="P33" s="295">
        <v>0</v>
      </c>
      <c r="Q33" s="295">
        <v>0</v>
      </c>
      <c r="R33" s="295">
        <v>0</v>
      </c>
      <c r="S33" s="47">
        <f t="shared" si="1"/>
        <v>0</v>
      </c>
      <c r="T33" s="293"/>
      <c r="U33" s="270"/>
      <c r="V33" s="291"/>
      <c r="W33" s="291"/>
    </row>
    <row r="34" spans="1:23" ht="15" hidden="1" customHeight="1" x14ac:dyDescent="0.2">
      <c r="A34" s="270"/>
      <c r="B34" s="270"/>
      <c r="C34" s="288"/>
      <c r="D34" s="294" t="s">
        <v>374</v>
      </c>
      <c r="E34" s="292"/>
      <c r="F34" s="295">
        <v>0</v>
      </c>
      <c r="G34" s="295">
        <v>0</v>
      </c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  <c r="O34" s="295">
        <v>0</v>
      </c>
      <c r="P34" s="295">
        <v>0</v>
      </c>
      <c r="Q34" s="295">
        <v>0</v>
      </c>
      <c r="R34" s="295">
        <v>0</v>
      </c>
      <c r="S34" s="47">
        <f t="shared" si="1"/>
        <v>0</v>
      </c>
      <c r="T34" s="293"/>
      <c r="U34" s="270"/>
      <c r="V34" s="291"/>
      <c r="W34" s="291"/>
    </row>
    <row r="35" spans="1:23" ht="12.75" customHeight="1" x14ac:dyDescent="0.2">
      <c r="A35" s="270"/>
      <c r="B35" s="270"/>
      <c r="C35" s="288"/>
      <c r="D35" s="40" t="s">
        <v>375</v>
      </c>
      <c r="E35" s="292"/>
      <c r="F35" s="295">
        <v>0</v>
      </c>
      <c r="G35" s="295">
        <v>0</v>
      </c>
      <c r="H35" s="295">
        <v>0</v>
      </c>
      <c r="I35" s="295">
        <v>0</v>
      </c>
      <c r="J35" s="295">
        <v>0</v>
      </c>
      <c r="K35" s="295">
        <v>0</v>
      </c>
      <c r="L35" s="295">
        <v>0</v>
      </c>
      <c r="M35" s="295">
        <v>0</v>
      </c>
      <c r="N35" s="295">
        <v>0</v>
      </c>
      <c r="O35" s="295">
        <v>0</v>
      </c>
      <c r="P35" s="295">
        <v>0</v>
      </c>
      <c r="Q35" s="295">
        <v>0</v>
      </c>
      <c r="R35" s="295">
        <v>0</v>
      </c>
      <c r="S35" s="47">
        <f>SUM(G35:R35)</f>
        <v>0</v>
      </c>
      <c r="T35" s="293"/>
      <c r="U35" s="270"/>
      <c r="V35" s="291"/>
      <c r="W35" s="291"/>
    </row>
    <row r="36" spans="1:23" hidden="1" x14ac:dyDescent="0.2">
      <c r="A36" s="270"/>
      <c r="B36" s="270"/>
      <c r="C36" s="288"/>
      <c r="D36" s="40" t="s">
        <v>376</v>
      </c>
      <c r="E36" s="292"/>
      <c r="F36" s="295">
        <v>0</v>
      </c>
      <c r="G36" s="145">
        <v>0</v>
      </c>
      <c r="H36" s="145">
        <v>0</v>
      </c>
      <c r="I36" s="145">
        <v>0</v>
      </c>
      <c r="J36" s="145">
        <v>0</v>
      </c>
      <c r="K36" s="145">
        <v>0</v>
      </c>
      <c r="L36" s="145">
        <v>0</v>
      </c>
      <c r="M36" s="145">
        <v>0</v>
      </c>
      <c r="N36" s="145">
        <v>0</v>
      </c>
      <c r="O36" s="145">
        <v>0</v>
      </c>
      <c r="P36" s="145">
        <v>0</v>
      </c>
      <c r="Q36" s="145">
        <v>0</v>
      </c>
      <c r="R36" s="145">
        <v>0</v>
      </c>
      <c r="S36" s="47">
        <f>SUM(G36:R36)</f>
        <v>0</v>
      </c>
      <c r="T36" s="293"/>
      <c r="U36" s="270"/>
      <c r="V36" s="291"/>
      <c r="W36" s="291">
        <v>1316271</v>
      </c>
    </row>
    <row r="37" spans="1:23" hidden="1" x14ac:dyDescent="0.2">
      <c r="A37" s="270"/>
      <c r="B37" s="270"/>
      <c r="C37" s="288"/>
      <c r="D37" s="40" t="s">
        <v>377</v>
      </c>
      <c r="E37" s="292"/>
      <c r="F37" s="295">
        <v>0</v>
      </c>
      <c r="G37" s="145">
        <v>0</v>
      </c>
      <c r="H37" s="145">
        <v>0</v>
      </c>
      <c r="I37" s="145">
        <v>0</v>
      </c>
      <c r="J37" s="145">
        <v>0</v>
      </c>
      <c r="K37" s="145">
        <v>0</v>
      </c>
      <c r="L37" s="145">
        <v>0</v>
      </c>
      <c r="M37" s="145">
        <v>0</v>
      </c>
      <c r="N37" s="145">
        <v>0</v>
      </c>
      <c r="O37" s="145">
        <v>0</v>
      </c>
      <c r="P37" s="145">
        <v>0</v>
      </c>
      <c r="Q37" s="145">
        <v>0</v>
      </c>
      <c r="R37" s="145">
        <v>0</v>
      </c>
      <c r="S37" s="47">
        <f>SUM(G37:R37)</f>
        <v>0</v>
      </c>
      <c r="T37" s="293"/>
      <c r="U37" s="270"/>
      <c r="V37" s="291"/>
      <c r="W37" s="291"/>
    </row>
    <row r="38" spans="1:23" x14ac:dyDescent="0.2">
      <c r="A38" s="270"/>
      <c r="B38" s="270"/>
      <c r="C38" s="288"/>
      <c r="D38" s="294" t="s">
        <v>378</v>
      </c>
      <c r="E38" s="292"/>
      <c r="F38" s="145">
        <v>0</v>
      </c>
      <c r="G38" s="145">
        <v>0</v>
      </c>
      <c r="H38" s="145">
        <v>0</v>
      </c>
      <c r="I38" s="145">
        <v>0</v>
      </c>
      <c r="J38" s="145">
        <v>0</v>
      </c>
      <c r="K38" s="145">
        <v>0</v>
      </c>
      <c r="L38" s="145">
        <v>0</v>
      </c>
      <c r="M38" s="145">
        <v>0</v>
      </c>
      <c r="N38" s="145">
        <v>0</v>
      </c>
      <c r="O38" s="145">
        <v>0</v>
      </c>
      <c r="P38" s="145">
        <v>0</v>
      </c>
      <c r="Q38" s="145">
        <v>0</v>
      </c>
      <c r="R38" s="145">
        <v>0</v>
      </c>
      <c r="S38" s="47">
        <f>SUM(G38:R38)</f>
        <v>0</v>
      </c>
      <c r="T38" s="293"/>
      <c r="U38" s="270"/>
      <c r="V38" s="291"/>
      <c r="W38" s="291"/>
    </row>
    <row r="39" spans="1:23" ht="12.75" customHeight="1" x14ac:dyDescent="0.2">
      <c r="A39" s="270"/>
      <c r="B39" s="270"/>
      <c r="C39" s="288"/>
      <c r="D39" s="294"/>
      <c r="E39" s="296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47"/>
      <c r="T39" s="293"/>
      <c r="U39" s="270"/>
      <c r="V39" s="291"/>
      <c r="W39" s="291"/>
    </row>
    <row r="40" spans="1:23" x14ac:dyDescent="0.2">
      <c r="A40" s="270"/>
      <c r="B40" s="270"/>
      <c r="C40" s="288" t="s">
        <v>379</v>
      </c>
      <c r="D40" s="281"/>
      <c r="E40" s="300"/>
      <c r="F40" s="201">
        <f t="shared" ref="F40:S40" si="2">SUM(F41:F49)</f>
        <v>-263112</v>
      </c>
      <c r="G40" s="201">
        <f t="shared" si="2"/>
        <v>-183362</v>
      </c>
      <c r="H40" s="201">
        <f t="shared" si="2"/>
        <v>-60398</v>
      </c>
      <c r="I40" s="201">
        <f t="shared" si="2"/>
        <v>-19201</v>
      </c>
      <c r="J40" s="201">
        <f t="shared" si="2"/>
        <v>-9</v>
      </c>
      <c r="K40" s="201">
        <f t="shared" si="2"/>
        <v>-118</v>
      </c>
      <c r="L40" s="201">
        <f t="shared" si="2"/>
        <v>-24</v>
      </c>
      <c r="M40" s="201">
        <f t="shared" si="2"/>
        <v>-19</v>
      </c>
      <c r="N40" s="201">
        <f t="shared" si="2"/>
        <v>0</v>
      </c>
      <c r="O40" s="201">
        <f>SUM(O41:O49)</f>
        <v>0</v>
      </c>
      <c r="P40" s="201">
        <f t="shared" si="2"/>
        <v>0</v>
      </c>
      <c r="Q40" s="201">
        <f t="shared" si="2"/>
        <v>0</v>
      </c>
      <c r="R40" s="201">
        <f t="shared" si="2"/>
        <v>0</v>
      </c>
      <c r="S40" s="201">
        <f t="shared" si="2"/>
        <v>-263131</v>
      </c>
      <c r="T40" s="293"/>
      <c r="U40" s="270"/>
      <c r="V40" s="290"/>
      <c r="W40" s="291"/>
    </row>
    <row r="41" spans="1:23" hidden="1" x14ac:dyDescent="0.2">
      <c r="A41" s="270"/>
      <c r="B41" s="270"/>
      <c r="C41" s="301"/>
      <c r="D41" s="294" t="s">
        <v>380</v>
      </c>
      <c r="E41" s="292"/>
      <c r="F41" s="145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0</v>
      </c>
      <c r="Q41" s="47">
        <v>0</v>
      </c>
      <c r="R41" s="47">
        <v>0</v>
      </c>
      <c r="S41" s="47">
        <f t="shared" ref="S41:S49" si="3">SUM(G41:R41)</f>
        <v>0</v>
      </c>
      <c r="T41" s="289"/>
      <c r="U41" s="270"/>
      <c r="V41" s="291"/>
      <c r="W41" s="291"/>
    </row>
    <row r="42" spans="1:23" hidden="1" x14ac:dyDescent="0.2">
      <c r="A42" s="270"/>
      <c r="B42" s="270"/>
      <c r="C42" s="301"/>
      <c r="D42" s="294" t="s">
        <v>381</v>
      </c>
      <c r="E42" s="292"/>
      <c r="F42" s="295">
        <v>0</v>
      </c>
      <c r="G42" s="47">
        <v>0</v>
      </c>
      <c r="H42" s="47">
        <v>0</v>
      </c>
      <c r="I42" s="47">
        <v>0</v>
      </c>
      <c r="J42" s="47">
        <v>0</v>
      </c>
      <c r="K42" s="47">
        <v>0</v>
      </c>
      <c r="L42" s="47">
        <v>0</v>
      </c>
      <c r="M42" s="47">
        <v>0</v>
      </c>
      <c r="N42" s="47">
        <v>0</v>
      </c>
      <c r="O42" s="47">
        <v>0</v>
      </c>
      <c r="P42" s="47">
        <v>0</v>
      </c>
      <c r="Q42" s="47">
        <v>0</v>
      </c>
      <c r="R42" s="47">
        <v>0</v>
      </c>
      <c r="S42" s="47">
        <f t="shared" si="3"/>
        <v>0</v>
      </c>
      <c r="T42" s="289"/>
      <c r="U42" s="270"/>
      <c r="V42" s="291"/>
      <c r="W42" s="291"/>
    </row>
    <row r="43" spans="1:23" x14ac:dyDescent="0.2">
      <c r="A43" s="270"/>
      <c r="B43" s="270"/>
      <c r="C43" s="301"/>
      <c r="D43" s="40" t="s">
        <v>382</v>
      </c>
      <c r="E43" s="300" t="s">
        <v>46</v>
      </c>
      <c r="F43" s="295">
        <v>-53695</v>
      </c>
      <c r="G43" s="47">
        <v>-53695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v>0</v>
      </c>
      <c r="S43" s="47">
        <f t="shared" si="3"/>
        <v>-53695</v>
      </c>
      <c r="T43" s="289"/>
      <c r="U43" s="270"/>
      <c r="V43" s="291"/>
      <c r="W43" s="291"/>
    </row>
    <row r="44" spans="1:23" ht="12.75" customHeight="1" x14ac:dyDescent="0.2">
      <c r="A44" s="270"/>
      <c r="B44" s="270"/>
      <c r="C44" s="301"/>
      <c r="D44" s="294" t="s">
        <v>383</v>
      </c>
      <c r="E44" s="292"/>
      <c r="F44" s="295">
        <v>-70724</v>
      </c>
      <c r="G44" s="47">
        <v>-70706</v>
      </c>
      <c r="H44" s="47">
        <v>0</v>
      </c>
      <c r="I44" s="47">
        <f>-17-1</f>
        <v>-18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f t="shared" si="3"/>
        <v>-70724</v>
      </c>
      <c r="T44" s="289"/>
      <c r="U44" s="270"/>
      <c r="V44" s="291"/>
      <c r="W44" s="291"/>
    </row>
    <row r="45" spans="1:23" x14ac:dyDescent="0.2">
      <c r="A45" s="270"/>
      <c r="B45" s="270"/>
      <c r="C45" s="301"/>
      <c r="D45" s="294" t="s">
        <v>384</v>
      </c>
      <c r="E45" s="292"/>
      <c r="F45" s="295">
        <v>-138317</v>
      </c>
      <c r="G45" s="47">
        <v>-58894</v>
      </c>
      <c r="H45" s="47">
        <v>-60276</v>
      </c>
      <c r="I45" s="47">
        <v>-19147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v>0</v>
      </c>
      <c r="S45" s="47">
        <f t="shared" si="3"/>
        <v>-138317</v>
      </c>
      <c r="T45" s="289"/>
      <c r="U45" s="270"/>
      <c r="V45" s="291"/>
      <c r="W45" s="291"/>
    </row>
    <row r="46" spans="1:23" hidden="1" x14ac:dyDescent="0.2">
      <c r="A46" s="270"/>
      <c r="B46" s="270"/>
      <c r="C46" s="301"/>
      <c r="D46" s="294" t="s">
        <v>385</v>
      </c>
      <c r="E46" s="292"/>
      <c r="F46" s="295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0</v>
      </c>
      <c r="Q46" s="47">
        <v>0</v>
      </c>
      <c r="R46" s="47">
        <v>0</v>
      </c>
      <c r="S46" s="47">
        <f t="shared" si="3"/>
        <v>0</v>
      </c>
      <c r="T46" s="289"/>
      <c r="U46" s="270"/>
      <c r="V46" s="291"/>
      <c r="W46" s="291"/>
    </row>
    <row r="47" spans="1:23" hidden="1" x14ac:dyDescent="0.2">
      <c r="A47" s="270"/>
      <c r="B47" s="270"/>
      <c r="C47" s="301"/>
      <c r="D47" s="40" t="s">
        <v>386</v>
      </c>
      <c r="E47" s="292"/>
      <c r="F47" s="295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  <c r="Q47" s="47">
        <v>0</v>
      </c>
      <c r="R47" s="47">
        <v>0</v>
      </c>
      <c r="S47" s="47">
        <f t="shared" si="3"/>
        <v>0</v>
      </c>
      <c r="T47" s="289"/>
      <c r="U47" s="270"/>
      <c r="V47" s="291"/>
      <c r="W47" s="291"/>
    </row>
    <row r="48" spans="1:23" ht="12.75" hidden="1" customHeight="1" x14ac:dyDescent="0.2">
      <c r="A48" s="270"/>
      <c r="B48" s="270"/>
      <c r="C48" s="301"/>
      <c r="D48" s="40" t="s">
        <v>387</v>
      </c>
      <c r="E48" s="296"/>
      <c r="F48" s="145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v>0</v>
      </c>
      <c r="S48" s="47">
        <f t="shared" si="3"/>
        <v>0</v>
      </c>
      <c r="T48" s="289"/>
      <c r="U48" s="270"/>
      <c r="V48" s="291"/>
      <c r="W48" s="291"/>
    </row>
    <row r="49" spans="1:24" ht="12.75" customHeight="1" x14ac:dyDescent="0.2">
      <c r="A49" s="270"/>
      <c r="B49" s="270"/>
      <c r="C49" s="301"/>
      <c r="D49" s="40" t="s">
        <v>388</v>
      </c>
      <c r="E49" s="296"/>
      <c r="F49" s="145">
        <v>-376</v>
      </c>
      <c r="G49" s="47">
        <v>-67</v>
      </c>
      <c r="H49" s="47">
        <v>-122</v>
      </c>
      <c r="I49" s="47">
        <f>17-53</f>
        <v>-36</v>
      </c>
      <c r="J49" s="47">
        <v>-9</v>
      </c>
      <c r="K49" s="47">
        <v>-118</v>
      </c>
      <c r="L49" s="47">
        <v>-24</v>
      </c>
      <c r="M49" s="47">
        <v>-19</v>
      </c>
      <c r="N49" s="47">
        <v>0</v>
      </c>
      <c r="O49" s="47">
        <v>0</v>
      </c>
      <c r="P49" s="47">
        <v>0</v>
      </c>
      <c r="Q49" s="47">
        <v>0</v>
      </c>
      <c r="R49" s="47">
        <v>0</v>
      </c>
      <c r="S49" s="47">
        <f t="shared" si="3"/>
        <v>-395</v>
      </c>
      <c r="T49" s="289"/>
      <c r="U49" s="270"/>
      <c r="V49" s="291"/>
      <c r="W49" s="291"/>
    </row>
    <row r="50" spans="1:24" ht="12.75" customHeight="1" x14ac:dyDescent="0.2">
      <c r="A50" s="270"/>
      <c r="B50" s="270"/>
      <c r="C50" s="302"/>
      <c r="D50" s="303"/>
      <c r="E50" s="304"/>
      <c r="F50" s="305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289"/>
      <c r="U50" s="270"/>
      <c r="V50" s="291"/>
      <c r="W50" s="291"/>
    </row>
    <row r="51" spans="1:24" ht="12.75" hidden="1" customHeight="1" x14ac:dyDescent="0.2">
      <c r="A51" s="270"/>
      <c r="B51" s="270"/>
      <c r="C51" s="306" t="s">
        <v>389</v>
      </c>
      <c r="D51" s="307"/>
      <c r="E51" s="308"/>
      <c r="F51" s="309">
        <v>0</v>
      </c>
      <c r="G51" s="100">
        <v>0</v>
      </c>
      <c r="H51" s="100">
        <v>0</v>
      </c>
      <c r="I51" s="100">
        <v>0</v>
      </c>
      <c r="J51" s="100">
        <v>0</v>
      </c>
      <c r="K51" s="100">
        <v>0</v>
      </c>
      <c r="L51" s="100">
        <v>0</v>
      </c>
      <c r="M51" s="100">
        <v>0</v>
      </c>
      <c r="N51" s="100">
        <v>0</v>
      </c>
      <c r="O51" s="100">
        <v>0</v>
      </c>
      <c r="P51" s="100">
        <v>0</v>
      </c>
      <c r="Q51" s="100">
        <v>0</v>
      </c>
      <c r="R51" s="100">
        <v>0</v>
      </c>
      <c r="S51" s="100">
        <f>SUM(G51:R51)</f>
        <v>0</v>
      </c>
      <c r="T51" s="289"/>
      <c r="U51" s="270"/>
      <c r="V51" s="291"/>
      <c r="W51" s="291"/>
    </row>
    <row r="52" spans="1:24" s="314" customFormat="1" ht="15" customHeight="1" x14ac:dyDescent="0.2">
      <c r="A52" s="270"/>
      <c r="B52" s="270"/>
      <c r="C52" s="310" t="s">
        <v>390</v>
      </c>
      <c r="D52" s="311"/>
      <c r="E52" s="125"/>
      <c r="F52" s="44"/>
      <c r="G52" s="44"/>
      <c r="H52" s="44"/>
      <c r="I52" s="44"/>
      <c r="J52" s="44"/>
      <c r="K52" s="44"/>
      <c r="L52" s="44"/>
      <c r="M52" s="41"/>
      <c r="N52" s="41"/>
      <c r="O52" s="41"/>
      <c r="P52" s="41"/>
      <c r="Q52" s="41"/>
      <c r="R52" s="41"/>
      <c r="S52" s="41"/>
      <c r="T52" s="312"/>
      <c r="U52" s="313"/>
    </row>
    <row r="53" spans="1:24" x14ac:dyDescent="0.2">
      <c r="A53" s="270"/>
      <c r="B53" s="270"/>
      <c r="C53" s="310" t="s">
        <v>391</v>
      </c>
      <c r="D53" s="311"/>
      <c r="E53" s="52"/>
      <c r="F53" s="18"/>
      <c r="G53" s="18"/>
      <c r="H53" s="315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315"/>
      <c r="T53" s="312"/>
      <c r="U53" s="270"/>
      <c r="V53" s="316"/>
      <c r="X53" s="291"/>
    </row>
    <row r="54" spans="1:24" x14ac:dyDescent="0.2">
      <c r="A54" s="270"/>
      <c r="B54" s="270"/>
      <c r="C54" s="310"/>
      <c r="D54" s="294"/>
      <c r="E54" s="296"/>
      <c r="F54" s="40"/>
      <c r="G54" s="40"/>
      <c r="H54" s="317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318"/>
      <c r="T54" s="312"/>
      <c r="U54" s="270"/>
      <c r="V54" s="316"/>
      <c r="X54" s="291"/>
    </row>
    <row r="55" spans="1:24" x14ac:dyDescent="0.2">
      <c r="A55" s="270"/>
      <c r="B55" s="270"/>
      <c r="C55" s="294"/>
      <c r="E55" s="40"/>
      <c r="F55" s="40"/>
      <c r="G55" s="40"/>
      <c r="H55" s="317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70"/>
      <c r="X55" s="290"/>
    </row>
    <row r="56" spans="1:24" ht="12.75" hidden="1" customHeight="1" x14ac:dyDescent="0.2">
      <c r="C56" s="275" t="s">
        <v>392</v>
      </c>
      <c r="H56" s="316"/>
    </row>
    <row r="57" spans="1:24" ht="12.75" hidden="1" customHeight="1" x14ac:dyDescent="0.2">
      <c r="C57" s="275" t="s">
        <v>393</v>
      </c>
      <c r="H57" s="316"/>
    </row>
    <row r="58" spans="1:24" ht="12.75" hidden="1" customHeight="1" x14ac:dyDescent="0.2">
      <c r="C58" s="275" t="s">
        <v>394</v>
      </c>
      <c r="H58" s="316"/>
    </row>
    <row r="59" spans="1:24" ht="12.75" hidden="1" customHeight="1" x14ac:dyDescent="0.2">
      <c r="C59" s="275" t="s">
        <v>395</v>
      </c>
      <c r="H59" s="316"/>
    </row>
    <row r="60" spans="1:24" ht="12.75" hidden="1" customHeight="1" x14ac:dyDescent="0.2">
      <c r="C60" s="275" t="s">
        <v>396</v>
      </c>
    </row>
    <row r="61" spans="1:24" ht="12.75" hidden="1" customHeight="1" x14ac:dyDescent="0.2">
      <c r="C61" s="275" t="s">
        <v>397</v>
      </c>
    </row>
    <row r="62" spans="1:24" ht="12.75" hidden="1" customHeight="1" x14ac:dyDescent="0.2">
      <c r="C62" s="275" t="s">
        <v>398</v>
      </c>
    </row>
    <row r="63" spans="1:24" hidden="1" x14ac:dyDescent="0.2">
      <c r="A63" s="270"/>
      <c r="B63" s="270"/>
      <c r="D63" s="319"/>
      <c r="M63" s="316"/>
      <c r="T63" s="312"/>
      <c r="U63" s="270"/>
    </row>
    <row r="64" spans="1:24" hidden="1" x14ac:dyDescent="0.2">
      <c r="A64" s="270"/>
      <c r="B64" s="270"/>
      <c r="T64" s="312"/>
      <c r="U64" s="270"/>
    </row>
    <row r="65" spans="3:19" hidden="1" x14ac:dyDescent="0.2">
      <c r="C65" s="320"/>
      <c r="D65" s="320"/>
      <c r="E65" s="321"/>
      <c r="F65" s="321"/>
    </row>
    <row r="66" spans="3:19" hidden="1" x14ac:dyDescent="0.2">
      <c r="F66" s="316"/>
    </row>
    <row r="67" spans="3:19" hidden="1" x14ac:dyDescent="0.2"/>
    <row r="68" spans="3:19" hidden="1" x14ac:dyDescent="0.2"/>
    <row r="69" spans="3:19" hidden="1" x14ac:dyDescent="0.2"/>
    <row r="70" spans="3:19" hidden="1" x14ac:dyDescent="0.2"/>
    <row r="71" spans="3:19" hidden="1" x14ac:dyDescent="0.2"/>
    <row r="72" spans="3:19" hidden="1" x14ac:dyDescent="0.2"/>
    <row r="73" spans="3:19" s="323" customFormat="1" x14ac:dyDescent="0.2">
      <c r="E73" s="322"/>
      <c r="F73" s="322"/>
      <c r="G73" s="324"/>
      <c r="H73" s="324"/>
      <c r="I73" s="324"/>
      <c r="J73" s="324"/>
      <c r="K73" s="324"/>
      <c r="L73" s="324"/>
      <c r="M73" s="325"/>
      <c r="N73" s="326"/>
      <c r="O73" s="324"/>
      <c r="P73" s="324"/>
      <c r="Q73" s="324"/>
      <c r="R73" s="324"/>
      <c r="S73" s="327"/>
    </row>
    <row r="74" spans="3:19" s="323" customFormat="1" x14ac:dyDescent="0.2">
      <c r="E74" s="322"/>
      <c r="F74" s="322"/>
      <c r="G74" s="324"/>
      <c r="H74" s="324"/>
      <c r="I74" s="324"/>
      <c r="J74" s="324"/>
      <c r="K74" s="324"/>
      <c r="L74" s="324"/>
      <c r="M74" s="324"/>
      <c r="N74" s="324"/>
      <c r="O74" s="324"/>
      <c r="P74" s="324"/>
      <c r="Q74" s="324"/>
      <c r="R74" s="324"/>
      <c r="S74" s="327"/>
    </row>
    <row r="75" spans="3:19" s="323" customFormat="1" x14ac:dyDescent="0.2">
      <c r="E75" s="322"/>
      <c r="F75" s="322"/>
      <c r="G75" s="322"/>
      <c r="H75" s="322"/>
      <c r="I75" s="322"/>
      <c r="J75" s="322"/>
      <c r="K75" s="322"/>
      <c r="L75" s="322"/>
      <c r="M75" s="322"/>
      <c r="N75" s="322"/>
      <c r="O75" s="322"/>
      <c r="P75" s="322"/>
      <c r="Q75" s="322"/>
      <c r="R75" s="322"/>
      <c r="S75" s="327"/>
    </row>
    <row r="76" spans="3:19" s="323" customFormat="1" x14ac:dyDescent="0.2">
      <c r="E76" s="322"/>
      <c r="F76" s="299"/>
      <c r="G76" s="325"/>
      <c r="H76" s="325"/>
      <c r="I76" s="325"/>
      <c r="J76" s="325"/>
      <c r="K76" s="325"/>
      <c r="L76" s="325"/>
      <c r="M76" s="325"/>
      <c r="N76" s="325"/>
      <c r="O76" s="325"/>
      <c r="P76" s="322"/>
      <c r="Q76" s="322"/>
      <c r="R76" s="322"/>
      <c r="S76" s="328"/>
    </row>
    <row r="77" spans="3:19" ht="15.75" customHeight="1" x14ac:dyDescent="0.2">
      <c r="G77" s="324"/>
      <c r="H77" s="324"/>
      <c r="I77" s="324"/>
      <c r="J77" s="324"/>
      <c r="K77" s="324"/>
      <c r="L77" s="324"/>
      <c r="M77" s="324"/>
      <c r="N77" s="324"/>
      <c r="O77" s="324"/>
      <c r="S77" s="327"/>
    </row>
    <row r="78" spans="3:19" x14ac:dyDescent="0.2">
      <c r="S78" s="327"/>
    </row>
    <row r="79" spans="3:19" x14ac:dyDescent="0.2">
      <c r="G79" s="316"/>
      <c r="H79" s="316"/>
      <c r="I79" s="316"/>
      <c r="J79" s="316"/>
      <c r="K79" s="316"/>
      <c r="L79" s="316"/>
      <c r="M79" s="316"/>
      <c r="N79" s="316"/>
      <c r="O79" s="316"/>
      <c r="S79" s="327"/>
    </row>
    <row r="80" spans="3:19" x14ac:dyDescent="0.2">
      <c r="D80" s="270"/>
      <c r="G80" s="316"/>
      <c r="H80" s="316"/>
      <c r="I80" s="316"/>
      <c r="J80" s="316"/>
      <c r="K80" s="316"/>
      <c r="L80" s="316"/>
      <c r="M80" s="316"/>
      <c r="N80" s="316"/>
      <c r="O80" s="316"/>
      <c r="P80" s="316"/>
      <c r="Q80" s="316"/>
      <c r="R80" s="316"/>
      <c r="S80" s="327"/>
    </row>
    <row r="81" spans="4:19" x14ac:dyDescent="0.2">
      <c r="D81" s="270"/>
      <c r="G81" s="316"/>
      <c r="H81" s="316"/>
      <c r="I81" s="316"/>
      <c r="J81" s="316"/>
      <c r="K81" s="316"/>
      <c r="L81" s="316"/>
      <c r="M81" s="316"/>
      <c r="N81" s="316"/>
      <c r="O81" s="316"/>
      <c r="P81" s="316"/>
      <c r="Q81" s="316"/>
      <c r="R81" s="316"/>
      <c r="S81" s="316"/>
    </row>
    <row r="82" spans="4:19" x14ac:dyDescent="0.2">
      <c r="G82" s="316"/>
      <c r="H82" s="316"/>
      <c r="I82" s="316"/>
      <c r="J82" s="316"/>
      <c r="K82" s="316"/>
      <c r="L82" s="316"/>
      <c r="M82" s="316"/>
      <c r="N82" s="316"/>
      <c r="O82" s="316"/>
      <c r="P82" s="316"/>
      <c r="Q82" s="316"/>
      <c r="R82" s="316"/>
      <c r="S82" s="316"/>
    </row>
    <row r="83" spans="4:19" x14ac:dyDescent="0.2">
      <c r="G83" s="316"/>
      <c r="H83" s="316"/>
      <c r="I83" s="316"/>
      <c r="J83" s="316"/>
      <c r="K83" s="316"/>
      <c r="L83" s="316"/>
      <c r="M83" s="316"/>
      <c r="N83" s="316"/>
      <c r="O83" s="316"/>
      <c r="P83" s="316"/>
      <c r="Q83" s="316"/>
      <c r="R83" s="316"/>
      <c r="S83" s="316"/>
    </row>
    <row r="84" spans="4:19" x14ac:dyDescent="0.2"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16"/>
      <c r="R84" s="316"/>
      <c r="S84" s="316"/>
    </row>
    <row r="85" spans="4:19" x14ac:dyDescent="0.2"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16"/>
      <c r="R85" s="316"/>
      <c r="S85" s="316"/>
    </row>
    <row r="86" spans="4:19" x14ac:dyDescent="0.2"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16"/>
      <c r="R86" s="316"/>
      <c r="S86" s="316"/>
    </row>
    <row r="87" spans="4:19" x14ac:dyDescent="0.2"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16"/>
      <c r="R87" s="316"/>
      <c r="S87" s="316"/>
    </row>
    <row r="88" spans="4:19" x14ac:dyDescent="0.2"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16"/>
      <c r="R88" s="316"/>
      <c r="S88" s="316"/>
    </row>
    <row r="89" spans="4:19" x14ac:dyDescent="0.2"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16"/>
      <c r="R89" s="316"/>
      <c r="S89" s="316"/>
    </row>
    <row r="90" spans="4:19" x14ac:dyDescent="0.2">
      <c r="G90" s="316"/>
      <c r="H90" s="316"/>
      <c r="I90" s="316"/>
      <c r="J90" s="316"/>
      <c r="K90" s="316"/>
      <c r="L90" s="316"/>
      <c r="M90" s="316"/>
      <c r="N90" s="316"/>
      <c r="O90" s="316"/>
      <c r="P90" s="316"/>
      <c r="Q90" s="316"/>
      <c r="R90" s="316"/>
      <c r="S90" s="316"/>
    </row>
    <row r="91" spans="4:19" x14ac:dyDescent="0.2">
      <c r="G91" s="316"/>
      <c r="H91" s="316"/>
      <c r="I91" s="316"/>
      <c r="J91" s="316"/>
      <c r="K91" s="316"/>
      <c r="L91" s="316"/>
      <c r="M91" s="316"/>
      <c r="N91" s="316"/>
      <c r="O91" s="316"/>
      <c r="P91" s="316"/>
      <c r="Q91" s="316"/>
      <c r="R91" s="316"/>
      <c r="S91" s="316"/>
    </row>
    <row r="92" spans="4:19" x14ac:dyDescent="0.2">
      <c r="G92" s="316"/>
      <c r="H92" s="316"/>
      <c r="I92" s="316"/>
      <c r="J92" s="316"/>
      <c r="K92" s="316"/>
      <c r="L92" s="316"/>
      <c r="M92" s="316"/>
      <c r="N92" s="316"/>
      <c r="O92" s="316"/>
      <c r="P92" s="316"/>
      <c r="Q92" s="316"/>
      <c r="R92" s="316"/>
      <c r="S92" s="316"/>
    </row>
    <row r="93" spans="4:19" x14ac:dyDescent="0.2">
      <c r="G93" s="316"/>
      <c r="H93" s="316"/>
      <c r="I93" s="316"/>
      <c r="J93" s="316"/>
      <c r="K93" s="316"/>
      <c r="L93" s="316"/>
      <c r="M93" s="316"/>
      <c r="N93" s="316"/>
      <c r="O93" s="316"/>
      <c r="P93" s="316"/>
      <c r="Q93" s="316"/>
      <c r="R93" s="316"/>
      <c r="S93" s="316"/>
    </row>
    <row r="94" spans="4:19" x14ac:dyDescent="0.2">
      <c r="G94" s="316"/>
      <c r="H94" s="316"/>
      <c r="I94" s="316"/>
      <c r="J94" s="316"/>
      <c r="K94" s="316"/>
      <c r="L94" s="316"/>
      <c r="M94" s="316"/>
      <c r="N94" s="316"/>
      <c r="O94" s="316"/>
      <c r="P94" s="316"/>
      <c r="Q94" s="316"/>
      <c r="R94" s="316"/>
      <c r="S94" s="316"/>
    </row>
    <row r="95" spans="4:19" x14ac:dyDescent="0.2"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16"/>
      <c r="R95" s="316"/>
      <c r="S95" s="316"/>
    </row>
    <row r="96" spans="4:19" x14ac:dyDescent="0.2">
      <c r="G96" s="316"/>
      <c r="H96" s="316"/>
      <c r="I96" s="316"/>
      <c r="J96" s="316"/>
      <c r="K96" s="316"/>
      <c r="L96" s="316"/>
      <c r="M96" s="316"/>
      <c r="N96" s="316"/>
      <c r="O96" s="316"/>
      <c r="P96" s="316"/>
      <c r="Q96" s="316"/>
      <c r="R96" s="316"/>
      <c r="S96" s="316"/>
    </row>
    <row r="97" spans="7:19" x14ac:dyDescent="0.2">
      <c r="G97" s="316"/>
      <c r="H97" s="316"/>
      <c r="I97" s="316"/>
      <c r="J97" s="316"/>
      <c r="K97" s="316"/>
      <c r="L97" s="316"/>
      <c r="M97" s="316"/>
      <c r="N97" s="316"/>
      <c r="O97" s="316"/>
      <c r="P97" s="316"/>
      <c r="Q97" s="316"/>
      <c r="R97" s="316"/>
      <c r="S97" s="316"/>
    </row>
    <row r="98" spans="7:19" x14ac:dyDescent="0.2">
      <c r="G98" s="316"/>
      <c r="H98" s="316"/>
      <c r="I98" s="316"/>
      <c r="J98" s="316"/>
      <c r="K98" s="316"/>
      <c r="L98" s="316"/>
      <c r="M98" s="316"/>
      <c r="N98" s="316"/>
      <c r="O98" s="316"/>
      <c r="P98" s="316"/>
      <c r="Q98" s="316"/>
      <c r="R98" s="316"/>
      <c r="S98" s="316"/>
    </row>
    <row r="99" spans="7:19" x14ac:dyDescent="0.2">
      <c r="G99" s="316"/>
      <c r="H99" s="316"/>
      <c r="I99" s="316"/>
      <c r="J99" s="316"/>
      <c r="K99" s="316"/>
      <c r="L99" s="316"/>
      <c r="M99" s="316"/>
      <c r="N99" s="316"/>
      <c r="O99" s="316"/>
      <c r="P99" s="316"/>
      <c r="Q99" s="316"/>
      <c r="R99" s="316"/>
      <c r="S99" s="316"/>
    </row>
    <row r="100" spans="7:19" x14ac:dyDescent="0.2">
      <c r="G100" s="316"/>
      <c r="H100" s="316"/>
      <c r="I100" s="316"/>
      <c r="J100" s="316"/>
      <c r="K100" s="316"/>
      <c r="L100" s="316"/>
      <c r="M100" s="316"/>
      <c r="N100" s="316"/>
      <c r="O100" s="316"/>
      <c r="P100" s="316"/>
      <c r="Q100" s="316"/>
      <c r="R100" s="316"/>
      <c r="S100" s="316"/>
    </row>
    <row r="101" spans="7:19" x14ac:dyDescent="0.2">
      <c r="G101" s="316"/>
      <c r="H101" s="316"/>
      <c r="I101" s="316"/>
      <c r="J101" s="316"/>
      <c r="K101" s="316"/>
      <c r="L101" s="316"/>
      <c r="M101" s="316"/>
      <c r="N101" s="316"/>
      <c r="O101" s="316"/>
      <c r="P101" s="316"/>
      <c r="Q101" s="316"/>
      <c r="R101" s="316"/>
      <c r="S101" s="316"/>
    </row>
    <row r="102" spans="7:19" x14ac:dyDescent="0.2"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</row>
    <row r="103" spans="7:19" x14ac:dyDescent="0.2">
      <c r="G103" s="316"/>
      <c r="H103" s="316"/>
      <c r="I103" s="316"/>
      <c r="J103" s="316"/>
      <c r="K103" s="316"/>
      <c r="L103" s="316"/>
      <c r="M103" s="316"/>
      <c r="N103" s="316"/>
      <c r="O103" s="316"/>
      <c r="P103" s="316"/>
      <c r="Q103" s="316"/>
      <c r="R103" s="316"/>
      <c r="S103" s="316"/>
    </row>
    <row r="104" spans="7:19" x14ac:dyDescent="0.2">
      <c r="G104" s="316"/>
      <c r="H104" s="316"/>
      <c r="I104" s="316"/>
      <c r="J104" s="316"/>
      <c r="K104" s="316"/>
      <c r="L104" s="316"/>
      <c r="M104" s="316"/>
      <c r="N104" s="316"/>
      <c r="O104" s="316"/>
      <c r="P104" s="316"/>
      <c r="Q104" s="316"/>
      <c r="R104" s="316"/>
      <c r="S104" s="316"/>
    </row>
    <row r="105" spans="7:19" x14ac:dyDescent="0.2">
      <c r="G105" s="316"/>
      <c r="H105" s="316"/>
      <c r="I105" s="316"/>
      <c r="J105" s="316"/>
      <c r="K105" s="316"/>
      <c r="L105" s="316"/>
      <c r="M105" s="316"/>
      <c r="N105" s="316"/>
      <c r="O105" s="316"/>
      <c r="P105" s="316"/>
      <c r="Q105" s="316"/>
      <c r="R105" s="316"/>
      <c r="S105" s="316"/>
    </row>
    <row r="106" spans="7:19" x14ac:dyDescent="0.2">
      <c r="G106" s="316"/>
      <c r="H106" s="316"/>
      <c r="I106" s="316"/>
      <c r="J106" s="316"/>
      <c r="K106" s="316"/>
      <c r="L106" s="316"/>
      <c r="M106" s="316"/>
      <c r="N106" s="316"/>
      <c r="O106" s="316"/>
      <c r="P106" s="316"/>
      <c r="Q106" s="316"/>
      <c r="R106" s="316"/>
      <c r="S106" s="316"/>
    </row>
    <row r="107" spans="7:19" x14ac:dyDescent="0.2">
      <c r="G107" s="316"/>
      <c r="H107" s="316"/>
      <c r="I107" s="316"/>
      <c r="J107" s="316"/>
      <c r="K107" s="316"/>
      <c r="L107" s="316"/>
      <c r="M107" s="316"/>
      <c r="N107" s="316"/>
      <c r="O107" s="316"/>
      <c r="P107" s="316"/>
      <c r="Q107" s="316"/>
      <c r="R107" s="316"/>
      <c r="S107" s="316"/>
    </row>
    <row r="108" spans="7:19" x14ac:dyDescent="0.2">
      <c r="G108" s="316"/>
      <c r="H108" s="316"/>
      <c r="I108" s="316"/>
      <c r="J108" s="316"/>
      <c r="K108" s="316"/>
      <c r="L108" s="316"/>
      <c r="M108" s="316"/>
      <c r="N108" s="316"/>
      <c r="O108" s="316"/>
      <c r="P108" s="316"/>
      <c r="Q108" s="316"/>
      <c r="R108" s="316"/>
      <c r="S108" s="316"/>
    </row>
    <row r="109" spans="7:19" x14ac:dyDescent="0.2">
      <c r="G109" s="316"/>
      <c r="H109" s="316"/>
      <c r="I109" s="316"/>
      <c r="J109" s="316"/>
      <c r="K109" s="316"/>
      <c r="L109" s="316"/>
      <c r="M109" s="316"/>
      <c r="N109" s="316"/>
      <c r="O109" s="316"/>
      <c r="P109" s="316"/>
      <c r="Q109" s="316"/>
      <c r="R109" s="316"/>
      <c r="S109" s="316"/>
    </row>
    <row r="110" spans="7:19" x14ac:dyDescent="0.2"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16"/>
      <c r="R110" s="316"/>
      <c r="S110" s="316"/>
    </row>
    <row r="111" spans="7:19" x14ac:dyDescent="0.2">
      <c r="G111" s="316"/>
      <c r="H111" s="316"/>
      <c r="I111" s="316"/>
      <c r="J111" s="316"/>
      <c r="K111" s="316"/>
      <c r="L111" s="316"/>
      <c r="M111" s="316"/>
      <c r="N111" s="316"/>
      <c r="O111" s="316"/>
      <c r="P111" s="316"/>
      <c r="Q111" s="316"/>
      <c r="R111" s="316"/>
      <c r="S111" s="316"/>
    </row>
    <row r="112" spans="7:19" x14ac:dyDescent="0.2">
      <c r="G112" s="316"/>
      <c r="H112" s="316"/>
      <c r="I112" s="316"/>
      <c r="J112" s="316"/>
      <c r="K112" s="316"/>
      <c r="L112" s="316"/>
      <c r="M112" s="316"/>
      <c r="N112" s="316"/>
      <c r="O112" s="316"/>
      <c r="P112" s="316"/>
      <c r="Q112" s="316"/>
      <c r="R112" s="316"/>
      <c r="S112" s="316"/>
    </row>
    <row r="113" spans="7:19" x14ac:dyDescent="0.2">
      <c r="G113" s="316"/>
      <c r="H113" s="316"/>
      <c r="I113" s="316"/>
      <c r="J113" s="316"/>
      <c r="K113" s="316"/>
      <c r="L113" s="316"/>
      <c r="M113" s="316"/>
      <c r="N113" s="316"/>
      <c r="O113" s="316"/>
      <c r="P113" s="316"/>
      <c r="Q113" s="316"/>
      <c r="R113" s="316"/>
      <c r="S113" s="316"/>
    </row>
    <row r="114" spans="7:19" x14ac:dyDescent="0.2">
      <c r="G114" s="316"/>
      <c r="H114" s="316"/>
      <c r="I114" s="316"/>
      <c r="J114" s="316"/>
      <c r="K114" s="316"/>
      <c r="L114" s="316"/>
      <c r="M114" s="316"/>
      <c r="N114" s="316"/>
      <c r="O114" s="316"/>
      <c r="P114" s="316"/>
      <c r="Q114" s="316"/>
      <c r="R114" s="316"/>
      <c r="S114" s="316"/>
    </row>
    <row r="115" spans="7:19" x14ac:dyDescent="0.2">
      <c r="G115" s="316"/>
      <c r="H115" s="316"/>
      <c r="I115" s="316"/>
      <c r="J115" s="316"/>
      <c r="K115" s="316"/>
      <c r="L115" s="316"/>
      <c r="M115" s="316"/>
      <c r="N115" s="316"/>
      <c r="O115" s="316"/>
      <c r="P115" s="316"/>
      <c r="Q115" s="316"/>
      <c r="R115" s="316"/>
      <c r="S115" s="316"/>
    </row>
    <row r="116" spans="7:19" x14ac:dyDescent="0.2">
      <c r="G116" s="316"/>
      <c r="H116" s="316"/>
      <c r="I116" s="316"/>
      <c r="J116" s="316"/>
      <c r="K116" s="316"/>
      <c r="L116" s="316"/>
      <c r="M116" s="316"/>
      <c r="N116" s="316"/>
      <c r="O116" s="316"/>
      <c r="P116" s="316"/>
      <c r="Q116" s="316"/>
      <c r="R116" s="316"/>
      <c r="S116" s="316"/>
    </row>
    <row r="117" spans="7:19" x14ac:dyDescent="0.2"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</row>
    <row r="118" spans="7:19" x14ac:dyDescent="0.2"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16"/>
      <c r="R118" s="316"/>
      <c r="S118" s="316"/>
    </row>
    <row r="119" spans="7:19" x14ac:dyDescent="0.2"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</row>
    <row r="120" spans="7:19" x14ac:dyDescent="0.2"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16"/>
      <c r="R120" s="316"/>
      <c r="S120" s="316"/>
    </row>
    <row r="121" spans="7:19" x14ac:dyDescent="0.2">
      <c r="G121" s="316"/>
      <c r="H121" s="316"/>
      <c r="I121" s="316"/>
      <c r="J121" s="316"/>
      <c r="K121" s="316"/>
      <c r="L121" s="316"/>
      <c r="M121" s="316"/>
      <c r="N121" s="316"/>
      <c r="O121" s="316"/>
      <c r="P121" s="316"/>
      <c r="Q121" s="316"/>
      <c r="R121" s="316"/>
      <c r="S121" s="316"/>
    </row>
    <row r="122" spans="7:19" x14ac:dyDescent="0.2">
      <c r="G122" s="316"/>
      <c r="H122" s="316"/>
      <c r="I122" s="316"/>
      <c r="J122" s="316"/>
      <c r="K122" s="316"/>
      <c r="L122" s="316"/>
      <c r="M122" s="316"/>
      <c r="N122" s="316"/>
      <c r="O122" s="316"/>
      <c r="P122" s="316"/>
      <c r="Q122" s="316"/>
      <c r="R122" s="316"/>
      <c r="S122" s="316"/>
    </row>
    <row r="123" spans="7:19" x14ac:dyDescent="0.2">
      <c r="G123" s="316"/>
      <c r="H123" s="316"/>
      <c r="I123" s="316"/>
      <c r="J123" s="316"/>
      <c r="K123" s="316"/>
      <c r="L123" s="316"/>
      <c r="M123" s="316"/>
      <c r="N123" s="316"/>
      <c r="O123" s="316"/>
      <c r="P123" s="316"/>
      <c r="Q123" s="316"/>
      <c r="R123" s="316"/>
      <c r="S123" s="316"/>
    </row>
    <row r="124" spans="7:19" x14ac:dyDescent="0.2">
      <c r="G124" s="316"/>
      <c r="H124" s="316"/>
      <c r="I124" s="316"/>
      <c r="J124" s="316"/>
      <c r="K124" s="316"/>
      <c r="L124" s="316"/>
      <c r="M124" s="316"/>
      <c r="N124" s="316"/>
      <c r="O124" s="316"/>
      <c r="P124" s="316"/>
      <c r="Q124" s="316"/>
      <c r="R124" s="316"/>
      <c r="S124" s="316"/>
    </row>
    <row r="125" spans="7:19" x14ac:dyDescent="0.2">
      <c r="G125" s="316"/>
      <c r="H125" s="316"/>
      <c r="I125" s="316"/>
      <c r="J125" s="316"/>
      <c r="K125" s="316"/>
      <c r="L125" s="316"/>
      <c r="M125" s="316"/>
      <c r="N125" s="316"/>
      <c r="O125" s="316"/>
      <c r="P125" s="316"/>
      <c r="Q125" s="316"/>
      <c r="R125" s="316"/>
      <c r="S125" s="316"/>
    </row>
    <row r="126" spans="7:19" x14ac:dyDescent="0.2"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16"/>
      <c r="R126" s="316"/>
      <c r="S126" s="316"/>
    </row>
    <row r="127" spans="7:19" x14ac:dyDescent="0.2">
      <c r="S127" s="316"/>
    </row>
    <row r="128" spans="7:19" x14ac:dyDescent="0.2">
      <c r="S128" s="316"/>
    </row>
    <row r="129" spans="19:19" x14ac:dyDescent="0.2">
      <c r="S129" s="316"/>
    </row>
    <row r="130" spans="19:19" x14ac:dyDescent="0.2">
      <c r="S130" s="316"/>
    </row>
    <row r="131" spans="19:19" x14ac:dyDescent="0.2">
      <c r="S131" s="316"/>
    </row>
    <row r="132" spans="19:19" x14ac:dyDescent="0.2">
      <c r="S132" s="316"/>
    </row>
    <row r="133" spans="19:19" x14ac:dyDescent="0.2">
      <c r="S133" s="316"/>
    </row>
    <row r="134" spans="19:19" x14ac:dyDescent="0.2">
      <c r="S134" s="316"/>
    </row>
    <row r="135" spans="19:19" x14ac:dyDescent="0.2">
      <c r="S135" s="316"/>
    </row>
    <row r="136" spans="19:19" x14ac:dyDescent="0.2">
      <c r="S136" s="316"/>
    </row>
    <row r="137" spans="19:19" x14ac:dyDescent="0.2">
      <c r="S137" s="316"/>
    </row>
    <row r="138" spans="19:19" x14ac:dyDescent="0.2">
      <c r="S138" s="316"/>
    </row>
    <row r="139" spans="19:19" x14ac:dyDescent="0.2">
      <c r="S139" s="316"/>
    </row>
    <row r="140" spans="19:19" x14ac:dyDescent="0.2">
      <c r="S140" s="316"/>
    </row>
    <row r="141" spans="19:19" x14ac:dyDescent="0.2">
      <c r="S141" s="316"/>
    </row>
    <row r="142" spans="19:19" x14ac:dyDescent="0.2">
      <c r="S142" s="316"/>
    </row>
    <row r="143" spans="19:19" x14ac:dyDescent="0.2">
      <c r="S143" s="316"/>
    </row>
    <row r="144" spans="19:19" x14ac:dyDescent="0.2">
      <c r="S144" s="316"/>
    </row>
    <row r="145" spans="19:19" x14ac:dyDescent="0.2">
      <c r="S145" s="316"/>
    </row>
    <row r="146" spans="19:19" x14ac:dyDescent="0.2">
      <c r="S146" s="316"/>
    </row>
    <row r="147" spans="19:19" x14ac:dyDescent="0.2">
      <c r="S147" s="316"/>
    </row>
    <row r="148" spans="19:19" x14ac:dyDescent="0.2">
      <c r="S148" s="316"/>
    </row>
    <row r="149" spans="19:19" x14ac:dyDescent="0.2">
      <c r="S149" s="316"/>
    </row>
    <row r="150" spans="19:19" x14ac:dyDescent="0.2">
      <c r="S150" s="316"/>
    </row>
    <row r="151" spans="19:19" x14ac:dyDescent="0.2">
      <c r="S151" s="316"/>
    </row>
    <row r="152" spans="19:19" x14ac:dyDescent="0.2">
      <c r="S152" s="316"/>
    </row>
    <row r="153" spans="19:19" x14ac:dyDescent="0.2">
      <c r="S153" s="316"/>
    </row>
    <row r="154" spans="19:19" x14ac:dyDescent="0.2">
      <c r="S154" s="316"/>
    </row>
    <row r="155" spans="19:19" x14ac:dyDescent="0.2">
      <c r="S155" s="316"/>
    </row>
    <row r="156" spans="19:19" x14ac:dyDescent="0.2">
      <c r="S156" s="316"/>
    </row>
    <row r="157" spans="19:19" x14ac:dyDescent="0.2">
      <c r="S157" s="316"/>
    </row>
    <row r="158" spans="19:19" x14ac:dyDescent="0.2">
      <c r="S158" s="316"/>
    </row>
    <row r="159" spans="19:19" x14ac:dyDescent="0.2">
      <c r="S159" s="316"/>
    </row>
    <row r="160" spans="19:19" x14ac:dyDescent="0.2">
      <c r="S160" s="316"/>
    </row>
    <row r="161" spans="19:19" x14ac:dyDescent="0.2">
      <c r="S161" s="316"/>
    </row>
    <row r="162" spans="19:19" x14ac:dyDescent="0.2">
      <c r="S162" s="316"/>
    </row>
    <row r="163" spans="19:19" x14ac:dyDescent="0.2">
      <c r="S163" s="316"/>
    </row>
    <row r="164" spans="19:19" x14ac:dyDescent="0.2">
      <c r="S164" s="316"/>
    </row>
    <row r="165" spans="19:19" x14ac:dyDescent="0.2">
      <c r="S165" s="316"/>
    </row>
    <row r="166" spans="19:19" x14ac:dyDescent="0.2">
      <c r="S166" s="316"/>
    </row>
    <row r="167" spans="19:19" x14ac:dyDescent="0.2">
      <c r="S167" s="316"/>
    </row>
    <row r="168" spans="19:19" x14ac:dyDescent="0.2">
      <c r="S168" s="316"/>
    </row>
    <row r="169" spans="19:19" x14ac:dyDescent="0.2">
      <c r="S169" s="316"/>
    </row>
    <row r="170" spans="19:19" x14ac:dyDescent="0.2">
      <c r="S170" s="316"/>
    </row>
    <row r="171" spans="19:19" x14ac:dyDescent="0.2">
      <c r="S171" s="316"/>
    </row>
    <row r="172" spans="19:19" x14ac:dyDescent="0.2">
      <c r="S172" s="316"/>
    </row>
    <row r="173" spans="19:19" x14ac:dyDescent="0.2">
      <c r="S173" s="316"/>
    </row>
    <row r="174" spans="19:19" x14ac:dyDescent="0.2">
      <c r="S174" s="316"/>
    </row>
    <row r="175" spans="19:19" x14ac:dyDescent="0.2">
      <c r="S175" s="316"/>
    </row>
    <row r="176" spans="19:19" x14ac:dyDescent="0.2">
      <c r="S176" s="316"/>
    </row>
    <row r="177" spans="19:19" x14ac:dyDescent="0.2">
      <c r="S177" s="316"/>
    </row>
    <row r="178" spans="19:19" x14ac:dyDescent="0.2">
      <c r="S178" s="316"/>
    </row>
    <row r="179" spans="19:19" x14ac:dyDescent="0.2">
      <c r="S179" s="316"/>
    </row>
    <row r="180" spans="19:19" x14ac:dyDescent="0.2">
      <c r="S180" s="316"/>
    </row>
    <row r="181" spans="19:19" x14ac:dyDescent="0.2">
      <c r="S181" s="316"/>
    </row>
    <row r="182" spans="19:19" x14ac:dyDescent="0.2">
      <c r="S182" s="316"/>
    </row>
    <row r="183" spans="19:19" x14ac:dyDescent="0.2">
      <c r="S183" s="316"/>
    </row>
    <row r="184" spans="19:19" x14ac:dyDescent="0.2">
      <c r="S184" s="316"/>
    </row>
    <row r="185" spans="19:19" x14ac:dyDescent="0.2">
      <c r="S185" s="316"/>
    </row>
    <row r="186" spans="19:19" x14ac:dyDescent="0.2">
      <c r="S186" s="316"/>
    </row>
    <row r="187" spans="19:19" x14ac:dyDescent="0.2">
      <c r="S187" s="316"/>
    </row>
    <row r="188" spans="19:19" x14ac:dyDescent="0.2">
      <c r="S188" s="316"/>
    </row>
    <row r="189" spans="19:19" x14ac:dyDescent="0.2">
      <c r="S189" s="316"/>
    </row>
    <row r="190" spans="19:19" x14ac:dyDescent="0.2">
      <c r="S190" s="316"/>
    </row>
    <row r="191" spans="19:19" x14ac:dyDescent="0.2">
      <c r="S191" s="316"/>
    </row>
    <row r="192" spans="19:19" x14ac:dyDescent="0.2">
      <c r="S192" s="316"/>
    </row>
    <row r="193" spans="19:19" x14ac:dyDescent="0.2">
      <c r="S193" s="316"/>
    </row>
    <row r="194" spans="19:19" x14ac:dyDescent="0.2">
      <c r="S194" s="316"/>
    </row>
    <row r="195" spans="19:19" x14ac:dyDescent="0.2">
      <c r="S195" s="316"/>
    </row>
    <row r="196" spans="19:19" x14ac:dyDescent="0.2">
      <c r="S196" s="316"/>
    </row>
    <row r="197" spans="19:19" x14ac:dyDescent="0.2">
      <c r="S197" s="316"/>
    </row>
    <row r="198" spans="19:19" x14ac:dyDescent="0.2">
      <c r="S198" s="316"/>
    </row>
    <row r="199" spans="19:19" x14ac:dyDescent="0.2">
      <c r="S199" s="316"/>
    </row>
    <row r="200" spans="19:19" x14ac:dyDescent="0.2">
      <c r="S200" s="316"/>
    </row>
    <row r="201" spans="19:19" x14ac:dyDescent="0.2">
      <c r="S201" s="316"/>
    </row>
    <row r="202" spans="19:19" x14ac:dyDescent="0.2">
      <c r="S202" s="316"/>
    </row>
    <row r="203" spans="19:19" x14ac:dyDescent="0.2">
      <c r="S203" s="316"/>
    </row>
  </sheetData>
  <mergeCells count="1">
    <mergeCell ref="F2:S2"/>
  </mergeCells>
  <pageMargins left="0.7" right="0.7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D550"/>
  <sheetViews>
    <sheetView view="pageBreakPreview" topLeftCell="A97" zoomScaleNormal="110" zoomScaleSheetLayoutView="100" workbookViewId="0">
      <selection activeCell="U13" sqref="U13"/>
    </sheetView>
  </sheetViews>
  <sheetFormatPr defaultColWidth="9.28515625" defaultRowHeight="12.75" x14ac:dyDescent="0.2"/>
  <cols>
    <col min="1" max="4" width="0.7109375" style="258" customWidth="1"/>
    <col min="5" max="5" width="50.7109375" style="258" customWidth="1"/>
    <col min="6" max="6" width="3.42578125" style="258" customWidth="1"/>
    <col min="7" max="7" width="3.5703125" style="258" customWidth="1"/>
    <col min="8" max="15" width="15.7109375" style="258" customWidth="1"/>
    <col min="16" max="20" width="15.7109375" style="258" hidden="1" customWidth="1"/>
    <col min="21" max="21" width="15.7109375" style="258" customWidth="1"/>
    <col min="22" max="22" width="4.28515625" style="258" customWidth="1"/>
    <col min="23" max="23" width="13.7109375" style="258" hidden="1" customWidth="1"/>
    <col min="24" max="30" width="13.7109375" style="258" customWidth="1"/>
    <col min="31" max="31" width="9.5703125" style="258" customWidth="1"/>
    <col min="32" max="32" width="12.5703125" style="258" bestFit="1" customWidth="1"/>
    <col min="33" max="16384" width="9.28515625" style="258"/>
  </cols>
  <sheetData>
    <row r="1" spans="1:26" ht="12.75" customHeight="1" x14ac:dyDescent="0.2">
      <c r="U1" s="153"/>
    </row>
    <row r="2" spans="1:26" ht="12.75" customHeight="1" x14ac:dyDescent="0.2">
      <c r="A2" s="572" t="s">
        <v>399</v>
      </c>
      <c r="B2" s="572"/>
      <c r="C2" s="572"/>
      <c r="D2" s="573"/>
      <c r="F2" s="572"/>
      <c r="G2" s="57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573"/>
      <c r="W2" s="153"/>
    </row>
    <row r="3" spans="1:26" ht="12.75" customHeight="1" x14ac:dyDescent="0.2">
      <c r="A3" s="574"/>
      <c r="B3" s="262"/>
      <c r="C3" s="262"/>
      <c r="D3" s="262"/>
      <c r="E3" s="262"/>
      <c r="F3" s="262"/>
      <c r="G3" s="575"/>
      <c r="H3" s="674" t="s">
        <v>1</v>
      </c>
      <c r="I3" s="675"/>
      <c r="J3" s="675"/>
      <c r="K3" s="675"/>
      <c r="L3" s="675"/>
      <c r="M3" s="675"/>
      <c r="N3" s="675"/>
      <c r="O3" s="675"/>
      <c r="P3" s="675"/>
      <c r="Q3" s="675"/>
      <c r="R3" s="675"/>
      <c r="S3" s="675"/>
      <c r="T3" s="675"/>
      <c r="U3" s="676"/>
      <c r="V3" s="263"/>
      <c r="W3" s="153"/>
      <c r="Z3" s="153"/>
    </row>
    <row r="4" spans="1:26" ht="12.75" customHeight="1" x14ac:dyDescent="0.2">
      <c r="A4" s="263"/>
      <c r="B4" s="153"/>
      <c r="C4" s="576"/>
      <c r="D4" s="153"/>
      <c r="E4" s="576"/>
      <c r="F4" s="576"/>
      <c r="G4" s="266"/>
      <c r="H4" s="577" t="s">
        <v>3</v>
      </c>
      <c r="I4" s="578" t="s">
        <v>4</v>
      </c>
      <c r="J4" s="578" t="s">
        <v>5</v>
      </c>
      <c r="K4" s="578" t="s">
        <v>6</v>
      </c>
      <c r="L4" s="578" t="s">
        <v>7</v>
      </c>
      <c r="M4" s="578" t="s">
        <v>8</v>
      </c>
      <c r="N4" s="578" t="s">
        <v>9</v>
      </c>
      <c r="O4" s="578" t="s">
        <v>10</v>
      </c>
      <c r="P4" s="578" t="s">
        <v>11</v>
      </c>
      <c r="Q4" s="578" t="s">
        <v>12</v>
      </c>
      <c r="R4" s="578" t="s">
        <v>13</v>
      </c>
      <c r="S4" s="578" t="s">
        <v>14</v>
      </c>
      <c r="T4" s="578" t="s">
        <v>15</v>
      </c>
      <c r="U4" s="269" t="s">
        <v>16</v>
      </c>
      <c r="V4" s="263"/>
      <c r="W4" s="153"/>
    </row>
    <row r="5" spans="1:26" ht="12.75" customHeight="1" x14ac:dyDescent="0.2">
      <c r="A5" s="579" t="s">
        <v>17</v>
      </c>
      <c r="B5" s="580"/>
      <c r="C5" s="580"/>
      <c r="D5" s="580"/>
      <c r="E5" s="580"/>
      <c r="F5" s="580"/>
      <c r="G5" s="420"/>
      <c r="H5" s="581" t="s">
        <v>19</v>
      </c>
      <c r="I5" s="582"/>
      <c r="J5" s="582"/>
      <c r="K5" s="582"/>
      <c r="L5" s="582"/>
      <c r="M5" s="582"/>
      <c r="N5" s="582"/>
      <c r="O5" s="582"/>
      <c r="P5" s="582"/>
      <c r="Q5" s="582"/>
      <c r="R5" s="582"/>
      <c r="S5" s="582"/>
      <c r="T5" s="582"/>
      <c r="U5" s="583"/>
      <c r="V5" s="263"/>
      <c r="W5" s="153"/>
    </row>
    <row r="6" spans="1:26" s="265" customFormat="1" ht="12.75" customHeight="1" x14ac:dyDescent="0.2">
      <c r="A6" s="584"/>
      <c r="B6" s="576" t="s">
        <v>400</v>
      </c>
      <c r="C6" s="585"/>
      <c r="D6" s="218"/>
      <c r="E6" s="585"/>
      <c r="F6" s="586"/>
      <c r="G6" s="587"/>
      <c r="H6" s="416">
        <v>970367028.78000009</v>
      </c>
      <c r="I6" s="416">
        <v>56487756.352540001</v>
      </c>
      <c r="J6" s="416">
        <v>53444582.78012</v>
      </c>
      <c r="K6" s="416">
        <v>156382866.64514002</v>
      </c>
      <c r="L6" s="416">
        <v>39648489.165269993</v>
      </c>
      <c r="M6" s="416">
        <v>84878582.525029987</v>
      </c>
      <c r="N6" s="416">
        <v>74952422.333840013</v>
      </c>
      <c r="O6" s="416">
        <v>54017604.07508</v>
      </c>
      <c r="P6" s="416">
        <v>0</v>
      </c>
      <c r="Q6" s="416">
        <v>0</v>
      </c>
      <c r="R6" s="416">
        <v>0</v>
      </c>
      <c r="S6" s="416">
        <v>0</v>
      </c>
      <c r="T6" s="416">
        <v>0</v>
      </c>
      <c r="U6" s="269">
        <v>519812303.87701994</v>
      </c>
      <c r="V6" s="264"/>
      <c r="W6" s="218">
        <v>431759597.38228011</v>
      </c>
    </row>
    <row r="7" spans="1:26" ht="12.75" customHeight="1" x14ac:dyDescent="0.2">
      <c r="A7" s="263"/>
      <c r="B7" s="153"/>
      <c r="C7" s="258" t="s">
        <v>401</v>
      </c>
      <c r="D7" s="153"/>
      <c r="E7" s="153"/>
      <c r="F7" s="576"/>
      <c r="G7" s="266"/>
      <c r="H7" s="267">
        <v>596092902.29700005</v>
      </c>
      <c r="I7" s="267">
        <v>50614584.828339994</v>
      </c>
      <c r="J7" s="267">
        <v>46430286.613189995</v>
      </c>
      <c r="K7" s="267">
        <v>45033475.400590003</v>
      </c>
      <c r="L7" s="267">
        <v>35492458.697759993</v>
      </c>
      <c r="M7" s="267">
        <v>53009809.120149985</v>
      </c>
      <c r="N7" s="267">
        <v>47499131.663070008</v>
      </c>
      <c r="O7" s="267">
        <v>45441250.619539991</v>
      </c>
      <c r="P7" s="267">
        <v>0</v>
      </c>
      <c r="Q7" s="267">
        <v>0</v>
      </c>
      <c r="R7" s="267">
        <v>0</v>
      </c>
      <c r="S7" s="267">
        <v>0</v>
      </c>
      <c r="T7" s="267">
        <v>0</v>
      </c>
      <c r="U7" s="147">
        <v>323520996.94263989</v>
      </c>
      <c r="V7" s="263"/>
      <c r="W7" s="153">
        <v>252291180.25351006</v>
      </c>
    </row>
    <row r="8" spans="1:26" s="591" customFormat="1" ht="12.75" customHeight="1" x14ac:dyDescent="0.2">
      <c r="A8" s="588"/>
      <c r="B8" s="589"/>
      <c r="C8" s="179"/>
      <c r="D8" s="179"/>
      <c r="E8" s="677" t="s">
        <v>402</v>
      </c>
      <c r="F8" s="677"/>
      <c r="G8" s="678"/>
      <c r="H8" s="174">
        <v>53964502.075999998</v>
      </c>
      <c r="I8" s="174">
        <v>879018.17065999995</v>
      </c>
      <c r="J8" s="174">
        <v>1058308.44909</v>
      </c>
      <c r="K8" s="174">
        <v>1045517.4013800001</v>
      </c>
      <c r="L8" s="174">
        <v>1128192.8113899999</v>
      </c>
      <c r="M8" s="174">
        <v>11182262.08382</v>
      </c>
      <c r="N8" s="174">
        <v>2543334.1508399993</v>
      </c>
      <c r="O8" s="174">
        <v>1814891.6175200008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6">
        <v>19651524.684700001</v>
      </c>
      <c r="V8" s="588"/>
      <c r="W8" s="179">
        <v>26628728.450159997</v>
      </c>
    </row>
    <row r="9" spans="1:26" s="591" customFormat="1" ht="12.75" customHeight="1" x14ac:dyDescent="0.2">
      <c r="A9" s="588"/>
      <c r="B9" s="589"/>
      <c r="C9" s="179"/>
      <c r="D9" s="179"/>
      <c r="E9" s="179" t="s">
        <v>403</v>
      </c>
      <c r="F9" s="589"/>
      <c r="G9" s="590"/>
      <c r="H9" s="174">
        <v>586260460.74100006</v>
      </c>
      <c r="I9" s="174">
        <v>51441296.588519998</v>
      </c>
      <c r="J9" s="174">
        <v>46664290.332269996</v>
      </c>
      <c r="K9" s="174">
        <v>45747090.172219999</v>
      </c>
      <c r="L9" s="174">
        <v>48025660.066599995</v>
      </c>
      <c r="M9" s="174">
        <v>45917118.822099984</v>
      </c>
      <c r="N9" s="174">
        <v>48931957.83563</v>
      </c>
      <c r="O9" s="174">
        <v>47684494.465429991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6">
        <v>334411908.28276992</v>
      </c>
      <c r="V9" s="588"/>
      <c r="W9" s="179">
        <v>240506957.27980006</v>
      </c>
    </row>
    <row r="10" spans="1:26" s="591" customFormat="1" ht="12.75" customHeight="1" x14ac:dyDescent="0.25">
      <c r="A10" s="588"/>
      <c r="B10" s="589"/>
      <c r="C10" s="179"/>
      <c r="D10" s="179"/>
      <c r="E10" s="679" t="s">
        <v>404</v>
      </c>
      <c r="F10" s="680"/>
      <c r="G10" s="681"/>
      <c r="H10" s="174">
        <v>-5292063.5659999996</v>
      </c>
      <c r="I10" s="174">
        <v>-411481.32438999997</v>
      </c>
      <c r="J10" s="174">
        <v>-350948.40191999997</v>
      </c>
      <c r="K10" s="174">
        <v>-328107.47903000005</v>
      </c>
      <c r="L10" s="174">
        <v>-322603.99589999998</v>
      </c>
      <c r="M10" s="174">
        <v>-423535.89880999993</v>
      </c>
      <c r="N10" s="174">
        <v>-529403.56059999997</v>
      </c>
      <c r="O10" s="174">
        <v>-331380.60258000018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6">
        <v>-2697461.2632300002</v>
      </c>
      <c r="V10" s="588"/>
      <c r="W10" s="179">
        <v>-2242882.5940999994</v>
      </c>
    </row>
    <row r="11" spans="1:26" s="591" customFormat="1" ht="12.75" customHeight="1" x14ac:dyDescent="0.2">
      <c r="A11" s="588"/>
      <c r="B11" s="589"/>
      <c r="C11" s="179"/>
      <c r="D11" s="179"/>
      <c r="E11" s="179" t="s">
        <v>405</v>
      </c>
      <c r="F11" s="589"/>
      <c r="G11" s="590"/>
      <c r="H11" s="174">
        <v>-848542.02500000002</v>
      </c>
      <c r="I11" s="174">
        <v>-36246.527409999995</v>
      </c>
      <c r="J11" s="174">
        <v>-29180.639759999998</v>
      </c>
      <c r="K11" s="174">
        <v>-18846.599180000005</v>
      </c>
      <c r="L11" s="174">
        <v>-17508.314740000002</v>
      </c>
      <c r="M11" s="174">
        <v>-39060.368240000011</v>
      </c>
      <c r="N11" s="174">
        <v>-14797.525350000011</v>
      </c>
      <c r="O11" s="174">
        <v>-37421.41234000001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6">
        <v>-193061.38702000002</v>
      </c>
      <c r="V11" s="588"/>
      <c r="W11" s="179">
        <v>-653902.61459000013</v>
      </c>
    </row>
    <row r="12" spans="1:26" s="591" customFormat="1" ht="12.75" customHeight="1" x14ac:dyDescent="0.2">
      <c r="A12" s="588"/>
      <c r="B12" s="589"/>
      <c r="C12" s="179"/>
      <c r="D12" s="179"/>
      <c r="E12" s="179" t="s">
        <v>406</v>
      </c>
      <c r="F12" s="589"/>
      <c r="G12" s="590"/>
      <c r="H12" s="174">
        <v>-37991454.928999998</v>
      </c>
      <c r="I12" s="174">
        <v>-1258002.07904</v>
      </c>
      <c r="J12" s="174">
        <v>-912183.12649000017</v>
      </c>
      <c r="K12" s="174">
        <v>-1412178.0948000001</v>
      </c>
      <c r="L12" s="174">
        <v>-13321281.869589999</v>
      </c>
      <c r="M12" s="174">
        <v>-3626975.518720001</v>
      </c>
      <c r="N12" s="174">
        <v>-3431959.2374499999</v>
      </c>
      <c r="O12" s="174">
        <v>-3689333.4484900013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6">
        <v>-27651913.37458</v>
      </c>
      <c r="V12" s="588"/>
      <c r="W12" s="179">
        <v>-11947720.267760001</v>
      </c>
    </row>
    <row r="13" spans="1:26" ht="12.75" customHeight="1" x14ac:dyDescent="0.2">
      <c r="A13" s="263"/>
      <c r="B13" s="153"/>
      <c r="C13" s="682" t="s">
        <v>407</v>
      </c>
      <c r="D13" s="682"/>
      <c r="E13" s="682"/>
      <c r="F13" s="682"/>
      <c r="G13" s="683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7"/>
      <c r="V13" s="263"/>
      <c r="W13" s="153"/>
    </row>
    <row r="14" spans="1:26" s="591" customFormat="1" ht="12.75" customHeight="1" x14ac:dyDescent="0.2">
      <c r="A14" s="588"/>
      <c r="B14" s="179"/>
      <c r="C14" s="179"/>
      <c r="D14" s="179"/>
      <c r="E14" s="179" t="s">
        <v>408</v>
      </c>
      <c r="F14" s="179"/>
      <c r="G14" s="590"/>
      <c r="H14" s="174">
        <v>332745787.92400002</v>
      </c>
      <c r="I14" s="174">
        <v>1445213.9371999998</v>
      </c>
      <c r="J14" s="174">
        <v>2231462.21435</v>
      </c>
      <c r="K14" s="174">
        <v>108282631.51349001</v>
      </c>
      <c r="L14" s="174">
        <v>1540207.0443200022</v>
      </c>
      <c r="M14" s="174">
        <v>29438566.547629997</v>
      </c>
      <c r="N14" s="174">
        <v>24712327.910050005</v>
      </c>
      <c r="O14" s="174">
        <v>2387561.0365200043</v>
      </c>
      <c r="P14" s="174">
        <v>0</v>
      </c>
      <c r="Q14" s="174">
        <v>0</v>
      </c>
      <c r="R14" s="174">
        <v>0</v>
      </c>
      <c r="S14" s="174">
        <v>0</v>
      </c>
      <c r="T14" s="174">
        <v>0</v>
      </c>
      <c r="U14" s="176">
        <v>170037970.20356002</v>
      </c>
      <c r="V14" s="588"/>
      <c r="W14" s="179">
        <v>164263382.08804995</v>
      </c>
    </row>
    <row r="15" spans="1:26" ht="12.75" customHeight="1" x14ac:dyDescent="0.2">
      <c r="A15" s="263"/>
      <c r="B15" s="153"/>
      <c r="C15" s="153"/>
      <c r="D15" s="153"/>
      <c r="E15" s="672" t="s">
        <v>409</v>
      </c>
      <c r="F15" s="672"/>
      <c r="G15" s="673"/>
      <c r="H15" s="145">
        <v>119165.95600000001</v>
      </c>
      <c r="I15" s="145">
        <v>16663.091400000001</v>
      </c>
      <c r="J15" s="145">
        <v>387.51416999999998</v>
      </c>
      <c r="K15" s="145">
        <v>24608.664989999997</v>
      </c>
      <c r="L15" s="145">
        <v>568.66095999999993</v>
      </c>
      <c r="M15" s="145">
        <v>20665.979190000002</v>
      </c>
      <c r="N15" s="145">
        <v>10341.418369999999</v>
      </c>
      <c r="O15" s="145">
        <v>221.26931999999999</v>
      </c>
      <c r="P15" s="145">
        <v>0</v>
      </c>
      <c r="Q15" s="145">
        <v>0</v>
      </c>
      <c r="R15" s="145">
        <v>0</v>
      </c>
      <c r="S15" s="145">
        <v>0</v>
      </c>
      <c r="T15" s="145">
        <v>0</v>
      </c>
      <c r="U15" s="147">
        <v>73456.598400000003</v>
      </c>
      <c r="V15" s="263"/>
      <c r="W15" s="153">
        <v>53192.714519999994</v>
      </c>
    </row>
    <row r="16" spans="1:26" ht="12.75" customHeight="1" x14ac:dyDescent="0.2">
      <c r="A16" s="263"/>
      <c r="B16" s="153"/>
      <c r="C16" s="153"/>
      <c r="D16" s="153"/>
      <c r="E16" s="672" t="s">
        <v>410</v>
      </c>
      <c r="F16" s="672"/>
      <c r="G16" s="673"/>
      <c r="H16" s="145">
        <v>36076513.973999999</v>
      </c>
      <c r="I16" s="145">
        <v>4089919.6072199997</v>
      </c>
      <c r="J16" s="145">
        <v>4426783.3002500003</v>
      </c>
      <c r="K16" s="145">
        <v>2773711.9808899998</v>
      </c>
      <c r="L16" s="145">
        <v>2256406.4329599999</v>
      </c>
      <c r="M16" s="145">
        <v>2156220.0672199996</v>
      </c>
      <c r="N16" s="145">
        <v>2371777.8851999999</v>
      </c>
      <c r="O16" s="145">
        <v>5750161.9132899996</v>
      </c>
      <c r="P16" s="145">
        <v>0</v>
      </c>
      <c r="Q16" s="145">
        <v>0</v>
      </c>
      <c r="R16" s="145">
        <v>0</v>
      </c>
      <c r="S16" s="145">
        <v>0</v>
      </c>
      <c r="T16" s="145">
        <v>0</v>
      </c>
      <c r="U16" s="147">
        <v>23824981.187030002</v>
      </c>
      <c r="V16" s="263"/>
      <c r="W16" s="153">
        <v>12962705.265659995</v>
      </c>
    </row>
    <row r="17" spans="1:23" ht="12.75" customHeight="1" x14ac:dyDescent="0.2">
      <c r="A17" s="263"/>
      <c r="B17" s="153"/>
      <c r="C17" s="153"/>
      <c r="D17" s="153"/>
      <c r="E17" s="592" t="s">
        <v>411</v>
      </c>
      <c r="F17" s="592"/>
      <c r="G17" s="592"/>
      <c r="H17" s="145">
        <v>637801.90099999995</v>
      </c>
      <c r="I17" s="145">
        <v>76887.930030000003</v>
      </c>
      <c r="J17" s="145">
        <v>57951.848130000006</v>
      </c>
      <c r="K17" s="145">
        <v>42654.747360000001</v>
      </c>
      <c r="L17" s="145">
        <v>58340.391649999998</v>
      </c>
      <c r="M17" s="145">
        <v>37205.917299999994</v>
      </c>
      <c r="N17" s="145">
        <v>69169.482120000001</v>
      </c>
      <c r="O17" s="145">
        <v>84684.321559999997</v>
      </c>
      <c r="P17" s="145">
        <v>0</v>
      </c>
      <c r="Q17" s="145">
        <v>0</v>
      </c>
      <c r="R17" s="145">
        <v>0</v>
      </c>
      <c r="S17" s="145">
        <v>0</v>
      </c>
      <c r="T17" s="145">
        <v>0</v>
      </c>
      <c r="U17" s="147">
        <v>426894.63815000001</v>
      </c>
      <c r="V17" s="263"/>
      <c r="W17" s="153">
        <v>195570.41551999998</v>
      </c>
    </row>
    <row r="18" spans="1:23" ht="12.75" customHeight="1" x14ac:dyDescent="0.2">
      <c r="A18" s="263"/>
      <c r="B18" s="153"/>
      <c r="C18" s="153"/>
      <c r="D18" s="153"/>
      <c r="E18" s="593" t="s">
        <v>412</v>
      </c>
      <c r="F18" s="593"/>
      <c r="G18" s="594"/>
      <c r="H18" s="145">
        <v>0</v>
      </c>
      <c r="I18" s="145">
        <v>0</v>
      </c>
      <c r="J18" s="145">
        <v>0</v>
      </c>
      <c r="K18" s="145">
        <v>0</v>
      </c>
      <c r="L18" s="145">
        <v>0</v>
      </c>
      <c r="M18" s="145">
        <v>0</v>
      </c>
      <c r="N18" s="145">
        <v>0</v>
      </c>
      <c r="O18" s="145">
        <v>0</v>
      </c>
      <c r="P18" s="145">
        <v>0</v>
      </c>
      <c r="Q18" s="145">
        <v>0</v>
      </c>
      <c r="R18" s="145">
        <v>0</v>
      </c>
      <c r="S18" s="145">
        <v>0</v>
      </c>
      <c r="T18" s="145">
        <v>0</v>
      </c>
      <c r="U18" s="147">
        <v>0</v>
      </c>
      <c r="V18" s="263"/>
      <c r="W18" s="153">
        <v>0</v>
      </c>
    </row>
    <row r="19" spans="1:23" x14ac:dyDescent="0.2">
      <c r="A19" s="263"/>
      <c r="B19" s="153"/>
      <c r="C19" s="153" t="s">
        <v>413</v>
      </c>
      <c r="D19" s="153"/>
      <c r="E19" s="153"/>
      <c r="F19" s="153"/>
      <c r="G19" s="267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7"/>
      <c r="V19" s="263"/>
      <c r="W19" s="153"/>
    </row>
    <row r="20" spans="1:23" s="591" customFormat="1" ht="12.75" customHeight="1" x14ac:dyDescent="0.2">
      <c r="A20" s="588"/>
      <c r="B20" s="179"/>
      <c r="C20" s="179"/>
      <c r="D20" s="179"/>
      <c r="E20" s="677" t="s">
        <v>414</v>
      </c>
      <c r="F20" s="677"/>
      <c r="G20" s="678"/>
      <c r="H20" s="174">
        <v>4694856.7280000001</v>
      </c>
      <c r="I20" s="174">
        <v>244486.95835000003</v>
      </c>
      <c r="J20" s="174">
        <v>297719.31938</v>
      </c>
      <c r="K20" s="174">
        <v>225784.33782000002</v>
      </c>
      <c r="L20" s="174">
        <v>300507.93761999998</v>
      </c>
      <c r="M20" s="174">
        <v>216114.89353999996</v>
      </c>
      <c r="N20" s="174">
        <v>289673.97502999997</v>
      </c>
      <c r="O20" s="174">
        <v>353724.91485000006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6">
        <v>1928012.3365899997</v>
      </c>
      <c r="V20" s="588"/>
      <c r="W20" s="179">
        <v>1993566.6450199997</v>
      </c>
    </row>
    <row r="21" spans="1:23" ht="12.75" customHeight="1" x14ac:dyDescent="0.2">
      <c r="A21" s="263"/>
      <c r="B21" s="153"/>
      <c r="C21" s="153"/>
      <c r="D21" s="153"/>
      <c r="E21" s="672" t="s">
        <v>415</v>
      </c>
      <c r="F21" s="672"/>
      <c r="G21" s="673"/>
      <c r="H21" s="145">
        <v>0</v>
      </c>
      <c r="I21" s="145">
        <v>0</v>
      </c>
      <c r="J21" s="145">
        <v>-8.0293500000000009</v>
      </c>
      <c r="K21" s="145">
        <v>0</v>
      </c>
      <c r="L21" s="145">
        <v>0</v>
      </c>
      <c r="M21" s="145">
        <v>0</v>
      </c>
      <c r="N21" s="145">
        <v>0</v>
      </c>
      <c r="O21" s="145">
        <v>0</v>
      </c>
      <c r="P21" s="145">
        <v>0</v>
      </c>
      <c r="Q21" s="145">
        <v>0</v>
      </c>
      <c r="R21" s="145">
        <v>0</v>
      </c>
      <c r="S21" s="145">
        <v>0</v>
      </c>
      <c r="T21" s="145">
        <v>0</v>
      </c>
      <c r="U21" s="147">
        <v>-8.0293500000000009</v>
      </c>
      <c r="V21" s="263"/>
      <c r="W21" s="153">
        <v>0</v>
      </c>
    </row>
    <row r="22" spans="1:23" s="265" customFormat="1" ht="12.75" customHeight="1" x14ac:dyDescent="0.2">
      <c r="A22" s="264"/>
      <c r="B22" s="576" t="s">
        <v>416</v>
      </c>
      <c r="C22" s="585"/>
      <c r="D22" s="218"/>
      <c r="E22" s="595"/>
      <c r="F22" s="595"/>
      <c r="G22" s="596"/>
      <c r="H22" s="42">
        <v>21238136.607999999</v>
      </c>
      <c r="I22" s="42">
        <v>1660101.22755</v>
      </c>
      <c r="J22" s="42">
        <v>1616941.40891</v>
      </c>
      <c r="K22" s="42">
        <v>1643656.7283399999</v>
      </c>
      <c r="L22" s="42">
        <v>1687752.2746199998</v>
      </c>
      <c r="M22" s="42">
        <v>1674874.8490799998</v>
      </c>
      <c r="N22" s="42">
        <v>1725158.5147599999</v>
      </c>
      <c r="O22" s="42">
        <v>1724532.1867200001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56">
        <v>11733017.18998</v>
      </c>
      <c r="V22" s="264"/>
      <c r="W22" s="218">
        <v>8572583.0483900029</v>
      </c>
    </row>
    <row r="23" spans="1:23" ht="12.75" customHeight="1" x14ac:dyDescent="0.2">
      <c r="A23" s="263"/>
      <c r="B23" s="153"/>
      <c r="C23" s="592" t="s">
        <v>417</v>
      </c>
      <c r="D23" s="153"/>
      <c r="E23" s="153"/>
      <c r="F23" s="597"/>
      <c r="G23" s="596"/>
      <c r="H23" s="145">
        <v>21238136.607999999</v>
      </c>
      <c r="I23" s="145">
        <v>1660101.22755</v>
      </c>
      <c r="J23" s="145">
        <v>1616941.40891</v>
      </c>
      <c r="K23" s="145">
        <v>1643656.7283399999</v>
      </c>
      <c r="L23" s="145">
        <v>1687752.2746199998</v>
      </c>
      <c r="M23" s="145">
        <v>1674874.8490799998</v>
      </c>
      <c r="N23" s="145">
        <v>1725158.5147599999</v>
      </c>
      <c r="O23" s="145">
        <v>1724532.1867200001</v>
      </c>
      <c r="P23" s="145">
        <v>0</v>
      </c>
      <c r="Q23" s="145">
        <v>0</v>
      </c>
      <c r="R23" s="145">
        <v>0</v>
      </c>
      <c r="S23" s="145">
        <v>0</v>
      </c>
      <c r="T23" s="145">
        <v>0</v>
      </c>
      <c r="U23" s="146">
        <v>11733017.18998</v>
      </c>
      <c r="V23" s="263"/>
      <c r="W23" s="153">
        <v>8572583.0483900029</v>
      </c>
    </row>
    <row r="24" spans="1:23" s="265" customFormat="1" ht="12.75" customHeight="1" x14ac:dyDescent="0.2">
      <c r="A24" s="264"/>
      <c r="B24" s="576" t="s">
        <v>418</v>
      </c>
      <c r="C24" s="585"/>
      <c r="D24" s="218"/>
      <c r="E24" s="595"/>
      <c r="F24" s="595"/>
      <c r="G24" s="596"/>
      <c r="H24" s="42">
        <v>22964930.903999999</v>
      </c>
      <c r="I24" s="42">
        <v>1951297.0983799999</v>
      </c>
      <c r="J24" s="42">
        <v>1913878.4097</v>
      </c>
      <c r="K24" s="42">
        <v>1770712.83767</v>
      </c>
      <c r="L24" s="42">
        <v>2044026.54892</v>
      </c>
      <c r="M24" s="42">
        <v>1886664.08901</v>
      </c>
      <c r="N24" s="42">
        <v>1860959.3199499999</v>
      </c>
      <c r="O24" s="42">
        <v>1826814.1424099999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56">
        <v>13254352.446040001</v>
      </c>
      <c r="V24" s="264"/>
      <c r="W24" s="218">
        <v>8789404.1077099964</v>
      </c>
    </row>
    <row r="25" spans="1:23" s="265" customFormat="1" ht="12.75" customHeight="1" x14ac:dyDescent="0.2">
      <c r="A25" s="264"/>
      <c r="B25" s="576"/>
      <c r="C25" s="682" t="s">
        <v>419</v>
      </c>
      <c r="D25" s="682"/>
      <c r="E25" s="682"/>
      <c r="F25" s="682"/>
      <c r="G25" s="683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7"/>
      <c r="V25" s="264"/>
      <c r="W25" s="218"/>
    </row>
    <row r="26" spans="1:23" ht="12.75" customHeight="1" x14ac:dyDescent="0.2">
      <c r="A26" s="263"/>
      <c r="B26" s="153"/>
      <c r="C26" s="153"/>
      <c r="D26" s="153"/>
      <c r="E26" s="592" t="s">
        <v>420</v>
      </c>
      <c r="F26" s="592"/>
      <c r="G26" s="596"/>
      <c r="H26" s="145">
        <v>658787.94400000002</v>
      </c>
      <c r="I26" s="145">
        <v>25600.022149999997</v>
      </c>
      <c r="J26" s="145">
        <v>74037.122370000012</v>
      </c>
      <c r="K26" s="145">
        <v>37754.54855</v>
      </c>
      <c r="L26" s="145">
        <v>41266.001299999996</v>
      </c>
      <c r="M26" s="145">
        <v>54616.02289</v>
      </c>
      <c r="N26" s="145">
        <v>26552.485829999998</v>
      </c>
      <c r="O26" s="145">
        <v>23944.790960000002</v>
      </c>
      <c r="P26" s="145">
        <v>0</v>
      </c>
      <c r="Q26" s="145">
        <v>0</v>
      </c>
      <c r="R26" s="145">
        <v>0</v>
      </c>
      <c r="S26" s="145">
        <v>0</v>
      </c>
      <c r="T26" s="145">
        <v>0</v>
      </c>
      <c r="U26" s="147">
        <v>283770.99404999998</v>
      </c>
      <c r="V26" s="263"/>
      <c r="W26" s="153">
        <v>362944.77323999989</v>
      </c>
    </row>
    <row r="27" spans="1:23" ht="12.75" customHeight="1" x14ac:dyDescent="0.2">
      <c r="A27" s="263"/>
      <c r="B27" s="153"/>
      <c r="C27" s="153"/>
      <c r="D27" s="153"/>
      <c r="E27" s="592" t="s">
        <v>421</v>
      </c>
      <c r="F27" s="592"/>
      <c r="G27" s="596"/>
      <c r="H27" s="145">
        <v>3424328.5329999998</v>
      </c>
      <c r="I27" s="145">
        <v>272558.40057</v>
      </c>
      <c r="J27" s="145">
        <v>309852.30497000006</v>
      </c>
      <c r="K27" s="145">
        <v>274216.80638000002</v>
      </c>
      <c r="L27" s="145">
        <v>379884.65922000003</v>
      </c>
      <c r="M27" s="145">
        <v>398721.7635</v>
      </c>
      <c r="N27" s="145">
        <v>420011.56579000002</v>
      </c>
      <c r="O27" s="145">
        <v>270959.95656999998</v>
      </c>
      <c r="P27" s="145">
        <v>0</v>
      </c>
      <c r="Q27" s="145">
        <v>0</v>
      </c>
      <c r="R27" s="145">
        <v>0</v>
      </c>
      <c r="S27" s="145">
        <v>0</v>
      </c>
      <c r="T27" s="145">
        <v>0</v>
      </c>
      <c r="U27" s="147">
        <v>2326205.4569999999</v>
      </c>
      <c r="V27" s="263"/>
      <c r="W27" s="153">
        <v>1392721.6051700003</v>
      </c>
    </row>
    <row r="28" spans="1:23" x14ac:dyDescent="0.2">
      <c r="A28" s="263"/>
      <c r="B28" s="153"/>
      <c r="C28" s="682" t="s">
        <v>422</v>
      </c>
      <c r="D28" s="682"/>
      <c r="E28" s="682"/>
      <c r="F28" s="682"/>
      <c r="G28" s="683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7"/>
      <c r="V28" s="263"/>
      <c r="W28" s="153"/>
    </row>
    <row r="29" spans="1:23" ht="12.75" customHeight="1" x14ac:dyDescent="0.2">
      <c r="A29" s="263"/>
      <c r="B29" s="153"/>
      <c r="C29" s="153"/>
      <c r="D29" s="153"/>
      <c r="E29" s="592" t="s">
        <v>423</v>
      </c>
      <c r="F29" s="592"/>
      <c r="G29" s="596" t="s">
        <v>45</v>
      </c>
      <c r="H29" s="145">
        <v>7069379.1619999995</v>
      </c>
      <c r="I29" s="145">
        <v>765315.02598000003</v>
      </c>
      <c r="J29" s="145">
        <v>455601.96260999999</v>
      </c>
      <c r="K29" s="145">
        <v>483301.92552999995</v>
      </c>
      <c r="L29" s="145">
        <v>428748.63607000001</v>
      </c>
      <c r="M29" s="145">
        <v>377671.79012000002</v>
      </c>
      <c r="N29" s="145">
        <v>416326.46333999996</v>
      </c>
      <c r="O29" s="145">
        <v>559683.54961999995</v>
      </c>
      <c r="P29" s="145">
        <v>0</v>
      </c>
      <c r="Q29" s="145">
        <v>0</v>
      </c>
      <c r="R29" s="145">
        <v>0</v>
      </c>
      <c r="S29" s="145">
        <v>0</v>
      </c>
      <c r="T29" s="145">
        <v>0</v>
      </c>
      <c r="U29" s="147">
        <v>3486649.3532699998</v>
      </c>
      <c r="V29" s="263"/>
      <c r="W29" s="153">
        <v>2624542.8530399995</v>
      </c>
    </row>
    <row r="30" spans="1:23" ht="12.75" customHeight="1" x14ac:dyDescent="0.2">
      <c r="A30" s="263"/>
      <c r="B30" s="153"/>
      <c r="C30" s="153"/>
      <c r="D30" s="153"/>
      <c r="E30" s="592" t="s">
        <v>424</v>
      </c>
      <c r="F30" s="592"/>
      <c r="G30" s="596"/>
      <c r="H30" s="145">
        <v>11812435.265000001</v>
      </c>
      <c r="I30" s="145">
        <v>887823.64967999991</v>
      </c>
      <c r="J30" s="145">
        <v>1074387.01975</v>
      </c>
      <c r="K30" s="145">
        <v>975439.55721</v>
      </c>
      <c r="L30" s="145">
        <v>1194127.2523299998</v>
      </c>
      <c r="M30" s="145">
        <v>1055654.5125</v>
      </c>
      <c r="N30" s="145">
        <v>998068.80498999998</v>
      </c>
      <c r="O30" s="145">
        <v>972225.84525999997</v>
      </c>
      <c r="P30" s="145">
        <v>0</v>
      </c>
      <c r="Q30" s="145">
        <v>0</v>
      </c>
      <c r="R30" s="145">
        <v>0</v>
      </c>
      <c r="S30" s="145">
        <v>0</v>
      </c>
      <c r="T30" s="145">
        <v>0</v>
      </c>
      <c r="U30" s="147">
        <v>7157726.6417199997</v>
      </c>
      <c r="V30" s="263"/>
      <c r="W30" s="153">
        <v>4409194.8762599993</v>
      </c>
    </row>
    <row r="31" spans="1:23" ht="12.75" customHeight="1" x14ac:dyDescent="0.2">
      <c r="A31" s="263"/>
      <c r="B31" s="576" t="s">
        <v>425</v>
      </c>
      <c r="C31" s="585"/>
      <c r="D31" s="153"/>
      <c r="E31" s="592"/>
      <c r="F31" s="592"/>
      <c r="G31" s="596"/>
      <c r="H31" s="42">
        <v>592856971.45600009</v>
      </c>
      <c r="I31" s="42">
        <v>40643406.289640002</v>
      </c>
      <c r="J31" s="42">
        <v>43436047.551559985</v>
      </c>
      <c r="K31" s="42">
        <v>44312205.931900002</v>
      </c>
      <c r="L31" s="42">
        <v>46427522.138519995</v>
      </c>
      <c r="M31" s="42">
        <v>41621526.910510004</v>
      </c>
      <c r="N31" s="42">
        <v>48124348.258830003</v>
      </c>
      <c r="O31" s="42">
        <v>49960929.399520002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56">
        <v>314525986.48047996</v>
      </c>
      <c r="V31" s="263"/>
      <c r="W31" s="153">
        <v>254200014.77402002</v>
      </c>
    </row>
    <row r="32" spans="1:23" s="265" customFormat="1" ht="12.75" customHeight="1" x14ac:dyDescent="0.2">
      <c r="A32" s="264"/>
      <c r="B32" s="153"/>
      <c r="C32" s="592" t="s">
        <v>426</v>
      </c>
      <c r="D32" s="153"/>
      <c r="E32" s="153"/>
      <c r="F32" s="598"/>
      <c r="G32" s="599"/>
      <c r="H32" s="145">
        <v>434858777.49199998</v>
      </c>
      <c r="I32" s="145">
        <v>26673889.369550001</v>
      </c>
      <c r="J32" s="145">
        <v>32739181.415269986</v>
      </c>
      <c r="K32" s="145">
        <v>34645418.176230006</v>
      </c>
      <c r="L32" s="145">
        <v>33851639.098310009</v>
      </c>
      <c r="M32" s="145">
        <v>31789611.648840003</v>
      </c>
      <c r="N32" s="145">
        <v>36041193.301650003</v>
      </c>
      <c r="O32" s="145">
        <v>35795874.321880005</v>
      </c>
      <c r="P32" s="145">
        <v>0</v>
      </c>
      <c r="Q32" s="145">
        <v>0</v>
      </c>
      <c r="R32" s="145">
        <v>0</v>
      </c>
      <c r="S32" s="145">
        <v>0</v>
      </c>
      <c r="T32" s="145">
        <v>0</v>
      </c>
      <c r="U32" s="147">
        <v>231536807.33172995</v>
      </c>
      <c r="V32" s="264"/>
      <c r="W32" s="218">
        <v>182953568.56105012</v>
      </c>
    </row>
    <row r="33" spans="1:23" s="265" customFormat="1" ht="12.75" customHeight="1" x14ac:dyDescent="0.2">
      <c r="A33" s="264"/>
      <c r="B33" s="218"/>
      <c r="C33" s="257"/>
      <c r="D33" s="153"/>
      <c r="E33" s="600" t="s">
        <v>427</v>
      </c>
      <c r="F33" s="598"/>
      <c r="G33" s="596"/>
      <c r="H33" s="145">
        <v>488247936.55299997</v>
      </c>
      <c r="I33" s="145">
        <v>40421052.542730004</v>
      </c>
      <c r="J33" s="145">
        <v>39302166.295719996</v>
      </c>
      <c r="K33" s="145">
        <v>36904608.570310004</v>
      </c>
      <c r="L33" s="145">
        <v>39272350.371420003</v>
      </c>
      <c r="M33" s="145">
        <v>40613894.029760003</v>
      </c>
      <c r="N33" s="145">
        <v>40205120.969619997</v>
      </c>
      <c r="O33" s="145">
        <v>41623490.551789999</v>
      </c>
      <c r="P33" s="145">
        <v>0</v>
      </c>
      <c r="Q33" s="145">
        <v>0</v>
      </c>
      <c r="R33" s="145">
        <v>0</v>
      </c>
      <c r="S33" s="145">
        <v>0</v>
      </c>
      <c r="T33" s="145">
        <v>0</v>
      </c>
      <c r="U33" s="147">
        <v>278342683.33134997</v>
      </c>
      <c r="V33" s="264"/>
      <c r="W33" s="218">
        <v>194198452.17749</v>
      </c>
    </row>
    <row r="34" spans="1:23" s="265" customFormat="1" ht="12.75" customHeight="1" x14ac:dyDescent="0.2">
      <c r="A34" s="264"/>
      <c r="B34" s="218"/>
      <c r="C34" s="257"/>
      <c r="D34" s="153"/>
      <c r="E34" s="600" t="s">
        <v>428</v>
      </c>
      <c r="F34" s="598"/>
      <c r="G34" s="596"/>
      <c r="H34" s="145">
        <v>246611840.93899998</v>
      </c>
      <c r="I34" s="145">
        <v>6114526.1441299999</v>
      </c>
      <c r="J34" s="145">
        <v>17958841.721289996</v>
      </c>
      <c r="K34" s="145">
        <v>21048649.366850004</v>
      </c>
      <c r="L34" s="145">
        <v>20430475.75299</v>
      </c>
      <c r="M34" s="145">
        <v>21469806.384029999</v>
      </c>
      <c r="N34" s="145">
        <v>22630310.472270001</v>
      </c>
      <c r="O34" s="145">
        <v>21654257.840890002</v>
      </c>
      <c r="P34" s="145">
        <v>0</v>
      </c>
      <c r="Q34" s="145">
        <v>0</v>
      </c>
      <c r="R34" s="145">
        <v>0</v>
      </c>
      <c r="S34" s="145">
        <v>0</v>
      </c>
      <c r="T34" s="145">
        <v>0</v>
      </c>
      <c r="U34" s="147">
        <v>131306867.68245</v>
      </c>
      <c r="V34" s="264"/>
      <c r="W34" s="218">
        <v>102741422.14377999</v>
      </c>
    </row>
    <row r="35" spans="1:23" s="265" customFormat="1" ht="12.75" customHeight="1" x14ac:dyDescent="0.2">
      <c r="A35" s="264"/>
      <c r="B35" s="218"/>
      <c r="C35" s="257"/>
      <c r="D35" s="153"/>
      <c r="E35" s="600" t="s">
        <v>429</v>
      </c>
      <c r="F35" s="598"/>
      <c r="G35" s="599"/>
      <c r="H35" s="145">
        <v>-300001000</v>
      </c>
      <c r="I35" s="145">
        <v>-19861689.317310002</v>
      </c>
      <c r="J35" s="145">
        <v>-24521826.601740003</v>
      </c>
      <c r="K35" s="145">
        <v>-23307839.760930002</v>
      </c>
      <c r="L35" s="145">
        <v>-25851187.026099999</v>
      </c>
      <c r="M35" s="145">
        <v>-30294088.76495</v>
      </c>
      <c r="N35" s="145">
        <v>-26794238.140240002</v>
      </c>
      <c r="O35" s="145">
        <v>-27481874.070799999</v>
      </c>
      <c r="P35" s="145">
        <v>0</v>
      </c>
      <c r="Q35" s="145">
        <v>0</v>
      </c>
      <c r="R35" s="145">
        <v>0</v>
      </c>
      <c r="S35" s="145">
        <v>0</v>
      </c>
      <c r="T35" s="145">
        <v>0</v>
      </c>
      <c r="U35" s="147">
        <v>-178112743.68207002</v>
      </c>
      <c r="V35" s="264"/>
      <c r="W35" s="218">
        <v>-113986305.76021996</v>
      </c>
    </row>
    <row r="36" spans="1:23" s="265" customFormat="1" ht="12.75" customHeight="1" x14ac:dyDescent="0.2">
      <c r="A36" s="264"/>
      <c r="B36" s="153"/>
      <c r="C36" s="592" t="s">
        <v>430</v>
      </c>
      <c r="D36" s="592"/>
      <c r="E36" s="592"/>
      <c r="F36" s="592"/>
      <c r="G36" s="596"/>
      <c r="H36" s="145">
        <v>8131.39</v>
      </c>
      <c r="I36" s="145">
        <v>185.20839999999998</v>
      </c>
      <c r="J36" s="145">
        <v>77.842500000000001</v>
      </c>
      <c r="K36" s="145">
        <v>45.777279999999998</v>
      </c>
      <c r="L36" s="145">
        <v>409.89931999999999</v>
      </c>
      <c r="M36" s="145">
        <v>3684.67742</v>
      </c>
      <c r="N36" s="145">
        <v>1406.93445</v>
      </c>
      <c r="O36" s="145">
        <v>387.20425</v>
      </c>
      <c r="P36" s="145">
        <v>0</v>
      </c>
      <c r="Q36" s="145">
        <v>0</v>
      </c>
      <c r="R36" s="145">
        <v>0</v>
      </c>
      <c r="S36" s="145">
        <v>0</v>
      </c>
      <c r="T36" s="145">
        <v>0</v>
      </c>
      <c r="U36" s="147">
        <v>6197.5436199999995</v>
      </c>
      <c r="V36" s="264"/>
      <c r="W36" s="218">
        <v>4820.9676399999989</v>
      </c>
    </row>
    <row r="37" spans="1:23" x14ac:dyDescent="0.2">
      <c r="A37" s="263"/>
      <c r="B37" s="153"/>
      <c r="C37" s="153" t="s">
        <v>431</v>
      </c>
      <c r="D37" s="153"/>
      <c r="E37" s="592"/>
      <c r="F37" s="592"/>
      <c r="G37" s="596"/>
      <c r="H37" s="76">
        <v>55532839.132999994</v>
      </c>
      <c r="I37" s="76">
        <v>4416481.5727899997</v>
      </c>
      <c r="J37" s="76">
        <v>3658555.9095899998</v>
      </c>
      <c r="K37" s="76">
        <v>3878971.8547099996</v>
      </c>
      <c r="L37" s="76">
        <v>4584521.77874</v>
      </c>
      <c r="M37" s="76">
        <v>2841924.0774300001</v>
      </c>
      <c r="N37" s="76">
        <v>3980537.9041899997</v>
      </c>
      <c r="O37" s="76">
        <v>4948910.83519</v>
      </c>
      <c r="P37" s="76">
        <v>0</v>
      </c>
      <c r="Q37" s="76">
        <v>0</v>
      </c>
      <c r="R37" s="76">
        <v>0</v>
      </c>
      <c r="S37" s="76">
        <v>0</v>
      </c>
      <c r="T37" s="76">
        <v>0</v>
      </c>
      <c r="U37" s="80">
        <v>28309903.932640001</v>
      </c>
      <c r="V37" s="263"/>
      <c r="W37" s="153">
        <v>25648423.377739999</v>
      </c>
    </row>
    <row r="38" spans="1:23" ht="12.75" customHeight="1" x14ac:dyDescent="0.2">
      <c r="A38" s="263"/>
      <c r="B38" s="153"/>
      <c r="C38" s="153"/>
      <c r="D38" s="153"/>
      <c r="E38" s="592" t="s">
        <v>432</v>
      </c>
      <c r="F38" s="592"/>
      <c r="G38" s="596"/>
      <c r="H38" s="145">
        <v>20133536.890000001</v>
      </c>
      <c r="I38" s="145">
        <v>905445.07671000005</v>
      </c>
      <c r="J38" s="145">
        <v>1687975.8765799999</v>
      </c>
      <c r="K38" s="145">
        <v>1575207.7021300001</v>
      </c>
      <c r="L38" s="145">
        <v>1556757.5407799999</v>
      </c>
      <c r="M38" s="145">
        <v>1655374.37583</v>
      </c>
      <c r="N38" s="145">
        <v>1813958.1386099998</v>
      </c>
      <c r="O38" s="145">
        <v>1828531.8908800001</v>
      </c>
      <c r="P38" s="145">
        <v>0</v>
      </c>
      <c r="Q38" s="145">
        <v>0</v>
      </c>
      <c r="R38" s="145">
        <v>0</v>
      </c>
      <c r="S38" s="145">
        <v>0</v>
      </c>
      <c r="T38" s="145">
        <v>0</v>
      </c>
      <c r="U38" s="147">
        <v>11023250.60152</v>
      </c>
      <c r="V38" s="263"/>
      <c r="W38" s="153">
        <v>10432272.009269999</v>
      </c>
    </row>
    <row r="39" spans="1:23" ht="12.75" customHeight="1" x14ac:dyDescent="0.2">
      <c r="A39" s="263"/>
      <c r="B39" s="153"/>
      <c r="C39" s="153"/>
      <c r="D39" s="153"/>
      <c r="E39" s="592" t="s">
        <v>433</v>
      </c>
      <c r="F39" s="592"/>
      <c r="G39" s="596"/>
      <c r="H39" s="145">
        <v>5068.5190000000002</v>
      </c>
      <c r="I39" s="145">
        <v>581.43031999999994</v>
      </c>
      <c r="J39" s="145">
        <v>187.96544</v>
      </c>
      <c r="K39" s="145">
        <v>75.838750000000005</v>
      </c>
      <c r="L39" s="145">
        <v>351.76253000000003</v>
      </c>
      <c r="M39" s="145">
        <v>363.35343999999998</v>
      </c>
      <c r="N39" s="145">
        <v>293.69781999999998</v>
      </c>
      <c r="O39" s="145">
        <v>428.51355000000001</v>
      </c>
      <c r="P39" s="145">
        <v>0</v>
      </c>
      <c r="Q39" s="145">
        <v>0</v>
      </c>
      <c r="R39" s="145">
        <v>0</v>
      </c>
      <c r="S39" s="145">
        <v>0</v>
      </c>
      <c r="T39" s="145">
        <v>0</v>
      </c>
      <c r="U39" s="147">
        <v>2282.56185</v>
      </c>
      <c r="V39" s="263"/>
      <c r="W39" s="153">
        <v>1962.6755199999989</v>
      </c>
    </row>
    <row r="40" spans="1:23" s="265" customFormat="1" ht="12.75" customHeight="1" x14ac:dyDescent="0.2">
      <c r="A40" s="264"/>
      <c r="B40" s="153"/>
      <c r="C40" s="153"/>
      <c r="D40" s="218"/>
      <c r="E40" s="592" t="s">
        <v>434</v>
      </c>
      <c r="F40" s="592"/>
      <c r="G40" s="596"/>
      <c r="H40" s="145">
        <v>6413284.5470000003</v>
      </c>
      <c r="I40" s="145">
        <v>533080.78587999998</v>
      </c>
      <c r="J40" s="145">
        <v>467654.14630000002</v>
      </c>
      <c r="K40" s="145">
        <v>511360.39814</v>
      </c>
      <c r="L40" s="145">
        <v>634365.57529999991</v>
      </c>
      <c r="M40" s="145">
        <v>22802.490579999998</v>
      </c>
      <c r="N40" s="145">
        <v>487481.27289999998</v>
      </c>
      <c r="O40" s="145">
        <v>572067.99277000001</v>
      </c>
      <c r="P40" s="145">
        <v>0</v>
      </c>
      <c r="Q40" s="145">
        <v>0</v>
      </c>
      <c r="R40" s="145">
        <v>0</v>
      </c>
      <c r="S40" s="145">
        <v>0</v>
      </c>
      <c r="T40" s="145">
        <v>0</v>
      </c>
      <c r="U40" s="147">
        <v>3228812.6618699995</v>
      </c>
      <c r="V40" s="264"/>
      <c r="W40" s="218">
        <v>3273320.1779900012</v>
      </c>
    </row>
    <row r="41" spans="1:23" ht="12.75" customHeight="1" x14ac:dyDescent="0.2">
      <c r="A41" s="263"/>
      <c r="B41" s="153"/>
      <c r="C41" s="153"/>
      <c r="D41" s="153"/>
      <c r="E41" s="592" t="s">
        <v>435</v>
      </c>
      <c r="F41" s="592"/>
      <c r="G41" s="596"/>
      <c r="H41" s="145">
        <v>12643481.705</v>
      </c>
      <c r="I41" s="145">
        <v>1384527.3620199999</v>
      </c>
      <c r="J41" s="145">
        <v>1148846.15488</v>
      </c>
      <c r="K41" s="145">
        <v>1312197.2880299999</v>
      </c>
      <c r="L41" s="145">
        <v>1263655.09482</v>
      </c>
      <c r="M41" s="145">
        <v>488893.50336000003</v>
      </c>
      <c r="N41" s="145">
        <v>1002315.54963</v>
      </c>
      <c r="O41" s="145">
        <v>913561.62369000004</v>
      </c>
      <c r="P41" s="145">
        <v>0</v>
      </c>
      <c r="Q41" s="145">
        <v>0</v>
      </c>
      <c r="R41" s="145">
        <v>0</v>
      </c>
      <c r="S41" s="145">
        <v>0</v>
      </c>
      <c r="T41" s="145">
        <v>0</v>
      </c>
      <c r="U41" s="147">
        <v>7513996.5764300004</v>
      </c>
      <c r="V41" s="263"/>
      <c r="W41" s="153">
        <v>5614952.4335200004</v>
      </c>
    </row>
    <row r="42" spans="1:23" ht="12.75" customHeight="1" x14ac:dyDescent="0.2">
      <c r="A42" s="263"/>
      <c r="B42" s="153"/>
      <c r="C42" s="153"/>
      <c r="D42" s="153"/>
      <c r="E42" s="672" t="s">
        <v>436</v>
      </c>
      <c r="F42" s="672"/>
      <c r="G42" s="673"/>
      <c r="H42" s="145">
        <v>12912556.393999999</v>
      </c>
      <c r="I42" s="145">
        <v>1448697.17842</v>
      </c>
      <c r="J42" s="145">
        <v>257756.93937000001</v>
      </c>
      <c r="K42" s="145">
        <v>404144.27419999999</v>
      </c>
      <c r="L42" s="145">
        <v>469731.90049999999</v>
      </c>
      <c r="M42" s="145">
        <v>594407.70371000003</v>
      </c>
      <c r="N42" s="145">
        <v>588560.99100000004</v>
      </c>
      <c r="O42" s="145">
        <v>903590.96554999996</v>
      </c>
      <c r="P42" s="145">
        <v>0</v>
      </c>
      <c r="Q42" s="145">
        <v>0</v>
      </c>
      <c r="R42" s="145">
        <v>0</v>
      </c>
      <c r="S42" s="145">
        <v>0</v>
      </c>
      <c r="T42" s="145">
        <v>0</v>
      </c>
      <c r="U42" s="147">
        <v>4666889.9527500002</v>
      </c>
      <c r="V42" s="263"/>
      <c r="W42" s="153">
        <v>4766274.5384800006</v>
      </c>
    </row>
    <row r="43" spans="1:23" ht="12.75" customHeight="1" x14ac:dyDescent="0.2">
      <c r="A43" s="263"/>
      <c r="B43" s="153"/>
      <c r="C43" s="153"/>
      <c r="D43" s="153"/>
      <c r="E43" s="593" t="s">
        <v>437</v>
      </c>
      <c r="F43" s="593"/>
      <c r="G43" s="594"/>
      <c r="H43" s="145">
        <v>0</v>
      </c>
      <c r="I43" s="145">
        <v>0</v>
      </c>
      <c r="J43" s="145">
        <v>0</v>
      </c>
      <c r="K43" s="145">
        <v>0</v>
      </c>
      <c r="L43" s="145">
        <v>0</v>
      </c>
      <c r="M43" s="145">
        <v>0</v>
      </c>
      <c r="N43" s="145">
        <v>0</v>
      </c>
      <c r="O43" s="145">
        <v>0</v>
      </c>
      <c r="P43" s="145"/>
      <c r="Q43" s="145"/>
      <c r="R43" s="145"/>
      <c r="S43" s="145"/>
      <c r="T43" s="145"/>
      <c r="U43" s="147">
        <v>0</v>
      </c>
      <c r="V43" s="263"/>
      <c r="W43" s="153">
        <v>0</v>
      </c>
    </row>
    <row r="44" spans="1:23" ht="12.75" customHeight="1" x14ac:dyDescent="0.2">
      <c r="A44" s="263"/>
      <c r="B44" s="153"/>
      <c r="C44" s="153"/>
      <c r="D44" s="153"/>
      <c r="E44" s="592" t="s">
        <v>438</v>
      </c>
      <c r="F44" s="257"/>
      <c r="G44" s="596"/>
      <c r="H44" s="145">
        <v>475200.679</v>
      </c>
      <c r="I44" s="145">
        <v>68901.417950000003</v>
      </c>
      <c r="J44" s="145">
        <v>34757.58008</v>
      </c>
      <c r="K44" s="145">
        <v>20969.701989999998</v>
      </c>
      <c r="L44" s="145">
        <v>21568.202789999999</v>
      </c>
      <c r="M44" s="145">
        <v>22788.251</v>
      </c>
      <c r="N44" s="145">
        <v>30931.837889999999</v>
      </c>
      <c r="O44" s="145">
        <v>58270.217530000002</v>
      </c>
      <c r="P44" s="145">
        <v>0</v>
      </c>
      <c r="Q44" s="145">
        <v>0</v>
      </c>
      <c r="R44" s="145">
        <v>0</v>
      </c>
      <c r="S44" s="145">
        <v>0</v>
      </c>
      <c r="T44" s="145">
        <v>0</v>
      </c>
      <c r="U44" s="147">
        <v>258187.20922999998</v>
      </c>
      <c r="V44" s="263"/>
      <c r="W44" s="153">
        <v>165196.56925</v>
      </c>
    </row>
    <row r="45" spans="1:23" ht="12.75" customHeight="1" x14ac:dyDescent="0.2">
      <c r="A45" s="263"/>
      <c r="B45" s="153"/>
      <c r="C45" s="153"/>
      <c r="D45" s="153"/>
      <c r="E45" s="592" t="s">
        <v>439</v>
      </c>
      <c r="F45" s="257"/>
      <c r="G45" s="596" t="s">
        <v>46</v>
      </c>
      <c r="H45" s="145">
        <v>945272.97400000005</v>
      </c>
      <c r="I45" s="145">
        <v>65179.002280000001</v>
      </c>
      <c r="J45" s="145">
        <v>61377.246939999997</v>
      </c>
      <c r="K45" s="145">
        <v>55016.651469999997</v>
      </c>
      <c r="L45" s="145">
        <v>60041.767209999998</v>
      </c>
      <c r="M45" s="145">
        <v>57294.399509999996</v>
      </c>
      <c r="N45" s="145">
        <v>56996.416340000003</v>
      </c>
      <c r="O45" s="145">
        <v>53302.862420000005</v>
      </c>
      <c r="P45" s="145">
        <v>0</v>
      </c>
      <c r="Q45" s="145">
        <v>0</v>
      </c>
      <c r="R45" s="145">
        <v>0</v>
      </c>
      <c r="S45" s="145">
        <v>0</v>
      </c>
      <c r="T45" s="145">
        <v>0</v>
      </c>
      <c r="U45" s="147">
        <v>409208.34616999998</v>
      </c>
      <c r="V45" s="263"/>
      <c r="W45" s="153">
        <v>316018.24414999993</v>
      </c>
    </row>
    <row r="46" spans="1:23" ht="12.75" customHeight="1" x14ac:dyDescent="0.2">
      <c r="A46" s="263"/>
      <c r="B46" s="153"/>
      <c r="C46" s="153"/>
      <c r="D46" s="153"/>
      <c r="E46" s="682" t="s">
        <v>440</v>
      </c>
      <c r="F46" s="682"/>
      <c r="G46" s="596" t="s">
        <v>47</v>
      </c>
      <c r="H46" s="601">
        <v>2004437.425</v>
      </c>
      <c r="I46" s="601">
        <v>10069.319210000001</v>
      </c>
      <c r="J46" s="601">
        <v>0</v>
      </c>
      <c r="K46" s="601">
        <v>0</v>
      </c>
      <c r="L46" s="601">
        <v>578049.93480999989</v>
      </c>
      <c r="M46" s="601">
        <v>0</v>
      </c>
      <c r="N46" s="601">
        <v>0</v>
      </c>
      <c r="O46" s="601">
        <v>619156.76879999996</v>
      </c>
      <c r="P46" s="601">
        <v>0</v>
      </c>
      <c r="Q46" s="601">
        <v>0</v>
      </c>
      <c r="R46" s="601">
        <v>0</v>
      </c>
      <c r="S46" s="601">
        <v>0</v>
      </c>
      <c r="T46" s="601">
        <v>0</v>
      </c>
      <c r="U46" s="80">
        <v>1207276.0228199998</v>
      </c>
      <c r="V46" s="263"/>
      <c r="W46" s="153">
        <v>1078426.7295600001</v>
      </c>
    </row>
    <row r="47" spans="1:23" ht="12.75" customHeight="1" x14ac:dyDescent="0.2">
      <c r="A47" s="263"/>
      <c r="B47" s="153"/>
      <c r="C47" s="153" t="s">
        <v>441</v>
      </c>
      <c r="D47" s="153"/>
      <c r="E47" s="153"/>
      <c r="F47" s="257"/>
      <c r="G47" s="596"/>
      <c r="H47" s="145">
        <v>4807260.8059999999</v>
      </c>
      <c r="I47" s="145">
        <v>1490960.95741</v>
      </c>
      <c r="J47" s="145">
        <v>-19669.311229999999</v>
      </c>
      <c r="K47" s="145">
        <v>384.78935999999999</v>
      </c>
      <c r="L47" s="145">
        <v>722989.58889999997</v>
      </c>
      <c r="M47" s="145">
        <v>1519.5155300000001</v>
      </c>
      <c r="N47" s="145">
        <v>-631.55714999999998</v>
      </c>
      <c r="O47" s="145">
        <v>942524.94272000005</v>
      </c>
      <c r="P47" s="145">
        <v>0</v>
      </c>
      <c r="Q47" s="145">
        <v>0</v>
      </c>
      <c r="R47" s="145">
        <v>0</v>
      </c>
      <c r="S47" s="145">
        <v>0</v>
      </c>
      <c r="T47" s="145">
        <v>0</v>
      </c>
      <c r="U47" s="147">
        <v>3138078.9255400002</v>
      </c>
      <c r="V47" s="263"/>
      <c r="W47" s="153">
        <v>1186129.6482899999</v>
      </c>
    </row>
    <row r="48" spans="1:23" ht="12.75" customHeight="1" x14ac:dyDescent="0.2">
      <c r="A48" s="263"/>
      <c r="B48" s="153"/>
      <c r="C48" s="153" t="s">
        <v>442</v>
      </c>
      <c r="D48" s="153"/>
      <c r="E48" s="153"/>
      <c r="F48" s="257"/>
      <c r="G48" s="596"/>
      <c r="H48" s="145">
        <v>2266591.4939999999</v>
      </c>
      <c r="I48" s="145">
        <v>228405.77165000001</v>
      </c>
      <c r="J48" s="145">
        <v>152257.77334000001</v>
      </c>
      <c r="K48" s="145">
        <v>155509.64734</v>
      </c>
      <c r="L48" s="145">
        <v>125970.03737999999</v>
      </c>
      <c r="M48" s="145">
        <v>127097.72557</v>
      </c>
      <c r="N48" s="145">
        <v>175699.97627000001</v>
      </c>
      <c r="O48" s="145">
        <v>184406.95541999998</v>
      </c>
      <c r="P48" s="145">
        <v>0</v>
      </c>
      <c r="Q48" s="145">
        <v>0</v>
      </c>
      <c r="R48" s="145">
        <v>0</v>
      </c>
      <c r="S48" s="145">
        <v>0</v>
      </c>
      <c r="T48" s="145">
        <v>0</v>
      </c>
      <c r="U48" s="147">
        <v>1149347.8869699999</v>
      </c>
      <c r="V48" s="263"/>
      <c r="W48" s="153">
        <v>989841.62505999976</v>
      </c>
    </row>
    <row r="49" spans="1:23" ht="12.75" customHeight="1" x14ac:dyDescent="0.2">
      <c r="A49" s="263"/>
      <c r="B49" s="153"/>
      <c r="C49" s="153" t="s">
        <v>443</v>
      </c>
      <c r="D49" s="153"/>
      <c r="E49" s="153"/>
      <c r="F49" s="257"/>
      <c r="G49" s="596"/>
      <c r="H49" s="145">
        <v>80635125.681999996</v>
      </c>
      <c r="I49" s="145">
        <v>6818533.0492599988</v>
      </c>
      <c r="J49" s="145">
        <v>6023535.9782300014</v>
      </c>
      <c r="K49" s="145">
        <v>4497401.4950899994</v>
      </c>
      <c r="L49" s="145">
        <v>4517132.5756200003</v>
      </c>
      <c r="M49" s="145">
        <v>5786006.7037599999</v>
      </c>
      <c r="N49" s="145">
        <v>6756385.9239999996</v>
      </c>
      <c r="O49" s="145">
        <v>7050619.1953199999</v>
      </c>
      <c r="P49" s="145">
        <v>0</v>
      </c>
      <c r="Q49" s="145">
        <v>0</v>
      </c>
      <c r="R49" s="145">
        <v>0</v>
      </c>
      <c r="S49" s="145">
        <v>0</v>
      </c>
      <c r="T49" s="145">
        <v>0</v>
      </c>
      <c r="U49" s="147">
        <v>41449614.921280004</v>
      </c>
      <c r="V49" s="263"/>
      <c r="W49" s="153">
        <v>38310166.578320004</v>
      </c>
    </row>
    <row r="50" spans="1:23" ht="12.75" customHeight="1" x14ac:dyDescent="0.2">
      <c r="A50" s="263"/>
      <c r="B50" s="153"/>
      <c r="C50" s="153"/>
      <c r="D50" s="153"/>
      <c r="E50" s="602" t="s">
        <v>444</v>
      </c>
      <c r="F50" s="257"/>
      <c r="G50" s="596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7"/>
      <c r="V50" s="263"/>
      <c r="W50" s="153"/>
    </row>
    <row r="51" spans="1:23" s="265" customFormat="1" ht="12.75" customHeight="1" x14ac:dyDescent="0.2">
      <c r="A51" s="264"/>
      <c r="B51" s="218"/>
      <c r="D51" s="218"/>
      <c r="E51" s="265" t="s">
        <v>445</v>
      </c>
      <c r="F51" s="257"/>
      <c r="G51" s="596"/>
      <c r="H51" s="214">
        <v>2446914.2919999999</v>
      </c>
      <c r="I51" s="214">
        <v>280398.79680000001</v>
      </c>
      <c r="J51" s="214">
        <v>251308.03902999999</v>
      </c>
      <c r="K51" s="214">
        <v>198875.32008999999</v>
      </c>
      <c r="L51" s="214">
        <v>188883.95955</v>
      </c>
      <c r="M51" s="214">
        <v>171577.09216</v>
      </c>
      <c r="N51" s="214">
        <v>170061.13024</v>
      </c>
      <c r="O51" s="214">
        <v>183364.25448</v>
      </c>
      <c r="P51" s="214">
        <v>0</v>
      </c>
      <c r="Q51" s="214">
        <v>0</v>
      </c>
      <c r="R51" s="214">
        <v>0</v>
      </c>
      <c r="S51" s="214">
        <v>0</v>
      </c>
      <c r="T51" s="214">
        <v>0</v>
      </c>
      <c r="U51" s="482">
        <v>1444468.59235</v>
      </c>
      <c r="V51" s="264"/>
      <c r="W51" s="218">
        <v>880357.85471000033</v>
      </c>
    </row>
    <row r="52" spans="1:23" s="265" customFormat="1" ht="12.75" customHeight="1" x14ac:dyDescent="0.2">
      <c r="A52" s="264"/>
      <c r="B52" s="218"/>
      <c r="C52" s="218"/>
      <c r="D52" s="218"/>
      <c r="E52" s="603" t="s">
        <v>446</v>
      </c>
      <c r="F52" s="257"/>
      <c r="G52" s="596"/>
      <c r="H52" s="214">
        <v>1990640.277</v>
      </c>
      <c r="I52" s="214">
        <v>247798.47219999999</v>
      </c>
      <c r="J52" s="214">
        <v>200302.15018999999</v>
      </c>
      <c r="K52" s="214">
        <v>146658.68414</v>
      </c>
      <c r="L52" s="214">
        <v>140212.62424999999</v>
      </c>
      <c r="M52" s="214">
        <v>112988.51167000001</v>
      </c>
      <c r="N52" s="214">
        <v>116551.63205</v>
      </c>
      <c r="O52" s="214">
        <v>131684.87351999999</v>
      </c>
      <c r="P52" s="214">
        <v>0</v>
      </c>
      <c r="Q52" s="214">
        <v>0</v>
      </c>
      <c r="R52" s="214">
        <v>0</v>
      </c>
      <c r="S52" s="214">
        <v>0</v>
      </c>
      <c r="T52" s="214">
        <v>0</v>
      </c>
      <c r="U52" s="482">
        <v>1096196.94802</v>
      </c>
      <c r="V52" s="264"/>
      <c r="W52" s="218">
        <v>678531.20506000018</v>
      </c>
    </row>
    <row r="53" spans="1:23" s="265" customFormat="1" ht="12.75" customHeight="1" x14ac:dyDescent="0.2">
      <c r="A53" s="264"/>
      <c r="B53" s="218"/>
      <c r="C53" s="218"/>
      <c r="D53" s="218"/>
      <c r="E53" s="603" t="s">
        <v>447</v>
      </c>
      <c r="F53" s="257"/>
      <c r="G53" s="596"/>
      <c r="H53" s="604">
        <v>456274.01500000001</v>
      </c>
      <c r="I53" s="604">
        <v>32600.3246</v>
      </c>
      <c r="J53" s="604">
        <v>51005.888840000007</v>
      </c>
      <c r="K53" s="604">
        <v>52216.635950000004</v>
      </c>
      <c r="L53" s="604">
        <v>48671.335299999999</v>
      </c>
      <c r="M53" s="604">
        <v>58588.58049</v>
      </c>
      <c r="N53" s="604">
        <v>53509.498189999998</v>
      </c>
      <c r="O53" s="604">
        <v>51679.380960000002</v>
      </c>
      <c r="P53" s="604">
        <v>0</v>
      </c>
      <c r="Q53" s="604">
        <v>0</v>
      </c>
      <c r="R53" s="604">
        <v>0</v>
      </c>
      <c r="S53" s="604">
        <v>0</v>
      </c>
      <c r="T53" s="604">
        <v>0</v>
      </c>
      <c r="U53" s="62">
        <v>348271.64432999998</v>
      </c>
      <c r="V53" s="264"/>
      <c r="W53" s="218">
        <v>201826.64965000004</v>
      </c>
    </row>
    <row r="54" spans="1:23" ht="12.75" customHeight="1" x14ac:dyDescent="0.2">
      <c r="A54" s="263"/>
      <c r="B54" s="153"/>
      <c r="C54" s="682" t="s">
        <v>448</v>
      </c>
      <c r="D54" s="682"/>
      <c r="E54" s="682"/>
      <c r="F54" s="682"/>
      <c r="G54" s="683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7"/>
      <c r="V54" s="263"/>
      <c r="W54" s="153"/>
    </row>
    <row r="55" spans="1:23" ht="12.75" customHeight="1" x14ac:dyDescent="0.2">
      <c r="A55" s="263"/>
      <c r="B55" s="153"/>
      <c r="C55" s="153"/>
      <c r="D55" s="153"/>
      <c r="E55" s="592" t="s">
        <v>449</v>
      </c>
      <c r="F55" s="592"/>
      <c r="G55" s="596"/>
      <c r="H55" s="145">
        <v>461991.71899999998</v>
      </c>
      <c r="I55" s="145">
        <v>55989.531670000004</v>
      </c>
      <c r="J55" s="145">
        <v>61753.557890000004</v>
      </c>
      <c r="K55" s="145">
        <v>55309.85</v>
      </c>
      <c r="L55" s="145">
        <v>59021.759380000003</v>
      </c>
      <c r="M55" s="145">
        <v>59221.292670000003</v>
      </c>
      <c r="N55" s="145">
        <v>67428.544379999992</v>
      </c>
      <c r="O55" s="145">
        <v>65440.008479999997</v>
      </c>
      <c r="P55" s="145">
        <v>0</v>
      </c>
      <c r="Q55" s="145">
        <v>0</v>
      </c>
      <c r="R55" s="145">
        <v>0</v>
      </c>
      <c r="S55" s="145">
        <v>0</v>
      </c>
      <c r="T55" s="145">
        <v>0</v>
      </c>
      <c r="U55" s="147">
        <v>424164.54447000002</v>
      </c>
      <c r="V55" s="263"/>
      <c r="W55" s="153">
        <v>164379.45493000001</v>
      </c>
    </row>
    <row r="56" spans="1:23" ht="12.75" customHeight="1" x14ac:dyDescent="0.2">
      <c r="A56" s="263"/>
      <c r="B56" s="153"/>
      <c r="C56" s="153"/>
      <c r="D56" s="153"/>
      <c r="E56" s="592" t="s">
        <v>450</v>
      </c>
      <c r="F56" s="592"/>
      <c r="G56" s="596"/>
      <c r="H56" s="601">
        <v>707496.63300000003</v>
      </c>
      <c r="I56" s="601">
        <v>476.25900999999999</v>
      </c>
      <c r="J56" s="601">
        <v>5480.7833499999997</v>
      </c>
      <c r="K56" s="601">
        <v>167912.42283000002</v>
      </c>
      <c r="L56" s="601">
        <v>1225.8779999999999</v>
      </c>
      <c r="M56" s="601">
        <v>1172.78394</v>
      </c>
      <c r="N56" s="601">
        <v>165727.11959000002</v>
      </c>
      <c r="O56" s="601">
        <v>1857.3910800000001</v>
      </c>
      <c r="P56" s="601">
        <v>0</v>
      </c>
      <c r="Q56" s="601">
        <v>0</v>
      </c>
      <c r="R56" s="601">
        <v>0</v>
      </c>
      <c r="S56" s="601">
        <v>0</v>
      </c>
      <c r="T56" s="601">
        <v>0</v>
      </c>
      <c r="U56" s="80">
        <v>343852.63780000003</v>
      </c>
      <c r="V56" s="263"/>
      <c r="W56" s="153">
        <v>349786.81949999998</v>
      </c>
    </row>
    <row r="57" spans="1:23" ht="12.75" customHeight="1" x14ac:dyDescent="0.2">
      <c r="A57" s="263"/>
      <c r="B57" s="153"/>
      <c r="C57" s="153"/>
      <c r="D57" s="153"/>
      <c r="E57" s="592" t="s">
        <v>451</v>
      </c>
      <c r="F57" s="592"/>
      <c r="G57" s="596"/>
      <c r="H57" s="601">
        <v>8027722.8930000002</v>
      </c>
      <c r="I57" s="601">
        <v>648439.72436999995</v>
      </c>
      <c r="J57" s="601">
        <v>610507.45800999994</v>
      </c>
      <c r="K57" s="601">
        <v>667773.97060999996</v>
      </c>
      <c r="L57" s="601">
        <v>666716.51095000003</v>
      </c>
      <c r="M57" s="601">
        <v>669795.15197999997</v>
      </c>
      <c r="N57" s="601">
        <v>675435.08213</v>
      </c>
      <c r="O57" s="601">
        <v>594472.02945999999</v>
      </c>
      <c r="P57" s="601">
        <v>0</v>
      </c>
      <c r="Q57" s="601">
        <v>0</v>
      </c>
      <c r="R57" s="601">
        <v>0</v>
      </c>
      <c r="S57" s="601">
        <v>0</v>
      </c>
      <c r="T57" s="601">
        <v>0</v>
      </c>
      <c r="U57" s="80">
        <v>4533139.9275099998</v>
      </c>
      <c r="V57" s="263"/>
      <c r="W57" s="153">
        <v>3092872.5994599992</v>
      </c>
    </row>
    <row r="58" spans="1:23" ht="12.75" customHeight="1" x14ac:dyDescent="0.2">
      <c r="A58" s="263"/>
      <c r="B58" s="153"/>
      <c r="C58" s="153"/>
      <c r="D58" s="153"/>
      <c r="E58" s="592" t="s">
        <v>452</v>
      </c>
      <c r="F58" s="592"/>
      <c r="G58" s="267"/>
      <c r="H58" s="601">
        <v>25671.269</v>
      </c>
      <c r="I58" s="601">
        <v>312.12180000000001</v>
      </c>
      <c r="J58" s="601">
        <v>4661.4049999999997</v>
      </c>
      <c r="K58" s="601">
        <v>1868.5650000000001</v>
      </c>
      <c r="L58" s="601">
        <v>2138.37</v>
      </c>
      <c r="M58" s="601">
        <v>2436.6149999999998</v>
      </c>
      <c r="N58" s="601">
        <v>2576.4610400000001</v>
      </c>
      <c r="O58" s="601">
        <v>1355.4889599999999</v>
      </c>
      <c r="P58" s="601">
        <v>0</v>
      </c>
      <c r="Q58" s="601">
        <v>0</v>
      </c>
      <c r="R58" s="601">
        <v>0</v>
      </c>
      <c r="S58" s="601">
        <v>0</v>
      </c>
      <c r="T58" s="601">
        <v>0</v>
      </c>
      <c r="U58" s="80">
        <v>15349.026800000001</v>
      </c>
      <c r="V58" s="263"/>
      <c r="W58" s="153">
        <v>10199.075090000006</v>
      </c>
    </row>
    <row r="59" spans="1:23" ht="12.75" customHeight="1" x14ac:dyDescent="0.2">
      <c r="A59" s="263"/>
      <c r="B59" s="153"/>
      <c r="C59" s="153"/>
      <c r="D59" s="153"/>
      <c r="E59" s="672" t="s">
        <v>453</v>
      </c>
      <c r="F59" s="672"/>
      <c r="G59" s="267"/>
      <c r="H59" s="601">
        <v>2334516.1</v>
      </c>
      <c r="I59" s="601">
        <v>232734.59733000002</v>
      </c>
      <c r="J59" s="601">
        <v>152730.6073</v>
      </c>
      <c r="K59" s="601">
        <v>191260.90663999997</v>
      </c>
      <c r="L59" s="601">
        <v>263666.10323000001</v>
      </c>
      <c r="M59" s="601">
        <v>200051.27158999999</v>
      </c>
      <c r="N59" s="601">
        <v>197339.07579</v>
      </c>
      <c r="O59" s="601">
        <v>274267.7133</v>
      </c>
      <c r="P59" s="601">
        <v>0</v>
      </c>
      <c r="Q59" s="601">
        <v>0</v>
      </c>
      <c r="R59" s="601">
        <v>0</v>
      </c>
      <c r="S59" s="601">
        <v>0</v>
      </c>
      <c r="T59" s="601">
        <v>0</v>
      </c>
      <c r="U59" s="80">
        <v>1512050.2751799999</v>
      </c>
      <c r="V59" s="263"/>
      <c r="W59" s="153">
        <v>980075.41295000003</v>
      </c>
    </row>
    <row r="60" spans="1:23" ht="12.75" customHeight="1" x14ac:dyDescent="0.2">
      <c r="A60" s="263"/>
      <c r="B60" s="153"/>
      <c r="C60" s="153"/>
      <c r="D60" s="153"/>
      <c r="E60" s="592" t="s">
        <v>454</v>
      </c>
      <c r="F60" s="153"/>
      <c r="G60" s="267"/>
      <c r="H60" s="601">
        <v>789399.43400000001</v>
      </c>
      <c r="I60" s="601">
        <v>70963.989429999987</v>
      </c>
      <c r="J60" s="601">
        <v>46907.581899999997</v>
      </c>
      <c r="K60" s="601">
        <v>48167.197719999996</v>
      </c>
      <c r="L60" s="601">
        <v>98958.685889999979</v>
      </c>
      <c r="M60" s="601">
        <v>55412.388399999996</v>
      </c>
      <c r="N60" s="601">
        <v>56846.919430000002</v>
      </c>
      <c r="O60" s="601">
        <v>90912.230710000003</v>
      </c>
      <c r="P60" s="601">
        <v>0</v>
      </c>
      <c r="Q60" s="601">
        <v>0</v>
      </c>
      <c r="R60" s="601">
        <v>0</v>
      </c>
      <c r="S60" s="601">
        <v>0</v>
      </c>
      <c r="T60" s="601">
        <v>0</v>
      </c>
      <c r="U60" s="80">
        <v>468168.99347999995</v>
      </c>
      <c r="V60" s="263"/>
      <c r="W60" s="153">
        <v>286930.64217999997</v>
      </c>
    </row>
    <row r="61" spans="1:23" ht="12.75" customHeight="1" x14ac:dyDescent="0.2">
      <c r="A61" s="263"/>
      <c r="B61" s="153"/>
      <c r="C61" s="153"/>
      <c r="D61" s="153"/>
      <c r="E61" s="592" t="s">
        <v>455</v>
      </c>
      <c r="F61" s="592"/>
      <c r="G61" s="267"/>
      <c r="H61" s="601">
        <v>0</v>
      </c>
      <c r="I61" s="601">
        <v>0</v>
      </c>
      <c r="J61" s="601">
        <v>0</v>
      </c>
      <c r="K61" s="601">
        <v>0</v>
      </c>
      <c r="L61" s="601">
        <v>0</v>
      </c>
      <c r="M61" s="601">
        <v>0</v>
      </c>
      <c r="N61" s="601">
        <v>0</v>
      </c>
      <c r="O61" s="601">
        <v>0</v>
      </c>
      <c r="P61" s="601">
        <v>0</v>
      </c>
      <c r="Q61" s="601">
        <v>0</v>
      </c>
      <c r="R61" s="601">
        <v>0</v>
      </c>
      <c r="S61" s="601">
        <v>0</v>
      </c>
      <c r="T61" s="601">
        <v>0</v>
      </c>
      <c r="U61" s="80">
        <v>0</v>
      </c>
      <c r="V61" s="263"/>
      <c r="W61" s="153">
        <v>0</v>
      </c>
    </row>
    <row r="62" spans="1:23" ht="12.75" customHeight="1" x14ac:dyDescent="0.2">
      <c r="A62" s="263"/>
      <c r="B62" s="153"/>
      <c r="C62" s="153"/>
      <c r="D62" s="153"/>
      <c r="E62" s="592" t="s">
        <v>456</v>
      </c>
      <c r="F62" s="592"/>
      <c r="G62" s="267"/>
      <c r="H62" s="601">
        <v>2126626.3620000002</v>
      </c>
      <c r="I62" s="601">
        <v>4629.0451900000007</v>
      </c>
      <c r="J62" s="601">
        <v>22.038550000000001</v>
      </c>
      <c r="K62" s="601">
        <v>1088.7866799999999</v>
      </c>
      <c r="L62" s="601">
        <v>1532747.3365999998</v>
      </c>
      <c r="M62" s="601">
        <v>19986.560430000001</v>
      </c>
      <c r="N62" s="601">
        <v>4402.5730599999997</v>
      </c>
      <c r="O62" s="601">
        <v>3984.8846800000001</v>
      </c>
      <c r="P62" s="601">
        <v>0</v>
      </c>
      <c r="Q62" s="601">
        <v>0</v>
      </c>
      <c r="R62" s="601">
        <v>0</v>
      </c>
      <c r="S62" s="601">
        <v>0</v>
      </c>
      <c r="T62" s="601">
        <v>0</v>
      </c>
      <c r="U62" s="80">
        <v>1566861.2251899999</v>
      </c>
      <c r="V62" s="263"/>
      <c r="W62" s="153">
        <v>34785.778659999836</v>
      </c>
    </row>
    <row r="63" spans="1:23" ht="12.75" customHeight="1" x14ac:dyDescent="0.2">
      <c r="A63" s="263"/>
      <c r="B63" s="153"/>
      <c r="C63" s="153" t="s">
        <v>413</v>
      </c>
      <c r="D63" s="153"/>
      <c r="E63" s="592"/>
      <c r="F63" s="592"/>
      <c r="G63" s="267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7"/>
      <c r="V63" s="263"/>
      <c r="W63" s="153"/>
    </row>
    <row r="64" spans="1:23" ht="12.75" customHeight="1" x14ac:dyDescent="0.2">
      <c r="A64" s="263"/>
      <c r="B64" s="153"/>
      <c r="C64" s="153"/>
      <c r="D64" s="153"/>
      <c r="E64" s="592" t="s">
        <v>457</v>
      </c>
      <c r="F64" s="592"/>
      <c r="G64" s="267"/>
      <c r="H64" s="145">
        <v>274821.049</v>
      </c>
      <c r="I64" s="145">
        <v>1405.09178</v>
      </c>
      <c r="J64" s="145">
        <v>44.511859999999999</v>
      </c>
      <c r="K64" s="145">
        <v>1092.4924099999998</v>
      </c>
      <c r="L64" s="145">
        <v>384.51620000000003</v>
      </c>
      <c r="M64" s="145">
        <v>63606.497950000004</v>
      </c>
      <c r="N64" s="145">
        <v>0</v>
      </c>
      <c r="O64" s="145">
        <v>5916.1980700000004</v>
      </c>
      <c r="P64" s="145">
        <v>0</v>
      </c>
      <c r="Q64" s="145">
        <v>0</v>
      </c>
      <c r="R64" s="145">
        <v>0</v>
      </c>
      <c r="S64" s="145">
        <v>0</v>
      </c>
      <c r="T64" s="145">
        <v>0</v>
      </c>
      <c r="U64" s="147">
        <v>72449.308270000009</v>
      </c>
      <c r="V64" s="263"/>
      <c r="W64" s="153">
        <v>38275380.799660005</v>
      </c>
    </row>
    <row r="65" spans="1:23" s="265" customFormat="1" ht="12.75" customHeight="1" x14ac:dyDescent="0.2">
      <c r="A65" s="605"/>
      <c r="B65" s="576" t="s">
        <v>458</v>
      </c>
      <c r="C65" s="585"/>
      <c r="D65" s="218"/>
      <c r="E65" s="595"/>
      <c r="F65" s="595"/>
      <c r="G65" s="596"/>
      <c r="H65" s="42">
        <v>74490447.440000013</v>
      </c>
      <c r="I65" s="42">
        <v>2677328.3715899996</v>
      </c>
      <c r="J65" s="42">
        <v>4767156.7342099994</v>
      </c>
      <c r="K65" s="42">
        <v>5801274.7881000005</v>
      </c>
      <c r="L65" s="42">
        <v>6364509.2139699999</v>
      </c>
      <c r="M65" s="42">
        <v>6665937.1647000005</v>
      </c>
      <c r="N65" s="42">
        <v>6772835.5864199987</v>
      </c>
      <c r="O65" s="42">
        <v>6578268.0598400012</v>
      </c>
      <c r="P65" s="42">
        <v>0</v>
      </c>
      <c r="Q65" s="42">
        <v>0</v>
      </c>
      <c r="R65" s="42">
        <v>0</v>
      </c>
      <c r="S65" s="42">
        <v>0</v>
      </c>
      <c r="T65" s="42">
        <v>0</v>
      </c>
      <c r="U65" s="56">
        <v>39627309.91883</v>
      </c>
      <c r="V65" s="264"/>
      <c r="W65" s="153">
        <v>0</v>
      </c>
    </row>
    <row r="66" spans="1:23" s="265" customFormat="1" ht="12.75" customHeight="1" x14ac:dyDescent="0.2">
      <c r="A66" s="605"/>
      <c r="B66" s="576"/>
      <c r="C66" s="153" t="s">
        <v>459</v>
      </c>
      <c r="D66" s="218"/>
      <c r="E66" s="595"/>
      <c r="F66" s="595"/>
      <c r="G66" s="596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7"/>
      <c r="V66" s="264"/>
      <c r="W66" s="218"/>
    </row>
    <row r="67" spans="1:23" s="265" customFormat="1" ht="12.75" customHeight="1" x14ac:dyDescent="0.2">
      <c r="A67" s="605"/>
      <c r="B67" s="153"/>
      <c r="C67" s="218"/>
      <c r="D67" s="218"/>
      <c r="E67" s="153" t="s">
        <v>460</v>
      </c>
      <c r="F67" s="592"/>
      <c r="G67" s="596"/>
      <c r="H67" s="145">
        <v>63972700.523000002</v>
      </c>
      <c r="I67" s="145">
        <v>2392753.48679</v>
      </c>
      <c r="J67" s="145">
        <v>4071818.7859299998</v>
      </c>
      <c r="K67" s="145">
        <v>4934558.6743000001</v>
      </c>
      <c r="L67" s="145">
        <v>5533913.5941799991</v>
      </c>
      <c r="M67" s="145">
        <v>5757235.2431100002</v>
      </c>
      <c r="N67" s="145">
        <v>5819648.0370099992</v>
      </c>
      <c r="O67" s="145">
        <v>5593408.9695000006</v>
      </c>
      <c r="P67" s="145">
        <v>0</v>
      </c>
      <c r="Q67" s="145">
        <v>0</v>
      </c>
      <c r="R67" s="145">
        <v>0</v>
      </c>
      <c r="S67" s="145">
        <v>0</v>
      </c>
      <c r="T67" s="145">
        <v>0</v>
      </c>
      <c r="U67" s="147">
        <v>34103336.790819995</v>
      </c>
      <c r="V67" s="264"/>
      <c r="W67" s="218">
        <v>25778112.484300002</v>
      </c>
    </row>
    <row r="68" spans="1:23" ht="12.75" customHeight="1" x14ac:dyDescent="0.2">
      <c r="A68" s="263"/>
      <c r="B68" s="153"/>
      <c r="C68" s="153"/>
      <c r="D68" s="153"/>
      <c r="E68" s="153" t="s">
        <v>461</v>
      </c>
      <c r="F68" s="592"/>
      <c r="G68" s="599"/>
      <c r="H68" s="601">
        <v>8630697.6309999991</v>
      </c>
      <c r="I68" s="601">
        <v>111384.01167999998</v>
      </c>
      <c r="J68" s="601">
        <v>497382.69390000001</v>
      </c>
      <c r="K68" s="601">
        <v>686288.90659999999</v>
      </c>
      <c r="L68" s="601">
        <v>621081.35008</v>
      </c>
      <c r="M68" s="601">
        <v>713612.57559000002</v>
      </c>
      <c r="N68" s="601">
        <v>692108.63354999991</v>
      </c>
      <c r="O68" s="601">
        <v>808474.69320999994</v>
      </c>
      <c r="P68" s="601">
        <v>0</v>
      </c>
      <c r="Q68" s="601">
        <v>0</v>
      </c>
      <c r="R68" s="601">
        <v>0</v>
      </c>
      <c r="S68" s="601">
        <v>0</v>
      </c>
      <c r="T68" s="601">
        <v>0</v>
      </c>
      <c r="U68" s="80">
        <v>4130332.8646099996</v>
      </c>
      <c r="V68" s="263"/>
      <c r="W68" s="153">
        <v>4203445.7950100005</v>
      </c>
    </row>
    <row r="69" spans="1:23" ht="12.75" customHeight="1" x14ac:dyDescent="0.2">
      <c r="A69" s="263"/>
      <c r="B69" s="153"/>
      <c r="C69" s="153" t="s">
        <v>462</v>
      </c>
      <c r="D69" s="153"/>
      <c r="E69" s="153"/>
      <c r="F69" s="153"/>
      <c r="G69" s="599"/>
      <c r="H69" s="601">
        <v>93872.062000000005</v>
      </c>
      <c r="I69" s="601">
        <v>3284.8394700000003</v>
      </c>
      <c r="J69" s="601">
        <v>8588.084429999999</v>
      </c>
      <c r="K69" s="601">
        <v>7313.3212199999998</v>
      </c>
      <c r="L69" s="601">
        <v>10042.298130000001</v>
      </c>
      <c r="M69" s="601">
        <v>5723.3942000000006</v>
      </c>
      <c r="N69" s="601">
        <v>8058.9395999999997</v>
      </c>
      <c r="O69" s="601">
        <v>10083.69448</v>
      </c>
      <c r="P69" s="601">
        <v>0</v>
      </c>
      <c r="Q69" s="601">
        <v>0</v>
      </c>
      <c r="R69" s="601">
        <v>0</v>
      </c>
      <c r="S69" s="601">
        <v>0</v>
      </c>
      <c r="T69" s="601">
        <v>0</v>
      </c>
      <c r="U69" s="80">
        <v>53094.571530000001</v>
      </c>
      <c r="V69" s="263"/>
      <c r="W69" s="153">
        <v>35782.980759999991</v>
      </c>
    </row>
    <row r="70" spans="1:23" s="265" customFormat="1" ht="12.75" customHeight="1" x14ac:dyDescent="0.2">
      <c r="A70" s="605"/>
      <c r="B70" s="153"/>
      <c r="C70" s="153" t="s">
        <v>413</v>
      </c>
      <c r="D70" s="218"/>
      <c r="E70" s="153"/>
      <c r="F70" s="592"/>
      <c r="G70" s="596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7"/>
      <c r="V70" s="264"/>
      <c r="W70" s="218"/>
    </row>
    <row r="71" spans="1:23" ht="12.75" customHeight="1" x14ac:dyDescent="0.2">
      <c r="A71" s="263"/>
      <c r="B71" s="153"/>
      <c r="C71" s="153"/>
      <c r="D71" s="153"/>
      <c r="E71" s="153" t="s">
        <v>463</v>
      </c>
      <c r="F71" s="153"/>
      <c r="G71" s="596"/>
      <c r="H71" s="145">
        <v>1101934.388</v>
      </c>
      <c r="I71" s="145">
        <v>99306.142049999995</v>
      </c>
      <c r="J71" s="145">
        <v>105191.87031999999</v>
      </c>
      <c r="K71" s="145">
        <v>102067.13559000001</v>
      </c>
      <c r="L71" s="145">
        <v>130498.64524</v>
      </c>
      <c r="M71" s="145">
        <v>117985.20955</v>
      </c>
      <c r="N71" s="145">
        <v>142588.02384000001</v>
      </c>
      <c r="O71" s="145">
        <v>85297.987880000015</v>
      </c>
      <c r="P71" s="145">
        <v>0</v>
      </c>
      <c r="Q71" s="145">
        <v>0</v>
      </c>
      <c r="R71" s="145">
        <v>0</v>
      </c>
      <c r="S71" s="145">
        <v>0</v>
      </c>
      <c r="T71" s="145">
        <v>0</v>
      </c>
      <c r="U71" s="147">
        <v>782935.01447000005</v>
      </c>
      <c r="V71" s="263"/>
      <c r="W71" s="153">
        <v>240929.35179000022</v>
      </c>
    </row>
    <row r="72" spans="1:23" ht="12.75" customHeight="1" x14ac:dyDescent="0.2">
      <c r="A72" s="263"/>
      <c r="B72" s="153"/>
      <c r="C72" s="153"/>
      <c r="D72" s="153"/>
      <c r="E72" s="153" t="s">
        <v>464</v>
      </c>
      <c r="F72" s="592"/>
      <c r="G72" s="596"/>
      <c r="H72" s="601">
        <v>166578.79699999999</v>
      </c>
      <c r="I72" s="601">
        <v>7433.2690599999996</v>
      </c>
      <c r="J72" s="601">
        <v>7813.0823499999997</v>
      </c>
      <c r="K72" s="601">
        <v>1137.52827</v>
      </c>
      <c r="L72" s="601">
        <v>784.92665</v>
      </c>
      <c r="M72" s="601">
        <v>3274.3193999999999</v>
      </c>
      <c r="N72" s="601">
        <v>40691.838090000005</v>
      </c>
      <c r="O72" s="601">
        <v>20826.24222</v>
      </c>
      <c r="P72" s="601">
        <v>0</v>
      </c>
      <c r="Q72" s="601">
        <v>0</v>
      </c>
      <c r="R72" s="601">
        <v>0</v>
      </c>
      <c r="S72" s="601">
        <v>0</v>
      </c>
      <c r="T72" s="601">
        <v>0</v>
      </c>
      <c r="U72" s="80">
        <v>81961.206040000005</v>
      </c>
      <c r="V72" s="263"/>
      <c r="W72" s="153">
        <v>101826.13702000002</v>
      </c>
    </row>
    <row r="73" spans="1:23" s="265" customFormat="1" ht="12.75" customHeight="1" x14ac:dyDescent="0.2">
      <c r="A73" s="605"/>
      <c r="B73" s="153"/>
      <c r="E73" s="153" t="s">
        <v>465</v>
      </c>
      <c r="F73" s="592"/>
      <c r="G73" s="596"/>
      <c r="H73" s="145">
        <v>524664.03899999999</v>
      </c>
      <c r="I73" s="145">
        <v>63166.622539999997</v>
      </c>
      <c r="J73" s="145">
        <v>76362.217279999997</v>
      </c>
      <c r="K73" s="145">
        <v>69909.222120000006</v>
      </c>
      <c r="L73" s="145">
        <v>68188.399689999991</v>
      </c>
      <c r="M73" s="145">
        <v>68106.422849999988</v>
      </c>
      <c r="N73" s="145">
        <v>69740.114329999997</v>
      </c>
      <c r="O73" s="145">
        <v>60176.472549999999</v>
      </c>
      <c r="P73" s="145">
        <v>0</v>
      </c>
      <c r="Q73" s="145">
        <v>0</v>
      </c>
      <c r="R73" s="145">
        <v>0</v>
      </c>
      <c r="S73" s="145">
        <v>0</v>
      </c>
      <c r="T73" s="145">
        <v>0</v>
      </c>
      <c r="U73" s="80">
        <v>475649.47135999997</v>
      </c>
      <c r="V73" s="264"/>
      <c r="W73" s="218">
        <v>346956.29557999998</v>
      </c>
    </row>
    <row r="74" spans="1:23" s="265" customFormat="1" ht="12.75" customHeight="1" x14ac:dyDescent="0.2">
      <c r="A74" s="264"/>
      <c r="B74" s="576" t="s">
        <v>466</v>
      </c>
      <c r="C74" s="218"/>
      <c r="D74" s="218"/>
      <c r="E74" s="218"/>
      <c r="F74" s="218"/>
      <c r="G74" s="596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56">
        <v>0</v>
      </c>
      <c r="V74" s="264"/>
      <c r="W74" s="218">
        <v>0</v>
      </c>
    </row>
    <row r="75" spans="1:23" ht="12.75" customHeight="1" x14ac:dyDescent="0.2">
      <c r="A75" s="263"/>
      <c r="B75" s="153"/>
      <c r="C75" s="153" t="s">
        <v>467</v>
      </c>
      <c r="D75" s="153"/>
      <c r="E75" s="153"/>
      <c r="F75" s="153"/>
      <c r="G75" s="596"/>
      <c r="H75" s="145">
        <v>0</v>
      </c>
      <c r="I75" s="145">
        <v>0</v>
      </c>
      <c r="J75" s="145">
        <v>0</v>
      </c>
      <c r="K75" s="145">
        <v>0</v>
      </c>
      <c r="L75" s="145">
        <v>0</v>
      </c>
      <c r="M75" s="145">
        <v>0</v>
      </c>
      <c r="N75" s="145">
        <v>0</v>
      </c>
      <c r="O75" s="145">
        <v>0</v>
      </c>
      <c r="P75" s="145">
        <v>0</v>
      </c>
      <c r="Q75" s="145">
        <v>0</v>
      </c>
      <c r="R75" s="145">
        <v>0</v>
      </c>
      <c r="S75" s="145">
        <v>0</v>
      </c>
      <c r="T75" s="145">
        <v>0</v>
      </c>
      <c r="U75" s="147">
        <v>0</v>
      </c>
      <c r="V75" s="263"/>
      <c r="W75" s="153">
        <v>0</v>
      </c>
    </row>
    <row r="76" spans="1:23" s="610" customFormat="1" ht="12.75" customHeight="1" x14ac:dyDescent="0.2">
      <c r="A76" s="606"/>
      <c r="B76" s="589" t="s">
        <v>468</v>
      </c>
      <c r="C76" s="589"/>
      <c r="D76" s="589"/>
      <c r="E76" s="589"/>
      <c r="F76" s="589"/>
      <c r="G76" s="607" t="s">
        <v>469</v>
      </c>
      <c r="H76" s="608">
        <v>0</v>
      </c>
      <c r="I76" s="608">
        <v>109.13464999999999</v>
      </c>
      <c r="J76" s="608">
        <v>-409.00695000000002</v>
      </c>
      <c r="K76" s="608">
        <v>-503.25046999999995</v>
      </c>
      <c r="L76" s="608">
        <v>-1729.6368199999997</v>
      </c>
      <c r="M76" s="608">
        <v>4837.8747899999998</v>
      </c>
      <c r="N76" s="608">
        <v>-4648.0448999999999</v>
      </c>
      <c r="O76" s="608">
        <v>4417.3521700000001</v>
      </c>
      <c r="P76" s="608">
        <v>0</v>
      </c>
      <c r="Q76" s="608">
        <v>0</v>
      </c>
      <c r="R76" s="608">
        <v>0</v>
      </c>
      <c r="S76" s="608">
        <v>0</v>
      </c>
      <c r="T76" s="608">
        <v>0</v>
      </c>
      <c r="U76" s="609">
        <v>2074.4224700000004</v>
      </c>
      <c r="V76" s="606"/>
      <c r="W76" s="589">
        <v>1227.7533339999991</v>
      </c>
    </row>
    <row r="77" spans="1:23" ht="12.75" customHeight="1" x14ac:dyDescent="0.2">
      <c r="A77" s="611"/>
      <c r="B77" s="612" t="s">
        <v>470</v>
      </c>
      <c r="C77" s="613"/>
      <c r="D77" s="613"/>
      <c r="E77" s="613"/>
      <c r="F77" s="613"/>
      <c r="G77" s="614"/>
      <c r="H77" s="55">
        <v>1681917515.1880002</v>
      </c>
      <c r="I77" s="42">
        <v>103419998.47435001</v>
      </c>
      <c r="J77" s="42">
        <v>105178197.87754998</v>
      </c>
      <c r="K77" s="42">
        <v>209910213.68068001</v>
      </c>
      <c r="L77" s="42">
        <v>96170569.704479977</v>
      </c>
      <c r="M77" s="42">
        <v>136732423.41312</v>
      </c>
      <c r="N77" s="42">
        <v>133431075.96890002</v>
      </c>
      <c r="O77" s="42">
        <v>114112565.21574001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56">
        <v>898955044.33481991</v>
      </c>
      <c r="V77" s="263"/>
      <c r="W77" s="576">
        <v>734029880.11019409</v>
      </c>
    </row>
    <row r="78" spans="1:23" ht="12.75" customHeight="1" x14ac:dyDescent="0.2">
      <c r="A78" s="263"/>
      <c r="B78" s="576" t="s">
        <v>471</v>
      </c>
      <c r="C78" s="153"/>
      <c r="D78" s="153"/>
      <c r="E78" s="592"/>
      <c r="F78" s="592"/>
      <c r="G78" s="596" t="s">
        <v>472</v>
      </c>
      <c r="H78" s="286">
        <v>-43683418</v>
      </c>
      <c r="I78" s="286">
        <v>-10920855</v>
      </c>
      <c r="J78" s="286">
        <v>0</v>
      </c>
      <c r="K78" s="286">
        <v>0</v>
      </c>
      <c r="L78" s="286">
        <v>-10920854</v>
      </c>
      <c r="M78" s="286">
        <v>0</v>
      </c>
      <c r="N78" s="286">
        <v>0</v>
      </c>
      <c r="O78" s="286">
        <v>-10920854</v>
      </c>
      <c r="P78" s="286">
        <v>0</v>
      </c>
      <c r="Q78" s="286">
        <v>0</v>
      </c>
      <c r="R78" s="286">
        <v>0</v>
      </c>
      <c r="S78" s="286">
        <v>0</v>
      </c>
      <c r="T78" s="286">
        <v>0</v>
      </c>
      <c r="U78" s="343">
        <v>-32762563</v>
      </c>
      <c r="V78" s="263"/>
      <c r="W78" s="153">
        <v>-11491553</v>
      </c>
    </row>
    <row r="79" spans="1:23" ht="12.75" customHeight="1" x14ac:dyDescent="0.2">
      <c r="A79" s="615"/>
      <c r="B79" s="45" t="s">
        <v>473</v>
      </c>
      <c r="C79" s="616"/>
      <c r="D79" s="616"/>
      <c r="E79" s="617"/>
      <c r="F79" s="617"/>
      <c r="G79" s="618"/>
      <c r="H79" s="619">
        <v>1638234097.1880002</v>
      </c>
      <c r="I79" s="619">
        <v>92499143.474350005</v>
      </c>
      <c r="J79" s="619">
        <v>105178197.87754998</v>
      </c>
      <c r="K79" s="619">
        <v>209910213.68068001</v>
      </c>
      <c r="L79" s="619">
        <v>85249715.704479977</v>
      </c>
      <c r="M79" s="619">
        <v>136732423.41312</v>
      </c>
      <c r="N79" s="619">
        <v>133431075.96890002</v>
      </c>
      <c r="O79" s="619">
        <v>103191711.21574001</v>
      </c>
      <c r="P79" s="619">
        <v>0</v>
      </c>
      <c r="Q79" s="619">
        <v>0</v>
      </c>
      <c r="R79" s="619">
        <v>0</v>
      </c>
      <c r="S79" s="619">
        <v>0</v>
      </c>
      <c r="T79" s="619">
        <v>0</v>
      </c>
      <c r="U79" s="520">
        <v>866192481.33481991</v>
      </c>
      <c r="V79" s="263"/>
      <c r="W79" s="576">
        <v>722538327.11019409</v>
      </c>
    </row>
    <row r="80" spans="1:23" ht="12.75" hidden="1" customHeight="1" x14ac:dyDescent="0.2">
      <c r="A80" s="263"/>
      <c r="B80" s="576"/>
      <c r="C80" s="153"/>
      <c r="D80" s="153"/>
      <c r="E80" s="592"/>
      <c r="F80" s="592"/>
      <c r="G80" s="596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263"/>
      <c r="W80" s="576">
        <v>0</v>
      </c>
    </row>
    <row r="81" spans="1:24" s="153" customFormat="1" ht="12.75" hidden="1" customHeight="1" x14ac:dyDescent="0.2">
      <c r="A81" s="620"/>
      <c r="B81" s="573"/>
      <c r="C81" s="573"/>
      <c r="D81" s="573"/>
      <c r="E81" s="573"/>
      <c r="F81" s="573"/>
      <c r="G81" s="621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263"/>
      <c r="W81" s="576">
        <v>0</v>
      </c>
    </row>
    <row r="82" spans="1:24" ht="12.75" customHeight="1" x14ac:dyDescent="0.2">
      <c r="A82" s="263"/>
      <c r="B82" s="576" t="s">
        <v>474</v>
      </c>
      <c r="C82" s="576"/>
      <c r="D82" s="153"/>
      <c r="E82" s="592"/>
      <c r="F82" s="592"/>
      <c r="G82" s="596"/>
      <c r="H82" s="622">
        <v>56258024.678012811</v>
      </c>
      <c r="I82" s="622">
        <v>784740.80111</v>
      </c>
      <c r="J82" s="622">
        <v>1333936.5392700001</v>
      </c>
      <c r="K82" s="622">
        <v>14279470.077669997</v>
      </c>
      <c r="L82" s="622">
        <v>885659.38835000014</v>
      </c>
      <c r="M82" s="622">
        <v>1904846.2528399997</v>
      </c>
      <c r="N82" s="622">
        <v>2419793.18267</v>
      </c>
      <c r="O82" s="622">
        <v>1931288.9859999998</v>
      </c>
      <c r="P82" s="622">
        <v>0</v>
      </c>
      <c r="Q82" s="622">
        <v>0</v>
      </c>
      <c r="R82" s="622">
        <v>0</v>
      </c>
      <c r="S82" s="622">
        <v>0</v>
      </c>
      <c r="T82" s="622">
        <v>0</v>
      </c>
      <c r="U82" s="622">
        <v>23539735.227910005</v>
      </c>
      <c r="V82" s="263"/>
      <c r="W82" s="576">
        <v>21067048.984889999</v>
      </c>
    </row>
    <row r="83" spans="1:24" ht="12.75" customHeight="1" x14ac:dyDescent="0.2">
      <c r="A83" s="263"/>
      <c r="B83" s="153"/>
      <c r="C83" s="685" t="s">
        <v>475</v>
      </c>
      <c r="D83" s="685"/>
      <c r="E83" s="685"/>
      <c r="F83" s="685"/>
      <c r="G83" s="596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263"/>
      <c r="W83" s="153"/>
    </row>
    <row r="84" spans="1:24" ht="12.75" customHeight="1" x14ac:dyDescent="0.2">
      <c r="A84" s="263"/>
      <c r="B84" s="153"/>
      <c r="C84" s="153"/>
      <c r="D84" s="153"/>
      <c r="E84" s="153" t="s">
        <v>476</v>
      </c>
      <c r="F84" s="592"/>
      <c r="G84" s="596" t="s">
        <v>477</v>
      </c>
      <c r="H84" s="145">
        <v>187751.35682793579</v>
      </c>
      <c r="I84" s="145">
        <v>4148.7809900000002</v>
      </c>
      <c r="J84" s="145">
        <v>4113.9657000000007</v>
      </c>
      <c r="K84" s="145">
        <v>4200.7635799999998</v>
      </c>
      <c r="L84" s="145">
        <v>4331.9187299999994</v>
      </c>
      <c r="M84" s="145">
        <v>4112.2418499999994</v>
      </c>
      <c r="N84" s="145">
        <v>4224.5048799999986</v>
      </c>
      <c r="O84" s="145">
        <v>4195.89887</v>
      </c>
      <c r="P84" s="145">
        <v>0</v>
      </c>
      <c r="Q84" s="145">
        <v>0</v>
      </c>
      <c r="R84" s="145">
        <v>0</v>
      </c>
      <c r="S84" s="145">
        <v>0</v>
      </c>
      <c r="T84" s="145">
        <v>0</v>
      </c>
      <c r="U84" s="145">
        <v>29328.074599999996</v>
      </c>
      <c r="V84" s="263"/>
      <c r="W84" s="153">
        <v>18715.520379999998</v>
      </c>
    </row>
    <row r="85" spans="1:24" ht="12.75" customHeight="1" x14ac:dyDescent="0.2">
      <c r="A85" s="263"/>
      <c r="B85" s="576"/>
      <c r="E85" s="457" t="s">
        <v>478</v>
      </c>
      <c r="F85" s="592"/>
      <c r="G85" s="596"/>
      <c r="H85" s="145">
        <v>6500</v>
      </c>
      <c r="I85" s="145">
        <v>0</v>
      </c>
      <c r="J85" s="145">
        <v>155.5</v>
      </c>
      <c r="K85" s="145">
        <v>725.5</v>
      </c>
      <c r="L85" s="145">
        <v>912.62199999999996</v>
      </c>
      <c r="M85" s="145">
        <v>384.5</v>
      </c>
      <c r="N85" s="145">
        <v>639</v>
      </c>
      <c r="O85" s="145">
        <v>551.5</v>
      </c>
      <c r="P85" s="145">
        <v>0</v>
      </c>
      <c r="Q85" s="145">
        <v>0</v>
      </c>
      <c r="R85" s="145">
        <v>0</v>
      </c>
      <c r="S85" s="145">
        <v>0</v>
      </c>
      <c r="T85" s="145">
        <v>0</v>
      </c>
      <c r="U85" s="145">
        <v>3368.6219999999998</v>
      </c>
      <c r="V85" s="263"/>
      <c r="W85" s="153">
        <v>5605</v>
      </c>
    </row>
    <row r="86" spans="1:24" ht="12.75" customHeight="1" x14ac:dyDescent="0.2">
      <c r="A86" s="263"/>
      <c r="B86" s="153"/>
      <c r="C86" s="153"/>
      <c r="D86" s="153"/>
      <c r="E86" s="153" t="s">
        <v>479</v>
      </c>
      <c r="F86" s="153"/>
      <c r="G86" s="266"/>
      <c r="H86" s="145">
        <v>950240.86235209974</v>
      </c>
      <c r="I86" s="145">
        <v>21627.064659999996</v>
      </c>
      <c r="J86" s="145">
        <v>31196.26645000001</v>
      </c>
      <c r="K86" s="145">
        <v>27746.280170000002</v>
      </c>
      <c r="L86" s="145">
        <v>32991.019429999978</v>
      </c>
      <c r="M86" s="145">
        <v>35893.280520000015</v>
      </c>
      <c r="N86" s="145">
        <v>38988.859619999974</v>
      </c>
      <c r="O86" s="145">
        <v>39236.652720000006</v>
      </c>
      <c r="P86" s="145">
        <v>0</v>
      </c>
      <c r="Q86" s="145">
        <v>0</v>
      </c>
      <c r="R86" s="145">
        <v>0</v>
      </c>
      <c r="S86" s="145">
        <v>0</v>
      </c>
      <c r="T86" s="145">
        <v>0</v>
      </c>
      <c r="U86" s="145">
        <v>227679.42357000001</v>
      </c>
      <c r="V86" s="263"/>
      <c r="W86" s="153">
        <v>836266.51477000001</v>
      </c>
    </row>
    <row r="87" spans="1:24" ht="12.75" customHeight="1" x14ac:dyDescent="0.2">
      <c r="A87" s="263"/>
      <c r="B87" s="576"/>
      <c r="C87" s="153"/>
      <c r="D87" s="153"/>
      <c r="E87" s="153" t="s">
        <v>480</v>
      </c>
      <c r="F87" s="153"/>
      <c r="G87" s="266"/>
      <c r="H87" s="145">
        <v>4311112.0608199649</v>
      </c>
      <c r="I87" s="145">
        <v>188924.28717</v>
      </c>
      <c r="J87" s="145">
        <v>273878.02815000003</v>
      </c>
      <c r="K87" s="145">
        <v>183022.69881</v>
      </c>
      <c r="L87" s="145">
        <v>176756.3649000001</v>
      </c>
      <c r="M87" s="145">
        <v>374591.08783999988</v>
      </c>
      <c r="N87" s="145">
        <v>200385.7923200001</v>
      </c>
      <c r="O87" s="145">
        <v>147748.10013000001</v>
      </c>
      <c r="P87" s="145">
        <v>0</v>
      </c>
      <c r="Q87" s="145">
        <v>0</v>
      </c>
      <c r="R87" s="145">
        <v>0</v>
      </c>
      <c r="S87" s="145">
        <v>0</v>
      </c>
      <c r="T87" s="145">
        <v>0</v>
      </c>
      <c r="U87" s="145">
        <v>1545306.35932</v>
      </c>
      <c r="V87" s="263"/>
      <c r="W87" s="153">
        <v>967416.24922999984</v>
      </c>
    </row>
    <row r="88" spans="1:24" ht="12.75" customHeight="1" x14ac:dyDescent="0.2">
      <c r="A88" s="263"/>
      <c r="B88" s="153"/>
      <c r="C88" s="153"/>
      <c r="D88" s="153"/>
      <c r="E88" s="672" t="s">
        <v>481</v>
      </c>
      <c r="F88" s="672"/>
      <c r="G88" s="673"/>
      <c r="H88" s="145">
        <v>10410.100000000002</v>
      </c>
      <c r="I88" s="145">
        <v>326.12315000000007</v>
      </c>
      <c r="J88" s="145">
        <v>735.75850000000003</v>
      </c>
      <c r="K88" s="145">
        <v>492.41593999999998</v>
      </c>
      <c r="L88" s="145">
        <v>435.54575999999997</v>
      </c>
      <c r="M88" s="145">
        <v>1436.6704900000002</v>
      </c>
      <c r="N88" s="145">
        <v>906.11764000000005</v>
      </c>
      <c r="O88" s="145">
        <v>948.08901000000003</v>
      </c>
      <c r="P88" s="145">
        <v>0</v>
      </c>
      <c r="Q88" s="145">
        <v>0</v>
      </c>
      <c r="R88" s="145">
        <v>0</v>
      </c>
      <c r="S88" s="145">
        <v>0</v>
      </c>
      <c r="T88" s="145">
        <v>0</v>
      </c>
      <c r="U88" s="145">
        <v>5280.7204900000006</v>
      </c>
      <c r="V88" s="263"/>
      <c r="W88" s="153">
        <v>3393.3356999999996</v>
      </c>
    </row>
    <row r="89" spans="1:24" s="626" customFormat="1" ht="12.75" customHeight="1" x14ac:dyDescent="0.2">
      <c r="A89" s="623"/>
      <c r="B89" s="576"/>
      <c r="C89" s="576" t="s">
        <v>482</v>
      </c>
      <c r="D89" s="576"/>
      <c r="E89" s="576"/>
      <c r="F89" s="598"/>
      <c r="G89" s="624"/>
      <c r="H89" s="625">
        <v>646229</v>
      </c>
      <c r="I89" s="625">
        <v>72964.009470000005</v>
      </c>
      <c r="J89" s="625">
        <v>27635.111440000001</v>
      </c>
      <c r="K89" s="625">
        <v>49320.257619999997</v>
      </c>
      <c r="L89" s="625">
        <v>67922.929529999994</v>
      </c>
      <c r="M89" s="625">
        <v>-18803.927170000003</v>
      </c>
      <c r="N89" s="625">
        <v>22471.826519999999</v>
      </c>
      <c r="O89" s="625">
        <v>124045.69632999999</v>
      </c>
      <c r="P89" s="625">
        <v>0</v>
      </c>
      <c r="Q89" s="625">
        <v>0</v>
      </c>
      <c r="R89" s="625">
        <v>0</v>
      </c>
      <c r="S89" s="625">
        <v>0</v>
      </c>
      <c r="T89" s="625">
        <v>0</v>
      </c>
      <c r="U89" s="201">
        <v>345555.90373999998</v>
      </c>
      <c r="V89" s="623"/>
      <c r="W89" s="576">
        <v>197568.19443999999</v>
      </c>
    </row>
    <row r="90" spans="1:24" s="626" customFormat="1" ht="12.75" customHeight="1" x14ac:dyDescent="0.2">
      <c r="A90" s="623"/>
      <c r="B90" s="576"/>
      <c r="C90" s="576" t="s">
        <v>483</v>
      </c>
      <c r="D90" s="576"/>
      <c r="E90" s="576"/>
      <c r="F90" s="576"/>
      <c r="G90" s="627"/>
      <c r="H90" s="201">
        <v>458384.01</v>
      </c>
      <c r="I90" s="201">
        <v>4944.2306899999994</v>
      </c>
      <c r="J90" s="201">
        <v>11615.533230000001</v>
      </c>
      <c r="K90" s="201">
        <v>8389.6159100000004</v>
      </c>
      <c r="L90" s="201">
        <v>50465.366669999996</v>
      </c>
      <c r="M90" s="201">
        <v>107933.55918</v>
      </c>
      <c r="N90" s="201">
        <v>25131.354039999998</v>
      </c>
      <c r="O90" s="201">
        <v>23600.007880000001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232079.66759999999</v>
      </c>
      <c r="V90" s="623"/>
      <c r="W90" s="576">
        <v>228110.39725000001</v>
      </c>
    </row>
    <row r="91" spans="1:24" s="626" customFormat="1" ht="12.75" customHeight="1" x14ac:dyDescent="0.2">
      <c r="A91" s="623"/>
      <c r="B91" s="576"/>
      <c r="C91" s="576" t="s">
        <v>484</v>
      </c>
      <c r="D91" s="576"/>
      <c r="E91" s="598"/>
      <c r="F91" s="598"/>
      <c r="G91" s="628"/>
      <c r="H91" s="625"/>
      <c r="I91" s="625"/>
      <c r="J91" s="625"/>
      <c r="K91" s="625"/>
      <c r="L91" s="625"/>
      <c r="M91" s="625"/>
      <c r="N91" s="625"/>
      <c r="O91" s="625"/>
      <c r="P91" s="625"/>
      <c r="Q91" s="625"/>
      <c r="R91" s="625"/>
      <c r="S91" s="625"/>
      <c r="T91" s="625"/>
      <c r="U91" s="145"/>
      <c r="V91" s="623"/>
      <c r="W91" s="576"/>
    </row>
    <row r="92" spans="1:24" ht="12.75" customHeight="1" x14ac:dyDescent="0.2">
      <c r="A92" s="263"/>
      <c r="B92" s="153"/>
      <c r="C92" s="153"/>
      <c r="D92" s="153"/>
      <c r="E92" s="592" t="s">
        <v>48</v>
      </c>
      <c r="F92" s="592"/>
      <c r="G92" s="596"/>
      <c r="H92" s="601">
        <v>7353082.1934153195</v>
      </c>
      <c r="I92" s="601">
        <v>400375.49115000002</v>
      </c>
      <c r="J92" s="601">
        <v>300412.96178999997</v>
      </c>
      <c r="K92" s="601">
        <v>359595.21045000001</v>
      </c>
      <c r="L92" s="601">
        <v>306784.56241000007</v>
      </c>
      <c r="M92" s="601">
        <v>849642.37699999998</v>
      </c>
      <c r="N92" s="601">
        <v>556834.48130999994</v>
      </c>
      <c r="O92" s="601">
        <v>614580.2766499999</v>
      </c>
      <c r="P92" s="601">
        <v>0</v>
      </c>
      <c r="Q92" s="601">
        <v>0</v>
      </c>
      <c r="R92" s="601">
        <v>0</v>
      </c>
      <c r="S92" s="601">
        <v>0</v>
      </c>
      <c r="T92" s="601">
        <v>0</v>
      </c>
      <c r="U92" s="145">
        <v>3388225.3607600001</v>
      </c>
      <c r="V92" s="263"/>
      <c r="W92" s="153">
        <v>2163422.3116899999</v>
      </c>
    </row>
    <row r="93" spans="1:24" ht="12.75" customHeight="1" x14ac:dyDescent="0.2">
      <c r="A93" s="263"/>
      <c r="B93" s="576"/>
      <c r="C93" s="153"/>
      <c r="D93" s="153"/>
      <c r="E93" s="592" t="s">
        <v>485</v>
      </c>
      <c r="F93" s="592"/>
      <c r="G93" s="596"/>
      <c r="H93" s="145">
        <v>674208.28216799325</v>
      </c>
      <c r="I93" s="145">
        <v>0</v>
      </c>
      <c r="J93" s="145">
        <v>0</v>
      </c>
      <c r="K93" s="145">
        <v>32.545839999999998</v>
      </c>
      <c r="L93" s="145">
        <v>0</v>
      </c>
      <c r="M93" s="145">
        <v>0</v>
      </c>
      <c r="N93" s="145">
        <v>0</v>
      </c>
      <c r="O93" s="145">
        <v>0</v>
      </c>
      <c r="P93" s="145">
        <v>0</v>
      </c>
      <c r="Q93" s="145">
        <v>0</v>
      </c>
      <c r="R93" s="145">
        <v>0</v>
      </c>
      <c r="S93" s="145">
        <v>0</v>
      </c>
      <c r="T93" s="145">
        <v>0</v>
      </c>
      <c r="U93" s="145">
        <v>32.545839999999998</v>
      </c>
      <c r="V93" s="263"/>
      <c r="W93" s="153">
        <v>31.967919999999999</v>
      </c>
    </row>
    <row r="94" spans="1:24" ht="12.6" customHeight="1" x14ac:dyDescent="0.2">
      <c r="A94" s="263"/>
      <c r="B94" s="153"/>
      <c r="C94" s="153"/>
      <c r="D94" s="153"/>
      <c r="E94" s="592" t="s">
        <v>486</v>
      </c>
      <c r="F94" s="592"/>
      <c r="G94" s="596"/>
      <c r="H94" s="145">
        <v>25935728.792429503</v>
      </c>
      <c r="I94" s="145">
        <v>24270.223520000003</v>
      </c>
      <c r="J94" s="145">
        <v>6905.7486600000002</v>
      </c>
      <c r="K94" s="145">
        <v>13489248.426179999</v>
      </c>
      <c r="L94" s="145">
        <v>-36421.92484</v>
      </c>
      <c r="M94" s="145">
        <v>365968.51500000001</v>
      </c>
      <c r="N94" s="145">
        <v>372756.47608999995</v>
      </c>
      <c r="O94" s="145">
        <v>65459.416880000004</v>
      </c>
      <c r="P94" s="145">
        <v>0</v>
      </c>
      <c r="Q94" s="145">
        <v>0</v>
      </c>
      <c r="R94" s="145">
        <v>0</v>
      </c>
      <c r="S94" s="145">
        <v>0</v>
      </c>
      <c r="T94" s="145">
        <v>0</v>
      </c>
      <c r="U94" s="145">
        <v>14288186.88149</v>
      </c>
      <c r="V94" s="263"/>
      <c r="W94" s="153">
        <v>12362585.720700003</v>
      </c>
    </row>
    <row r="95" spans="1:24" s="265" customFormat="1" ht="12.75" customHeight="1" x14ac:dyDescent="0.2">
      <c r="A95" s="264"/>
      <c r="B95" s="218"/>
      <c r="C95" s="218"/>
      <c r="D95" s="218"/>
      <c r="E95" s="257" t="s">
        <v>487</v>
      </c>
      <c r="F95" s="257"/>
      <c r="G95" s="596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S95" s="214"/>
      <c r="T95" s="214"/>
      <c r="U95" s="145"/>
      <c r="V95" s="264"/>
      <c r="W95" s="218"/>
      <c r="X95" s="258"/>
    </row>
    <row r="96" spans="1:24" s="265" customFormat="1" ht="12.75" customHeight="1" x14ac:dyDescent="0.2">
      <c r="A96" s="264"/>
      <c r="B96" s="218"/>
      <c r="C96" s="218"/>
      <c r="D96" s="218"/>
      <c r="E96" s="629" t="s">
        <v>488</v>
      </c>
      <c r="F96" s="257"/>
      <c r="G96" s="596"/>
      <c r="H96" s="214">
        <v>25916151.168461956</v>
      </c>
      <c r="I96" s="214">
        <v>23120.61896</v>
      </c>
      <c r="J96" s="214">
        <v>6115.7377800000004</v>
      </c>
      <c r="K96" s="214">
        <v>13488410.21226</v>
      </c>
      <c r="L96" s="214">
        <v>-37994</v>
      </c>
      <c r="M96" s="214">
        <v>363395.38380000001</v>
      </c>
      <c r="N96" s="214">
        <v>371584.78214999998</v>
      </c>
      <c r="O96" s="214">
        <v>62787.922469999998</v>
      </c>
      <c r="P96" s="214">
        <v>0</v>
      </c>
      <c r="Q96" s="214">
        <v>0</v>
      </c>
      <c r="R96" s="214">
        <v>0</v>
      </c>
      <c r="S96" s="214">
        <v>0</v>
      </c>
      <c r="T96" s="214">
        <v>0</v>
      </c>
      <c r="U96" s="214">
        <v>14277420.65742</v>
      </c>
      <c r="V96" s="264"/>
      <c r="W96" s="218">
        <v>12470645.528899997</v>
      </c>
    </row>
    <row r="97" spans="1:33" s="626" customFormat="1" x14ac:dyDescent="0.2">
      <c r="A97" s="623"/>
      <c r="B97" s="576"/>
      <c r="C97" s="576" t="s">
        <v>489</v>
      </c>
      <c r="D97" s="576"/>
      <c r="E97" s="598"/>
      <c r="F97" s="598"/>
      <c r="G97" s="624"/>
      <c r="H97" s="201">
        <v>127168.00000000001</v>
      </c>
      <c r="I97" s="201">
        <v>648.45547999999997</v>
      </c>
      <c r="J97" s="201">
        <v>9410.3842700000023</v>
      </c>
      <c r="K97" s="201">
        <v>4465.9521199999999</v>
      </c>
      <c r="L97" s="201">
        <v>19775.105940000001</v>
      </c>
      <c r="M97" s="201">
        <v>29685.003519999998</v>
      </c>
      <c r="N97" s="201">
        <v>13430.45118</v>
      </c>
      <c r="O97" s="201">
        <v>9953.8799799999997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87369.232489999995</v>
      </c>
      <c r="V97" s="623"/>
      <c r="W97" s="576">
        <v>83840.976900000009</v>
      </c>
      <c r="AF97" s="597"/>
      <c r="AG97" s="576"/>
    </row>
    <row r="98" spans="1:33" s="626" customFormat="1" ht="12" customHeight="1" x14ac:dyDescent="0.2">
      <c r="A98" s="623"/>
      <c r="B98" s="576"/>
      <c r="C98" s="576" t="s">
        <v>490</v>
      </c>
      <c r="D98" s="576"/>
      <c r="E98" s="576"/>
      <c r="F98" s="576"/>
      <c r="G98" s="624"/>
      <c r="H98" s="627">
        <v>15597210.02</v>
      </c>
      <c r="I98" s="627">
        <v>66512.134829999995</v>
      </c>
      <c r="J98" s="627">
        <v>667877.28107999999</v>
      </c>
      <c r="K98" s="627">
        <v>152230.41105</v>
      </c>
      <c r="L98" s="627">
        <v>261705.87781999999</v>
      </c>
      <c r="M98" s="627">
        <v>154002.94461000001</v>
      </c>
      <c r="N98" s="627">
        <v>1184024.31907</v>
      </c>
      <c r="O98" s="627">
        <v>900969.46754999994</v>
      </c>
      <c r="P98" s="627">
        <v>0</v>
      </c>
      <c r="Q98" s="627">
        <v>0</v>
      </c>
      <c r="R98" s="627">
        <v>0</v>
      </c>
      <c r="S98" s="627">
        <v>0</v>
      </c>
      <c r="T98" s="627">
        <v>0</v>
      </c>
      <c r="U98" s="201">
        <v>3387322.4360100003</v>
      </c>
      <c r="V98" s="623"/>
      <c r="W98" s="576">
        <v>4200092.7959099989</v>
      </c>
    </row>
    <row r="99" spans="1:33" ht="12" hidden="1" customHeight="1" x14ac:dyDescent="0.2">
      <c r="A99" s="263"/>
      <c r="B99" s="153"/>
      <c r="C99" s="153"/>
      <c r="D99" s="153"/>
      <c r="E99" s="153" t="s">
        <v>491</v>
      </c>
      <c r="F99" s="153"/>
      <c r="G99" s="630"/>
      <c r="H99" s="145"/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263"/>
      <c r="W99" s="153">
        <v>0</v>
      </c>
    </row>
    <row r="100" spans="1:33" ht="12.75" hidden="1" customHeight="1" x14ac:dyDescent="0.2">
      <c r="A100" s="263"/>
      <c r="B100" s="153"/>
      <c r="C100" s="153"/>
      <c r="D100" s="153"/>
      <c r="E100" s="593" t="s">
        <v>492</v>
      </c>
      <c r="F100" s="631"/>
      <c r="G100" s="592"/>
      <c r="H100" s="632"/>
      <c r="I100" s="632">
        <v>0</v>
      </c>
      <c r="J100" s="632">
        <v>919.69304</v>
      </c>
      <c r="K100" s="632">
        <v>0</v>
      </c>
      <c r="L100" s="632">
        <v>0</v>
      </c>
      <c r="M100" s="632">
        <v>0</v>
      </c>
      <c r="N100" s="632">
        <v>3931.7554100000002</v>
      </c>
      <c r="O100" s="632">
        <v>0</v>
      </c>
      <c r="P100" s="632">
        <v>0</v>
      </c>
      <c r="Q100" s="632">
        <v>0</v>
      </c>
      <c r="R100" s="632">
        <v>0</v>
      </c>
      <c r="S100" s="632">
        <v>0</v>
      </c>
      <c r="T100" s="632">
        <v>0</v>
      </c>
      <c r="U100" s="145">
        <v>4851.4484499999999</v>
      </c>
      <c r="V100" s="263"/>
      <c r="W100" s="153">
        <v>8197.2141200000005</v>
      </c>
    </row>
    <row r="101" spans="1:33" ht="12.75" hidden="1" customHeight="1" x14ac:dyDescent="0.2">
      <c r="A101" s="263"/>
      <c r="B101" s="153"/>
      <c r="C101" s="153"/>
      <c r="D101" s="153"/>
      <c r="E101" s="592" t="s">
        <v>493</v>
      </c>
      <c r="F101" s="631"/>
      <c r="G101" s="592"/>
      <c r="H101" s="632"/>
      <c r="I101" s="632">
        <v>22876.802069999998</v>
      </c>
      <c r="J101" s="632">
        <v>23542.47393</v>
      </c>
      <c r="K101" s="632">
        <v>19012.823179999999</v>
      </c>
      <c r="L101" s="632">
        <v>28461.335880000002</v>
      </c>
      <c r="M101" s="632">
        <v>32191.512700000003</v>
      </c>
      <c r="N101" s="632">
        <v>33640.719199999992</v>
      </c>
      <c r="O101" s="632">
        <v>41181.807899999993</v>
      </c>
      <c r="P101" s="632">
        <v>0</v>
      </c>
      <c r="Q101" s="632">
        <v>0</v>
      </c>
      <c r="R101" s="632">
        <v>0</v>
      </c>
      <c r="S101" s="632">
        <v>0</v>
      </c>
      <c r="T101" s="632">
        <v>0</v>
      </c>
      <c r="U101" s="145">
        <v>200907.47485999999</v>
      </c>
      <c r="V101" s="263"/>
      <c r="W101" s="153">
        <v>136677.32958000002</v>
      </c>
    </row>
    <row r="102" spans="1:33" ht="12.75" hidden="1" customHeight="1" x14ac:dyDescent="0.2">
      <c r="A102" s="263"/>
      <c r="B102" s="153"/>
      <c r="C102" s="153"/>
      <c r="D102" s="153"/>
      <c r="E102" s="592" t="s">
        <v>494</v>
      </c>
      <c r="F102" s="631"/>
      <c r="G102" s="592"/>
      <c r="H102" s="632"/>
      <c r="I102" s="632">
        <v>13829.332760000003</v>
      </c>
      <c r="J102" s="632">
        <v>41783.114109999988</v>
      </c>
      <c r="K102" s="632">
        <v>35556.587870000003</v>
      </c>
      <c r="L102" s="632">
        <v>15415.541939999996</v>
      </c>
      <c r="M102" s="632">
        <v>15821.431909999998</v>
      </c>
      <c r="N102" s="632">
        <v>195595.84445999999</v>
      </c>
      <c r="O102" s="632">
        <v>35687.659650000001</v>
      </c>
      <c r="P102" s="632">
        <v>0</v>
      </c>
      <c r="Q102" s="632">
        <v>0</v>
      </c>
      <c r="R102" s="632">
        <v>0</v>
      </c>
      <c r="S102" s="632">
        <v>0</v>
      </c>
      <c r="T102" s="632">
        <v>0</v>
      </c>
      <c r="U102" s="145">
        <v>353689.51269999996</v>
      </c>
      <c r="V102" s="263"/>
      <c r="W102" s="153">
        <v>271296.89893999998</v>
      </c>
    </row>
    <row r="103" spans="1:33" ht="12.75" hidden="1" customHeight="1" x14ac:dyDescent="0.2">
      <c r="A103" s="263"/>
      <c r="B103" s="153"/>
      <c r="C103" s="153"/>
      <c r="D103" s="153"/>
      <c r="E103" s="631" t="s">
        <v>495</v>
      </c>
      <c r="F103" s="631"/>
      <c r="G103" s="592"/>
      <c r="H103" s="633"/>
      <c r="I103" s="633">
        <v>0</v>
      </c>
      <c r="J103" s="633">
        <v>0</v>
      </c>
      <c r="K103" s="633">
        <v>0</v>
      </c>
      <c r="L103" s="633">
        <v>617.52605999999992</v>
      </c>
      <c r="M103" s="633">
        <v>0.48519000000000001</v>
      </c>
      <c r="N103" s="633">
        <v>1.3356700000000001</v>
      </c>
      <c r="O103" s="633">
        <v>1402.71117</v>
      </c>
      <c r="P103" s="633">
        <v>0</v>
      </c>
      <c r="Q103" s="633">
        <v>0</v>
      </c>
      <c r="R103" s="633">
        <v>0</v>
      </c>
      <c r="S103" s="633">
        <v>0</v>
      </c>
      <c r="T103" s="633">
        <v>0</v>
      </c>
      <c r="U103" s="145">
        <v>2022.05809</v>
      </c>
      <c r="V103" s="263"/>
      <c r="W103" s="153">
        <v>8.6304900000000018</v>
      </c>
    </row>
    <row r="104" spans="1:33" ht="12.75" hidden="1" customHeight="1" x14ac:dyDescent="0.2">
      <c r="A104" s="263"/>
      <c r="B104" s="153"/>
      <c r="C104" s="153"/>
      <c r="D104" s="153"/>
      <c r="E104" s="631" t="s">
        <v>496</v>
      </c>
      <c r="F104" s="631"/>
      <c r="G104" s="592"/>
      <c r="H104" s="633"/>
      <c r="I104" s="633">
        <v>0</v>
      </c>
      <c r="J104" s="633">
        <v>0</v>
      </c>
      <c r="K104" s="633">
        <v>0.72028000000000003</v>
      </c>
      <c r="L104" s="633">
        <v>-0.54</v>
      </c>
      <c r="M104" s="633">
        <v>0</v>
      </c>
      <c r="N104" s="633">
        <v>50.216569999999997</v>
      </c>
      <c r="O104" s="633">
        <v>0</v>
      </c>
      <c r="P104" s="633">
        <v>0</v>
      </c>
      <c r="Q104" s="633">
        <v>0</v>
      </c>
      <c r="R104" s="633">
        <v>0</v>
      </c>
      <c r="S104" s="633">
        <v>0</v>
      </c>
      <c r="T104" s="633">
        <v>0</v>
      </c>
      <c r="U104" s="145">
        <v>50.396850000000001</v>
      </c>
      <c r="V104" s="263"/>
      <c r="W104" s="153">
        <v>14.755489999999998</v>
      </c>
    </row>
    <row r="105" spans="1:33" ht="12.75" hidden="1" customHeight="1" x14ac:dyDescent="0.2">
      <c r="A105" s="263"/>
      <c r="B105" s="153"/>
      <c r="C105" s="153"/>
      <c r="D105" s="153"/>
      <c r="E105" s="631" t="s">
        <v>497</v>
      </c>
      <c r="F105" s="631"/>
      <c r="G105" s="592"/>
      <c r="H105" s="633"/>
      <c r="I105" s="633">
        <v>4.7268299999999996</v>
      </c>
      <c r="J105" s="633">
        <v>21.163739999999997</v>
      </c>
      <c r="K105" s="633">
        <v>15.822010000000001</v>
      </c>
      <c r="L105" s="633">
        <v>17.277259999999998</v>
      </c>
      <c r="M105" s="633">
        <v>154.70541</v>
      </c>
      <c r="N105" s="633">
        <v>37.004139999999992</v>
      </c>
      <c r="O105" s="633">
        <v>23.903580000000002</v>
      </c>
      <c r="P105" s="633">
        <v>0</v>
      </c>
      <c r="Q105" s="633">
        <v>0</v>
      </c>
      <c r="R105" s="633">
        <v>0</v>
      </c>
      <c r="S105" s="633">
        <v>0</v>
      </c>
      <c r="T105" s="633">
        <v>0</v>
      </c>
      <c r="U105" s="145">
        <v>274.60296999999997</v>
      </c>
      <c r="V105" s="263"/>
      <c r="W105" s="153">
        <v>445.57963999999993</v>
      </c>
    </row>
    <row r="106" spans="1:33" ht="12.75" hidden="1" customHeight="1" x14ac:dyDescent="0.2">
      <c r="A106" s="263"/>
      <c r="B106" s="153"/>
      <c r="C106" s="153"/>
      <c r="D106" s="153"/>
      <c r="E106" s="631" t="s">
        <v>498</v>
      </c>
      <c r="F106" s="631"/>
      <c r="G106" s="592"/>
      <c r="H106" s="633"/>
      <c r="I106" s="633">
        <v>3.6385000000000001</v>
      </c>
      <c r="J106" s="633">
        <v>1.4850000000000001</v>
      </c>
      <c r="K106" s="633">
        <v>0</v>
      </c>
      <c r="L106" s="633">
        <v>13.967000000000001</v>
      </c>
      <c r="M106" s="633">
        <v>5.0904999999999996</v>
      </c>
      <c r="N106" s="633">
        <v>16.703499999999998</v>
      </c>
      <c r="O106" s="633">
        <v>4.95</v>
      </c>
      <c r="P106" s="633">
        <v>0</v>
      </c>
      <c r="Q106" s="633">
        <v>0</v>
      </c>
      <c r="R106" s="633">
        <v>0</v>
      </c>
      <c r="S106" s="633">
        <v>0</v>
      </c>
      <c r="T106" s="633">
        <v>0</v>
      </c>
      <c r="U106" s="145">
        <v>45.834499999999998</v>
      </c>
      <c r="V106" s="263"/>
      <c r="W106" s="153">
        <v>4.452</v>
      </c>
    </row>
    <row r="107" spans="1:33" ht="12.75" hidden="1" customHeight="1" x14ac:dyDescent="0.2">
      <c r="A107" s="263"/>
      <c r="B107" s="153"/>
      <c r="C107" s="153"/>
      <c r="D107" s="153"/>
      <c r="E107" s="631" t="s">
        <v>499</v>
      </c>
      <c r="F107" s="631"/>
      <c r="G107" s="592"/>
      <c r="H107" s="633"/>
      <c r="I107" s="633">
        <v>0</v>
      </c>
      <c r="J107" s="633">
        <v>0</v>
      </c>
      <c r="K107" s="633">
        <v>0</v>
      </c>
      <c r="L107" s="633">
        <v>0</v>
      </c>
      <c r="M107" s="633">
        <v>0</v>
      </c>
      <c r="N107" s="633">
        <v>0</v>
      </c>
      <c r="O107" s="633">
        <v>0</v>
      </c>
      <c r="P107" s="633">
        <v>0</v>
      </c>
      <c r="Q107" s="633">
        <v>0</v>
      </c>
      <c r="R107" s="633">
        <v>0</v>
      </c>
      <c r="S107" s="633">
        <v>0</v>
      </c>
      <c r="T107" s="633">
        <v>0</v>
      </c>
      <c r="U107" s="145">
        <v>0</v>
      </c>
      <c r="V107" s="263"/>
      <c r="W107" s="153">
        <v>0</v>
      </c>
    </row>
    <row r="108" spans="1:33" ht="12.75" hidden="1" customHeight="1" x14ac:dyDescent="0.2">
      <c r="A108" s="263"/>
      <c r="B108" s="153"/>
      <c r="C108" s="153"/>
      <c r="D108" s="153"/>
      <c r="E108" s="631" t="s">
        <v>500</v>
      </c>
      <c r="F108" s="631"/>
      <c r="G108" s="592"/>
      <c r="H108" s="633"/>
      <c r="I108" s="633">
        <v>0</v>
      </c>
      <c r="J108" s="633">
        <v>0</v>
      </c>
      <c r="K108" s="633">
        <v>3036.5516400000001</v>
      </c>
      <c r="L108" s="633">
        <v>0.66653999999999991</v>
      </c>
      <c r="M108" s="633">
        <v>0</v>
      </c>
      <c r="N108" s="633">
        <v>53.006039999999999</v>
      </c>
      <c r="O108" s="633">
        <v>484.74432000000002</v>
      </c>
      <c r="P108" s="633">
        <v>0</v>
      </c>
      <c r="Q108" s="633">
        <v>0</v>
      </c>
      <c r="R108" s="633">
        <v>0</v>
      </c>
      <c r="S108" s="633">
        <v>0</v>
      </c>
      <c r="T108" s="633">
        <v>0</v>
      </c>
      <c r="U108" s="145">
        <v>3574.9685400000008</v>
      </c>
      <c r="V108" s="263"/>
      <c r="W108" s="153">
        <v>1248.8174300000001</v>
      </c>
    </row>
    <row r="109" spans="1:33" ht="12.75" hidden="1" customHeight="1" x14ac:dyDescent="0.2">
      <c r="A109" s="263"/>
      <c r="B109" s="153"/>
      <c r="C109" s="153"/>
      <c r="D109" s="153"/>
      <c r="E109" s="631" t="s">
        <v>501</v>
      </c>
      <c r="F109" s="631"/>
      <c r="G109" s="592"/>
      <c r="H109" s="633"/>
      <c r="I109" s="633">
        <v>0</v>
      </c>
      <c r="J109" s="633">
        <v>0</v>
      </c>
      <c r="K109" s="633">
        <v>0</v>
      </c>
      <c r="L109" s="633">
        <v>0</v>
      </c>
      <c r="M109" s="633">
        <v>0</v>
      </c>
      <c r="N109" s="633">
        <v>0</v>
      </c>
      <c r="O109" s="633">
        <v>0</v>
      </c>
      <c r="P109" s="633">
        <v>0</v>
      </c>
      <c r="Q109" s="633">
        <v>0</v>
      </c>
      <c r="R109" s="633">
        <v>0</v>
      </c>
      <c r="S109" s="633">
        <v>0</v>
      </c>
      <c r="T109" s="633">
        <v>0</v>
      </c>
      <c r="U109" s="145">
        <v>0</v>
      </c>
      <c r="V109" s="263"/>
      <c r="W109" s="153">
        <v>0</v>
      </c>
    </row>
    <row r="110" spans="1:33" ht="12.75" hidden="1" customHeight="1" x14ac:dyDescent="0.2">
      <c r="A110" s="263"/>
      <c r="B110" s="153"/>
      <c r="C110" s="153"/>
      <c r="D110" s="153"/>
      <c r="E110" s="631" t="s">
        <v>502</v>
      </c>
      <c r="F110" s="631"/>
      <c r="G110" s="592"/>
      <c r="H110" s="633"/>
      <c r="I110" s="633">
        <v>13680.268930000002</v>
      </c>
      <c r="J110" s="633">
        <v>40000.130939999995</v>
      </c>
      <c r="K110" s="633">
        <v>27954.059519999999</v>
      </c>
      <c r="L110" s="633">
        <v>13056.704949999998</v>
      </c>
      <c r="M110" s="633">
        <v>15714.06237</v>
      </c>
      <c r="N110" s="633">
        <v>7029.7538199999999</v>
      </c>
      <c r="O110" s="633">
        <v>13022.554959999998</v>
      </c>
      <c r="P110" s="633">
        <v>0</v>
      </c>
      <c r="Q110" s="633">
        <v>0</v>
      </c>
      <c r="R110" s="633">
        <v>0</v>
      </c>
      <c r="S110" s="633">
        <v>0</v>
      </c>
      <c r="T110" s="633">
        <v>0</v>
      </c>
      <c r="U110" s="145">
        <v>130457.53548999998</v>
      </c>
      <c r="V110" s="263"/>
      <c r="W110" s="153">
        <v>258130.87491000007</v>
      </c>
    </row>
    <row r="111" spans="1:33" ht="12.75" hidden="1" customHeight="1" x14ac:dyDescent="0.2">
      <c r="A111" s="263"/>
      <c r="B111" s="153"/>
      <c r="C111" s="153"/>
      <c r="D111" s="153"/>
      <c r="E111" s="631" t="s">
        <v>503</v>
      </c>
      <c r="F111" s="631"/>
      <c r="G111" s="592"/>
      <c r="H111" s="633"/>
      <c r="I111" s="633">
        <v>65.452280000000002</v>
      </c>
      <c r="J111" s="633">
        <v>588.29749000000004</v>
      </c>
      <c r="K111" s="633">
        <v>146.50720999999999</v>
      </c>
      <c r="L111" s="633">
        <v>-118.84380999999999</v>
      </c>
      <c r="M111" s="633">
        <v>-162.83292</v>
      </c>
      <c r="N111" s="633">
        <v>1958.02799</v>
      </c>
      <c r="O111" s="633">
        <v>87.320070000000001</v>
      </c>
      <c r="P111" s="633">
        <v>0</v>
      </c>
      <c r="Q111" s="633">
        <v>0</v>
      </c>
      <c r="R111" s="633">
        <v>0</v>
      </c>
      <c r="S111" s="633">
        <v>0</v>
      </c>
      <c r="T111" s="633">
        <v>0</v>
      </c>
      <c r="U111" s="145">
        <v>2563.9283100000002</v>
      </c>
      <c r="V111" s="263"/>
      <c r="W111" s="153">
        <v>284.92289000000005</v>
      </c>
    </row>
    <row r="112" spans="1:33" ht="12.75" hidden="1" customHeight="1" x14ac:dyDescent="0.2">
      <c r="A112" s="263"/>
      <c r="B112" s="153"/>
      <c r="C112" s="153"/>
      <c r="D112" s="153"/>
      <c r="E112" s="631" t="s">
        <v>504</v>
      </c>
      <c r="F112" s="631"/>
      <c r="G112" s="592"/>
      <c r="H112" s="633"/>
      <c r="I112" s="633">
        <v>75.246220000000008</v>
      </c>
      <c r="J112" s="633">
        <v>1171.9729399999999</v>
      </c>
      <c r="K112" s="633">
        <v>4402.7931099999996</v>
      </c>
      <c r="L112" s="633">
        <v>1828.77694</v>
      </c>
      <c r="M112" s="633">
        <v>107.17624000000022</v>
      </c>
      <c r="N112" s="633">
        <v>186449.79673</v>
      </c>
      <c r="O112" s="633">
        <v>20661.475549999999</v>
      </c>
      <c r="P112" s="633">
        <v>0</v>
      </c>
      <c r="Q112" s="633">
        <v>0</v>
      </c>
      <c r="R112" s="633">
        <v>0</v>
      </c>
      <c r="S112" s="633">
        <v>0</v>
      </c>
      <c r="T112" s="633">
        <v>0</v>
      </c>
      <c r="U112" s="145">
        <v>214697.23772999999</v>
      </c>
      <c r="V112" s="263"/>
      <c r="W112" s="153">
        <v>11157.884190000001</v>
      </c>
    </row>
    <row r="113" spans="1:23" ht="12.75" hidden="1" customHeight="1" x14ac:dyDescent="0.2">
      <c r="A113" s="263"/>
      <c r="B113" s="153"/>
      <c r="C113" s="153"/>
      <c r="D113" s="153"/>
      <c r="E113" s="631" t="s">
        <v>505</v>
      </c>
      <c r="F113" s="631"/>
      <c r="G113" s="592"/>
      <c r="H113" s="633"/>
      <c r="I113" s="633">
        <v>0</v>
      </c>
      <c r="J113" s="633">
        <v>6.4000000000000001E-2</v>
      </c>
      <c r="K113" s="633">
        <v>0.1341</v>
      </c>
      <c r="L113" s="633">
        <v>7.0000000000000001E-3</v>
      </c>
      <c r="M113" s="633">
        <v>2.74512</v>
      </c>
      <c r="N113" s="633">
        <v>0</v>
      </c>
      <c r="O113" s="633">
        <v>0</v>
      </c>
      <c r="P113" s="633">
        <v>0</v>
      </c>
      <c r="Q113" s="633">
        <v>0</v>
      </c>
      <c r="R113" s="633">
        <v>0</v>
      </c>
      <c r="S113" s="633">
        <v>0</v>
      </c>
      <c r="T113" s="633">
        <v>0</v>
      </c>
      <c r="U113" s="145">
        <v>2.9502199999999998</v>
      </c>
      <c r="V113" s="263"/>
      <c r="W113" s="153">
        <v>0.9819</v>
      </c>
    </row>
    <row r="114" spans="1:23" ht="12.75" customHeight="1" x14ac:dyDescent="0.2">
      <c r="A114" s="263"/>
      <c r="B114" s="153"/>
      <c r="D114" s="257"/>
      <c r="E114" s="602" t="s">
        <v>444</v>
      </c>
      <c r="F114" s="592"/>
      <c r="G114" s="592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263"/>
      <c r="W114" s="153">
        <v>0</v>
      </c>
    </row>
    <row r="115" spans="1:23" s="265" customFormat="1" ht="12.75" customHeight="1" x14ac:dyDescent="0.2">
      <c r="A115" s="264"/>
      <c r="B115" s="218"/>
      <c r="C115" s="634"/>
      <c r="D115" s="218"/>
      <c r="E115" s="629" t="s">
        <v>506</v>
      </c>
      <c r="F115" s="257"/>
      <c r="G115" s="630" t="s">
        <v>507</v>
      </c>
      <c r="H115" s="635">
        <v>3921105</v>
      </c>
      <c r="I115" s="635">
        <v>29806</v>
      </c>
      <c r="J115" s="635">
        <v>601632</v>
      </c>
      <c r="K115" s="635">
        <v>97661</v>
      </c>
      <c r="L115" s="635">
        <v>217829</v>
      </c>
      <c r="M115" s="635">
        <v>105991</v>
      </c>
      <c r="N115" s="635">
        <v>950856</v>
      </c>
      <c r="O115" s="635">
        <v>824100</v>
      </c>
      <c r="P115" s="635">
        <v>0</v>
      </c>
      <c r="Q115" s="635">
        <v>0</v>
      </c>
      <c r="R115" s="635">
        <v>0</v>
      </c>
      <c r="S115" s="635">
        <v>0</v>
      </c>
      <c r="T115" s="635">
        <v>0</v>
      </c>
      <c r="U115" s="214">
        <v>2827875</v>
      </c>
      <c r="V115" s="264"/>
      <c r="W115" s="218">
        <v>1872491</v>
      </c>
    </row>
    <row r="116" spans="1:23" ht="12.75" customHeight="1" x14ac:dyDescent="0.2">
      <c r="A116" s="636" t="s">
        <v>508</v>
      </c>
      <c r="B116" s="45"/>
      <c r="C116" s="45"/>
      <c r="D116" s="45"/>
      <c r="E116" s="45"/>
      <c r="F116" s="45"/>
      <c r="G116" s="618"/>
      <c r="H116" s="637">
        <v>1694492121.8660131</v>
      </c>
      <c r="I116" s="637">
        <v>93283884.275460005</v>
      </c>
      <c r="J116" s="637">
        <v>106512134.41681997</v>
      </c>
      <c r="K116" s="637">
        <v>224189683.75835001</v>
      </c>
      <c r="L116" s="637">
        <v>86135375.092829973</v>
      </c>
      <c r="M116" s="637">
        <v>138637269.66596001</v>
      </c>
      <c r="N116" s="637">
        <v>135850869.15157002</v>
      </c>
      <c r="O116" s="637">
        <v>105123000.20174001</v>
      </c>
      <c r="P116" s="637">
        <v>0</v>
      </c>
      <c r="Q116" s="637">
        <v>0</v>
      </c>
      <c r="R116" s="637">
        <v>0</v>
      </c>
      <c r="S116" s="637">
        <v>0</v>
      </c>
      <c r="T116" s="637">
        <v>0</v>
      </c>
      <c r="U116" s="45">
        <v>889732216.56272995</v>
      </c>
      <c r="V116" s="263"/>
      <c r="W116" s="576">
        <v>743605377.09508407</v>
      </c>
    </row>
    <row r="117" spans="1:23" ht="12.75" customHeight="1" x14ac:dyDescent="0.2">
      <c r="A117" s="686" t="s">
        <v>509</v>
      </c>
      <c r="B117" s="687"/>
      <c r="C117" s="687"/>
      <c r="D117" s="687"/>
      <c r="E117" s="687"/>
      <c r="F117" s="687"/>
      <c r="G117" s="687"/>
      <c r="H117" s="637"/>
      <c r="I117" s="637"/>
      <c r="J117" s="638"/>
      <c r="K117" s="637"/>
      <c r="L117" s="637"/>
      <c r="M117" s="637"/>
      <c r="N117" s="637"/>
      <c r="O117" s="637"/>
      <c r="P117" s="637"/>
      <c r="Q117" s="637"/>
      <c r="R117" s="637"/>
      <c r="S117" s="637"/>
      <c r="T117" s="637"/>
      <c r="U117" s="45"/>
      <c r="V117" s="263"/>
      <c r="W117" s="153"/>
    </row>
    <row r="118" spans="1:23" ht="12" customHeight="1" x14ac:dyDescent="0.2">
      <c r="A118" s="639" t="s">
        <v>508</v>
      </c>
      <c r="B118" s="640"/>
      <c r="C118" s="641"/>
      <c r="D118" s="262"/>
      <c r="E118" s="262"/>
      <c r="F118" s="262"/>
      <c r="G118" s="262"/>
      <c r="H118" s="642">
        <v>1694492121.8660131</v>
      </c>
      <c r="I118" s="643">
        <v>93283884.275460005</v>
      </c>
      <c r="J118" s="642">
        <v>106512134.41681997</v>
      </c>
      <c r="K118" s="643">
        <v>224189683.75835001</v>
      </c>
      <c r="L118" s="643">
        <v>86135375.092829973</v>
      </c>
      <c r="M118" s="643">
        <v>138637269.66596001</v>
      </c>
      <c r="N118" s="643">
        <v>135850869.15157002</v>
      </c>
      <c r="O118" s="643">
        <v>105123000.20174001</v>
      </c>
      <c r="P118" s="643">
        <v>0</v>
      </c>
      <c r="Q118" s="643">
        <v>0</v>
      </c>
      <c r="R118" s="643">
        <v>0</v>
      </c>
      <c r="S118" s="643">
        <v>0</v>
      </c>
      <c r="T118" s="643">
        <v>0</v>
      </c>
      <c r="U118" s="640">
        <v>889732216.56272995</v>
      </c>
      <c r="V118" s="263"/>
      <c r="W118" s="576">
        <v>743605377.09508407</v>
      </c>
    </row>
    <row r="119" spans="1:23" s="626" customFormat="1" ht="12.75" customHeight="1" x14ac:dyDescent="0.2">
      <c r="A119" s="458" t="s">
        <v>510</v>
      </c>
      <c r="B119" s="462"/>
      <c r="C119" s="462"/>
      <c r="D119" s="462"/>
      <c r="E119" s="462"/>
      <c r="F119" s="462"/>
      <c r="G119" s="644"/>
      <c r="I119" s="645">
        <v>-191165.18215000001</v>
      </c>
      <c r="J119" s="645">
        <v>-346369.80148999998</v>
      </c>
      <c r="K119" s="645">
        <v>554766.13459000364</v>
      </c>
      <c r="L119" s="645">
        <v>153613.61164999986</v>
      </c>
      <c r="M119" s="645">
        <v>-93727.869039999787</v>
      </c>
      <c r="N119" s="645">
        <v>341059.59947999986</v>
      </c>
      <c r="O119" s="645">
        <v>194214.93647000031</v>
      </c>
      <c r="P119" s="645">
        <v>0</v>
      </c>
      <c r="Q119" s="645">
        <v>0</v>
      </c>
      <c r="R119" s="645">
        <v>0</v>
      </c>
      <c r="S119" s="645">
        <v>0</v>
      </c>
      <c r="T119" s="645">
        <v>0</v>
      </c>
      <c r="U119" s="44">
        <v>612391.42950999551</v>
      </c>
      <c r="V119" s="263"/>
      <c r="W119" s="576">
        <v>-3283233.4559900016</v>
      </c>
    </row>
    <row r="120" spans="1:23" ht="12.75" customHeight="1" x14ac:dyDescent="0.2">
      <c r="A120" s="688" t="s">
        <v>511</v>
      </c>
      <c r="B120" s="689"/>
      <c r="C120" s="689"/>
      <c r="D120" s="689"/>
      <c r="E120" s="689"/>
      <c r="F120" s="689"/>
      <c r="G120" s="690"/>
      <c r="H120" s="145"/>
      <c r="I120" s="267">
        <v>-731814.18215000001</v>
      </c>
      <c r="J120" s="145">
        <v>-726188.80148999998</v>
      </c>
      <c r="K120" s="267">
        <v>-693398.86540999636</v>
      </c>
      <c r="L120" s="267">
        <v>-705824.38835000014</v>
      </c>
      <c r="M120" s="267">
        <v>-1435459.8690399998</v>
      </c>
      <c r="N120" s="267">
        <v>-1097352.4005200001</v>
      </c>
      <c r="O120" s="267">
        <v>-1044401.0635299997</v>
      </c>
      <c r="P120" s="267">
        <v>0</v>
      </c>
      <c r="Q120" s="267">
        <v>0</v>
      </c>
      <c r="R120" s="267">
        <v>0</v>
      </c>
      <c r="S120" s="267">
        <v>0</v>
      </c>
      <c r="T120" s="267">
        <v>0</v>
      </c>
      <c r="U120" s="147">
        <v>-6434439.5704900045</v>
      </c>
      <c r="V120" s="147"/>
      <c r="W120" s="153">
        <v>-6723912.4559900016</v>
      </c>
    </row>
    <row r="121" spans="1:23" ht="12.75" customHeight="1" x14ac:dyDescent="0.2">
      <c r="A121" s="360" t="s">
        <v>512</v>
      </c>
      <c r="B121" s="361"/>
      <c r="C121" s="361"/>
      <c r="D121" s="361"/>
      <c r="E121" s="361"/>
      <c r="F121" s="361"/>
      <c r="G121" s="361"/>
      <c r="H121" s="145"/>
      <c r="I121" s="267">
        <v>540649</v>
      </c>
      <c r="J121" s="145">
        <v>379819</v>
      </c>
      <c r="K121" s="267">
        <v>1248165</v>
      </c>
      <c r="L121" s="267">
        <v>859438</v>
      </c>
      <c r="M121" s="267">
        <v>1341732</v>
      </c>
      <c r="N121" s="267">
        <v>1438412</v>
      </c>
      <c r="O121" s="267">
        <v>1238616</v>
      </c>
      <c r="P121" s="267">
        <v>0</v>
      </c>
      <c r="Q121" s="267">
        <v>0</v>
      </c>
      <c r="R121" s="267">
        <v>0</v>
      </c>
      <c r="S121" s="267">
        <v>0</v>
      </c>
      <c r="T121" s="267">
        <v>0</v>
      </c>
      <c r="U121" s="147">
        <v>7046831</v>
      </c>
      <c r="V121" s="263"/>
      <c r="W121" s="153">
        <v>3440679</v>
      </c>
    </row>
    <row r="122" spans="1:23" s="626" customFormat="1" ht="12.75" customHeight="1" x14ac:dyDescent="0.2">
      <c r="A122" s="623" t="s">
        <v>513</v>
      </c>
      <c r="C122" s="462"/>
      <c r="D122" s="576"/>
      <c r="E122" s="576"/>
      <c r="F122" s="576"/>
      <c r="G122" s="597" t="s">
        <v>514</v>
      </c>
      <c r="H122" s="201"/>
      <c r="I122" s="627">
        <v>42404</v>
      </c>
      <c r="J122" s="201">
        <v>613630</v>
      </c>
      <c r="K122" s="627">
        <v>8391180</v>
      </c>
      <c r="L122" s="627">
        <v>103375</v>
      </c>
      <c r="M122" s="627">
        <v>217081</v>
      </c>
      <c r="N122" s="627">
        <v>448</v>
      </c>
      <c r="O122" s="627">
        <v>93580</v>
      </c>
      <c r="P122" s="627">
        <v>0</v>
      </c>
      <c r="Q122" s="627">
        <v>0</v>
      </c>
      <c r="R122" s="627">
        <v>0</v>
      </c>
      <c r="S122" s="627">
        <v>0</v>
      </c>
      <c r="T122" s="627">
        <v>0</v>
      </c>
      <c r="U122" s="44">
        <v>9461698</v>
      </c>
      <c r="V122" s="623"/>
      <c r="W122" s="576">
        <v>1103193</v>
      </c>
    </row>
    <row r="123" spans="1:23" ht="12.75" customHeight="1" x14ac:dyDescent="0.2">
      <c r="A123" s="263"/>
      <c r="E123" s="258" t="s">
        <v>515</v>
      </c>
      <c r="F123" s="153"/>
      <c r="G123" s="153"/>
      <c r="H123" s="214"/>
      <c r="I123" s="267">
        <v>21702</v>
      </c>
      <c r="J123" s="145">
        <v>610034</v>
      </c>
      <c r="K123" s="267">
        <v>8390577</v>
      </c>
      <c r="L123" s="267">
        <v>102906</v>
      </c>
      <c r="M123" s="267">
        <v>215725</v>
      </c>
      <c r="N123" s="267">
        <v>0</v>
      </c>
      <c r="O123" s="267">
        <v>90551</v>
      </c>
      <c r="P123" s="267">
        <v>0</v>
      </c>
      <c r="Q123" s="267">
        <v>0</v>
      </c>
      <c r="R123" s="267">
        <v>0</v>
      </c>
      <c r="S123" s="267">
        <v>0</v>
      </c>
      <c r="T123" s="267">
        <v>0</v>
      </c>
      <c r="U123" s="147">
        <v>9431495</v>
      </c>
      <c r="V123" s="263"/>
      <c r="W123" s="153">
        <v>860709</v>
      </c>
    </row>
    <row r="124" spans="1:23" ht="12.75" customHeight="1" x14ac:dyDescent="0.2">
      <c r="A124" s="263"/>
      <c r="E124" s="258" t="s">
        <v>516</v>
      </c>
      <c r="F124" s="153"/>
      <c r="G124" s="153"/>
      <c r="H124" s="214"/>
      <c r="I124" s="267">
        <v>663</v>
      </c>
      <c r="J124" s="145">
        <v>335</v>
      </c>
      <c r="K124" s="267">
        <v>565</v>
      </c>
      <c r="L124" s="267">
        <v>449</v>
      </c>
      <c r="M124" s="267">
        <v>448</v>
      </c>
      <c r="N124" s="267">
        <v>260</v>
      </c>
      <c r="O124" s="267">
        <v>244</v>
      </c>
      <c r="P124" s="267">
        <v>0</v>
      </c>
      <c r="Q124" s="267">
        <v>0</v>
      </c>
      <c r="R124" s="267">
        <v>0</v>
      </c>
      <c r="S124" s="267">
        <v>0</v>
      </c>
      <c r="T124" s="267">
        <v>0</v>
      </c>
      <c r="U124" s="147">
        <v>2964</v>
      </c>
      <c r="V124" s="264"/>
      <c r="W124" s="153">
        <v>2071</v>
      </c>
    </row>
    <row r="125" spans="1:23" ht="12.75" customHeight="1" x14ac:dyDescent="0.2">
      <c r="A125" s="263"/>
      <c r="E125" s="258" t="s">
        <v>517</v>
      </c>
      <c r="F125" s="153"/>
      <c r="G125" s="153"/>
      <c r="H125" s="214"/>
      <c r="I125" s="267">
        <v>20030</v>
      </c>
      <c r="J125" s="214">
        <v>0</v>
      </c>
      <c r="K125" s="266">
        <v>0</v>
      </c>
      <c r="L125" s="267">
        <v>0</v>
      </c>
      <c r="M125" s="267">
        <v>0</v>
      </c>
      <c r="N125" s="267">
        <v>0</v>
      </c>
      <c r="O125" s="267">
        <v>0</v>
      </c>
      <c r="P125" s="267">
        <v>0</v>
      </c>
      <c r="Q125" s="267">
        <v>0</v>
      </c>
      <c r="R125" s="267">
        <v>0</v>
      </c>
      <c r="S125" s="267">
        <v>0</v>
      </c>
      <c r="T125" s="267">
        <v>0</v>
      </c>
      <c r="U125" s="147">
        <v>20030</v>
      </c>
      <c r="V125" s="264"/>
      <c r="W125" s="153">
        <v>100</v>
      </c>
    </row>
    <row r="126" spans="1:23" ht="12.75" customHeight="1" x14ac:dyDescent="0.2">
      <c r="A126" s="263"/>
      <c r="E126" s="258" t="s">
        <v>518</v>
      </c>
      <c r="F126" s="153"/>
      <c r="G126" s="153"/>
      <c r="H126" s="214"/>
      <c r="I126" s="267">
        <v>0</v>
      </c>
      <c r="J126" s="145">
        <v>10</v>
      </c>
      <c r="K126" s="266">
        <v>0</v>
      </c>
      <c r="L126" s="267">
        <v>0</v>
      </c>
      <c r="M126" s="267">
        <v>0</v>
      </c>
      <c r="N126" s="267">
        <v>0</v>
      </c>
      <c r="O126" s="267">
        <v>0</v>
      </c>
      <c r="P126" s="267"/>
      <c r="Q126" s="267"/>
      <c r="R126" s="267"/>
      <c r="S126" s="267"/>
      <c r="T126" s="267"/>
      <c r="U126" s="147">
        <v>10</v>
      </c>
      <c r="V126" s="264"/>
      <c r="W126" s="153">
        <v>0</v>
      </c>
    </row>
    <row r="127" spans="1:23" ht="12.75" customHeight="1" x14ac:dyDescent="0.2">
      <c r="A127" s="263"/>
      <c r="E127" s="258" t="s">
        <v>519</v>
      </c>
      <c r="F127" s="153"/>
      <c r="G127" s="153"/>
      <c r="H127" s="214"/>
      <c r="I127" s="266">
        <v>0</v>
      </c>
      <c r="J127" s="214">
        <v>0</v>
      </c>
      <c r="K127" s="266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147">
        <v>0</v>
      </c>
      <c r="V127" s="264"/>
      <c r="W127" s="153">
        <v>66839</v>
      </c>
    </row>
    <row r="128" spans="1:23" ht="12.75" customHeight="1" x14ac:dyDescent="0.2">
      <c r="A128" s="263"/>
      <c r="E128" s="258" t="s">
        <v>520</v>
      </c>
      <c r="F128" s="153"/>
      <c r="G128" s="153"/>
      <c r="H128" s="214"/>
      <c r="I128" s="266">
        <v>0</v>
      </c>
      <c r="J128" s="145">
        <v>3222</v>
      </c>
      <c r="K128" s="266">
        <v>0</v>
      </c>
      <c r="L128" s="267">
        <v>0</v>
      </c>
      <c r="M128" s="267">
        <v>862</v>
      </c>
      <c r="N128" s="267">
        <v>179</v>
      </c>
      <c r="O128" s="267">
        <v>430</v>
      </c>
      <c r="P128" s="267">
        <v>0</v>
      </c>
      <c r="Q128" s="267">
        <v>0</v>
      </c>
      <c r="R128" s="267">
        <v>0</v>
      </c>
      <c r="S128" s="267">
        <v>0</v>
      </c>
      <c r="T128" s="267">
        <v>0</v>
      </c>
      <c r="U128" s="147">
        <v>4693</v>
      </c>
      <c r="V128" s="264"/>
      <c r="W128" s="153">
        <v>7336</v>
      </c>
    </row>
    <row r="129" spans="1:56" ht="12.75" customHeight="1" x14ac:dyDescent="0.2">
      <c r="A129" s="263"/>
      <c r="E129" s="258" t="s">
        <v>521</v>
      </c>
      <c r="F129" s="153"/>
      <c r="G129" s="153"/>
      <c r="H129" s="214"/>
      <c r="I129" s="266"/>
      <c r="J129" s="145"/>
      <c r="K129" s="266"/>
      <c r="L129" s="267"/>
      <c r="M129" s="267">
        <v>0</v>
      </c>
      <c r="N129" s="267">
        <v>0</v>
      </c>
      <c r="O129" s="267">
        <v>0</v>
      </c>
      <c r="P129" s="267"/>
      <c r="Q129" s="267"/>
      <c r="R129" s="267"/>
      <c r="S129" s="267"/>
      <c r="T129" s="267"/>
      <c r="U129" s="147">
        <v>0</v>
      </c>
      <c r="V129" s="264"/>
      <c r="W129" s="153">
        <v>0</v>
      </c>
    </row>
    <row r="130" spans="1:56" ht="13.9" customHeight="1" x14ac:dyDescent="0.2">
      <c r="A130" s="263"/>
      <c r="B130" s="153"/>
      <c r="E130" s="258" t="s">
        <v>522</v>
      </c>
      <c r="F130" s="153"/>
      <c r="G130" s="153"/>
      <c r="H130" s="214"/>
      <c r="I130" s="267">
        <v>9</v>
      </c>
      <c r="J130" s="145">
        <v>29</v>
      </c>
      <c r="K130" s="267">
        <v>38</v>
      </c>
      <c r="L130" s="267">
        <v>20</v>
      </c>
      <c r="M130" s="267">
        <v>46</v>
      </c>
      <c r="N130" s="267">
        <v>9</v>
      </c>
      <c r="O130" s="267">
        <v>2355</v>
      </c>
      <c r="P130" s="267">
        <v>0</v>
      </c>
      <c r="Q130" s="267">
        <v>0</v>
      </c>
      <c r="R130" s="267">
        <v>0</v>
      </c>
      <c r="S130" s="267">
        <v>0</v>
      </c>
      <c r="T130" s="267">
        <v>0</v>
      </c>
      <c r="U130" s="147">
        <v>2506</v>
      </c>
      <c r="V130" s="263"/>
      <c r="W130" s="153">
        <v>281</v>
      </c>
    </row>
    <row r="131" spans="1:56" ht="12" customHeight="1" x14ac:dyDescent="0.2">
      <c r="A131" s="263"/>
      <c r="B131" s="153"/>
      <c r="E131" s="258" t="s">
        <v>523</v>
      </c>
      <c r="F131" s="153"/>
      <c r="G131" s="153"/>
      <c r="H131" s="214"/>
      <c r="I131" s="266">
        <v>0</v>
      </c>
      <c r="J131" s="214">
        <v>0</v>
      </c>
      <c r="K131" s="266">
        <v>0</v>
      </c>
      <c r="L131" s="267">
        <v>0</v>
      </c>
      <c r="M131" s="267">
        <v>0</v>
      </c>
      <c r="N131" s="267">
        <v>0</v>
      </c>
      <c r="O131" s="267">
        <v>0</v>
      </c>
      <c r="P131" s="267">
        <v>0</v>
      </c>
      <c r="Q131" s="267">
        <v>0</v>
      </c>
      <c r="R131" s="267">
        <v>0</v>
      </c>
      <c r="S131" s="267">
        <v>0</v>
      </c>
      <c r="T131" s="267">
        <v>0</v>
      </c>
      <c r="U131" s="147">
        <v>0</v>
      </c>
      <c r="V131" s="263"/>
      <c r="W131" s="153">
        <v>8893</v>
      </c>
    </row>
    <row r="132" spans="1:56" ht="12.75" customHeight="1" x14ac:dyDescent="0.2">
      <c r="A132" s="263"/>
      <c r="E132" s="646" t="s">
        <v>524</v>
      </c>
      <c r="F132" s="153"/>
      <c r="G132" s="153"/>
      <c r="H132" s="214"/>
      <c r="I132" s="266">
        <v>0</v>
      </c>
      <c r="J132" s="214">
        <v>0</v>
      </c>
      <c r="K132" s="266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147">
        <v>0</v>
      </c>
      <c r="V132" s="263"/>
      <c r="W132" s="153">
        <v>156964</v>
      </c>
    </row>
    <row r="133" spans="1:56" ht="13.9" hidden="1" customHeight="1" x14ac:dyDescent="0.2">
      <c r="A133" s="691" t="s">
        <v>525</v>
      </c>
      <c r="B133" s="682"/>
      <c r="C133" s="682"/>
      <c r="D133" s="682"/>
      <c r="E133" s="682"/>
      <c r="F133" s="682"/>
      <c r="G133" s="683"/>
      <c r="H133" s="214">
        <v>0</v>
      </c>
      <c r="I133" s="266">
        <v>0</v>
      </c>
      <c r="J133" s="214">
        <v>0</v>
      </c>
      <c r="K133" s="266">
        <v>0</v>
      </c>
      <c r="L133" s="266">
        <v>0</v>
      </c>
      <c r="M133" s="266">
        <v>0</v>
      </c>
      <c r="N133" s="266">
        <v>0</v>
      </c>
      <c r="O133" s="266">
        <v>0</v>
      </c>
      <c r="P133" s="266">
        <v>0</v>
      </c>
      <c r="Q133" s="266">
        <v>0</v>
      </c>
      <c r="R133" s="266">
        <v>0</v>
      </c>
      <c r="S133" s="266">
        <v>0</v>
      </c>
      <c r="T133" s="266">
        <v>0</v>
      </c>
      <c r="U133" s="147">
        <v>0</v>
      </c>
      <c r="V133" s="263"/>
      <c r="W133" s="153">
        <v>0</v>
      </c>
    </row>
    <row r="134" spans="1:56" ht="12.75" customHeight="1" x14ac:dyDescent="0.2">
      <c r="A134" s="263" t="s">
        <v>526</v>
      </c>
      <c r="B134" s="153"/>
      <c r="C134" s="153"/>
      <c r="D134" s="153"/>
      <c r="E134" s="153"/>
      <c r="F134" s="153"/>
      <c r="G134" s="482"/>
      <c r="H134" s="145">
        <v>47907539.571999997</v>
      </c>
      <c r="I134" s="145">
        <v>3948655.3564299997</v>
      </c>
      <c r="J134" s="145">
        <v>3968225.1260500001</v>
      </c>
      <c r="K134" s="145">
        <v>4096899.9649499999</v>
      </c>
      <c r="L134" s="145">
        <v>4157570.2102700002</v>
      </c>
      <c r="M134" s="145">
        <v>4030672.49242</v>
      </c>
      <c r="N134" s="145">
        <v>3632295.01516</v>
      </c>
      <c r="O134" s="145">
        <v>4013221.7997499998</v>
      </c>
      <c r="P134" s="145">
        <v>0</v>
      </c>
      <c r="Q134" s="145">
        <v>0</v>
      </c>
      <c r="R134" s="145">
        <v>0</v>
      </c>
      <c r="S134" s="145">
        <v>0</v>
      </c>
      <c r="T134" s="267">
        <v>0</v>
      </c>
      <c r="U134" s="147">
        <v>27847539.96503</v>
      </c>
      <c r="V134" s="263"/>
      <c r="W134" s="153">
        <v>20466789.475610003</v>
      </c>
    </row>
    <row r="135" spans="1:56" ht="12.75" customHeight="1" x14ac:dyDescent="0.2">
      <c r="A135" s="647" t="s">
        <v>527</v>
      </c>
      <c r="B135" s="648"/>
      <c r="C135" s="648"/>
      <c r="D135" s="648"/>
      <c r="E135" s="648"/>
      <c r="F135" s="648"/>
      <c r="G135" s="648"/>
      <c r="H135" s="246">
        <v>21634475.399999999</v>
      </c>
      <c r="I135" s="246">
        <v>1808900.1881300001</v>
      </c>
      <c r="J135" s="246">
        <v>1836340.2487999999</v>
      </c>
      <c r="K135" s="246">
        <v>1883348.5337999999</v>
      </c>
      <c r="L135" s="246">
        <v>1903516.67508</v>
      </c>
      <c r="M135" s="246">
        <v>1917105.37256</v>
      </c>
      <c r="N135" s="246">
        <v>1939501.2855199999</v>
      </c>
      <c r="O135" s="246">
        <v>1904871.0733699999</v>
      </c>
      <c r="P135" s="246">
        <v>0</v>
      </c>
      <c r="Q135" s="246">
        <v>0</v>
      </c>
      <c r="R135" s="246">
        <v>0</v>
      </c>
      <c r="S135" s="246">
        <v>0</v>
      </c>
      <c r="T135" s="649">
        <v>0</v>
      </c>
      <c r="U135" s="650">
        <v>13193583.37726</v>
      </c>
      <c r="V135" s="263"/>
      <c r="W135" s="153">
        <v>9433346.6217700001</v>
      </c>
    </row>
    <row r="136" spans="1:56" ht="12.75" customHeight="1" x14ac:dyDescent="0.2">
      <c r="A136" s="623" t="s">
        <v>528</v>
      </c>
      <c r="B136" s="153"/>
      <c r="C136" s="153"/>
      <c r="D136" s="153"/>
      <c r="E136" s="153"/>
      <c r="F136" s="153"/>
      <c r="G136" s="153"/>
      <c r="H136" s="201"/>
      <c r="I136" s="627">
        <v>98892678.637869999</v>
      </c>
      <c r="J136" s="201">
        <v>112583958.99017997</v>
      </c>
      <c r="K136" s="627">
        <v>239115878.39169002</v>
      </c>
      <c r="L136" s="627">
        <v>92453452.589829981</v>
      </c>
      <c r="M136" s="627">
        <v>144708400.66189998</v>
      </c>
      <c r="N136" s="627">
        <v>141764173.05173001</v>
      </c>
      <c r="O136" s="627">
        <v>111328888.01133001</v>
      </c>
      <c r="P136" s="627">
        <v>0</v>
      </c>
      <c r="Q136" s="627">
        <v>0</v>
      </c>
      <c r="R136" s="627">
        <v>0</v>
      </c>
      <c r="S136" s="627">
        <v>0</v>
      </c>
      <c r="T136" s="627">
        <v>0</v>
      </c>
      <c r="U136" s="44">
        <v>940847429.33452988</v>
      </c>
      <c r="V136" s="263"/>
      <c r="W136" s="576">
        <v>771325472.73647404</v>
      </c>
    </row>
    <row r="137" spans="1:56" s="265" customFormat="1" ht="12.75" customHeight="1" x14ac:dyDescent="0.2">
      <c r="A137" s="264" t="s">
        <v>529</v>
      </c>
      <c r="B137" s="218"/>
      <c r="C137" s="218"/>
      <c r="D137" s="218"/>
      <c r="E137" s="218"/>
      <c r="F137" s="218"/>
      <c r="G137" s="630"/>
      <c r="H137" s="214"/>
      <c r="I137" s="266">
        <v>-2652</v>
      </c>
      <c r="J137" s="214">
        <v>372</v>
      </c>
      <c r="K137" s="266">
        <v>1137</v>
      </c>
      <c r="L137" s="266">
        <v>-2383</v>
      </c>
      <c r="M137" s="266">
        <v>-2823</v>
      </c>
      <c r="N137" s="266">
        <v>5639</v>
      </c>
      <c r="O137" s="266">
        <v>-4161</v>
      </c>
      <c r="P137" s="266">
        <v>0</v>
      </c>
      <c r="Q137" s="266">
        <v>0</v>
      </c>
      <c r="R137" s="266">
        <v>0</v>
      </c>
      <c r="S137" s="266">
        <v>0</v>
      </c>
      <c r="T137" s="266">
        <v>0</v>
      </c>
      <c r="U137" s="482">
        <v>-4871</v>
      </c>
      <c r="V137" s="264"/>
      <c r="W137" s="218">
        <v>20106</v>
      </c>
    </row>
    <row r="138" spans="1:56" s="265" customFormat="1" ht="12.75" hidden="1" customHeight="1" x14ac:dyDescent="0.2">
      <c r="A138" s="692" t="s">
        <v>530</v>
      </c>
      <c r="B138" s="684"/>
      <c r="C138" s="684"/>
      <c r="D138" s="684"/>
      <c r="E138" s="684"/>
      <c r="F138" s="684"/>
      <c r="G138" s="693"/>
      <c r="H138" s="214"/>
      <c r="I138" s="266">
        <v>0</v>
      </c>
      <c r="J138" s="214">
        <v>0</v>
      </c>
      <c r="K138" s="266">
        <v>0</v>
      </c>
      <c r="L138" s="266">
        <v>0</v>
      </c>
      <c r="M138" s="266">
        <v>0</v>
      </c>
      <c r="N138" s="266">
        <v>0</v>
      </c>
      <c r="O138" s="266">
        <v>0</v>
      </c>
      <c r="P138" s="266">
        <v>0</v>
      </c>
      <c r="Q138" s="266">
        <v>0</v>
      </c>
      <c r="R138" s="266">
        <v>0</v>
      </c>
      <c r="S138" s="266">
        <v>0</v>
      </c>
      <c r="T138" s="266">
        <v>0</v>
      </c>
      <c r="U138" s="482">
        <v>0</v>
      </c>
      <c r="V138" s="264"/>
      <c r="W138" s="218">
        <v>0</v>
      </c>
    </row>
    <row r="139" spans="1:56" s="265" customFormat="1" ht="12.75" customHeight="1" x14ac:dyDescent="0.2">
      <c r="A139" s="264" t="s">
        <v>531</v>
      </c>
      <c r="B139" s="218"/>
      <c r="C139" s="218"/>
      <c r="D139" s="218"/>
      <c r="E139" s="218"/>
      <c r="F139" s="218"/>
      <c r="G139" s="218"/>
      <c r="H139" s="214"/>
      <c r="I139" s="266">
        <v>-4060005</v>
      </c>
      <c r="J139" s="214">
        <v>-3948655</v>
      </c>
      <c r="K139" s="266">
        <v>-3968225</v>
      </c>
      <c r="L139" s="266">
        <v>-4096900</v>
      </c>
      <c r="M139" s="266">
        <v>-4160448</v>
      </c>
      <c r="N139" s="266">
        <v>-4030672</v>
      </c>
      <c r="O139" s="266">
        <v>-3632295</v>
      </c>
      <c r="P139" s="266">
        <v>0</v>
      </c>
      <c r="Q139" s="266">
        <v>0</v>
      </c>
      <c r="R139" s="266">
        <v>0</v>
      </c>
      <c r="S139" s="266">
        <v>0</v>
      </c>
      <c r="T139" s="266">
        <v>0</v>
      </c>
      <c r="U139" s="482">
        <v>-27897200</v>
      </c>
      <c r="V139" s="264"/>
      <c r="W139" s="218">
        <v>-20227068</v>
      </c>
    </row>
    <row r="140" spans="1:56" s="265" customFormat="1" ht="12.75" customHeight="1" x14ac:dyDescent="0.2">
      <c r="A140" s="264" t="s">
        <v>532</v>
      </c>
      <c r="B140" s="218"/>
      <c r="C140" s="218"/>
      <c r="D140" s="218"/>
      <c r="E140" s="218"/>
      <c r="F140" s="218"/>
      <c r="G140" s="218"/>
      <c r="H140" s="214"/>
      <c r="I140" s="266">
        <v>-1981687</v>
      </c>
      <c r="J140" s="214">
        <v>-1808900</v>
      </c>
      <c r="K140" s="266">
        <v>-1836340</v>
      </c>
      <c r="L140" s="266">
        <v>-1883349</v>
      </c>
      <c r="M140" s="266">
        <v>-1903517</v>
      </c>
      <c r="N140" s="266">
        <v>-1917105</v>
      </c>
      <c r="O140" s="266">
        <v>-1939501</v>
      </c>
      <c r="P140" s="266">
        <v>0</v>
      </c>
      <c r="Q140" s="266">
        <v>0</v>
      </c>
      <c r="R140" s="266">
        <v>0</v>
      </c>
      <c r="S140" s="266">
        <v>0</v>
      </c>
      <c r="T140" s="266">
        <v>0</v>
      </c>
      <c r="U140" s="482">
        <v>-13270399</v>
      </c>
      <c r="V140" s="264"/>
      <c r="W140" s="218">
        <v>-9253647</v>
      </c>
    </row>
    <row r="141" spans="1:56" s="265" customFormat="1" ht="12.75" customHeight="1" x14ac:dyDescent="0.2">
      <c r="A141" s="694" t="s">
        <v>533</v>
      </c>
      <c r="B141" s="695"/>
      <c r="C141" s="695"/>
      <c r="D141" s="695"/>
      <c r="E141" s="695"/>
      <c r="F141" s="695"/>
      <c r="G141" s="696"/>
      <c r="H141" s="635"/>
      <c r="I141" s="266">
        <v>-1064</v>
      </c>
      <c r="J141" s="214">
        <v>24338</v>
      </c>
      <c r="K141" s="266">
        <v>3213</v>
      </c>
      <c r="L141" s="266">
        <v>252</v>
      </c>
      <c r="M141" s="266">
        <v>922</v>
      </c>
      <c r="N141" s="266">
        <v>6166</v>
      </c>
      <c r="O141" s="266">
        <v>1828</v>
      </c>
      <c r="P141" s="266">
        <v>0</v>
      </c>
      <c r="Q141" s="266">
        <v>0</v>
      </c>
      <c r="R141" s="266">
        <v>0</v>
      </c>
      <c r="S141" s="266">
        <v>0</v>
      </c>
      <c r="T141" s="266">
        <v>0</v>
      </c>
      <c r="U141" s="482">
        <v>35655</v>
      </c>
      <c r="V141" s="264"/>
      <c r="W141" s="218">
        <v>25975</v>
      </c>
    </row>
    <row r="142" spans="1:56" ht="12.75" customHeight="1" x14ac:dyDescent="0.2">
      <c r="A142" s="636" t="s">
        <v>534</v>
      </c>
      <c r="B142" s="616"/>
      <c r="C142" s="616"/>
      <c r="D142" s="616"/>
      <c r="E142" s="616"/>
      <c r="F142" s="616"/>
      <c r="G142" s="618"/>
      <c r="H142" s="637"/>
      <c r="I142" s="637">
        <v>92847270.637869999</v>
      </c>
      <c r="J142" s="651">
        <v>106851113.99017997</v>
      </c>
      <c r="K142" s="637">
        <v>233315663.39169002</v>
      </c>
      <c r="L142" s="637">
        <v>86471072.589829981</v>
      </c>
      <c r="M142" s="637">
        <v>138642534.66189998</v>
      </c>
      <c r="N142" s="637">
        <v>135828201.05173001</v>
      </c>
      <c r="O142" s="637">
        <v>105754758.01133001</v>
      </c>
      <c r="P142" s="637">
        <v>0</v>
      </c>
      <c r="Q142" s="637">
        <v>0</v>
      </c>
      <c r="R142" s="637">
        <v>0</v>
      </c>
      <c r="S142" s="637">
        <v>0</v>
      </c>
      <c r="T142" s="637">
        <v>0</v>
      </c>
      <c r="U142" s="45">
        <v>899710615.33452988</v>
      </c>
      <c r="V142" s="263"/>
      <c r="W142" s="576">
        <v>741890835.73647404</v>
      </c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</row>
    <row r="143" spans="1:56" s="697" customFormat="1" ht="12.75" customHeight="1" x14ac:dyDescent="0.2">
      <c r="A143" s="684" t="s">
        <v>535</v>
      </c>
      <c r="B143" s="684"/>
      <c r="C143" s="684"/>
      <c r="D143" s="684"/>
      <c r="E143" s="684"/>
      <c r="F143" s="684"/>
      <c r="G143" s="684"/>
      <c r="H143" s="684"/>
      <c r="I143" s="684"/>
      <c r="J143" s="684"/>
      <c r="K143" s="684"/>
      <c r="L143" s="684"/>
      <c r="M143" s="684"/>
      <c r="N143" s="684"/>
      <c r="O143" s="684"/>
      <c r="P143" s="684"/>
      <c r="Q143" s="684"/>
      <c r="R143" s="684"/>
      <c r="S143" s="684"/>
      <c r="T143" s="684"/>
      <c r="U143" s="684"/>
      <c r="V143" s="684"/>
      <c r="W143" s="684"/>
      <c r="X143" s="684"/>
      <c r="Y143" s="684"/>
      <c r="Z143" s="684"/>
      <c r="AA143" s="684"/>
      <c r="AB143" s="684"/>
      <c r="AC143" s="684"/>
      <c r="AD143" s="684"/>
      <c r="AE143" s="684"/>
      <c r="AF143" s="684"/>
      <c r="AG143" s="684"/>
      <c r="AH143" s="684"/>
      <c r="AI143" s="684"/>
      <c r="AJ143" s="684"/>
      <c r="AK143" s="684"/>
      <c r="AL143" s="684"/>
      <c r="AM143" s="684"/>
      <c r="AN143" s="684"/>
      <c r="AO143" s="684"/>
      <c r="AP143" s="684"/>
      <c r="AQ143" s="684"/>
      <c r="AR143" s="684"/>
      <c r="AS143" s="684"/>
      <c r="AT143" s="684"/>
      <c r="AU143" s="684"/>
      <c r="AV143" s="684"/>
      <c r="AW143" s="684"/>
      <c r="AX143" s="684"/>
      <c r="AY143" s="684"/>
      <c r="AZ143" s="684"/>
      <c r="BA143" s="684"/>
      <c r="BB143" s="684"/>
      <c r="BC143" s="684"/>
      <c r="BD143" s="684"/>
    </row>
    <row r="144" spans="1:56" s="652" customFormat="1" ht="12.75" customHeight="1" x14ac:dyDescent="0.2">
      <c r="A144" s="684" t="s">
        <v>536</v>
      </c>
      <c r="B144" s="684"/>
      <c r="C144" s="684"/>
      <c r="D144" s="684"/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258"/>
    </row>
    <row r="145" spans="1:30" ht="12.75" customHeight="1" x14ac:dyDescent="0.2">
      <c r="A145" s="698" t="s">
        <v>537</v>
      </c>
      <c r="B145" s="698"/>
      <c r="C145" s="698"/>
      <c r="D145" s="698"/>
      <c r="E145" s="698"/>
      <c r="F145" s="698"/>
      <c r="G145" s="698"/>
      <c r="H145" s="698"/>
      <c r="I145" s="698"/>
      <c r="J145" s="698"/>
      <c r="K145" s="698"/>
      <c r="L145" s="698"/>
      <c r="M145" s="698"/>
      <c r="N145" s="698"/>
      <c r="O145" s="698"/>
      <c r="P145" s="698"/>
      <c r="Q145" s="698"/>
      <c r="R145" s="698"/>
      <c r="S145" s="698"/>
      <c r="T145" s="698"/>
      <c r="U145" s="698"/>
      <c r="V145" s="265"/>
    </row>
    <row r="146" spans="1:30" ht="12.75" customHeight="1" x14ac:dyDescent="0.2">
      <c r="A146" s="698" t="s">
        <v>538</v>
      </c>
      <c r="B146" s="698"/>
      <c r="C146" s="698"/>
      <c r="D146" s="698"/>
      <c r="E146" s="698"/>
      <c r="F146" s="698"/>
      <c r="G146" s="698"/>
      <c r="H146" s="698"/>
      <c r="I146" s="698"/>
      <c r="J146" s="698"/>
      <c r="K146" s="698"/>
      <c r="L146" s="698"/>
      <c r="M146" s="698"/>
      <c r="N146" s="698"/>
      <c r="O146" s="698"/>
      <c r="P146" s="698"/>
      <c r="Q146" s="698"/>
      <c r="R146" s="698"/>
      <c r="S146" s="698"/>
      <c r="T146" s="698"/>
      <c r="U146" s="698"/>
    </row>
    <row r="147" spans="1:30" ht="12.75" customHeight="1" x14ac:dyDescent="0.2">
      <c r="A147" s="698" t="s">
        <v>539</v>
      </c>
      <c r="B147" s="698"/>
      <c r="C147" s="698"/>
      <c r="D147" s="698"/>
      <c r="E147" s="698"/>
      <c r="F147" s="698"/>
      <c r="G147" s="698"/>
      <c r="H147" s="698"/>
      <c r="I147" s="698"/>
      <c r="J147" s="698"/>
      <c r="K147" s="698"/>
      <c r="L147" s="698"/>
      <c r="M147" s="698"/>
      <c r="N147" s="698"/>
      <c r="O147" s="698"/>
      <c r="P147" s="698"/>
      <c r="Q147" s="698"/>
      <c r="R147" s="698"/>
      <c r="S147" s="698"/>
      <c r="T147" s="698"/>
      <c r="U147" s="698"/>
    </row>
    <row r="148" spans="1:30" ht="12.75" customHeight="1" x14ac:dyDescent="0.2">
      <c r="A148" s="652" t="s">
        <v>540</v>
      </c>
      <c r="C148" s="646"/>
      <c r="D148" s="646"/>
      <c r="E148" s="646"/>
      <c r="F148" s="646"/>
      <c r="G148" s="646"/>
      <c r="H148" s="646"/>
      <c r="I148" s="646"/>
      <c r="J148" s="646"/>
      <c r="K148" s="646"/>
      <c r="L148" s="646"/>
      <c r="M148" s="646"/>
      <c r="N148" s="646"/>
      <c r="O148" s="646"/>
      <c r="P148" s="646"/>
      <c r="Q148" s="646"/>
      <c r="R148" s="646"/>
      <c r="S148" s="646"/>
      <c r="T148" s="646"/>
      <c r="U148" s="646"/>
    </row>
    <row r="149" spans="1:30" ht="12.75" customHeight="1" x14ac:dyDescent="0.2">
      <c r="A149" s="698" t="s">
        <v>541</v>
      </c>
      <c r="B149" s="698"/>
      <c r="C149" s="698"/>
      <c r="D149" s="698"/>
      <c r="E149" s="698"/>
      <c r="F149" s="698"/>
      <c r="G149" s="698"/>
      <c r="H149" s="698"/>
      <c r="I149" s="698"/>
      <c r="J149" s="698"/>
      <c r="K149" s="698"/>
      <c r="L149" s="698"/>
      <c r="M149" s="698"/>
      <c r="N149" s="698"/>
      <c r="O149" s="698"/>
      <c r="P149" s="698"/>
      <c r="Q149" s="698"/>
      <c r="R149" s="698"/>
      <c r="S149" s="698"/>
      <c r="T149" s="698"/>
      <c r="U149" s="698"/>
    </row>
    <row r="150" spans="1:30" ht="12.75" customHeight="1" x14ac:dyDescent="0.2">
      <c r="A150" s="652" t="s">
        <v>542</v>
      </c>
      <c r="B150" s="652"/>
      <c r="C150" s="652"/>
      <c r="D150" s="652"/>
      <c r="E150" s="652"/>
      <c r="F150" s="652"/>
      <c r="G150" s="652"/>
      <c r="H150" s="652"/>
      <c r="I150" s="652"/>
      <c r="J150" s="652"/>
      <c r="K150" s="652"/>
      <c r="L150" s="652"/>
      <c r="M150" s="652"/>
      <c r="N150" s="652"/>
      <c r="O150" s="652"/>
      <c r="P150" s="652"/>
      <c r="Q150" s="652"/>
      <c r="R150" s="652"/>
      <c r="S150" s="652"/>
      <c r="T150" s="652"/>
      <c r="U150" s="652"/>
    </row>
    <row r="151" spans="1:30" ht="12.75" customHeight="1" x14ac:dyDescent="0.2">
      <c r="A151" s="698" t="s">
        <v>543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</row>
    <row r="152" spans="1:30" ht="12.75" customHeight="1" x14ac:dyDescent="0.2">
      <c r="A152" s="652"/>
      <c r="B152" s="652"/>
      <c r="C152" s="652"/>
      <c r="D152" s="652"/>
      <c r="E152" s="654"/>
      <c r="F152" s="652"/>
      <c r="G152" s="652"/>
    </row>
    <row r="153" spans="1:30" ht="12.75" customHeight="1" x14ac:dyDescent="0.2">
      <c r="A153" s="265"/>
      <c r="B153" s="265"/>
      <c r="C153" s="265"/>
      <c r="E153" s="265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</row>
    <row r="154" spans="1:30" s="653" customFormat="1" ht="12.6" customHeight="1" x14ac:dyDescent="0.2"/>
    <row r="155" spans="1:30" s="153" customFormat="1" ht="12.75" customHeight="1" x14ac:dyDescent="0.2"/>
    <row r="156" spans="1:30" s="153" customFormat="1" ht="12.75" customHeight="1" x14ac:dyDescent="0.2">
      <c r="H156" s="576"/>
      <c r="I156" s="576"/>
      <c r="J156" s="576"/>
      <c r="K156" s="576"/>
      <c r="L156" s="576"/>
      <c r="M156" s="576"/>
      <c r="N156" s="576"/>
      <c r="O156" s="576"/>
      <c r="P156" s="576"/>
      <c r="Q156" s="576"/>
      <c r="R156" s="576"/>
      <c r="S156" s="576"/>
      <c r="T156" s="576"/>
      <c r="U156" s="576"/>
    </row>
    <row r="157" spans="1:30" s="153" customFormat="1" ht="12.75" customHeight="1" x14ac:dyDescent="0.2">
      <c r="H157" s="655"/>
      <c r="I157" s="583"/>
      <c r="J157" s="583"/>
      <c r="K157" s="583"/>
      <c r="L157" s="583"/>
      <c r="M157" s="583"/>
      <c r="N157" s="583"/>
      <c r="O157" s="583"/>
      <c r="P157" s="655"/>
      <c r="Q157" s="583"/>
      <c r="R157" s="583"/>
      <c r="S157" s="583"/>
      <c r="T157" s="583"/>
      <c r="U157" s="576"/>
      <c r="V157" s="583"/>
      <c r="W157" s="583"/>
      <c r="X157" s="583"/>
      <c r="Y157" s="583"/>
      <c r="Z157" s="583"/>
      <c r="AA157" s="583"/>
      <c r="AB157" s="583"/>
      <c r="AC157" s="583"/>
      <c r="AD157" s="583"/>
    </row>
    <row r="158" spans="1:30" s="153" customFormat="1" ht="12.75" customHeight="1" x14ac:dyDescent="0.2"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</row>
    <row r="159" spans="1:30" s="153" customFormat="1" ht="12.75" customHeight="1" x14ac:dyDescent="0.2">
      <c r="H159" s="576"/>
      <c r="I159" s="576"/>
      <c r="J159" s="576"/>
      <c r="K159" s="576"/>
      <c r="L159" s="576"/>
      <c r="M159" s="576"/>
      <c r="N159" s="576"/>
      <c r="O159" s="576"/>
      <c r="P159" s="576"/>
      <c r="Q159" s="576"/>
      <c r="R159" s="576"/>
      <c r="S159" s="576"/>
      <c r="T159" s="576"/>
      <c r="U159" s="576"/>
    </row>
    <row r="160" spans="1:30" s="153" customFormat="1" ht="12.75" customHeight="1" x14ac:dyDescent="0.2"/>
    <row r="161" s="153" customFormat="1" ht="12.75" customHeight="1" x14ac:dyDescent="0.2"/>
    <row r="162" s="153" customFormat="1" ht="12.75" customHeight="1" x14ac:dyDescent="0.2"/>
    <row r="163" s="153" customFormat="1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</sheetData>
  <mergeCells count="28">
    <mergeCell ref="A145:U145"/>
    <mergeCell ref="A146:U146"/>
    <mergeCell ref="A147:U147"/>
    <mergeCell ref="A149:U149"/>
    <mergeCell ref="A151:U151"/>
    <mergeCell ref="A144:U144"/>
    <mergeCell ref="E46:F46"/>
    <mergeCell ref="C54:G54"/>
    <mergeCell ref="E59:F59"/>
    <mergeCell ref="C83:F83"/>
    <mergeCell ref="E88:G88"/>
    <mergeCell ref="A117:G117"/>
    <mergeCell ref="A120:G120"/>
    <mergeCell ref="A133:G133"/>
    <mergeCell ref="A138:G138"/>
    <mergeCell ref="A141:G141"/>
    <mergeCell ref="A143:XFD143"/>
    <mergeCell ref="E42:G42"/>
    <mergeCell ref="H3:U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</mergeCells>
  <pageMargins left="0.70866141732283472" right="0.70866141732283472" top="0.74803149606299213" bottom="0.74803149606299213" header="0.31496062992125984" footer="0.31496062992125984"/>
  <pageSetup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H631"/>
  <sheetViews>
    <sheetView view="pageBreakPreview" topLeftCell="A43" zoomScaleNormal="100" zoomScaleSheetLayoutView="100" workbookViewId="0">
      <selection activeCell="S63" sqref="S63"/>
    </sheetView>
  </sheetViews>
  <sheetFormatPr defaultColWidth="9.140625" defaultRowHeight="16.5" x14ac:dyDescent="0.3"/>
  <cols>
    <col min="1" max="1" width="2.85546875" style="118" customWidth="1"/>
    <col min="2" max="2" width="3.28515625" style="118" customWidth="1"/>
    <col min="3" max="3" width="56" style="116" customWidth="1"/>
    <col min="4" max="4" width="4.28515625" style="118" customWidth="1"/>
    <col min="5" max="8" width="15.7109375" style="118" hidden="1" customWidth="1"/>
    <col min="9" max="9" width="15.7109375" style="118" customWidth="1"/>
    <col min="10" max="13" width="15.7109375" style="118" hidden="1" customWidth="1"/>
    <col min="14" max="14" width="15.7109375" style="118" customWidth="1"/>
    <col min="15" max="18" width="15.7109375" style="118" hidden="1" customWidth="1"/>
    <col min="19" max="19" width="15.7109375" style="118" customWidth="1"/>
    <col min="20" max="23" width="15.7109375" style="118" hidden="1" customWidth="1"/>
    <col min="24" max="24" width="15.7109375" style="118" customWidth="1"/>
    <col min="25" max="28" width="15.7109375" style="118" hidden="1" customWidth="1"/>
    <col min="29" max="29" width="15.7109375" style="118" customWidth="1"/>
    <col min="30" max="33" width="15.7109375" style="118" hidden="1" customWidth="1"/>
    <col min="34" max="34" width="15.7109375" style="118" customWidth="1"/>
    <col min="35" max="38" width="15.7109375" style="118" hidden="1" customWidth="1"/>
    <col min="39" max="39" width="15.7109375" style="118" customWidth="1"/>
    <col min="40" max="43" width="15.7109375" style="118" hidden="1" customWidth="1"/>
    <col min="44" max="44" width="15.7109375" style="118" customWidth="1"/>
    <col min="45" max="73" width="15.7109375" style="118" hidden="1" customWidth="1"/>
    <col min="74" max="74" width="15.7109375" style="118" customWidth="1"/>
    <col min="75" max="75" width="15.7109375" style="116" customWidth="1"/>
    <col min="76" max="76" width="13.5703125" style="117" customWidth="1"/>
    <col min="77" max="77" width="0.28515625" style="116" customWidth="1"/>
    <col min="78" max="79" width="11.28515625" style="116" customWidth="1"/>
    <col min="80" max="80" width="9.140625" style="116" customWidth="1"/>
    <col min="81" max="81" width="10.85546875" style="116" customWidth="1"/>
    <col min="82" max="82" width="11.5703125" style="116" customWidth="1"/>
    <col min="83" max="83" width="10.140625" style="116" customWidth="1"/>
    <col min="84" max="84" width="10.85546875" style="116" customWidth="1"/>
    <col min="85" max="85" width="9.28515625" style="116" customWidth="1"/>
    <col min="86" max="86" width="10.42578125" style="116" customWidth="1"/>
    <col min="87" max="87" width="11.7109375" style="116" customWidth="1"/>
    <col min="88" max="88" width="9.140625" style="116" customWidth="1"/>
    <col min="89" max="112" width="9.140625" style="116"/>
    <col min="113" max="16384" width="9.140625" style="118"/>
  </cols>
  <sheetData>
    <row r="1" spans="1:87" x14ac:dyDescent="0.3">
      <c r="A1" s="111" t="s">
        <v>49</v>
      </c>
      <c r="B1" s="112"/>
      <c r="C1" s="113"/>
      <c r="D1" s="114"/>
      <c r="E1" s="115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</row>
    <row r="2" spans="1:87" x14ac:dyDescent="0.3">
      <c r="A2" s="119"/>
      <c r="B2" s="114"/>
      <c r="D2" s="120"/>
      <c r="E2" s="700" t="s">
        <v>1</v>
      </c>
      <c r="F2" s="701"/>
      <c r="G2" s="701"/>
      <c r="H2" s="701"/>
      <c r="I2" s="701"/>
      <c r="J2" s="701"/>
      <c r="K2" s="701"/>
      <c r="L2" s="701"/>
      <c r="M2" s="701"/>
      <c r="N2" s="701"/>
      <c r="O2" s="701"/>
      <c r="P2" s="701"/>
      <c r="Q2" s="701"/>
      <c r="R2" s="701"/>
      <c r="S2" s="701"/>
      <c r="T2" s="701"/>
      <c r="U2" s="701"/>
      <c r="V2" s="701"/>
      <c r="W2" s="701"/>
      <c r="X2" s="701"/>
      <c r="Y2" s="701"/>
      <c r="Z2" s="701"/>
      <c r="AA2" s="701"/>
      <c r="AB2" s="701"/>
      <c r="AC2" s="701"/>
      <c r="AD2" s="701"/>
      <c r="AE2" s="701"/>
      <c r="AF2" s="701"/>
      <c r="AG2" s="701"/>
      <c r="AH2" s="701"/>
      <c r="AI2" s="701"/>
      <c r="AJ2" s="701"/>
      <c r="AK2" s="701"/>
      <c r="AL2" s="701"/>
      <c r="AM2" s="701"/>
      <c r="AN2" s="701"/>
      <c r="AO2" s="701"/>
      <c r="AP2" s="701"/>
      <c r="AQ2" s="701"/>
      <c r="AR2" s="701"/>
      <c r="AS2" s="701"/>
      <c r="AT2" s="701"/>
      <c r="AU2" s="701"/>
      <c r="AV2" s="701"/>
      <c r="AW2" s="701"/>
      <c r="AX2" s="701"/>
      <c r="AY2" s="701"/>
      <c r="AZ2" s="701"/>
      <c r="BA2" s="701"/>
      <c r="BB2" s="701"/>
      <c r="BC2" s="701"/>
      <c r="BD2" s="701"/>
      <c r="BE2" s="701"/>
      <c r="BF2" s="701"/>
      <c r="BG2" s="701"/>
      <c r="BH2" s="701"/>
      <c r="BI2" s="701"/>
      <c r="BJ2" s="701"/>
      <c r="BK2" s="701"/>
      <c r="BL2" s="701"/>
      <c r="BM2" s="701"/>
      <c r="BN2" s="701"/>
      <c r="BO2" s="701"/>
      <c r="BP2" s="701"/>
      <c r="BQ2" s="701"/>
      <c r="BR2" s="701"/>
      <c r="BS2" s="701"/>
      <c r="BT2" s="701"/>
      <c r="BU2" s="701"/>
      <c r="BV2" s="702"/>
      <c r="BW2" s="121"/>
    </row>
    <row r="3" spans="1:87" x14ac:dyDescent="0.3">
      <c r="A3" s="122"/>
      <c r="B3" s="114"/>
      <c r="C3" s="116" t="s">
        <v>50</v>
      </c>
      <c r="D3" s="123"/>
      <c r="E3" s="703" t="s">
        <v>51</v>
      </c>
      <c r="F3" s="704"/>
      <c r="G3" s="704"/>
      <c r="H3" s="704"/>
      <c r="I3" s="705"/>
      <c r="J3" s="715" t="s">
        <v>4</v>
      </c>
      <c r="K3" s="716"/>
      <c r="L3" s="716"/>
      <c r="M3" s="716"/>
      <c r="N3" s="717"/>
      <c r="O3" s="719" t="s">
        <v>5</v>
      </c>
      <c r="P3" s="716"/>
      <c r="Q3" s="716"/>
      <c r="R3" s="716"/>
      <c r="S3" s="717"/>
      <c r="T3" s="715" t="s">
        <v>6</v>
      </c>
      <c r="U3" s="716"/>
      <c r="V3" s="716"/>
      <c r="W3" s="716"/>
      <c r="X3" s="717"/>
      <c r="Y3" s="715" t="s">
        <v>7</v>
      </c>
      <c r="Z3" s="716"/>
      <c r="AA3" s="716"/>
      <c r="AB3" s="716"/>
      <c r="AC3" s="717"/>
      <c r="AD3" s="715" t="s">
        <v>8</v>
      </c>
      <c r="AE3" s="716"/>
      <c r="AF3" s="716"/>
      <c r="AG3" s="716"/>
      <c r="AH3" s="717"/>
      <c r="AI3" s="715" t="s">
        <v>9</v>
      </c>
      <c r="AJ3" s="716"/>
      <c r="AK3" s="716"/>
      <c r="AL3" s="716"/>
      <c r="AM3" s="717"/>
      <c r="AN3" s="715" t="s">
        <v>10</v>
      </c>
      <c r="AO3" s="716"/>
      <c r="AP3" s="716"/>
      <c r="AQ3" s="716"/>
      <c r="AR3" s="717"/>
      <c r="AS3" s="703" t="s">
        <v>11</v>
      </c>
      <c r="AT3" s="704"/>
      <c r="AU3" s="704"/>
      <c r="AV3" s="704"/>
      <c r="AW3" s="705"/>
      <c r="AX3" s="703" t="s">
        <v>12</v>
      </c>
      <c r="AY3" s="704"/>
      <c r="AZ3" s="704"/>
      <c r="BA3" s="704"/>
      <c r="BB3" s="705"/>
      <c r="BC3" s="703" t="s">
        <v>13</v>
      </c>
      <c r="BD3" s="704"/>
      <c r="BE3" s="704"/>
      <c r="BF3" s="704"/>
      <c r="BG3" s="705"/>
      <c r="BH3" s="703" t="s">
        <v>14</v>
      </c>
      <c r="BI3" s="704"/>
      <c r="BJ3" s="704"/>
      <c r="BK3" s="704"/>
      <c r="BL3" s="705"/>
      <c r="BM3" s="703" t="s">
        <v>15</v>
      </c>
      <c r="BN3" s="704"/>
      <c r="BO3" s="704"/>
      <c r="BP3" s="704"/>
      <c r="BQ3" s="705"/>
      <c r="BR3" s="715" t="s">
        <v>16</v>
      </c>
      <c r="BS3" s="716"/>
      <c r="BT3" s="716"/>
      <c r="BU3" s="716"/>
      <c r="BV3" s="718"/>
    </row>
    <row r="4" spans="1:87" x14ac:dyDescent="0.3">
      <c r="A4" s="122"/>
      <c r="B4" s="114"/>
      <c r="D4" s="123"/>
      <c r="E4" s="124" t="s">
        <v>52</v>
      </c>
      <c r="F4" s="125" t="s">
        <v>53</v>
      </c>
      <c r="G4" s="125" t="s">
        <v>54</v>
      </c>
      <c r="H4" s="125" t="s">
        <v>55</v>
      </c>
      <c r="I4" s="126" t="s">
        <v>56</v>
      </c>
      <c r="J4" s="124" t="s">
        <v>52</v>
      </c>
      <c r="K4" s="125" t="s">
        <v>53</v>
      </c>
      <c r="L4" s="125" t="s">
        <v>54</v>
      </c>
      <c r="M4" s="125" t="s">
        <v>55</v>
      </c>
      <c r="N4" s="128" t="s">
        <v>56</v>
      </c>
      <c r="O4" s="125" t="s">
        <v>52</v>
      </c>
      <c r="P4" s="125" t="s">
        <v>53</v>
      </c>
      <c r="Q4" s="125" t="s">
        <v>54</v>
      </c>
      <c r="R4" s="125" t="s">
        <v>55</v>
      </c>
      <c r="S4" s="128" t="s">
        <v>56</v>
      </c>
      <c r="T4" s="124" t="s">
        <v>52</v>
      </c>
      <c r="U4" s="125" t="s">
        <v>53</v>
      </c>
      <c r="V4" s="125" t="s">
        <v>54</v>
      </c>
      <c r="W4" s="125" t="s">
        <v>55</v>
      </c>
      <c r="X4" s="128" t="s">
        <v>56</v>
      </c>
      <c r="Y4" s="124" t="s">
        <v>52</v>
      </c>
      <c r="Z4" s="125" t="s">
        <v>53</v>
      </c>
      <c r="AA4" s="125" t="s">
        <v>54</v>
      </c>
      <c r="AB4" s="125" t="s">
        <v>55</v>
      </c>
      <c r="AC4" s="128" t="s">
        <v>56</v>
      </c>
      <c r="AD4" s="124" t="s">
        <v>52</v>
      </c>
      <c r="AE4" s="125" t="s">
        <v>53</v>
      </c>
      <c r="AF4" s="125" t="s">
        <v>54</v>
      </c>
      <c r="AG4" s="125" t="s">
        <v>55</v>
      </c>
      <c r="AH4" s="128" t="s">
        <v>56</v>
      </c>
      <c r="AI4" s="124" t="s">
        <v>52</v>
      </c>
      <c r="AJ4" s="125" t="s">
        <v>53</v>
      </c>
      <c r="AK4" s="125" t="s">
        <v>54</v>
      </c>
      <c r="AL4" s="125" t="s">
        <v>55</v>
      </c>
      <c r="AM4" s="128" t="s">
        <v>56</v>
      </c>
      <c r="AN4" s="124" t="s">
        <v>52</v>
      </c>
      <c r="AO4" s="125" t="s">
        <v>53</v>
      </c>
      <c r="AP4" s="125" t="s">
        <v>54</v>
      </c>
      <c r="AQ4" s="125" t="s">
        <v>55</v>
      </c>
      <c r="AR4" s="128" t="s">
        <v>56</v>
      </c>
      <c r="AS4" s="124" t="s">
        <v>52</v>
      </c>
      <c r="AT4" s="125" t="s">
        <v>53</v>
      </c>
      <c r="AU4" s="125" t="s">
        <v>54</v>
      </c>
      <c r="AV4" s="125" t="s">
        <v>55</v>
      </c>
      <c r="AW4" s="128" t="s">
        <v>56</v>
      </c>
      <c r="AX4" s="124" t="s">
        <v>52</v>
      </c>
      <c r="AY4" s="125" t="s">
        <v>53</v>
      </c>
      <c r="AZ4" s="125" t="s">
        <v>54</v>
      </c>
      <c r="BA4" s="125" t="s">
        <v>55</v>
      </c>
      <c r="BB4" s="128" t="s">
        <v>56</v>
      </c>
      <c r="BC4" s="124" t="s">
        <v>52</v>
      </c>
      <c r="BD4" s="125" t="s">
        <v>53</v>
      </c>
      <c r="BE4" s="125" t="s">
        <v>54</v>
      </c>
      <c r="BF4" s="125" t="s">
        <v>55</v>
      </c>
      <c r="BG4" s="128" t="s">
        <v>56</v>
      </c>
      <c r="BH4" s="124" t="s">
        <v>52</v>
      </c>
      <c r="BI4" s="125" t="s">
        <v>53</v>
      </c>
      <c r="BJ4" s="125" t="s">
        <v>54</v>
      </c>
      <c r="BK4" s="125" t="s">
        <v>57</v>
      </c>
      <c r="BL4" s="128" t="s">
        <v>56</v>
      </c>
      <c r="BM4" s="124" t="s">
        <v>52</v>
      </c>
      <c r="BN4" s="125" t="s">
        <v>53</v>
      </c>
      <c r="BO4" s="125" t="s">
        <v>54</v>
      </c>
      <c r="BP4" s="125" t="s">
        <v>55</v>
      </c>
      <c r="BQ4" s="128" t="s">
        <v>56</v>
      </c>
      <c r="BR4" s="124" t="s">
        <v>52</v>
      </c>
      <c r="BS4" s="125" t="s">
        <v>53</v>
      </c>
      <c r="BT4" s="125" t="s">
        <v>54</v>
      </c>
      <c r="BU4" s="125" t="s">
        <v>55</v>
      </c>
      <c r="BV4" s="127" t="s">
        <v>56</v>
      </c>
      <c r="BW4" s="121"/>
    </row>
    <row r="5" spans="1:87" x14ac:dyDescent="0.3">
      <c r="A5" s="129" t="s">
        <v>17</v>
      </c>
      <c r="B5" s="130"/>
      <c r="C5" s="130"/>
      <c r="D5" s="131"/>
      <c r="E5" s="132" t="s">
        <v>58</v>
      </c>
      <c r="F5" s="30" t="s">
        <v>59</v>
      </c>
      <c r="G5" s="30" t="s">
        <v>60</v>
      </c>
      <c r="H5" s="30" t="s">
        <v>61</v>
      </c>
      <c r="I5" s="31"/>
      <c r="J5" s="132" t="s">
        <v>58</v>
      </c>
      <c r="K5" s="30" t="s">
        <v>59</v>
      </c>
      <c r="L5" s="30" t="s">
        <v>60</v>
      </c>
      <c r="M5" s="30" t="s">
        <v>61</v>
      </c>
      <c r="N5" s="31"/>
      <c r="O5" s="30" t="s">
        <v>58</v>
      </c>
      <c r="P5" s="30" t="s">
        <v>59</v>
      </c>
      <c r="Q5" s="30" t="s">
        <v>60</v>
      </c>
      <c r="R5" s="30" t="s">
        <v>61</v>
      </c>
      <c r="S5" s="31"/>
      <c r="T5" s="132" t="s">
        <v>58</v>
      </c>
      <c r="U5" s="30" t="s">
        <v>59</v>
      </c>
      <c r="V5" s="30" t="s">
        <v>60</v>
      </c>
      <c r="W5" s="30" t="s">
        <v>61</v>
      </c>
      <c r="X5" s="31"/>
      <c r="Y5" s="132" t="s">
        <v>58</v>
      </c>
      <c r="Z5" s="30" t="s">
        <v>59</v>
      </c>
      <c r="AA5" s="30" t="s">
        <v>60</v>
      </c>
      <c r="AB5" s="30" t="s">
        <v>61</v>
      </c>
      <c r="AC5" s="31"/>
      <c r="AD5" s="132" t="s">
        <v>58</v>
      </c>
      <c r="AE5" s="30" t="s">
        <v>59</v>
      </c>
      <c r="AF5" s="30" t="s">
        <v>60</v>
      </c>
      <c r="AG5" s="30" t="s">
        <v>61</v>
      </c>
      <c r="AH5" s="31"/>
      <c r="AI5" s="132" t="s">
        <v>58</v>
      </c>
      <c r="AJ5" s="30" t="s">
        <v>59</v>
      </c>
      <c r="AK5" s="30" t="s">
        <v>60</v>
      </c>
      <c r="AL5" s="30" t="s">
        <v>61</v>
      </c>
      <c r="AM5" s="31"/>
      <c r="AN5" s="132" t="s">
        <v>58</v>
      </c>
      <c r="AO5" s="30" t="s">
        <v>59</v>
      </c>
      <c r="AP5" s="30" t="s">
        <v>60</v>
      </c>
      <c r="AQ5" s="30" t="s">
        <v>61</v>
      </c>
      <c r="AR5" s="31"/>
      <c r="AS5" s="132" t="s">
        <v>58</v>
      </c>
      <c r="AT5" s="30" t="s">
        <v>59</v>
      </c>
      <c r="AU5" s="30" t="s">
        <v>60</v>
      </c>
      <c r="AV5" s="30" t="s">
        <v>61</v>
      </c>
      <c r="AW5" s="31"/>
      <c r="AX5" s="132" t="s">
        <v>58</v>
      </c>
      <c r="AY5" s="30" t="s">
        <v>59</v>
      </c>
      <c r="AZ5" s="30" t="s">
        <v>60</v>
      </c>
      <c r="BA5" s="30" t="s">
        <v>61</v>
      </c>
      <c r="BB5" s="31"/>
      <c r="BC5" s="132" t="s">
        <v>58</v>
      </c>
      <c r="BD5" s="30" t="s">
        <v>59</v>
      </c>
      <c r="BE5" s="30" t="s">
        <v>60</v>
      </c>
      <c r="BF5" s="30" t="s">
        <v>61</v>
      </c>
      <c r="BG5" s="31"/>
      <c r="BH5" s="132" t="s">
        <v>58</v>
      </c>
      <c r="BI5" s="30" t="s">
        <v>59</v>
      </c>
      <c r="BJ5" s="30" t="s">
        <v>60</v>
      </c>
      <c r="BK5" s="30" t="s">
        <v>61</v>
      </c>
      <c r="BL5" s="31"/>
      <c r="BM5" s="132" t="s">
        <v>58</v>
      </c>
      <c r="BN5" s="30" t="s">
        <v>59</v>
      </c>
      <c r="BO5" s="30" t="s">
        <v>60</v>
      </c>
      <c r="BP5" s="30" t="s">
        <v>61</v>
      </c>
      <c r="BQ5" s="31"/>
      <c r="BR5" s="132" t="s">
        <v>58</v>
      </c>
      <c r="BS5" s="30" t="s">
        <v>59</v>
      </c>
      <c r="BT5" s="30" t="s">
        <v>60</v>
      </c>
      <c r="BU5" s="30" t="s">
        <v>61</v>
      </c>
      <c r="BV5" s="133"/>
      <c r="BW5" s="121"/>
      <c r="BX5" s="134"/>
      <c r="CA5" s="111"/>
      <c r="CG5" s="111"/>
    </row>
    <row r="6" spans="1:87" x14ac:dyDescent="0.3">
      <c r="A6" s="135"/>
      <c r="B6" s="114"/>
      <c r="D6" s="125"/>
      <c r="E6" s="136"/>
      <c r="F6" s="137"/>
      <c r="G6" s="137"/>
      <c r="H6" s="138"/>
      <c r="I6" s="139"/>
      <c r="J6" s="124"/>
      <c r="K6" s="125"/>
      <c r="L6" s="125"/>
      <c r="M6" s="125"/>
      <c r="N6" s="139"/>
      <c r="O6" s="125"/>
      <c r="P6" s="125"/>
      <c r="Q6" s="125"/>
      <c r="R6" s="125"/>
      <c r="S6" s="139"/>
      <c r="T6" s="124"/>
      <c r="U6" s="125"/>
      <c r="V6" s="125"/>
      <c r="W6" s="125"/>
      <c r="X6" s="139"/>
      <c r="Y6" s="124"/>
      <c r="Z6" s="125"/>
      <c r="AA6" s="125"/>
      <c r="AB6" s="125"/>
      <c r="AC6" s="139"/>
      <c r="AD6" s="124"/>
      <c r="AE6" s="125"/>
      <c r="AF6" s="125"/>
      <c r="AG6" s="125"/>
      <c r="AH6" s="139"/>
      <c r="AI6" s="124"/>
      <c r="AJ6" s="125"/>
      <c r="AK6" s="125"/>
      <c r="AL6" s="125"/>
      <c r="AM6" s="139"/>
      <c r="AN6" s="124"/>
      <c r="AO6" s="125"/>
      <c r="AP6" s="125"/>
      <c r="AQ6" s="125"/>
      <c r="AR6" s="139"/>
      <c r="AS6" s="124"/>
      <c r="AT6" s="125"/>
      <c r="AU6" s="125"/>
      <c r="AV6" s="125"/>
      <c r="AW6" s="139"/>
      <c r="AX6" s="124"/>
      <c r="AY6" s="125"/>
      <c r="AZ6" s="125"/>
      <c r="BA6" s="125"/>
      <c r="BB6" s="139"/>
      <c r="BC6" s="124"/>
      <c r="BD6" s="125"/>
      <c r="BE6" s="125"/>
      <c r="BF6" s="125"/>
      <c r="BG6" s="139"/>
      <c r="BH6" s="124"/>
      <c r="BI6" s="125"/>
      <c r="BJ6" s="125"/>
      <c r="BK6" s="125"/>
      <c r="BL6" s="139"/>
      <c r="BM6" s="124"/>
      <c r="BN6" s="125"/>
      <c r="BO6" s="125"/>
      <c r="BP6" s="125"/>
      <c r="BQ6" s="139"/>
      <c r="BR6" s="124"/>
      <c r="BS6" s="125"/>
      <c r="BT6" s="125"/>
      <c r="BU6" s="125"/>
      <c r="BV6" s="140"/>
      <c r="BW6" s="121"/>
    </row>
    <row r="7" spans="1:87" ht="13.5" customHeight="1" x14ac:dyDescent="0.3">
      <c r="A7" s="141">
        <v>1</v>
      </c>
      <c r="B7" s="142" t="s">
        <v>62</v>
      </c>
      <c r="D7" s="143"/>
      <c r="E7" s="144">
        <v>591409</v>
      </c>
      <c r="F7" s="51">
        <v>546</v>
      </c>
      <c r="G7" s="51">
        <v>14928</v>
      </c>
      <c r="H7" s="50">
        <v>0</v>
      </c>
      <c r="I7" s="145">
        <v>606883</v>
      </c>
      <c r="J7" s="146">
        <v>31506</v>
      </c>
      <c r="K7" s="147">
        <v>167</v>
      </c>
      <c r="L7" s="147">
        <v>575</v>
      </c>
      <c r="M7" s="147">
        <v>0</v>
      </c>
      <c r="N7" s="145">
        <v>32248</v>
      </c>
      <c r="O7" s="147">
        <v>33262</v>
      </c>
      <c r="P7" s="147">
        <v>232</v>
      </c>
      <c r="Q7" s="147">
        <v>961</v>
      </c>
      <c r="R7" s="147">
        <v>0</v>
      </c>
      <c r="S7" s="145">
        <v>34455</v>
      </c>
      <c r="T7" s="146">
        <v>39089</v>
      </c>
      <c r="U7" s="147">
        <v>283</v>
      </c>
      <c r="V7" s="147">
        <v>502</v>
      </c>
      <c r="W7" s="147">
        <v>0</v>
      </c>
      <c r="X7" s="145">
        <v>39874</v>
      </c>
      <c r="Y7" s="19">
        <v>41437</v>
      </c>
      <c r="Z7" s="147">
        <v>210</v>
      </c>
      <c r="AA7" s="19">
        <v>703</v>
      </c>
      <c r="AB7" s="147">
        <v>0</v>
      </c>
      <c r="AC7" s="145">
        <v>42350</v>
      </c>
      <c r="AD7" s="146">
        <v>33982</v>
      </c>
      <c r="AE7" s="147">
        <v>64</v>
      </c>
      <c r="AF7" s="147">
        <v>670</v>
      </c>
      <c r="AG7" s="147">
        <v>0</v>
      </c>
      <c r="AH7" s="145">
        <v>34716</v>
      </c>
      <c r="AI7" s="146">
        <v>37336</v>
      </c>
      <c r="AJ7" s="147">
        <v>5</v>
      </c>
      <c r="AK7" s="147">
        <v>3007</v>
      </c>
      <c r="AL7" s="147">
        <v>0</v>
      </c>
      <c r="AM7" s="145">
        <v>40348</v>
      </c>
      <c r="AN7" s="146">
        <v>37371</v>
      </c>
      <c r="AO7" s="147">
        <v>-22</v>
      </c>
      <c r="AP7" s="147">
        <v>1640</v>
      </c>
      <c r="AQ7" s="147">
        <v>0</v>
      </c>
      <c r="AR7" s="145">
        <v>38989</v>
      </c>
      <c r="AS7" s="146">
        <v>0</v>
      </c>
      <c r="AT7" s="147">
        <v>0</v>
      </c>
      <c r="AU7" s="147">
        <v>0</v>
      </c>
      <c r="AV7" s="147">
        <v>0</v>
      </c>
      <c r="AW7" s="145">
        <v>0</v>
      </c>
      <c r="AX7" s="146">
        <v>0</v>
      </c>
      <c r="AY7" s="147">
        <v>0</v>
      </c>
      <c r="AZ7" s="147">
        <v>0</v>
      </c>
      <c r="BA7" s="147">
        <v>0</v>
      </c>
      <c r="BB7" s="145">
        <v>0</v>
      </c>
      <c r="BC7" s="146">
        <v>0</v>
      </c>
      <c r="BD7" s="147">
        <v>0</v>
      </c>
      <c r="BE7" s="147">
        <v>0</v>
      </c>
      <c r="BF7" s="147">
        <v>0</v>
      </c>
      <c r="BG7" s="145">
        <v>0</v>
      </c>
      <c r="BH7" s="146">
        <v>0</v>
      </c>
      <c r="BI7" s="147">
        <v>0</v>
      </c>
      <c r="BJ7" s="147"/>
      <c r="BK7" s="147">
        <v>0</v>
      </c>
      <c r="BL7" s="145">
        <v>0</v>
      </c>
      <c r="BM7" s="146">
        <v>0</v>
      </c>
      <c r="BN7" s="147">
        <v>0</v>
      </c>
      <c r="BO7" s="147">
        <v>0</v>
      </c>
      <c r="BP7" s="147">
        <v>0</v>
      </c>
      <c r="BQ7" s="145">
        <v>0</v>
      </c>
      <c r="BR7" s="146">
        <v>253983</v>
      </c>
      <c r="BS7" s="80">
        <v>939</v>
      </c>
      <c r="BT7" s="147">
        <v>8058</v>
      </c>
      <c r="BU7" s="147">
        <v>0</v>
      </c>
      <c r="BV7" s="148">
        <v>262980</v>
      </c>
      <c r="BW7" s="149"/>
      <c r="BX7" s="150"/>
      <c r="BZ7" s="151"/>
      <c r="CA7" s="151"/>
      <c r="CB7" s="151"/>
      <c r="CC7" s="151"/>
      <c r="CD7" s="151"/>
      <c r="CE7" s="152"/>
      <c r="CF7" s="152"/>
      <c r="CG7" s="152"/>
      <c r="CH7" s="153"/>
      <c r="CI7" s="152"/>
    </row>
    <row r="8" spans="1:87" x14ac:dyDescent="0.3">
      <c r="A8" s="141">
        <v>2</v>
      </c>
      <c r="B8" s="142" t="s">
        <v>63</v>
      </c>
      <c r="D8" s="154" t="s">
        <v>45</v>
      </c>
      <c r="E8" s="144">
        <v>1685967</v>
      </c>
      <c r="F8" s="51">
        <v>513031</v>
      </c>
      <c r="G8" s="51">
        <v>13245</v>
      </c>
      <c r="H8" s="50">
        <v>0</v>
      </c>
      <c r="I8" s="145">
        <v>2212243</v>
      </c>
      <c r="J8" s="146">
        <v>137830</v>
      </c>
      <c r="K8" s="147">
        <v>128258</v>
      </c>
      <c r="L8" s="147">
        <v>1103</v>
      </c>
      <c r="M8" s="147">
        <v>0</v>
      </c>
      <c r="N8" s="145">
        <v>267191</v>
      </c>
      <c r="O8" s="147">
        <v>137830</v>
      </c>
      <c r="P8" s="147">
        <v>0</v>
      </c>
      <c r="Q8" s="147"/>
      <c r="R8" s="147">
        <v>0</v>
      </c>
      <c r="S8" s="145">
        <v>137830</v>
      </c>
      <c r="T8" s="146">
        <v>137830</v>
      </c>
      <c r="U8" s="147">
        <v>0</v>
      </c>
      <c r="V8" s="147">
        <v>2206</v>
      </c>
      <c r="W8" s="147">
        <v>0</v>
      </c>
      <c r="X8" s="145">
        <v>140036</v>
      </c>
      <c r="Y8" s="146">
        <v>137830</v>
      </c>
      <c r="Z8" s="147">
        <v>128258</v>
      </c>
      <c r="AA8" s="147">
        <v>1104</v>
      </c>
      <c r="AB8" s="147">
        <v>0</v>
      </c>
      <c r="AC8" s="145">
        <v>267192</v>
      </c>
      <c r="AD8" s="146">
        <v>137830</v>
      </c>
      <c r="AE8" s="147">
        <v>0</v>
      </c>
      <c r="AF8" s="147">
        <v>1103</v>
      </c>
      <c r="AG8" s="147">
        <v>0</v>
      </c>
      <c r="AH8" s="145">
        <v>138933</v>
      </c>
      <c r="AI8" s="146">
        <v>169830</v>
      </c>
      <c r="AJ8" s="147">
        <v>0</v>
      </c>
      <c r="AK8" s="147">
        <v>1103</v>
      </c>
      <c r="AL8" s="147">
        <v>0</v>
      </c>
      <c r="AM8" s="145">
        <v>170933</v>
      </c>
      <c r="AN8" s="146">
        <v>137830</v>
      </c>
      <c r="AO8" s="147">
        <v>128258</v>
      </c>
      <c r="AP8" s="147">
        <v>1103</v>
      </c>
      <c r="AQ8" s="147">
        <v>0</v>
      </c>
      <c r="AR8" s="145">
        <v>267191</v>
      </c>
      <c r="AS8" s="146">
        <v>0</v>
      </c>
      <c r="AT8" s="147">
        <v>0</v>
      </c>
      <c r="AU8" s="147">
        <v>0</v>
      </c>
      <c r="AV8" s="147">
        <v>0</v>
      </c>
      <c r="AW8" s="145">
        <v>0</v>
      </c>
      <c r="AX8" s="146">
        <v>0</v>
      </c>
      <c r="AY8" s="147">
        <v>0</v>
      </c>
      <c r="AZ8" s="147">
        <v>0</v>
      </c>
      <c r="BA8" s="147">
        <v>0</v>
      </c>
      <c r="BB8" s="145">
        <v>0</v>
      </c>
      <c r="BC8" s="146">
        <v>0</v>
      </c>
      <c r="BD8" s="147">
        <v>0</v>
      </c>
      <c r="BE8" s="147">
        <v>0</v>
      </c>
      <c r="BF8" s="147">
        <v>0</v>
      </c>
      <c r="BG8" s="145">
        <v>0</v>
      </c>
      <c r="BH8" s="146">
        <v>0</v>
      </c>
      <c r="BI8" s="147">
        <v>0</v>
      </c>
      <c r="BJ8" s="147">
        <v>0</v>
      </c>
      <c r="BK8" s="147">
        <v>0</v>
      </c>
      <c r="BL8" s="145">
        <v>0</v>
      </c>
      <c r="BM8" s="146">
        <v>0</v>
      </c>
      <c r="BN8" s="147">
        <v>0</v>
      </c>
      <c r="BO8" s="147">
        <v>0</v>
      </c>
      <c r="BP8" s="147">
        <v>0</v>
      </c>
      <c r="BQ8" s="145">
        <v>0</v>
      </c>
      <c r="BR8" s="146">
        <v>996810</v>
      </c>
      <c r="BS8" s="80">
        <v>384774</v>
      </c>
      <c r="BT8" s="147">
        <v>7722</v>
      </c>
      <c r="BU8" s="147">
        <v>0</v>
      </c>
      <c r="BV8" s="148">
        <v>1389306</v>
      </c>
      <c r="BW8" s="153"/>
      <c r="BX8" s="155"/>
      <c r="BZ8" s="151"/>
      <c r="CA8" s="151"/>
      <c r="CB8" s="151"/>
      <c r="CC8" s="151"/>
      <c r="CD8" s="151"/>
      <c r="CE8" s="152"/>
      <c r="CF8" s="152"/>
      <c r="CG8" s="152"/>
      <c r="CH8" s="153"/>
      <c r="CI8" s="152"/>
    </row>
    <row r="9" spans="1:87" x14ac:dyDescent="0.3">
      <c r="A9" s="141">
        <v>3</v>
      </c>
      <c r="B9" s="142" t="s">
        <v>64</v>
      </c>
      <c r="D9" s="154"/>
      <c r="E9" s="144">
        <v>5062976</v>
      </c>
      <c r="F9" s="51">
        <v>106259832</v>
      </c>
      <c r="G9" s="51">
        <v>42053</v>
      </c>
      <c r="H9" s="50">
        <v>0</v>
      </c>
      <c r="I9" s="145">
        <v>111364861</v>
      </c>
      <c r="J9" s="146">
        <v>300374</v>
      </c>
      <c r="K9" s="147">
        <v>156</v>
      </c>
      <c r="L9" s="147">
        <v>397</v>
      </c>
      <c r="M9" s="147">
        <v>0</v>
      </c>
      <c r="N9" s="145">
        <v>300927</v>
      </c>
      <c r="O9" s="147">
        <v>327450</v>
      </c>
      <c r="P9" s="147">
        <v>9231</v>
      </c>
      <c r="Q9" s="147">
        <v>662</v>
      </c>
      <c r="R9" s="147"/>
      <c r="S9" s="145">
        <v>337343</v>
      </c>
      <c r="T9" s="146">
        <v>318674</v>
      </c>
      <c r="U9" s="147">
        <v>247069</v>
      </c>
      <c r="V9" s="147">
        <v>294</v>
      </c>
      <c r="W9" s="147">
        <v>111</v>
      </c>
      <c r="X9" s="145">
        <v>566148</v>
      </c>
      <c r="Y9" s="19">
        <v>330390</v>
      </c>
      <c r="Z9" s="147">
        <v>38042779</v>
      </c>
      <c r="AA9" s="147">
        <v>496</v>
      </c>
      <c r="AB9" s="156">
        <v>0</v>
      </c>
      <c r="AC9" s="145">
        <v>38373665</v>
      </c>
      <c r="AD9" s="146">
        <v>463215</v>
      </c>
      <c r="AE9" s="147">
        <v>438061</v>
      </c>
      <c r="AF9" s="147">
        <v>1537</v>
      </c>
      <c r="AG9" s="147">
        <v>0</v>
      </c>
      <c r="AH9" s="145">
        <v>902813</v>
      </c>
      <c r="AI9" s="146">
        <v>340878</v>
      </c>
      <c r="AJ9" s="147">
        <v>1356800</v>
      </c>
      <c r="AK9" s="147">
        <v>2078</v>
      </c>
      <c r="AL9" s="147">
        <v>0</v>
      </c>
      <c r="AM9" s="145">
        <v>1699756</v>
      </c>
      <c r="AN9" s="146">
        <v>370839</v>
      </c>
      <c r="AO9" s="147">
        <v>1209347</v>
      </c>
      <c r="AP9" s="147">
        <v>1099</v>
      </c>
      <c r="AQ9" s="147">
        <v>0</v>
      </c>
      <c r="AR9" s="145">
        <v>1581285</v>
      </c>
      <c r="AS9" s="146">
        <v>0</v>
      </c>
      <c r="AT9" s="147">
        <v>0</v>
      </c>
      <c r="AU9" s="147">
        <v>0</v>
      </c>
      <c r="AV9" s="147">
        <v>0</v>
      </c>
      <c r="AW9" s="145">
        <v>0</v>
      </c>
      <c r="AX9" s="146">
        <v>0</v>
      </c>
      <c r="AY9" s="147">
        <v>0</v>
      </c>
      <c r="AZ9" s="147">
        <v>0</v>
      </c>
      <c r="BA9" s="147">
        <v>0</v>
      </c>
      <c r="BB9" s="145">
        <v>0</v>
      </c>
      <c r="BC9" s="146">
        <v>0</v>
      </c>
      <c r="BD9" s="147">
        <v>0</v>
      </c>
      <c r="BE9" s="147">
        <v>0</v>
      </c>
      <c r="BF9" s="147">
        <v>0</v>
      </c>
      <c r="BG9" s="145">
        <v>0</v>
      </c>
      <c r="BH9" s="146">
        <v>0</v>
      </c>
      <c r="BI9" s="147">
        <v>0</v>
      </c>
      <c r="BJ9" s="147">
        <v>0</v>
      </c>
      <c r="BK9" s="147">
        <v>0</v>
      </c>
      <c r="BL9" s="145">
        <v>0</v>
      </c>
      <c r="BM9" s="146">
        <v>0</v>
      </c>
      <c r="BN9" s="147">
        <v>0</v>
      </c>
      <c r="BO9" s="147">
        <v>0</v>
      </c>
      <c r="BP9" s="147">
        <v>0</v>
      </c>
      <c r="BQ9" s="145">
        <v>0</v>
      </c>
      <c r="BR9" s="146">
        <v>2451820</v>
      </c>
      <c r="BS9" s="80">
        <v>41303443</v>
      </c>
      <c r="BT9" s="147">
        <v>6563</v>
      </c>
      <c r="BU9" s="147">
        <v>111</v>
      </c>
      <c r="BV9" s="148">
        <v>43761937</v>
      </c>
      <c r="BW9" s="153"/>
      <c r="BX9" s="150"/>
      <c r="BZ9" s="151"/>
      <c r="CA9" s="151"/>
      <c r="CB9" s="151"/>
      <c r="CC9" s="151"/>
      <c r="CD9" s="151"/>
      <c r="CE9" s="152"/>
      <c r="CF9" s="152"/>
      <c r="CG9" s="152"/>
      <c r="CH9" s="153"/>
      <c r="CI9" s="152"/>
    </row>
    <row r="10" spans="1:87" x14ac:dyDescent="0.3">
      <c r="A10" s="141">
        <v>4</v>
      </c>
      <c r="B10" s="142" t="s">
        <v>65</v>
      </c>
      <c r="D10" s="154"/>
      <c r="E10" s="144">
        <v>461795</v>
      </c>
      <c r="F10" s="51">
        <v>255004</v>
      </c>
      <c r="G10" s="51">
        <v>3112</v>
      </c>
      <c r="H10" s="50">
        <v>0</v>
      </c>
      <c r="I10" s="145">
        <v>719911</v>
      </c>
      <c r="J10" s="146">
        <v>28997</v>
      </c>
      <c r="K10" s="147">
        <v>63737</v>
      </c>
      <c r="L10" s="147">
        <v>54</v>
      </c>
      <c r="M10" s="147">
        <v>16</v>
      </c>
      <c r="N10" s="145">
        <v>92804</v>
      </c>
      <c r="O10" s="147">
        <v>45519</v>
      </c>
      <c r="P10" s="147">
        <v>0</v>
      </c>
      <c r="Q10" s="147">
        <v>932</v>
      </c>
      <c r="R10" s="147">
        <v>0</v>
      </c>
      <c r="S10" s="145">
        <v>46451</v>
      </c>
      <c r="T10" s="146">
        <v>38664</v>
      </c>
      <c r="U10" s="147">
        <v>153</v>
      </c>
      <c r="V10" s="147">
        <v>316</v>
      </c>
      <c r="W10" s="147">
        <v>13</v>
      </c>
      <c r="X10" s="145">
        <v>39146</v>
      </c>
      <c r="Y10" s="19">
        <v>36974</v>
      </c>
      <c r="Z10" s="147">
        <v>63584</v>
      </c>
      <c r="AA10" s="147">
        <v>139</v>
      </c>
      <c r="AB10" s="156">
        <v>0</v>
      </c>
      <c r="AC10" s="145">
        <v>100697</v>
      </c>
      <c r="AD10" s="146">
        <v>42741</v>
      </c>
      <c r="AE10" s="147">
        <v>0</v>
      </c>
      <c r="AF10" s="147">
        <v>273</v>
      </c>
      <c r="AG10" s="147">
        <v>1</v>
      </c>
      <c r="AH10" s="145">
        <v>43015</v>
      </c>
      <c r="AI10" s="146">
        <v>36800</v>
      </c>
      <c r="AJ10" s="147">
        <v>530</v>
      </c>
      <c r="AK10" s="147">
        <v>407</v>
      </c>
      <c r="AL10" s="147">
        <v>41</v>
      </c>
      <c r="AM10" s="145">
        <v>37778</v>
      </c>
      <c r="AN10" s="146">
        <v>36292</v>
      </c>
      <c r="AO10" s="147">
        <v>63736</v>
      </c>
      <c r="AP10" s="147">
        <v>543</v>
      </c>
      <c r="AQ10" s="147">
        <v>0</v>
      </c>
      <c r="AR10" s="145">
        <v>100571</v>
      </c>
      <c r="AS10" s="146">
        <v>0</v>
      </c>
      <c r="AT10" s="147">
        <v>0</v>
      </c>
      <c r="AU10" s="147">
        <v>0</v>
      </c>
      <c r="AV10" s="147">
        <v>0</v>
      </c>
      <c r="AW10" s="145">
        <v>0</v>
      </c>
      <c r="AX10" s="146">
        <v>0</v>
      </c>
      <c r="AY10" s="147">
        <v>0</v>
      </c>
      <c r="AZ10" s="147">
        <v>0</v>
      </c>
      <c r="BA10" s="147">
        <v>0</v>
      </c>
      <c r="BB10" s="145">
        <v>0</v>
      </c>
      <c r="BC10" s="146">
        <v>0</v>
      </c>
      <c r="BD10" s="147">
        <v>0</v>
      </c>
      <c r="BE10" s="147">
        <v>0</v>
      </c>
      <c r="BF10" s="147">
        <v>0</v>
      </c>
      <c r="BG10" s="145">
        <v>0</v>
      </c>
      <c r="BH10" s="146">
        <v>0</v>
      </c>
      <c r="BI10" s="147">
        <v>0</v>
      </c>
      <c r="BJ10" s="147">
        <v>0</v>
      </c>
      <c r="BK10" s="147">
        <v>0</v>
      </c>
      <c r="BL10" s="145">
        <v>0</v>
      </c>
      <c r="BM10" s="146">
        <v>0</v>
      </c>
      <c r="BN10" s="147">
        <v>0</v>
      </c>
      <c r="BO10" s="147">
        <v>0</v>
      </c>
      <c r="BP10" s="147">
        <v>0</v>
      </c>
      <c r="BQ10" s="145">
        <v>0</v>
      </c>
      <c r="BR10" s="146">
        <v>265987</v>
      </c>
      <c r="BS10" s="80">
        <v>191740</v>
      </c>
      <c r="BT10" s="147">
        <v>2664</v>
      </c>
      <c r="BU10" s="147">
        <v>71</v>
      </c>
      <c r="BV10" s="148">
        <v>460462</v>
      </c>
      <c r="BW10" s="153"/>
      <c r="BX10" s="155"/>
      <c r="BZ10" s="151"/>
      <c r="CA10" s="151"/>
      <c r="CB10" s="151"/>
      <c r="CC10" s="151"/>
      <c r="CD10" s="151"/>
      <c r="CE10" s="152"/>
      <c r="CF10" s="152"/>
      <c r="CG10" s="152"/>
      <c r="CH10" s="153"/>
      <c r="CI10" s="152"/>
    </row>
    <row r="11" spans="1:87" x14ac:dyDescent="0.3">
      <c r="A11" s="141">
        <v>5</v>
      </c>
      <c r="B11" s="142" t="s">
        <v>66</v>
      </c>
      <c r="D11" s="154"/>
      <c r="E11" s="144">
        <v>6798053</v>
      </c>
      <c r="F11" s="51">
        <v>2593641</v>
      </c>
      <c r="G11" s="51">
        <v>14264</v>
      </c>
      <c r="H11" s="50">
        <v>0</v>
      </c>
      <c r="I11" s="145">
        <v>9405958</v>
      </c>
      <c r="J11" s="146">
        <v>459985</v>
      </c>
      <c r="K11" s="147">
        <v>217170</v>
      </c>
      <c r="L11" s="147">
        <v>4344</v>
      </c>
      <c r="M11" s="147">
        <v>0</v>
      </c>
      <c r="N11" s="145">
        <v>681499</v>
      </c>
      <c r="O11" s="147">
        <v>575686</v>
      </c>
      <c r="P11" s="147">
        <v>133313</v>
      </c>
      <c r="Q11" s="147">
        <v>9530</v>
      </c>
      <c r="R11" s="147">
        <v>0</v>
      </c>
      <c r="S11" s="145">
        <v>718529</v>
      </c>
      <c r="T11" s="146">
        <v>630470</v>
      </c>
      <c r="U11" s="147">
        <v>131799</v>
      </c>
      <c r="V11" s="147">
        <v>19890</v>
      </c>
      <c r="W11" s="147">
        <v>0</v>
      </c>
      <c r="X11" s="145">
        <v>782159</v>
      </c>
      <c r="Y11" s="19">
        <v>625048</v>
      </c>
      <c r="Z11" s="147">
        <v>218678</v>
      </c>
      <c r="AA11" s="147">
        <v>4263</v>
      </c>
      <c r="AB11" s="156">
        <v>0</v>
      </c>
      <c r="AC11" s="145">
        <v>847989</v>
      </c>
      <c r="AD11" s="146">
        <v>596566</v>
      </c>
      <c r="AE11" s="147">
        <v>131835</v>
      </c>
      <c r="AF11" s="147">
        <v>27148</v>
      </c>
      <c r="AG11" s="147">
        <v>0</v>
      </c>
      <c r="AH11" s="145">
        <v>755549</v>
      </c>
      <c r="AI11" s="146">
        <v>557260</v>
      </c>
      <c r="AJ11" s="147">
        <v>131585</v>
      </c>
      <c r="AK11" s="147">
        <v>4214</v>
      </c>
      <c r="AL11" s="147">
        <v>0</v>
      </c>
      <c r="AM11" s="145">
        <v>693059</v>
      </c>
      <c r="AN11" s="146">
        <v>588520</v>
      </c>
      <c r="AO11" s="147">
        <v>216928</v>
      </c>
      <c r="AP11" s="147">
        <v>18955</v>
      </c>
      <c r="AQ11" s="147">
        <v>0</v>
      </c>
      <c r="AR11" s="145">
        <v>824403</v>
      </c>
      <c r="AS11" s="146">
        <v>0</v>
      </c>
      <c r="AT11" s="147">
        <v>0</v>
      </c>
      <c r="AU11" s="147">
        <v>0</v>
      </c>
      <c r="AV11" s="147">
        <v>0</v>
      </c>
      <c r="AW11" s="145">
        <v>0</v>
      </c>
      <c r="AX11" s="146">
        <v>0</v>
      </c>
      <c r="AY11" s="147">
        <v>0</v>
      </c>
      <c r="AZ11" s="147">
        <v>0</v>
      </c>
      <c r="BA11" s="147">
        <v>0</v>
      </c>
      <c r="BB11" s="145">
        <v>0</v>
      </c>
      <c r="BC11" s="146">
        <v>0</v>
      </c>
      <c r="BD11" s="147">
        <v>0</v>
      </c>
      <c r="BE11" s="147">
        <v>0</v>
      </c>
      <c r="BF11" s="147">
        <v>0</v>
      </c>
      <c r="BG11" s="145">
        <v>0</v>
      </c>
      <c r="BH11" s="146">
        <v>0</v>
      </c>
      <c r="BI11" s="147">
        <v>0</v>
      </c>
      <c r="BJ11" s="147">
        <v>0</v>
      </c>
      <c r="BK11" s="147">
        <v>0</v>
      </c>
      <c r="BL11" s="145">
        <v>0</v>
      </c>
      <c r="BM11" s="146">
        <v>0</v>
      </c>
      <c r="BN11" s="147">
        <v>0</v>
      </c>
      <c r="BO11" s="147">
        <v>0</v>
      </c>
      <c r="BP11" s="147">
        <v>0</v>
      </c>
      <c r="BQ11" s="145">
        <v>0</v>
      </c>
      <c r="BR11" s="146">
        <v>4033535</v>
      </c>
      <c r="BS11" s="80">
        <v>1181308</v>
      </c>
      <c r="BT11" s="147">
        <v>88344</v>
      </c>
      <c r="BU11" s="147">
        <v>0</v>
      </c>
      <c r="BV11" s="148">
        <v>5303187</v>
      </c>
      <c r="BW11" s="153"/>
      <c r="BX11" s="155"/>
      <c r="BZ11" s="151"/>
      <c r="CA11" s="151"/>
      <c r="CB11" s="151"/>
      <c r="CC11" s="151"/>
      <c r="CD11" s="151"/>
      <c r="CE11" s="152"/>
      <c r="CF11" s="152"/>
      <c r="CG11" s="152"/>
      <c r="CH11" s="153"/>
      <c r="CI11" s="152"/>
    </row>
    <row r="12" spans="1:87" x14ac:dyDescent="0.3">
      <c r="A12" s="141">
        <v>6</v>
      </c>
      <c r="B12" s="142" t="s">
        <v>67</v>
      </c>
      <c r="D12" s="143"/>
      <c r="E12" s="144">
        <v>5446981</v>
      </c>
      <c r="F12" s="51">
        <v>799745</v>
      </c>
      <c r="G12" s="51">
        <v>353782</v>
      </c>
      <c r="H12" s="50">
        <v>0</v>
      </c>
      <c r="I12" s="145">
        <v>6600508</v>
      </c>
      <c r="J12" s="146">
        <v>311488</v>
      </c>
      <c r="K12" s="147">
        <v>52263</v>
      </c>
      <c r="L12" s="147">
        <v>1936</v>
      </c>
      <c r="M12" s="147">
        <v>112</v>
      </c>
      <c r="N12" s="145">
        <v>365799</v>
      </c>
      <c r="O12" s="147">
        <v>432436</v>
      </c>
      <c r="P12" s="147">
        <v>8632</v>
      </c>
      <c r="Q12" s="147">
        <v>53913</v>
      </c>
      <c r="R12" s="147">
        <v>0</v>
      </c>
      <c r="S12" s="145">
        <v>494981</v>
      </c>
      <c r="T12" s="146">
        <v>402803</v>
      </c>
      <c r="U12" s="147">
        <v>415584</v>
      </c>
      <c r="V12" s="147">
        <v>5761</v>
      </c>
      <c r="W12" s="147">
        <v>31</v>
      </c>
      <c r="X12" s="145">
        <v>824179</v>
      </c>
      <c r="Y12" s="19">
        <v>532132</v>
      </c>
      <c r="Z12" s="147">
        <v>3783</v>
      </c>
      <c r="AA12" s="147">
        <v>-33826</v>
      </c>
      <c r="AB12" s="147">
        <v>391</v>
      </c>
      <c r="AC12" s="145">
        <v>502480</v>
      </c>
      <c r="AD12" s="146">
        <v>240767</v>
      </c>
      <c r="AE12" s="147">
        <v>4786</v>
      </c>
      <c r="AF12" s="147">
        <v>2328</v>
      </c>
      <c r="AG12" s="147">
        <v>18282</v>
      </c>
      <c r="AH12" s="145">
        <v>266163</v>
      </c>
      <c r="AI12" s="146">
        <v>713226</v>
      </c>
      <c r="AJ12" s="147">
        <v>13167</v>
      </c>
      <c r="AK12" s="147">
        <v>36796</v>
      </c>
      <c r="AL12" s="147">
        <v>344</v>
      </c>
      <c r="AM12" s="145">
        <v>763533</v>
      </c>
      <c r="AN12" s="146">
        <v>436965</v>
      </c>
      <c r="AO12" s="147">
        <v>60207</v>
      </c>
      <c r="AP12" s="147">
        <v>-3789</v>
      </c>
      <c r="AQ12" s="147">
        <v>41</v>
      </c>
      <c r="AR12" s="145">
        <v>493424</v>
      </c>
      <c r="AS12" s="146">
        <v>0</v>
      </c>
      <c r="AT12" s="147">
        <v>0</v>
      </c>
      <c r="AU12" s="147">
        <v>0</v>
      </c>
      <c r="AV12" s="147">
        <v>0</v>
      </c>
      <c r="AW12" s="145">
        <v>0</v>
      </c>
      <c r="AX12" s="146">
        <v>0</v>
      </c>
      <c r="AY12" s="147">
        <v>0</v>
      </c>
      <c r="AZ12" s="147">
        <v>0</v>
      </c>
      <c r="BA12" s="147">
        <v>0</v>
      </c>
      <c r="BB12" s="145">
        <v>0</v>
      </c>
      <c r="BC12" s="146">
        <v>0</v>
      </c>
      <c r="BD12" s="147">
        <v>0</v>
      </c>
      <c r="BE12" s="147">
        <v>0</v>
      </c>
      <c r="BF12" s="147">
        <v>0</v>
      </c>
      <c r="BG12" s="145">
        <v>0</v>
      </c>
      <c r="BH12" s="146">
        <v>0</v>
      </c>
      <c r="BI12" s="147">
        <v>0</v>
      </c>
      <c r="BJ12" s="147">
        <v>0</v>
      </c>
      <c r="BK12" s="147">
        <v>0</v>
      </c>
      <c r="BL12" s="145">
        <v>0</v>
      </c>
      <c r="BM12" s="146">
        <v>0</v>
      </c>
      <c r="BN12" s="147">
        <v>0</v>
      </c>
      <c r="BO12" s="147">
        <v>0</v>
      </c>
      <c r="BP12" s="147">
        <v>0</v>
      </c>
      <c r="BQ12" s="145">
        <v>0</v>
      </c>
      <c r="BR12" s="146">
        <v>3069817</v>
      </c>
      <c r="BS12" s="80">
        <v>558422</v>
      </c>
      <c r="BT12" s="147">
        <v>63119</v>
      </c>
      <c r="BU12" s="147">
        <v>19201</v>
      </c>
      <c r="BV12" s="148">
        <v>3710559</v>
      </c>
      <c r="BW12" s="153"/>
      <c r="BX12" s="155"/>
      <c r="BZ12" s="151"/>
      <c r="CA12" s="151"/>
      <c r="CB12" s="151"/>
      <c r="CC12" s="151"/>
      <c r="CD12" s="151"/>
      <c r="CE12" s="152"/>
      <c r="CF12" s="152"/>
      <c r="CG12" s="152"/>
      <c r="CH12" s="153"/>
      <c r="CI12" s="152"/>
    </row>
    <row r="13" spans="1:87" x14ac:dyDescent="0.3">
      <c r="A13" s="141">
        <v>7</v>
      </c>
      <c r="B13" s="142" t="s">
        <v>68</v>
      </c>
      <c r="D13" s="143"/>
      <c r="E13" s="144">
        <v>108522</v>
      </c>
      <c r="F13" s="51">
        <v>115721</v>
      </c>
      <c r="G13" s="51">
        <v>3826</v>
      </c>
      <c r="H13" s="50">
        <v>0</v>
      </c>
      <c r="I13" s="145">
        <v>228069</v>
      </c>
      <c r="J13" s="146">
        <v>8763</v>
      </c>
      <c r="K13" s="147">
        <v>0</v>
      </c>
      <c r="L13" s="147">
        <v>0</v>
      </c>
      <c r="M13" s="147">
        <v>0</v>
      </c>
      <c r="N13" s="145">
        <v>8763</v>
      </c>
      <c r="O13" s="147">
        <v>5409</v>
      </c>
      <c r="P13" s="147">
        <v>17361</v>
      </c>
      <c r="Q13" s="147">
        <v>0</v>
      </c>
      <c r="R13" s="147">
        <v>0</v>
      </c>
      <c r="S13" s="145">
        <v>22770</v>
      </c>
      <c r="T13" s="146">
        <v>9293</v>
      </c>
      <c r="U13" s="147">
        <v>10048</v>
      </c>
      <c r="V13" s="147">
        <v>0</v>
      </c>
      <c r="W13" s="147">
        <v>0</v>
      </c>
      <c r="X13" s="145">
        <v>19341</v>
      </c>
      <c r="Y13" s="19">
        <v>8823</v>
      </c>
      <c r="Z13" s="147">
        <v>9870</v>
      </c>
      <c r="AA13" s="147">
        <v>0</v>
      </c>
      <c r="AB13" s="147">
        <v>0</v>
      </c>
      <c r="AC13" s="145">
        <v>18693</v>
      </c>
      <c r="AD13" s="146">
        <v>7658</v>
      </c>
      <c r="AE13" s="147">
        <v>9836</v>
      </c>
      <c r="AF13" s="147">
        <v>389</v>
      </c>
      <c r="AG13" s="147">
        <v>0</v>
      </c>
      <c r="AH13" s="145">
        <v>17883</v>
      </c>
      <c r="AI13" s="146">
        <v>8717</v>
      </c>
      <c r="AJ13" s="147">
        <v>9836</v>
      </c>
      <c r="AK13" s="147">
        <v>393</v>
      </c>
      <c r="AL13" s="147">
        <v>0</v>
      </c>
      <c r="AM13" s="145">
        <v>18946</v>
      </c>
      <c r="AN13" s="146">
        <v>7949</v>
      </c>
      <c r="AO13" s="147">
        <v>9943</v>
      </c>
      <c r="AP13" s="147">
        <v>544</v>
      </c>
      <c r="AQ13" s="147">
        <v>0</v>
      </c>
      <c r="AR13" s="145">
        <v>18436</v>
      </c>
      <c r="AS13" s="146">
        <v>0</v>
      </c>
      <c r="AT13" s="147">
        <v>0</v>
      </c>
      <c r="AU13" s="147">
        <v>0</v>
      </c>
      <c r="AV13" s="147">
        <v>0</v>
      </c>
      <c r="AW13" s="145">
        <v>0</v>
      </c>
      <c r="AX13" s="146">
        <v>0</v>
      </c>
      <c r="AY13" s="147">
        <v>0</v>
      </c>
      <c r="AZ13" s="147">
        <v>0</v>
      </c>
      <c r="BA13" s="147">
        <v>0</v>
      </c>
      <c r="BB13" s="145">
        <v>0</v>
      </c>
      <c r="BC13" s="146">
        <v>0</v>
      </c>
      <c r="BD13" s="147">
        <v>0</v>
      </c>
      <c r="BE13" s="147">
        <v>0</v>
      </c>
      <c r="BF13" s="147">
        <v>0</v>
      </c>
      <c r="BG13" s="145">
        <v>0</v>
      </c>
      <c r="BH13" s="146">
        <v>0</v>
      </c>
      <c r="BI13" s="147">
        <v>0</v>
      </c>
      <c r="BJ13" s="147">
        <v>0</v>
      </c>
      <c r="BK13" s="147">
        <v>0</v>
      </c>
      <c r="BL13" s="145">
        <v>0</v>
      </c>
      <c r="BM13" s="146">
        <v>0</v>
      </c>
      <c r="BN13" s="147">
        <v>0</v>
      </c>
      <c r="BO13" s="147">
        <v>0</v>
      </c>
      <c r="BP13" s="147">
        <v>0</v>
      </c>
      <c r="BQ13" s="145">
        <v>0</v>
      </c>
      <c r="BR13" s="146">
        <v>56612</v>
      </c>
      <c r="BS13" s="80">
        <v>66894</v>
      </c>
      <c r="BT13" s="147">
        <v>1326</v>
      </c>
      <c r="BU13" s="147">
        <v>0</v>
      </c>
      <c r="BV13" s="148">
        <v>124832</v>
      </c>
      <c r="BW13" s="153"/>
      <c r="BX13" s="155"/>
      <c r="BZ13" s="151"/>
      <c r="CA13" s="151"/>
      <c r="CB13" s="151"/>
      <c r="CC13" s="151"/>
      <c r="CD13" s="151"/>
      <c r="CE13" s="152"/>
      <c r="CF13" s="152"/>
      <c r="CG13" s="152"/>
      <c r="CH13" s="153"/>
      <c r="CI13" s="152"/>
    </row>
    <row r="14" spans="1:87" x14ac:dyDescent="0.3">
      <c r="A14" s="157">
        <v>8</v>
      </c>
      <c r="B14" s="158" t="s">
        <v>69</v>
      </c>
      <c r="D14" s="159"/>
      <c r="E14" s="144">
        <v>2776236</v>
      </c>
      <c r="F14" s="51">
        <v>29182680</v>
      </c>
      <c r="G14" s="51">
        <v>38153</v>
      </c>
      <c r="H14" s="50">
        <v>1942172</v>
      </c>
      <c r="I14" s="145">
        <v>33939241</v>
      </c>
      <c r="J14" s="146">
        <v>180816</v>
      </c>
      <c r="K14" s="147">
        <v>1693067</v>
      </c>
      <c r="L14" s="147">
        <v>1116</v>
      </c>
      <c r="M14" s="147">
        <v>663671</v>
      </c>
      <c r="N14" s="145">
        <v>2538670</v>
      </c>
      <c r="O14" s="147">
        <v>118906</v>
      </c>
      <c r="P14" s="147">
        <v>1787954</v>
      </c>
      <c r="Q14" s="147">
        <v>2807</v>
      </c>
      <c r="R14" s="147">
        <v>0</v>
      </c>
      <c r="S14" s="145">
        <v>1909667</v>
      </c>
      <c r="T14" s="146">
        <v>182149</v>
      </c>
      <c r="U14" s="147">
        <v>2735633</v>
      </c>
      <c r="V14" s="147">
        <v>10800</v>
      </c>
      <c r="W14" s="147">
        <v>0</v>
      </c>
      <c r="X14" s="145">
        <v>2928582</v>
      </c>
      <c r="Y14" s="19">
        <v>220304</v>
      </c>
      <c r="Z14" s="147">
        <v>2830216</v>
      </c>
      <c r="AA14" s="147">
        <v>6541</v>
      </c>
      <c r="AB14" s="147">
        <v>141438</v>
      </c>
      <c r="AC14" s="145">
        <v>3198499</v>
      </c>
      <c r="AD14" s="146">
        <v>144044</v>
      </c>
      <c r="AE14" s="147">
        <v>2538620</v>
      </c>
      <c r="AF14" s="147">
        <v>21</v>
      </c>
      <c r="AG14" s="147">
        <v>0</v>
      </c>
      <c r="AH14" s="145">
        <v>2682685</v>
      </c>
      <c r="AI14" s="146">
        <v>225895</v>
      </c>
      <c r="AJ14" s="147">
        <v>1958178</v>
      </c>
      <c r="AK14" s="147">
        <v>192</v>
      </c>
      <c r="AL14" s="147">
        <v>0</v>
      </c>
      <c r="AM14" s="145">
        <v>2184265</v>
      </c>
      <c r="AN14" s="146">
        <v>177659</v>
      </c>
      <c r="AO14" s="147">
        <v>2167355</v>
      </c>
      <c r="AP14" s="147">
        <v>1876</v>
      </c>
      <c r="AQ14" s="147">
        <v>0</v>
      </c>
      <c r="AR14" s="145">
        <v>2346890</v>
      </c>
      <c r="AS14" s="146">
        <v>0</v>
      </c>
      <c r="AT14" s="147">
        <v>0</v>
      </c>
      <c r="AU14" s="147">
        <v>0</v>
      </c>
      <c r="AV14" s="147">
        <v>0</v>
      </c>
      <c r="AW14" s="145">
        <v>0</v>
      </c>
      <c r="AX14" s="146">
        <v>0</v>
      </c>
      <c r="AY14" s="147">
        <v>0</v>
      </c>
      <c r="AZ14" s="147">
        <v>0</v>
      </c>
      <c r="BA14" s="147">
        <v>0</v>
      </c>
      <c r="BB14" s="145">
        <v>0</v>
      </c>
      <c r="BC14" s="146">
        <v>0</v>
      </c>
      <c r="BD14" s="147">
        <v>0</v>
      </c>
      <c r="BE14" s="147">
        <v>0</v>
      </c>
      <c r="BF14" s="147">
        <v>0</v>
      </c>
      <c r="BG14" s="145">
        <v>0</v>
      </c>
      <c r="BH14" s="146">
        <v>0</v>
      </c>
      <c r="BI14" s="147">
        <v>0</v>
      </c>
      <c r="BJ14" s="147">
        <v>0</v>
      </c>
      <c r="BK14" s="147">
        <v>0</v>
      </c>
      <c r="BL14" s="145">
        <v>0</v>
      </c>
      <c r="BM14" s="146">
        <v>0</v>
      </c>
      <c r="BN14" s="147">
        <v>0</v>
      </c>
      <c r="BO14" s="147">
        <v>0</v>
      </c>
      <c r="BP14" s="147">
        <v>0</v>
      </c>
      <c r="BQ14" s="145">
        <v>0</v>
      </c>
      <c r="BR14" s="146">
        <v>1249773</v>
      </c>
      <c r="BS14" s="80">
        <v>15711023</v>
      </c>
      <c r="BT14" s="147">
        <v>23353</v>
      </c>
      <c r="BU14" s="147">
        <v>805109</v>
      </c>
      <c r="BV14" s="148">
        <v>17789258</v>
      </c>
      <c r="BW14" s="153"/>
      <c r="BX14" s="150"/>
      <c r="BZ14" s="160"/>
      <c r="CA14" s="160"/>
      <c r="CB14" s="160"/>
      <c r="CC14" s="160"/>
      <c r="CD14" s="160"/>
      <c r="CE14" s="152"/>
      <c r="CF14" s="152"/>
      <c r="CG14" s="152"/>
      <c r="CH14" s="153"/>
      <c r="CI14" s="152"/>
    </row>
    <row r="15" spans="1:87" x14ac:dyDescent="0.3">
      <c r="A15" s="141">
        <v>9</v>
      </c>
      <c r="B15" s="142" t="s">
        <v>70</v>
      </c>
      <c r="D15" s="161"/>
      <c r="E15" s="144">
        <v>465695</v>
      </c>
      <c r="F15" s="51">
        <v>0</v>
      </c>
      <c r="G15" s="51">
        <v>5155</v>
      </c>
      <c r="H15" s="50">
        <v>0</v>
      </c>
      <c r="I15" s="145">
        <v>470850</v>
      </c>
      <c r="J15" s="146">
        <v>29898</v>
      </c>
      <c r="K15" s="147">
        <v>170</v>
      </c>
      <c r="L15" s="147">
        <v>168</v>
      </c>
      <c r="M15" s="147">
        <v>0</v>
      </c>
      <c r="N15" s="145">
        <v>30236</v>
      </c>
      <c r="O15" s="147">
        <v>32894</v>
      </c>
      <c r="P15" s="147">
        <v>92</v>
      </c>
      <c r="Q15" s="147">
        <v>46</v>
      </c>
      <c r="R15" s="147">
        <v>0</v>
      </c>
      <c r="S15" s="145">
        <v>33032</v>
      </c>
      <c r="T15" s="146">
        <v>30171</v>
      </c>
      <c r="U15" s="147">
        <v>18</v>
      </c>
      <c r="V15" s="147">
        <v>54</v>
      </c>
      <c r="W15" s="147">
        <v>0</v>
      </c>
      <c r="X15" s="145">
        <v>30243</v>
      </c>
      <c r="Y15" s="146">
        <v>31918</v>
      </c>
      <c r="Z15" s="147">
        <v>202</v>
      </c>
      <c r="AA15" s="147">
        <v>63</v>
      </c>
      <c r="AB15" s="156">
        <v>0</v>
      </c>
      <c r="AC15" s="145">
        <v>32183</v>
      </c>
      <c r="AD15" s="146">
        <v>37280</v>
      </c>
      <c r="AE15" s="147">
        <v>0</v>
      </c>
      <c r="AF15" s="147">
        <v>90</v>
      </c>
      <c r="AG15" s="147">
        <v>1</v>
      </c>
      <c r="AH15" s="145">
        <v>37371</v>
      </c>
      <c r="AI15" s="146">
        <v>36515</v>
      </c>
      <c r="AJ15" s="147">
        <v>69</v>
      </c>
      <c r="AK15" s="147">
        <v>66</v>
      </c>
      <c r="AL15" s="147">
        <v>0</v>
      </c>
      <c r="AM15" s="145">
        <v>36650</v>
      </c>
      <c r="AN15" s="146">
        <v>34489</v>
      </c>
      <c r="AO15" s="147">
        <v>351</v>
      </c>
      <c r="AP15" s="147">
        <v>71</v>
      </c>
      <c r="AQ15" s="147">
        <v>0</v>
      </c>
      <c r="AR15" s="145">
        <v>34911</v>
      </c>
      <c r="AS15" s="146">
        <v>0</v>
      </c>
      <c r="AT15" s="147">
        <v>0</v>
      </c>
      <c r="AU15" s="147">
        <v>0</v>
      </c>
      <c r="AV15" s="147">
        <v>0</v>
      </c>
      <c r="AW15" s="145">
        <v>0</v>
      </c>
      <c r="AX15" s="146">
        <v>0</v>
      </c>
      <c r="AY15" s="147">
        <v>0</v>
      </c>
      <c r="AZ15" s="147">
        <v>0</v>
      </c>
      <c r="BA15" s="147">
        <v>0</v>
      </c>
      <c r="BB15" s="145">
        <v>0</v>
      </c>
      <c r="BC15" s="146">
        <v>0</v>
      </c>
      <c r="BD15" s="147">
        <v>0</v>
      </c>
      <c r="BE15" s="147">
        <v>0</v>
      </c>
      <c r="BF15" s="147">
        <v>0</v>
      </c>
      <c r="BG15" s="145">
        <v>0</v>
      </c>
      <c r="BH15" s="146">
        <v>0</v>
      </c>
      <c r="BI15" s="147">
        <v>0</v>
      </c>
      <c r="BJ15" s="147">
        <v>0</v>
      </c>
      <c r="BK15" s="147">
        <v>0</v>
      </c>
      <c r="BL15" s="145">
        <v>0</v>
      </c>
      <c r="BM15" s="146">
        <v>0</v>
      </c>
      <c r="BN15" s="147">
        <v>0</v>
      </c>
      <c r="BO15" s="147">
        <v>0</v>
      </c>
      <c r="BP15" s="147">
        <v>0</v>
      </c>
      <c r="BQ15" s="145">
        <v>0</v>
      </c>
      <c r="BR15" s="146">
        <v>233165</v>
      </c>
      <c r="BS15" s="80">
        <v>902</v>
      </c>
      <c r="BT15" s="147">
        <v>558</v>
      </c>
      <c r="BU15" s="147">
        <v>1</v>
      </c>
      <c r="BV15" s="148">
        <v>234626</v>
      </c>
      <c r="BW15" s="153"/>
      <c r="BX15" s="150"/>
      <c r="BZ15" s="151"/>
      <c r="CA15" s="151"/>
      <c r="CB15" s="151"/>
      <c r="CC15" s="151"/>
      <c r="CD15" s="151"/>
      <c r="CE15" s="152"/>
      <c r="CF15" s="152"/>
      <c r="CG15" s="152"/>
      <c r="CH15" s="153"/>
      <c r="CI15" s="152"/>
    </row>
    <row r="16" spans="1:87" x14ac:dyDescent="0.3">
      <c r="A16" s="141">
        <v>10</v>
      </c>
      <c r="B16" s="162" t="s">
        <v>71</v>
      </c>
      <c r="D16" s="161"/>
      <c r="E16" s="144">
        <v>290537</v>
      </c>
      <c r="F16" s="51">
        <v>19</v>
      </c>
      <c r="G16" s="51">
        <v>3876</v>
      </c>
      <c r="H16" s="50">
        <v>23634486</v>
      </c>
      <c r="I16" s="145">
        <v>23928918</v>
      </c>
      <c r="J16" s="146">
        <v>14186</v>
      </c>
      <c r="K16" s="147">
        <v>27</v>
      </c>
      <c r="L16" s="147">
        <v>0</v>
      </c>
      <c r="M16" s="147">
        <v>0</v>
      </c>
      <c r="N16" s="145">
        <v>14213</v>
      </c>
      <c r="O16" s="147">
        <v>15402</v>
      </c>
      <c r="P16" s="147">
        <v>62</v>
      </c>
      <c r="Q16" s="147">
        <v>362</v>
      </c>
      <c r="R16" s="147">
        <v>1000000</v>
      </c>
      <c r="S16" s="145">
        <v>1015826</v>
      </c>
      <c r="T16" s="146">
        <v>15304</v>
      </c>
      <c r="U16" s="147">
        <v>21</v>
      </c>
      <c r="V16" s="147">
        <v>1842</v>
      </c>
      <c r="W16" s="147">
        <v>3000000</v>
      </c>
      <c r="X16" s="145">
        <v>3017167</v>
      </c>
      <c r="Y16" s="146">
        <v>18170</v>
      </c>
      <c r="Z16" s="147">
        <v>0</v>
      </c>
      <c r="AA16" s="147">
        <v>77</v>
      </c>
      <c r="AB16" s="147">
        <v>0</v>
      </c>
      <c r="AC16" s="145">
        <v>18247</v>
      </c>
      <c r="AD16" s="146">
        <v>17998</v>
      </c>
      <c r="AE16" s="147">
        <v>209</v>
      </c>
      <c r="AF16" s="147">
        <v>34</v>
      </c>
      <c r="AG16" s="147">
        <v>1582528</v>
      </c>
      <c r="AH16" s="145">
        <v>1600769</v>
      </c>
      <c r="AI16" s="146">
        <v>17360</v>
      </c>
      <c r="AJ16" s="147">
        <v>8</v>
      </c>
      <c r="AK16" s="147">
        <v>392</v>
      </c>
      <c r="AL16" s="147">
        <v>0</v>
      </c>
      <c r="AM16" s="145">
        <v>17760</v>
      </c>
      <c r="AN16" s="146">
        <v>14487</v>
      </c>
      <c r="AO16" s="147">
        <v>121</v>
      </c>
      <c r="AP16" s="147">
        <v>0</v>
      </c>
      <c r="AQ16" s="147">
        <v>0</v>
      </c>
      <c r="AR16" s="145">
        <v>14608</v>
      </c>
      <c r="AS16" s="146">
        <v>0</v>
      </c>
      <c r="AT16" s="147">
        <v>0</v>
      </c>
      <c r="AU16" s="147">
        <v>0</v>
      </c>
      <c r="AV16" s="147">
        <v>0</v>
      </c>
      <c r="AW16" s="145">
        <v>0</v>
      </c>
      <c r="AX16" s="146">
        <v>0</v>
      </c>
      <c r="AY16" s="147">
        <v>0</v>
      </c>
      <c r="AZ16" s="147">
        <v>0</v>
      </c>
      <c r="BA16" s="147">
        <v>0</v>
      </c>
      <c r="BB16" s="145">
        <v>0</v>
      </c>
      <c r="BC16" s="146">
        <v>0</v>
      </c>
      <c r="BD16" s="147">
        <v>0</v>
      </c>
      <c r="BE16" s="147">
        <v>0</v>
      </c>
      <c r="BF16" s="147">
        <v>0</v>
      </c>
      <c r="BG16" s="145">
        <v>0</v>
      </c>
      <c r="BH16" s="146">
        <v>0</v>
      </c>
      <c r="BI16" s="147">
        <v>0</v>
      </c>
      <c r="BJ16" s="147">
        <v>0</v>
      </c>
      <c r="BK16" s="147">
        <v>0</v>
      </c>
      <c r="BL16" s="145">
        <v>0</v>
      </c>
      <c r="BM16" s="146">
        <v>0</v>
      </c>
      <c r="BN16" s="147">
        <v>0</v>
      </c>
      <c r="BO16" s="147">
        <v>0</v>
      </c>
      <c r="BP16" s="147">
        <v>0</v>
      </c>
      <c r="BQ16" s="145">
        <v>0</v>
      </c>
      <c r="BR16" s="146">
        <v>112907</v>
      </c>
      <c r="BS16" s="80">
        <v>448</v>
      </c>
      <c r="BT16" s="147">
        <v>2707</v>
      </c>
      <c r="BU16" s="147">
        <v>5582528</v>
      </c>
      <c r="BV16" s="148">
        <v>5698590</v>
      </c>
      <c r="BW16" s="153"/>
      <c r="BX16" s="150"/>
      <c r="BZ16" s="151"/>
      <c r="CA16" s="151"/>
      <c r="CB16" s="151"/>
      <c r="CC16" s="151"/>
      <c r="CD16" s="151"/>
      <c r="CE16" s="152"/>
      <c r="CF16" s="152"/>
      <c r="CG16" s="152"/>
      <c r="CH16" s="153"/>
      <c r="CI16" s="152"/>
    </row>
    <row r="17" spans="1:87" x14ac:dyDescent="0.3">
      <c r="A17" s="141">
        <v>11</v>
      </c>
      <c r="B17" s="142" t="s">
        <v>72</v>
      </c>
      <c r="D17" s="154"/>
      <c r="E17" s="144">
        <v>489142</v>
      </c>
      <c r="F17" s="51">
        <v>46933</v>
      </c>
      <c r="G17" s="51">
        <v>4197</v>
      </c>
      <c r="H17" s="50">
        <v>0</v>
      </c>
      <c r="I17" s="145">
        <v>540272</v>
      </c>
      <c r="J17" s="146">
        <v>25666</v>
      </c>
      <c r="K17" s="147">
        <v>4131</v>
      </c>
      <c r="L17" s="147">
        <v>0</v>
      </c>
      <c r="M17" s="147">
        <v>0</v>
      </c>
      <c r="N17" s="145">
        <v>29797</v>
      </c>
      <c r="O17" s="147">
        <v>46109</v>
      </c>
      <c r="P17" s="147">
        <v>5406</v>
      </c>
      <c r="Q17" s="147">
        <v>67</v>
      </c>
      <c r="R17" s="147">
        <v>0</v>
      </c>
      <c r="S17" s="145">
        <v>51582</v>
      </c>
      <c r="T17" s="146">
        <v>31199</v>
      </c>
      <c r="U17" s="147">
        <v>4208</v>
      </c>
      <c r="V17" s="147">
        <v>1172</v>
      </c>
      <c r="W17" s="147">
        <v>0</v>
      </c>
      <c r="X17" s="145">
        <v>36579</v>
      </c>
      <c r="Y17" s="146">
        <v>42968</v>
      </c>
      <c r="Z17" s="147">
        <v>5307</v>
      </c>
      <c r="AA17" s="147">
        <v>251</v>
      </c>
      <c r="AB17" s="156">
        <v>0</v>
      </c>
      <c r="AC17" s="145">
        <v>48526</v>
      </c>
      <c r="AD17" s="146">
        <v>37020</v>
      </c>
      <c r="AE17" s="147">
        <v>4094</v>
      </c>
      <c r="AF17" s="147">
        <v>76</v>
      </c>
      <c r="AG17" s="147">
        <v>0</v>
      </c>
      <c r="AH17" s="145">
        <v>41190</v>
      </c>
      <c r="AI17" s="146">
        <v>28827</v>
      </c>
      <c r="AJ17" s="147">
        <v>5741</v>
      </c>
      <c r="AK17" s="147">
        <v>1918</v>
      </c>
      <c r="AL17" s="147">
        <v>0</v>
      </c>
      <c r="AM17" s="145">
        <v>36486</v>
      </c>
      <c r="AN17" s="146">
        <v>43016</v>
      </c>
      <c r="AO17" s="147">
        <v>3778</v>
      </c>
      <c r="AP17" s="147">
        <v>970</v>
      </c>
      <c r="AQ17" s="147">
        <v>0</v>
      </c>
      <c r="AR17" s="145">
        <v>47764</v>
      </c>
      <c r="AS17" s="146">
        <v>0</v>
      </c>
      <c r="AT17" s="147">
        <v>0</v>
      </c>
      <c r="AU17" s="147">
        <v>0</v>
      </c>
      <c r="AV17" s="147">
        <v>0</v>
      </c>
      <c r="AW17" s="145">
        <v>0</v>
      </c>
      <c r="AX17" s="146">
        <v>0</v>
      </c>
      <c r="AY17" s="147">
        <v>0</v>
      </c>
      <c r="AZ17" s="147">
        <v>0</v>
      </c>
      <c r="BA17" s="147">
        <v>0</v>
      </c>
      <c r="BB17" s="145">
        <v>0</v>
      </c>
      <c r="BC17" s="146">
        <v>0</v>
      </c>
      <c r="BD17" s="147">
        <v>0</v>
      </c>
      <c r="BE17" s="147">
        <v>0</v>
      </c>
      <c r="BF17" s="147">
        <v>0</v>
      </c>
      <c r="BG17" s="145">
        <v>0</v>
      </c>
      <c r="BH17" s="146">
        <v>0</v>
      </c>
      <c r="BI17" s="147">
        <v>0</v>
      </c>
      <c r="BJ17" s="147">
        <v>0</v>
      </c>
      <c r="BK17" s="147">
        <v>0</v>
      </c>
      <c r="BL17" s="145">
        <v>0</v>
      </c>
      <c r="BM17" s="146">
        <v>0</v>
      </c>
      <c r="BN17" s="147">
        <v>0</v>
      </c>
      <c r="BO17" s="147">
        <v>0</v>
      </c>
      <c r="BP17" s="147">
        <v>0</v>
      </c>
      <c r="BQ17" s="145">
        <v>0</v>
      </c>
      <c r="BR17" s="146">
        <v>254805</v>
      </c>
      <c r="BS17" s="80">
        <v>32665</v>
      </c>
      <c r="BT17" s="147">
        <v>4454</v>
      </c>
      <c r="BU17" s="147">
        <v>0</v>
      </c>
      <c r="BV17" s="148">
        <v>291924</v>
      </c>
      <c r="BW17" s="153"/>
      <c r="BX17" s="155"/>
      <c r="BZ17" s="151"/>
      <c r="CA17" s="151"/>
      <c r="CB17" s="151"/>
      <c r="CC17" s="151"/>
      <c r="CD17" s="151"/>
      <c r="CE17" s="152"/>
      <c r="CF17" s="152"/>
      <c r="CG17" s="152"/>
      <c r="CH17" s="153"/>
      <c r="CI17" s="152"/>
    </row>
    <row r="18" spans="1:87" x14ac:dyDescent="0.3">
      <c r="A18" s="141">
        <v>12</v>
      </c>
      <c r="B18" s="118" t="s">
        <v>73</v>
      </c>
      <c r="D18" s="143"/>
      <c r="E18" s="144">
        <v>287082</v>
      </c>
      <c r="F18" s="51">
        <v>611</v>
      </c>
      <c r="G18" s="51">
        <v>756</v>
      </c>
      <c r="H18" s="50">
        <v>0</v>
      </c>
      <c r="I18" s="145">
        <v>288449</v>
      </c>
      <c r="J18" s="146">
        <v>19265</v>
      </c>
      <c r="K18" s="147">
        <v>112</v>
      </c>
      <c r="L18" s="147">
        <v>41</v>
      </c>
      <c r="M18" s="147">
        <v>0</v>
      </c>
      <c r="N18" s="145">
        <v>19418</v>
      </c>
      <c r="O18" s="147">
        <v>19507</v>
      </c>
      <c r="P18" s="147">
        <v>0</v>
      </c>
      <c r="Q18" s="147">
        <v>270</v>
      </c>
      <c r="R18" s="147">
        <v>0</v>
      </c>
      <c r="S18" s="145">
        <v>19777</v>
      </c>
      <c r="T18" s="146">
        <v>23524</v>
      </c>
      <c r="U18" s="147">
        <v>240</v>
      </c>
      <c r="V18" s="147">
        <v>374</v>
      </c>
      <c r="W18" s="147">
        <v>0</v>
      </c>
      <c r="X18" s="145">
        <v>24138</v>
      </c>
      <c r="Y18" s="146">
        <v>21514</v>
      </c>
      <c r="Z18" s="147">
        <v>1</v>
      </c>
      <c r="AA18" s="147">
        <v>178</v>
      </c>
      <c r="AB18" s="156">
        <v>0</v>
      </c>
      <c r="AC18" s="145">
        <v>21693</v>
      </c>
      <c r="AD18" s="146">
        <v>19568</v>
      </c>
      <c r="AE18" s="147">
        <v>0</v>
      </c>
      <c r="AF18" s="147">
        <v>206</v>
      </c>
      <c r="AG18" s="147">
        <v>98</v>
      </c>
      <c r="AH18" s="145">
        <v>19872</v>
      </c>
      <c r="AI18" s="146">
        <v>24559</v>
      </c>
      <c r="AJ18" s="147">
        <v>18</v>
      </c>
      <c r="AK18" s="147">
        <v>78</v>
      </c>
      <c r="AL18" s="147">
        <v>0</v>
      </c>
      <c r="AM18" s="145">
        <v>24655</v>
      </c>
      <c r="AN18" s="146">
        <v>22445</v>
      </c>
      <c r="AO18" s="147">
        <v>115</v>
      </c>
      <c r="AP18" s="147">
        <v>103</v>
      </c>
      <c r="AQ18" s="147">
        <v>0</v>
      </c>
      <c r="AR18" s="145">
        <v>22663</v>
      </c>
      <c r="AS18" s="146">
        <v>0</v>
      </c>
      <c r="AT18" s="147">
        <v>0</v>
      </c>
      <c r="AU18" s="147">
        <v>0</v>
      </c>
      <c r="AV18" s="147">
        <v>0</v>
      </c>
      <c r="AW18" s="145">
        <v>0</v>
      </c>
      <c r="AX18" s="146">
        <v>0</v>
      </c>
      <c r="AY18" s="147">
        <v>0</v>
      </c>
      <c r="AZ18" s="147">
        <v>0</v>
      </c>
      <c r="BA18" s="147">
        <v>0</v>
      </c>
      <c r="BB18" s="145">
        <v>0</v>
      </c>
      <c r="BC18" s="146">
        <v>0</v>
      </c>
      <c r="BD18" s="147">
        <v>0</v>
      </c>
      <c r="BE18" s="147">
        <v>0</v>
      </c>
      <c r="BF18" s="147">
        <v>0</v>
      </c>
      <c r="BG18" s="145">
        <v>0</v>
      </c>
      <c r="BH18" s="146">
        <v>0</v>
      </c>
      <c r="BI18" s="147">
        <v>0</v>
      </c>
      <c r="BJ18" s="147">
        <v>0</v>
      </c>
      <c r="BK18" s="147">
        <v>0</v>
      </c>
      <c r="BL18" s="145">
        <v>0</v>
      </c>
      <c r="BM18" s="146">
        <v>0</v>
      </c>
      <c r="BN18" s="147">
        <v>0</v>
      </c>
      <c r="BO18" s="147">
        <v>0</v>
      </c>
      <c r="BP18" s="147">
        <v>0</v>
      </c>
      <c r="BQ18" s="145">
        <v>0</v>
      </c>
      <c r="BR18" s="146">
        <v>150382</v>
      </c>
      <c r="BS18" s="80">
        <v>486</v>
      </c>
      <c r="BT18" s="147">
        <v>1250</v>
      </c>
      <c r="BU18" s="147">
        <v>98</v>
      </c>
      <c r="BV18" s="148">
        <v>152216</v>
      </c>
      <c r="BW18" s="153"/>
      <c r="BX18" s="150"/>
      <c r="BZ18" s="151"/>
      <c r="CA18" s="151"/>
      <c r="CB18" s="151"/>
      <c r="CC18" s="151"/>
      <c r="CD18" s="151"/>
      <c r="CE18" s="152"/>
      <c r="CF18" s="152"/>
      <c r="CG18" s="152"/>
      <c r="CH18" s="153"/>
      <c r="CI18" s="152"/>
    </row>
    <row r="19" spans="1:87" x14ac:dyDescent="0.3">
      <c r="A19" s="141">
        <v>13</v>
      </c>
      <c r="B19" s="118" t="s">
        <v>74</v>
      </c>
      <c r="D19" s="143"/>
      <c r="E19" s="144">
        <v>1080362</v>
      </c>
      <c r="F19" s="51">
        <v>7446810</v>
      </c>
      <c r="G19" s="51">
        <v>20095</v>
      </c>
      <c r="H19" s="50">
        <v>0</v>
      </c>
      <c r="I19" s="145">
        <v>8547267</v>
      </c>
      <c r="J19" s="146">
        <v>49779</v>
      </c>
      <c r="K19" s="147">
        <v>64973</v>
      </c>
      <c r="L19" s="147">
        <v>144</v>
      </c>
      <c r="M19" s="147">
        <v>0</v>
      </c>
      <c r="N19" s="145">
        <v>114896</v>
      </c>
      <c r="O19" s="147">
        <v>69763</v>
      </c>
      <c r="P19" s="147">
        <v>1336323</v>
      </c>
      <c r="Q19" s="147">
        <v>105</v>
      </c>
      <c r="R19" s="147">
        <v>0</v>
      </c>
      <c r="S19" s="145">
        <v>1406191</v>
      </c>
      <c r="T19" s="146">
        <v>57472</v>
      </c>
      <c r="U19" s="147">
        <v>97802</v>
      </c>
      <c r="V19" s="147">
        <v>67</v>
      </c>
      <c r="W19" s="147">
        <v>0</v>
      </c>
      <c r="X19" s="145">
        <v>155341</v>
      </c>
      <c r="Y19" s="146">
        <v>76418</v>
      </c>
      <c r="Z19" s="147">
        <v>1568188</v>
      </c>
      <c r="AA19" s="147">
        <v>359</v>
      </c>
      <c r="AB19" s="156">
        <v>0</v>
      </c>
      <c r="AC19" s="145">
        <v>1644965</v>
      </c>
      <c r="AD19" s="146">
        <v>76310</v>
      </c>
      <c r="AE19" s="147">
        <v>313844</v>
      </c>
      <c r="AF19" s="147">
        <v>148</v>
      </c>
      <c r="AG19" s="147">
        <v>0</v>
      </c>
      <c r="AH19" s="145">
        <v>390302</v>
      </c>
      <c r="AI19" s="146">
        <v>67475</v>
      </c>
      <c r="AJ19" s="147">
        <v>151217</v>
      </c>
      <c r="AK19" s="147">
        <v>417</v>
      </c>
      <c r="AL19" s="147">
        <v>0</v>
      </c>
      <c r="AM19" s="145">
        <v>219109</v>
      </c>
      <c r="AN19" s="146">
        <v>73944</v>
      </c>
      <c r="AO19" s="147">
        <v>1198677</v>
      </c>
      <c r="AP19" s="147">
        <v>1877</v>
      </c>
      <c r="AQ19" s="147">
        <v>0</v>
      </c>
      <c r="AR19" s="145">
        <v>1274498</v>
      </c>
      <c r="AS19" s="146">
        <v>0</v>
      </c>
      <c r="AT19" s="147">
        <v>0</v>
      </c>
      <c r="AU19" s="147">
        <v>0</v>
      </c>
      <c r="AV19" s="147">
        <v>0</v>
      </c>
      <c r="AW19" s="145">
        <v>0</v>
      </c>
      <c r="AX19" s="146">
        <v>0</v>
      </c>
      <c r="AY19" s="147">
        <v>0</v>
      </c>
      <c r="AZ19" s="147">
        <v>0</v>
      </c>
      <c r="BA19" s="147">
        <v>0</v>
      </c>
      <c r="BB19" s="145">
        <v>0</v>
      </c>
      <c r="BC19" s="146">
        <v>0</v>
      </c>
      <c r="BD19" s="147">
        <v>0</v>
      </c>
      <c r="BE19" s="147">
        <v>0</v>
      </c>
      <c r="BF19" s="147">
        <v>0</v>
      </c>
      <c r="BG19" s="145">
        <v>0</v>
      </c>
      <c r="BH19" s="146">
        <v>0</v>
      </c>
      <c r="BI19" s="147">
        <v>0</v>
      </c>
      <c r="BJ19" s="147">
        <v>0</v>
      </c>
      <c r="BK19" s="147">
        <v>0</v>
      </c>
      <c r="BL19" s="145">
        <v>0</v>
      </c>
      <c r="BM19" s="146">
        <v>0</v>
      </c>
      <c r="BN19" s="147">
        <v>0</v>
      </c>
      <c r="BO19" s="147">
        <v>0</v>
      </c>
      <c r="BP19" s="147">
        <v>0</v>
      </c>
      <c r="BQ19" s="145">
        <v>0</v>
      </c>
      <c r="BR19" s="146">
        <v>471161</v>
      </c>
      <c r="BS19" s="80">
        <v>4731024</v>
      </c>
      <c r="BT19" s="147">
        <v>3117</v>
      </c>
      <c r="BU19" s="147">
        <v>0</v>
      </c>
      <c r="BV19" s="148">
        <v>5205302</v>
      </c>
      <c r="BW19" s="153"/>
      <c r="BX19" s="155"/>
      <c r="BZ19" s="151"/>
      <c r="CA19" s="151"/>
      <c r="CB19" s="151"/>
      <c r="CC19" s="151"/>
      <c r="CD19" s="151"/>
      <c r="CE19" s="152"/>
      <c r="CF19" s="152"/>
      <c r="CG19" s="152"/>
      <c r="CH19" s="153"/>
      <c r="CI19" s="152"/>
    </row>
    <row r="20" spans="1:87" x14ac:dyDescent="0.3">
      <c r="A20" s="141">
        <v>14</v>
      </c>
      <c r="B20" s="142" t="s">
        <v>75</v>
      </c>
      <c r="D20" s="154"/>
      <c r="E20" s="144">
        <v>2441913</v>
      </c>
      <c r="F20" s="51">
        <v>93</v>
      </c>
      <c r="G20" s="51">
        <v>316540</v>
      </c>
      <c r="H20" s="50">
        <v>0</v>
      </c>
      <c r="I20" s="145">
        <v>2758546</v>
      </c>
      <c r="J20" s="146">
        <v>487606</v>
      </c>
      <c r="K20" s="147">
        <v>214</v>
      </c>
      <c r="L20" s="147">
        <v>24563</v>
      </c>
      <c r="M20" s="147">
        <v>0</v>
      </c>
      <c r="N20" s="145">
        <v>512383</v>
      </c>
      <c r="O20" s="147">
        <v>454267</v>
      </c>
      <c r="P20" s="147">
        <v>211</v>
      </c>
      <c r="Q20" s="147">
        <v>24805</v>
      </c>
      <c r="R20" s="147">
        <v>0</v>
      </c>
      <c r="S20" s="145">
        <v>479283</v>
      </c>
      <c r="T20" s="146">
        <v>336882</v>
      </c>
      <c r="U20" s="147">
        <v>443</v>
      </c>
      <c r="V20" s="147">
        <v>25274</v>
      </c>
      <c r="W20" s="147">
        <v>0</v>
      </c>
      <c r="X20" s="145">
        <v>362599</v>
      </c>
      <c r="Y20" s="146">
        <v>315519</v>
      </c>
      <c r="Z20" s="147">
        <v>11961</v>
      </c>
      <c r="AA20" s="147">
        <v>26203</v>
      </c>
      <c r="AB20" s="156">
        <v>0</v>
      </c>
      <c r="AC20" s="145">
        <v>353683</v>
      </c>
      <c r="AD20" s="146">
        <v>225221</v>
      </c>
      <c r="AE20" s="147">
        <v>3537</v>
      </c>
      <c r="AF20" s="147">
        <v>25220</v>
      </c>
      <c r="AG20" s="147">
        <v>0</v>
      </c>
      <c r="AH20" s="145">
        <v>253978</v>
      </c>
      <c r="AI20" s="146">
        <v>225279</v>
      </c>
      <c r="AJ20" s="147">
        <v>632</v>
      </c>
      <c r="AK20" s="147">
        <v>27849</v>
      </c>
      <c r="AL20" s="147">
        <v>0</v>
      </c>
      <c r="AM20" s="145">
        <v>253760</v>
      </c>
      <c r="AN20" s="146">
        <v>217270</v>
      </c>
      <c r="AO20" s="147">
        <v>968</v>
      </c>
      <c r="AP20" s="147">
        <v>23417</v>
      </c>
      <c r="AQ20" s="147">
        <v>0</v>
      </c>
      <c r="AR20" s="145">
        <v>241655</v>
      </c>
      <c r="AS20" s="146">
        <v>0</v>
      </c>
      <c r="AT20" s="147">
        <v>0</v>
      </c>
      <c r="AU20" s="147">
        <v>0</v>
      </c>
      <c r="AV20" s="147">
        <v>0</v>
      </c>
      <c r="AW20" s="145">
        <v>0</v>
      </c>
      <c r="AX20" s="146">
        <v>0</v>
      </c>
      <c r="AY20" s="147">
        <v>0</v>
      </c>
      <c r="AZ20" s="147">
        <v>0</v>
      </c>
      <c r="BA20" s="147">
        <v>0</v>
      </c>
      <c r="BB20" s="145">
        <v>0</v>
      </c>
      <c r="BC20" s="146">
        <v>0</v>
      </c>
      <c r="BD20" s="147">
        <v>0</v>
      </c>
      <c r="BE20" s="147">
        <v>0</v>
      </c>
      <c r="BF20" s="147">
        <v>0</v>
      </c>
      <c r="BG20" s="145">
        <v>0</v>
      </c>
      <c r="BH20" s="146">
        <v>0</v>
      </c>
      <c r="BI20" s="147">
        <v>0</v>
      </c>
      <c r="BJ20" s="147">
        <v>0</v>
      </c>
      <c r="BK20" s="147">
        <v>0</v>
      </c>
      <c r="BL20" s="145">
        <v>0</v>
      </c>
      <c r="BM20" s="146">
        <v>0</v>
      </c>
      <c r="BN20" s="147">
        <v>0</v>
      </c>
      <c r="BO20" s="147">
        <v>0</v>
      </c>
      <c r="BP20" s="147">
        <v>0</v>
      </c>
      <c r="BQ20" s="145">
        <v>0</v>
      </c>
      <c r="BR20" s="146">
        <v>2262044</v>
      </c>
      <c r="BS20" s="80">
        <v>17966</v>
      </c>
      <c r="BT20" s="147">
        <v>177331</v>
      </c>
      <c r="BU20" s="147">
        <v>0</v>
      </c>
      <c r="BV20" s="148">
        <v>2457341</v>
      </c>
      <c r="BW20" s="153"/>
      <c r="BX20" s="150"/>
      <c r="BZ20" s="151"/>
      <c r="CA20" s="151"/>
      <c r="CB20" s="151"/>
      <c r="CC20" s="151"/>
      <c r="CD20" s="151"/>
      <c r="CE20" s="152"/>
      <c r="CF20" s="152"/>
      <c r="CG20" s="152"/>
      <c r="CH20" s="153"/>
      <c r="CI20" s="152"/>
    </row>
    <row r="21" spans="1:87" x14ac:dyDescent="0.3">
      <c r="A21" s="141">
        <v>15</v>
      </c>
      <c r="B21" s="142" t="s">
        <v>76</v>
      </c>
      <c r="D21" s="154"/>
      <c r="E21" s="144">
        <v>128201</v>
      </c>
      <c r="F21" s="51">
        <v>46830</v>
      </c>
      <c r="G21" s="51">
        <v>2000</v>
      </c>
      <c r="H21" s="50">
        <v>0</v>
      </c>
      <c r="I21" s="145">
        <v>177031</v>
      </c>
      <c r="J21" s="146">
        <v>7274</v>
      </c>
      <c r="K21" s="147">
        <v>0</v>
      </c>
      <c r="L21" s="147">
        <v>0</v>
      </c>
      <c r="M21" s="147">
        <v>0</v>
      </c>
      <c r="N21" s="145">
        <v>7274</v>
      </c>
      <c r="O21" s="147">
        <v>8838</v>
      </c>
      <c r="P21" s="147">
        <v>11705</v>
      </c>
      <c r="Q21" s="147">
        <v>169</v>
      </c>
      <c r="R21" s="147">
        <v>0</v>
      </c>
      <c r="S21" s="145">
        <v>20712</v>
      </c>
      <c r="T21" s="146">
        <v>8812</v>
      </c>
      <c r="U21" s="147">
        <v>0</v>
      </c>
      <c r="V21" s="147">
        <v>81</v>
      </c>
      <c r="W21" s="147">
        <v>0</v>
      </c>
      <c r="X21" s="145">
        <v>8893</v>
      </c>
      <c r="Y21" s="146">
        <v>9869</v>
      </c>
      <c r="Z21" s="147">
        <v>11705</v>
      </c>
      <c r="AA21" s="147">
        <v>83</v>
      </c>
      <c r="AB21" s="156">
        <v>0</v>
      </c>
      <c r="AC21" s="145">
        <v>21657</v>
      </c>
      <c r="AD21" s="146">
        <v>9602</v>
      </c>
      <c r="AE21" s="147">
        <v>57</v>
      </c>
      <c r="AF21" s="147">
        <v>78</v>
      </c>
      <c r="AG21" s="147">
        <v>0</v>
      </c>
      <c r="AH21" s="145">
        <v>9737</v>
      </c>
      <c r="AI21" s="146">
        <v>11571</v>
      </c>
      <c r="AJ21" s="147">
        <v>52</v>
      </c>
      <c r="AK21" s="147">
        <v>77</v>
      </c>
      <c r="AL21" s="147">
        <v>0</v>
      </c>
      <c r="AM21" s="145">
        <v>11700</v>
      </c>
      <c r="AN21" s="146">
        <v>8997</v>
      </c>
      <c r="AO21" s="147">
        <v>2</v>
      </c>
      <c r="AP21" s="147">
        <v>77</v>
      </c>
      <c r="AQ21" s="147">
        <v>0</v>
      </c>
      <c r="AR21" s="145">
        <v>9076</v>
      </c>
      <c r="AS21" s="146">
        <v>0</v>
      </c>
      <c r="AT21" s="147">
        <v>0</v>
      </c>
      <c r="AU21" s="147">
        <v>0</v>
      </c>
      <c r="AV21" s="147">
        <v>0</v>
      </c>
      <c r="AW21" s="145">
        <v>0</v>
      </c>
      <c r="AX21" s="146">
        <v>0</v>
      </c>
      <c r="AY21" s="147">
        <v>0</v>
      </c>
      <c r="AZ21" s="147">
        <v>0</v>
      </c>
      <c r="BA21" s="147">
        <v>0</v>
      </c>
      <c r="BB21" s="145">
        <v>0</v>
      </c>
      <c r="BC21" s="146">
        <v>0</v>
      </c>
      <c r="BD21" s="147">
        <v>0</v>
      </c>
      <c r="BE21" s="147">
        <v>0</v>
      </c>
      <c r="BF21" s="147">
        <v>0</v>
      </c>
      <c r="BG21" s="145">
        <v>0</v>
      </c>
      <c r="BH21" s="146">
        <v>0</v>
      </c>
      <c r="BI21" s="147">
        <v>0</v>
      </c>
      <c r="BJ21" s="147">
        <v>0</v>
      </c>
      <c r="BK21" s="147">
        <v>0</v>
      </c>
      <c r="BL21" s="145">
        <v>0</v>
      </c>
      <c r="BM21" s="146">
        <v>0</v>
      </c>
      <c r="BN21" s="147">
        <v>0</v>
      </c>
      <c r="BO21" s="147">
        <v>0</v>
      </c>
      <c r="BP21" s="147">
        <v>0</v>
      </c>
      <c r="BQ21" s="145">
        <v>0</v>
      </c>
      <c r="BR21" s="146">
        <v>64963</v>
      </c>
      <c r="BS21" s="80">
        <v>23521</v>
      </c>
      <c r="BT21" s="147">
        <v>565</v>
      </c>
      <c r="BU21" s="147">
        <v>0</v>
      </c>
      <c r="BV21" s="148">
        <v>89049</v>
      </c>
      <c r="BW21" s="153"/>
      <c r="BX21" s="150"/>
      <c r="BZ21" s="151"/>
      <c r="CA21" s="151"/>
      <c r="CB21" s="151"/>
      <c r="CC21" s="151"/>
      <c r="CD21" s="151"/>
      <c r="CE21" s="152"/>
      <c r="CF21" s="152"/>
      <c r="CG21" s="152"/>
      <c r="CH21" s="153"/>
      <c r="CI21" s="152"/>
    </row>
    <row r="22" spans="1:87" x14ac:dyDescent="0.3">
      <c r="A22" s="141">
        <v>16</v>
      </c>
      <c r="B22" s="142" t="s">
        <v>77</v>
      </c>
      <c r="D22" s="143"/>
      <c r="E22" s="144">
        <v>2836768</v>
      </c>
      <c r="F22" s="51">
        <v>24662313</v>
      </c>
      <c r="G22" s="51">
        <v>2061086</v>
      </c>
      <c r="H22" s="50">
        <v>0</v>
      </c>
      <c r="I22" s="145">
        <v>29560167</v>
      </c>
      <c r="J22" s="146">
        <v>126369</v>
      </c>
      <c r="K22" s="147">
        <v>5260362</v>
      </c>
      <c r="L22" s="147">
        <v>120055</v>
      </c>
      <c r="M22" s="147">
        <v>0</v>
      </c>
      <c r="N22" s="145">
        <v>5506786</v>
      </c>
      <c r="O22" s="147">
        <v>100620</v>
      </c>
      <c r="P22" s="147">
        <v>2550976</v>
      </c>
      <c r="Q22" s="147">
        <v>51752</v>
      </c>
      <c r="R22" s="147">
        <v>8</v>
      </c>
      <c r="S22" s="145">
        <v>2703356</v>
      </c>
      <c r="T22" s="146">
        <v>108674</v>
      </c>
      <c r="U22" s="147">
        <v>759239</v>
      </c>
      <c r="V22" s="147">
        <v>249596</v>
      </c>
      <c r="W22" s="147">
        <v>0</v>
      </c>
      <c r="X22" s="145">
        <v>1117509</v>
      </c>
      <c r="Y22" s="146">
        <v>173203</v>
      </c>
      <c r="Z22" s="147">
        <v>1900972</v>
      </c>
      <c r="AA22" s="147">
        <v>160088</v>
      </c>
      <c r="AB22" s="147">
        <v>0</v>
      </c>
      <c r="AC22" s="145">
        <v>2234263</v>
      </c>
      <c r="AD22" s="146">
        <v>123384</v>
      </c>
      <c r="AE22" s="147">
        <v>3997389</v>
      </c>
      <c r="AF22" s="147">
        <v>78439</v>
      </c>
      <c r="AG22" s="147">
        <v>147</v>
      </c>
      <c r="AH22" s="145">
        <v>4199359</v>
      </c>
      <c r="AI22" s="146">
        <v>137186</v>
      </c>
      <c r="AJ22" s="147">
        <v>663445</v>
      </c>
      <c r="AK22" s="147">
        <v>173691</v>
      </c>
      <c r="AL22" s="147">
        <v>0</v>
      </c>
      <c r="AM22" s="145">
        <v>974322</v>
      </c>
      <c r="AN22" s="146">
        <v>137853</v>
      </c>
      <c r="AO22" s="147">
        <v>1851377</v>
      </c>
      <c r="AP22" s="147">
        <v>110154</v>
      </c>
      <c r="AQ22" s="147">
        <v>0</v>
      </c>
      <c r="AR22" s="145">
        <v>2099384</v>
      </c>
      <c r="AS22" s="146">
        <v>0</v>
      </c>
      <c r="AT22" s="147">
        <v>0</v>
      </c>
      <c r="AU22" s="147">
        <v>0</v>
      </c>
      <c r="AV22" s="147">
        <v>0</v>
      </c>
      <c r="AW22" s="145">
        <v>0</v>
      </c>
      <c r="AX22" s="146">
        <v>0</v>
      </c>
      <c r="AY22" s="147">
        <v>0</v>
      </c>
      <c r="AZ22" s="147">
        <v>0</v>
      </c>
      <c r="BA22" s="147">
        <v>0</v>
      </c>
      <c r="BB22" s="145">
        <v>0</v>
      </c>
      <c r="BC22" s="146">
        <v>0</v>
      </c>
      <c r="BD22" s="147">
        <v>0</v>
      </c>
      <c r="BE22" s="147">
        <v>0</v>
      </c>
      <c r="BF22" s="147">
        <v>0</v>
      </c>
      <c r="BG22" s="145">
        <v>0</v>
      </c>
      <c r="BH22" s="146">
        <v>0</v>
      </c>
      <c r="BI22" s="147">
        <v>0</v>
      </c>
      <c r="BJ22" s="147">
        <v>0</v>
      </c>
      <c r="BK22" s="147">
        <v>0</v>
      </c>
      <c r="BL22" s="145">
        <v>0</v>
      </c>
      <c r="BM22" s="146">
        <v>0</v>
      </c>
      <c r="BN22" s="147">
        <v>0</v>
      </c>
      <c r="BO22" s="147">
        <v>0</v>
      </c>
      <c r="BP22" s="147">
        <v>0</v>
      </c>
      <c r="BQ22" s="145">
        <v>0</v>
      </c>
      <c r="BR22" s="146">
        <v>907289</v>
      </c>
      <c r="BS22" s="80">
        <v>16983760</v>
      </c>
      <c r="BT22" s="147">
        <v>943775</v>
      </c>
      <c r="BU22" s="147">
        <v>155</v>
      </c>
      <c r="BV22" s="148">
        <v>18834979</v>
      </c>
      <c r="BW22" s="153"/>
      <c r="BX22" s="150"/>
      <c r="BZ22" s="151"/>
      <c r="CA22" s="151"/>
      <c r="CB22" s="151"/>
      <c r="CC22" s="151"/>
      <c r="CD22" s="151"/>
      <c r="CE22" s="152"/>
      <c r="CF22" s="152"/>
      <c r="CG22" s="152"/>
      <c r="CH22" s="153"/>
      <c r="CI22" s="152"/>
    </row>
    <row r="23" spans="1:87" x14ac:dyDescent="0.3">
      <c r="A23" s="141">
        <v>17</v>
      </c>
      <c r="B23" s="142" t="s">
        <v>78</v>
      </c>
      <c r="D23" s="143"/>
      <c r="E23" s="144">
        <v>11453552</v>
      </c>
      <c r="F23" s="51">
        <v>98037956</v>
      </c>
      <c r="G23" s="51">
        <v>23375</v>
      </c>
      <c r="H23" s="50">
        <v>0</v>
      </c>
      <c r="I23" s="145">
        <v>109514883</v>
      </c>
      <c r="J23" s="146">
        <v>793383</v>
      </c>
      <c r="K23" s="147">
        <v>22357445</v>
      </c>
      <c r="L23" s="147">
        <v>193</v>
      </c>
      <c r="M23" s="147">
        <v>0</v>
      </c>
      <c r="N23" s="145">
        <v>23151021</v>
      </c>
      <c r="O23" s="147">
        <v>821152</v>
      </c>
      <c r="P23" s="147">
        <v>10386217</v>
      </c>
      <c r="Q23" s="147">
        <v>410</v>
      </c>
      <c r="R23" s="147">
        <v>0</v>
      </c>
      <c r="S23" s="145">
        <v>11207779</v>
      </c>
      <c r="T23" s="146">
        <v>836668</v>
      </c>
      <c r="U23" s="147">
        <v>14909909</v>
      </c>
      <c r="V23" s="147">
        <v>330</v>
      </c>
      <c r="W23" s="147">
        <v>0</v>
      </c>
      <c r="X23" s="145">
        <v>15746907</v>
      </c>
      <c r="Y23" s="146">
        <v>783013</v>
      </c>
      <c r="Z23" s="147">
        <v>4653790</v>
      </c>
      <c r="AA23" s="147">
        <v>320</v>
      </c>
      <c r="AB23" s="147">
        <v>0</v>
      </c>
      <c r="AC23" s="145">
        <v>5437123</v>
      </c>
      <c r="AD23" s="146">
        <v>966722</v>
      </c>
      <c r="AE23" s="147">
        <v>14895834</v>
      </c>
      <c r="AF23" s="147">
        <v>1923</v>
      </c>
      <c r="AG23" s="147">
        <v>0</v>
      </c>
      <c r="AH23" s="145">
        <v>15864479</v>
      </c>
      <c r="AI23" s="146">
        <v>916666</v>
      </c>
      <c r="AJ23" s="147">
        <v>3378349</v>
      </c>
      <c r="AK23" s="147">
        <v>13311</v>
      </c>
      <c r="AL23" s="147">
        <v>0</v>
      </c>
      <c r="AM23" s="145">
        <v>4308326</v>
      </c>
      <c r="AN23" s="146">
        <v>841427</v>
      </c>
      <c r="AO23" s="147">
        <v>17020029</v>
      </c>
      <c r="AP23" s="147">
        <v>-12255</v>
      </c>
      <c r="AQ23" s="147">
        <v>0</v>
      </c>
      <c r="AR23" s="145">
        <v>17849201</v>
      </c>
      <c r="AS23" s="146">
        <v>0</v>
      </c>
      <c r="AT23" s="147">
        <v>0</v>
      </c>
      <c r="AU23" s="147">
        <v>0</v>
      </c>
      <c r="AV23" s="147">
        <v>0</v>
      </c>
      <c r="AW23" s="145">
        <v>0</v>
      </c>
      <c r="AX23" s="146">
        <v>0</v>
      </c>
      <c r="AY23" s="147">
        <v>0</v>
      </c>
      <c r="AZ23" s="147">
        <v>0</v>
      </c>
      <c r="BA23" s="147">
        <v>0</v>
      </c>
      <c r="BB23" s="145">
        <v>0</v>
      </c>
      <c r="BC23" s="146">
        <v>0</v>
      </c>
      <c r="BD23" s="147">
        <v>0</v>
      </c>
      <c r="BE23" s="147">
        <v>0</v>
      </c>
      <c r="BF23" s="147">
        <v>0</v>
      </c>
      <c r="BG23" s="145">
        <v>0</v>
      </c>
      <c r="BH23" s="146">
        <v>0</v>
      </c>
      <c r="BI23" s="147">
        <v>0</v>
      </c>
      <c r="BJ23" s="147">
        <v>0</v>
      </c>
      <c r="BK23" s="147">
        <v>0</v>
      </c>
      <c r="BL23" s="145">
        <v>0</v>
      </c>
      <c r="BM23" s="146">
        <v>0</v>
      </c>
      <c r="BN23" s="147">
        <v>0</v>
      </c>
      <c r="BO23" s="147">
        <v>0</v>
      </c>
      <c r="BP23" s="147">
        <v>0</v>
      </c>
      <c r="BQ23" s="145">
        <v>0</v>
      </c>
      <c r="BR23" s="146">
        <v>5959031</v>
      </c>
      <c r="BS23" s="80">
        <v>87601573</v>
      </c>
      <c r="BT23" s="147">
        <v>4232</v>
      </c>
      <c r="BU23" s="147">
        <v>0</v>
      </c>
      <c r="BV23" s="148">
        <v>93564836</v>
      </c>
      <c r="BW23" s="153"/>
      <c r="BX23" s="150"/>
      <c r="BZ23" s="151"/>
      <c r="CA23" s="151"/>
      <c r="CB23" s="151"/>
      <c r="CC23" s="151"/>
      <c r="CD23" s="151"/>
      <c r="CE23" s="152"/>
      <c r="CF23" s="152"/>
      <c r="CG23" s="152"/>
      <c r="CH23" s="153"/>
      <c r="CI23" s="152"/>
    </row>
    <row r="24" spans="1:87" x14ac:dyDescent="0.3">
      <c r="A24" s="141">
        <v>18</v>
      </c>
      <c r="B24" s="142" t="s">
        <v>79</v>
      </c>
      <c r="D24" s="161"/>
      <c r="E24" s="144">
        <v>4772177</v>
      </c>
      <c r="F24" s="51">
        <v>58329780</v>
      </c>
      <c r="G24" s="51">
        <v>1429020</v>
      </c>
      <c r="H24" s="50">
        <v>0</v>
      </c>
      <c r="I24" s="145">
        <v>64530977</v>
      </c>
      <c r="J24" s="146">
        <v>132393</v>
      </c>
      <c r="K24" s="147">
        <v>5634862</v>
      </c>
      <c r="L24" s="147">
        <v>9389</v>
      </c>
      <c r="M24" s="147">
        <v>0</v>
      </c>
      <c r="N24" s="145">
        <v>5776644</v>
      </c>
      <c r="O24" s="147">
        <v>368497</v>
      </c>
      <c r="P24" s="147">
        <v>3603019</v>
      </c>
      <c r="Q24" s="147">
        <v>7456</v>
      </c>
      <c r="R24" s="147">
        <v>0</v>
      </c>
      <c r="S24" s="145">
        <v>3978972</v>
      </c>
      <c r="T24" s="146">
        <v>155671</v>
      </c>
      <c r="U24" s="147">
        <v>5322751</v>
      </c>
      <c r="V24" s="147">
        <v>10416</v>
      </c>
      <c r="W24" s="147">
        <v>0</v>
      </c>
      <c r="X24" s="145">
        <v>5488838</v>
      </c>
      <c r="Y24" s="146">
        <v>100434</v>
      </c>
      <c r="Z24" s="147">
        <v>6330028</v>
      </c>
      <c r="AA24" s="147">
        <v>10124</v>
      </c>
      <c r="AB24" s="147">
        <v>0</v>
      </c>
      <c r="AC24" s="145">
        <v>6440586</v>
      </c>
      <c r="AD24" s="146">
        <v>170067</v>
      </c>
      <c r="AE24" s="147">
        <v>4143423</v>
      </c>
      <c r="AF24" s="147">
        <v>10461</v>
      </c>
      <c r="AG24" s="147">
        <v>5</v>
      </c>
      <c r="AH24" s="145">
        <v>4323956</v>
      </c>
      <c r="AI24" s="146">
        <v>195697</v>
      </c>
      <c r="AJ24" s="147">
        <v>4125981</v>
      </c>
      <c r="AK24" s="147">
        <v>209514</v>
      </c>
      <c r="AL24" s="147">
        <v>21</v>
      </c>
      <c r="AM24" s="145">
        <v>4531213</v>
      </c>
      <c r="AN24" s="146">
        <v>120230</v>
      </c>
      <c r="AO24" s="147">
        <v>6307812</v>
      </c>
      <c r="AP24" s="147">
        <v>240471</v>
      </c>
      <c r="AQ24" s="147">
        <v>261</v>
      </c>
      <c r="AR24" s="145">
        <v>6668774</v>
      </c>
      <c r="AS24" s="146">
        <v>0</v>
      </c>
      <c r="AT24" s="147">
        <v>0</v>
      </c>
      <c r="AU24" s="147">
        <v>0</v>
      </c>
      <c r="AV24" s="147">
        <v>0</v>
      </c>
      <c r="AW24" s="145">
        <v>0</v>
      </c>
      <c r="AX24" s="146">
        <v>0</v>
      </c>
      <c r="AY24" s="147">
        <v>0</v>
      </c>
      <c r="AZ24" s="147">
        <v>0</v>
      </c>
      <c r="BA24" s="147">
        <v>0</v>
      </c>
      <c r="BB24" s="145">
        <v>0</v>
      </c>
      <c r="BC24" s="146">
        <v>0</v>
      </c>
      <c r="BD24" s="147">
        <v>0</v>
      </c>
      <c r="BE24" s="147">
        <v>0</v>
      </c>
      <c r="BF24" s="147">
        <v>0</v>
      </c>
      <c r="BG24" s="145">
        <v>0</v>
      </c>
      <c r="BH24" s="146">
        <v>0</v>
      </c>
      <c r="BI24" s="147">
        <v>0</v>
      </c>
      <c r="BJ24" s="147">
        <v>0</v>
      </c>
      <c r="BK24" s="147">
        <v>0</v>
      </c>
      <c r="BL24" s="145">
        <v>0</v>
      </c>
      <c r="BM24" s="146">
        <v>0</v>
      </c>
      <c r="BN24" s="147">
        <v>0</v>
      </c>
      <c r="BO24" s="147">
        <v>0</v>
      </c>
      <c r="BP24" s="147">
        <v>0</v>
      </c>
      <c r="BQ24" s="145">
        <v>0</v>
      </c>
      <c r="BR24" s="146">
        <v>1242989</v>
      </c>
      <c r="BS24" s="80">
        <v>35467876</v>
      </c>
      <c r="BT24" s="147">
        <v>497831</v>
      </c>
      <c r="BU24" s="147">
        <v>287</v>
      </c>
      <c r="BV24" s="148">
        <v>37208983</v>
      </c>
      <c r="BW24" s="153"/>
      <c r="BX24" s="155"/>
      <c r="BZ24" s="151"/>
      <c r="CA24" s="151"/>
      <c r="CB24" s="151"/>
      <c r="CC24" s="151"/>
      <c r="CD24" s="151"/>
      <c r="CE24" s="152"/>
      <c r="CF24" s="152"/>
      <c r="CG24" s="152"/>
      <c r="CH24" s="153"/>
      <c r="CI24" s="152"/>
    </row>
    <row r="25" spans="1:87" x14ac:dyDescent="0.3">
      <c r="A25" s="157">
        <v>19</v>
      </c>
      <c r="B25" s="158" t="s">
        <v>80</v>
      </c>
      <c r="D25" s="163"/>
      <c r="E25" s="144">
        <v>922791</v>
      </c>
      <c r="F25" s="51">
        <v>256065389</v>
      </c>
      <c r="G25" s="51">
        <v>13181</v>
      </c>
      <c r="H25" s="50">
        <v>0</v>
      </c>
      <c r="I25" s="145">
        <v>257001361</v>
      </c>
      <c r="J25" s="146">
        <v>76013</v>
      </c>
      <c r="K25" s="147">
        <v>17752222</v>
      </c>
      <c r="L25" s="147">
        <v>5729</v>
      </c>
      <c r="M25" s="147">
        <v>0</v>
      </c>
      <c r="N25" s="145">
        <v>17833964</v>
      </c>
      <c r="O25" s="147">
        <v>65785</v>
      </c>
      <c r="P25" s="147">
        <v>17445954</v>
      </c>
      <c r="Q25" s="147">
        <v>1220</v>
      </c>
      <c r="R25" s="147">
        <v>0</v>
      </c>
      <c r="S25" s="145">
        <v>17512959</v>
      </c>
      <c r="T25" s="146">
        <v>63014</v>
      </c>
      <c r="U25" s="147">
        <v>19123337</v>
      </c>
      <c r="V25" s="147">
        <v>175</v>
      </c>
      <c r="W25" s="147">
        <v>0</v>
      </c>
      <c r="X25" s="145">
        <v>19186526</v>
      </c>
      <c r="Y25" s="146">
        <v>81438</v>
      </c>
      <c r="Z25" s="147">
        <v>20472069</v>
      </c>
      <c r="AA25" s="147">
        <v>-1318</v>
      </c>
      <c r="AB25" s="147">
        <v>0</v>
      </c>
      <c r="AC25" s="145">
        <v>20552189</v>
      </c>
      <c r="AD25" s="146">
        <v>96661</v>
      </c>
      <c r="AE25" s="147">
        <v>18404458</v>
      </c>
      <c r="AF25" s="147">
        <v>1864</v>
      </c>
      <c r="AG25" s="147">
        <v>0</v>
      </c>
      <c r="AH25" s="145">
        <v>18502983</v>
      </c>
      <c r="AI25" s="146">
        <v>87169</v>
      </c>
      <c r="AJ25" s="147">
        <v>21404308</v>
      </c>
      <c r="AK25" s="147">
        <v>-381</v>
      </c>
      <c r="AL25" s="147">
        <v>0</v>
      </c>
      <c r="AM25" s="145">
        <v>21491096</v>
      </c>
      <c r="AN25" s="146">
        <v>78231</v>
      </c>
      <c r="AO25" s="147">
        <v>23219671</v>
      </c>
      <c r="AP25" s="147">
        <v>-308</v>
      </c>
      <c r="AQ25" s="147">
        <v>0</v>
      </c>
      <c r="AR25" s="145">
        <v>23297594</v>
      </c>
      <c r="AS25" s="146">
        <v>0</v>
      </c>
      <c r="AT25" s="147">
        <v>0</v>
      </c>
      <c r="AU25" s="147">
        <v>0</v>
      </c>
      <c r="AV25" s="147">
        <v>0</v>
      </c>
      <c r="AW25" s="145">
        <v>0</v>
      </c>
      <c r="AX25" s="146">
        <v>0</v>
      </c>
      <c r="AY25" s="147">
        <v>0</v>
      </c>
      <c r="AZ25" s="147">
        <v>0</v>
      </c>
      <c r="BA25" s="147">
        <v>0</v>
      </c>
      <c r="BB25" s="145">
        <v>0</v>
      </c>
      <c r="BC25" s="146">
        <v>0</v>
      </c>
      <c r="BD25" s="147">
        <v>0</v>
      </c>
      <c r="BE25" s="147">
        <v>0</v>
      </c>
      <c r="BF25" s="147">
        <v>0</v>
      </c>
      <c r="BG25" s="145">
        <v>0</v>
      </c>
      <c r="BH25" s="146">
        <v>0</v>
      </c>
      <c r="BI25" s="147">
        <v>0</v>
      </c>
      <c r="BJ25" s="147">
        <v>0</v>
      </c>
      <c r="BK25" s="147">
        <v>0</v>
      </c>
      <c r="BL25" s="145">
        <v>0</v>
      </c>
      <c r="BM25" s="146">
        <v>0</v>
      </c>
      <c r="BN25" s="147">
        <v>0</v>
      </c>
      <c r="BO25" s="147">
        <v>0</v>
      </c>
      <c r="BP25" s="147">
        <v>0</v>
      </c>
      <c r="BQ25" s="145">
        <v>0</v>
      </c>
      <c r="BR25" s="146">
        <v>548311</v>
      </c>
      <c r="BS25" s="80">
        <v>137822019</v>
      </c>
      <c r="BT25" s="147">
        <v>6981</v>
      </c>
      <c r="BU25" s="147">
        <v>0</v>
      </c>
      <c r="BV25" s="148">
        <v>138377311</v>
      </c>
      <c r="BW25" s="153"/>
      <c r="BX25" s="150"/>
      <c r="BZ25" s="151"/>
      <c r="CA25" s="151"/>
      <c r="CB25" s="151"/>
      <c r="CC25" s="151"/>
      <c r="CD25" s="151"/>
      <c r="CE25" s="152"/>
      <c r="CF25" s="152"/>
      <c r="CG25" s="152"/>
      <c r="CH25" s="153"/>
      <c r="CI25" s="152"/>
    </row>
    <row r="26" spans="1:87" x14ac:dyDescent="0.3">
      <c r="A26" s="157">
        <v>20</v>
      </c>
      <c r="B26" s="699" t="s">
        <v>81</v>
      </c>
      <c r="C26" s="699"/>
      <c r="D26" s="143"/>
      <c r="E26" s="144">
        <v>200963</v>
      </c>
      <c r="F26" s="51">
        <v>782209</v>
      </c>
      <c r="G26" s="51">
        <v>4082</v>
      </c>
      <c r="H26" s="50">
        <v>0</v>
      </c>
      <c r="I26" s="145">
        <v>987254</v>
      </c>
      <c r="J26" s="146">
        <v>10708</v>
      </c>
      <c r="K26" s="147">
        <v>8393</v>
      </c>
      <c r="L26" s="147">
        <v>152</v>
      </c>
      <c r="M26" s="147">
        <v>0</v>
      </c>
      <c r="N26" s="145">
        <v>19253</v>
      </c>
      <c r="O26" s="147">
        <v>14907</v>
      </c>
      <c r="P26" s="147">
        <v>389393</v>
      </c>
      <c r="Q26" s="147">
        <v>1693</v>
      </c>
      <c r="R26" s="147">
        <v>0</v>
      </c>
      <c r="S26" s="145">
        <v>405993</v>
      </c>
      <c r="T26" s="146">
        <v>13835</v>
      </c>
      <c r="U26" s="147">
        <v>8393</v>
      </c>
      <c r="V26" s="147">
        <v>-91</v>
      </c>
      <c r="W26" s="147">
        <v>0</v>
      </c>
      <c r="X26" s="145">
        <v>22137</v>
      </c>
      <c r="Y26" s="146">
        <v>13990</v>
      </c>
      <c r="Z26" s="147">
        <v>8393</v>
      </c>
      <c r="AA26" s="147">
        <v>-591</v>
      </c>
      <c r="AB26" s="147">
        <v>0</v>
      </c>
      <c r="AC26" s="145">
        <v>21792</v>
      </c>
      <c r="AD26" s="146">
        <v>15490</v>
      </c>
      <c r="AE26" s="147">
        <v>143393</v>
      </c>
      <c r="AF26" s="147">
        <v>74</v>
      </c>
      <c r="AG26" s="147">
        <v>0</v>
      </c>
      <c r="AH26" s="145">
        <v>158957</v>
      </c>
      <c r="AI26" s="146">
        <v>13775</v>
      </c>
      <c r="AJ26" s="147">
        <v>9881</v>
      </c>
      <c r="AK26" s="147">
        <v>83</v>
      </c>
      <c r="AL26" s="147">
        <v>0</v>
      </c>
      <c r="AM26" s="145">
        <v>23739</v>
      </c>
      <c r="AN26" s="146">
        <v>13910</v>
      </c>
      <c r="AO26" s="147">
        <v>8394</v>
      </c>
      <c r="AP26" s="147">
        <v>70</v>
      </c>
      <c r="AQ26" s="147">
        <v>0</v>
      </c>
      <c r="AR26" s="145">
        <v>22374</v>
      </c>
      <c r="AS26" s="146">
        <v>0</v>
      </c>
      <c r="AT26" s="147">
        <v>0</v>
      </c>
      <c r="AU26" s="147">
        <v>0</v>
      </c>
      <c r="AV26" s="147">
        <v>0</v>
      </c>
      <c r="AW26" s="145">
        <v>0</v>
      </c>
      <c r="AX26" s="146">
        <v>0</v>
      </c>
      <c r="AY26" s="147">
        <v>0</v>
      </c>
      <c r="AZ26" s="147">
        <v>0</v>
      </c>
      <c r="BA26" s="147">
        <v>0</v>
      </c>
      <c r="BB26" s="145">
        <v>0</v>
      </c>
      <c r="BC26" s="146">
        <v>0</v>
      </c>
      <c r="BD26" s="147">
        <v>0</v>
      </c>
      <c r="BE26" s="147">
        <v>0</v>
      </c>
      <c r="BF26" s="147">
        <v>0</v>
      </c>
      <c r="BG26" s="145">
        <v>0</v>
      </c>
      <c r="BH26" s="146">
        <v>0</v>
      </c>
      <c r="BI26" s="147">
        <v>0</v>
      </c>
      <c r="BJ26" s="147">
        <v>0</v>
      </c>
      <c r="BK26" s="147">
        <v>0</v>
      </c>
      <c r="BL26" s="145">
        <v>0</v>
      </c>
      <c r="BM26" s="146">
        <v>0</v>
      </c>
      <c r="BN26" s="147">
        <v>0</v>
      </c>
      <c r="BO26" s="147">
        <v>0</v>
      </c>
      <c r="BP26" s="147">
        <v>0</v>
      </c>
      <c r="BQ26" s="145">
        <v>0</v>
      </c>
      <c r="BR26" s="146">
        <v>96615</v>
      </c>
      <c r="BS26" s="80">
        <v>576240</v>
      </c>
      <c r="BT26" s="147">
        <v>1390</v>
      </c>
      <c r="BU26" s="147">
        <v>0</v>
      </c>
      <c r="BV26" s="148">
        <v>674245</v>
      </c>
      <c r="BW26" s="153"/>
      <c r="BX26" s="150"/>
      <c r="BZ26" s="151"/>
      <c r="CA26" s="151"/>
      <c r="CB26" s="151"/>
      <c r="CC26" s="151"/>
      <c r="CD26" s="151"/>
      <c r="CE26" s="152"/>
      <c r="CF26" s="152"/>
      <c r="CG26" s="152"/>
      <c r="CH26" s="153"/>
      <c r="CI26" s="152"/>
    </row>
    <row r="27" spans="1:87" x14ac:dyDescent="0.3">
      <c r="A27" s="157">
        <v>21</v>
      </c>
      <c r="B27" s="164" t="s">
        <v>82</v>
      </c>
      <c r="C27" s="164"/>
      <c r="D27" s="143"/>
      <c r="E27" s="144">
        <v>147088</v>
      </c>
      <c r="F27" s="51">
        <v>129</v>
      </c>
      <c r="G27" s="51">
        <v>5094</v>
      </c>
      <c r="H27" s="50">
        <v>0</v>
      </c>
      <c r="I27" s="145">
        <v>152311</v>
      </c>
      <c r="J27" s="146">
        <v>13337</v>
      </c>
      <c r="K27" s="147">
        <v>27</v>
      </c>
      <c r="L27" s="147">
        <v>0</v>
      </c>
      <c r="M27" s="147">
        <v>0</v>
      </c>
      <c r="N27" s="145">
        <v>13364</v>
      </c>
      <c r="O27" s="147">
        <v>10393</v>
      </c>
      <c r="P27" s="147">
        <v>38</v>
      </c>
      <c r="Q27" s="147">
        <v>19</v>
      </c>
      <c r="R27" s="147">
        <v>0</v>
      </c>
      <c r="S27" s="145">
        <v>10450</v>
      </c>
      <c r="T27" s="146">
        <v>12237</v>
      </c>
      <c r="U27" s="147">
        <v>1</v>
      </c>
      <c r="V27" s="147">
        <v>30</v>
      </c>
      <c r="W27" s="147">
        <v>0</v>
      </c>
      <c r="X27" s="145">
        <v>12268</v>
      </c>
      <c r="Y27" s="146">
        <v>14271</v>
      </c>
      <c r="Z27" s="147">
        <v>0</v>
      </c>
      <c r="AA27" s="147">
        <v>726</v>
      </c>
      <c r="AB27" s="147">
        <v>0</v>
      </c>
      <c r="AC27" s="145">
        <v>14997</v>
      </c>
      <c r="AD27" s="146">
        <v>12844</v>
      </c>
      <c r="AE27" s="147">
        <v>173</v>
      </c>
      <c r="AF27" s="147">
        <v>3</v>
      </c>
      <c r="AG27" s="147">
        <v>0</v>
      </c>
      <c r="AH27" s="145">
        <v>13020</v>
      </c>
      <c r="AI27" s="146">
        <v>11465</v>
      </c>
      <c r="AJ27" s="147">
        <v>81</v>
      </c>
      <c r="AK27" s="147">
        <v>3</v>
      </c>
      <c r="AL27" s="147">
        <v>0</v>
      </c>
      <c r="AM27" s="145">
        <v>11549</v>
      </c>
      <c r="AN27" s="146">
        <v>14964</v>
      </c>
      <c r="AO27" s="147">
        <v>172</v>
      </c>
      <c r="AP27" s="147">
        <v>68</v>
      </c>
      <c r="AQ27" s="147">
        <v>0</v>
      </c>
      <c r="AR27" s="145">
        <v>15204</v>
      </c>
      <c r="AS27" s="146">
        <v>0</v>
      </c>
      <c r="AT27" s="147">
        <v>0</v>
      </c>
      <c r="AU27" s="147">
        <v>0</v>
      </c>
      <c r="AV27" s="147">
        <v>0</v>
      </c>
      <c r="AW27" s="145">
        <v>0</v>
      </c>
      <c r="AX27" s="146">
        <v>0</v>
      </c>
      <c r="AY27" s="147">
        <v>0</v>
      </c>
      <c r="AZ27" s="147">
        <v>0</v>
      </c>
      <c r="BA27" s="147">
        <v>0</v>
      </c>
      <c r="BB27" s="145">
        <v>0</v>
      </c>
      <c r="BC27" s="146">
        <v>0</v>
      </c>
      <c r="BD27" s="147">
        <v>0</v>
      </c>
      <c r="BE27" s="147">
        <v>0</v>
      </c>
      <c r="BF27" s="147">
        <v>0</v>
      </c>
      <c r="BG27" s="145">
        <v>0</v>
      </c>
      <c r="BH27" s="146">
        <v>0</v>
      </c>
      <c r="BI27" s="147">
        <v>0</v>
      </c>
      <c r="BJ27" s="147">
        <v>0</v>
      </c>
      <c r="BK27" s="147">
        <v>0</v>
      </c>
      <c r="BL27" s="145">
        <v>0</v>
      </c>
      <c r="BM27" s="146">
        <v>0</v>
      </c>
      <c r="BN27" s="147">
        <v>0</v>
      </c>
      <c r="BO27" s="147">
        <v>0</v>
      </c>
      <c r="BP27" s="147">
        <v>0</v>
      </c>
      <c r="BQ27" s="145">
        <v>0</v>
      </c>
      <c r="BR27" s="146">
        <v>89511</v>
      </c>
      <c r="BS27" s="80">
        <v>492</v>
      </c>
      <c r="BT27" s="147">
        <v>849</v>
      </c>
      <c r="BU27" s="147">
        <v>0</v>
      </c>
      <c r="BV27" s="148">
        <v>90852</v>
      </c>
      <c r="BW27" s="153"/>
      <c r="BX27" s="155"/>
      <c r="BZ27" s="151"/>
      <c r="CA27" s="151"/>
      <c r="CB27" s="151"/>
      <c r="CC27" s="151"/>
      <c r="CD27" s="151"/>
      <c r="CE27" s="152"/>
      <c r="CF27" s="152"/>
      <c r="CG27" s="152"/>
      <c r="CH27" s="153"/>
      <c r="CI27" s="152"/>
    </row>
    <row r="28" spans="1:87" x14ac:dyDescent="0.3">
      <c r="A28" s="141">
        <v>22</v>
      </c>
      <c r="B28" s="142" t="s">
        <v>83</v>
      </c>
      <c r="D28" s="165"/>
      <c r="E28" s="144">
        <v>24746993</v>
      </c>
      <c r="F28" s="51">
        <v>721557</v>
      </c>
      <c r="G28" s="51">
        <v>640170</v>
      </c>
      <c r="H28" s="50">
        <v>0</v>
      </c>
      <c r="I28" s="145">
        <v>26108720</v>
      </c>
      <c r="J28" s="146">
        <v>1775706</v>
      </c>
      <c r="K28" s="147">
        <v>92541</v>
      </c>
      <c r="L28" s="147">
        <v>3566</v>
      </c>
      <c r="M28" s="147">
        <v>0</v>
      </c>
      <c r="N28" s="145">
        <v>1871813</v>
      </c>
      <c r="O28" s="147">
        <v>2044265</v>
      </c>
      <c r="P28" s="147">
        <v>19516</v>
      </c>
      <c r="Q28" s="147">
        <v>29754</v>
      </c>
      <c r="R28" s="147">
        <v>0</v>
      </c>
      <c r="S28" s="145">
        <v>2093535</v>
      </c>
      <c r="T28" s="146">
        <v>2024735</v>
      </c>
      <c r="U28" s="147">
        <v>50216</v>
      </c>
      <c r="V28" s="147">
        <v>20610</v>
      </c>
      <c r="W28" s="147">
        <v>0</v>
      </c>
      <c r="X28" s="145">
        <v>2095561</v>
      </c>
      <c r="Y28" s="146">
        <v>1945816</v>
      </c>
      <c r="Z28" s="147">
        <v>49925</v>
      </c>
      <c r="AA28" s="147">
        <v>8334</v>
      </c>
      <c r="AB28" s="147">
        <v>0</v>
      </c>
      <c r="AC28" s="145">
        <v>2004075</v>
      </c>
      <c r="AD28" s="146">
        <v>2404780</v>
      </c>
      <c r="AE28" s="147">
        <v>59746</v>
      </c>
      <c r="AF28" s="147">
        <v>16534</v>
      </c>
      <c r="AG28" s="147">
        <v>0</v>
      </c>
      <c r="AH28" s="145">
        <v>2481060</v>
      </c>
      <c r="AI28" s="146">
        <v>2117335</v>
      </c>
      <c r="AJ28" s="147">
        <v>50262</v>
      </c>
      <c r="AK28" s="147">
        <v>67563</v>
      </c>
      <c r="AL28" s="147">
        <v>0</v>
      </c>
      <c r="AM28" s="145">
        <v>2235160</v>
      </c>
      <c r="AN28" s="146">
        <v>1950144</v>
      </c>
      <c r="AO28" s="147">
        <v>50297</v>
      </c>
      <c r="AP28" s="147">
        <v>64321</v>
      </c>
      <c r="AQ28" s="147">
        <v>3</v>
      </c>
      <c r="AR28" s="145">
        <v>2064765</v>
      </c>
      <c r="AS28" s="146">
        <v>0</v>
      </c>
      <c r="AT28" s="147">
        <v>0</v>
      </c>
      <c r="AU28" s="147">
        <v>0</v>
      </c>
      <c r="AV28" s="147">
        <v>0</v>
      </c>
      <c r="AW28" s="145">
        <v>0</v>
      </c>
      <c r="AX28" s="146">
        <v>0</v>
      </c>
      <c r="AY28" s="147">
        <v>0</v>
      </c>
      <c r="AZ28" s="147">
        <v>0</v>
      </c>
      <c r="BA28" s="147">
        <v>0</v>
      </c>
      <c r="BB28" s="145">
        <v>0</v>
      </c>
      <c r="BC28" s="146">
        <v>0</v>
      </c>
      <c r="BD28" s="147">
        <v>0</v>
      </c>
      <c r="BE28" s="147">
        <v>0</v>
      </c>
      <c r="BF28" s="147">
        <v>0</v>
      </c>
      <c r="BG28" s="145">
        <v>0</v>
      </c>
      <c r="BH28" s="146">
        <v>0</v>
      </c>
      <c r="BI28" s="147">
        <v>0</v>
      </c>
      <c r="BJ28" s="147">
        <v>0</v>
      </c>
      <c r="BK28" s="147">
        <v>0</v>
      </c>
      <c r="BL28" s="145">
        <v>0</v>
      </c>
      <c r="BM28" s="146">
        <v>0</v>
      </c>
      <c r="BN28" s="147">
        <v>0</v>
      </c>
      <c r="BO28" s="147">
        <v>0</v>
      </c>
      <c r="BP28" s="147">
        <v>0</v>
      </c>
      <c r="BQ28" s="145">
        <v>0</v>
      </c>
      <c r="BR28" s="146">
        <v>14262781</v>
      </c>
      <c r="BS28" s="80">
        <v>372503</v>
      </c>
      <c r="BT28" s="147">
        <v>210682</v>
      </c>
      <c r="BU28" s="147">
        <v>3</v>
      </c>
      <c r="BV28" s="148">
        <v>14845969</v>
      </c>
      <c r="BW28" s="153"/>
      <c r="BX28" s="155"/>
      <c r="BZ28" s="151"/>
      <c r="CA28" s="151"/>
      <c r="CB28" s="151"/>
      <c r="CC28" s="151"/>
      <c r="CD28" s="151"/>
      <c r="CE28" s="152"/>
      <c r="CF28" s="152"/>
      <c r="CG28" s="152"/>
      <c r="CH28" s="153"/>
      <c r="CI28" s="152"/>
    </row>
    <row r="29" spans="1:87" x14ac:dyDescent="0.3">
      <c r="A29" s="141">
        <v>23</v>
      </c>
      <c r="B29" s="142" t="s">
        <v>84</v>
      </c>
      <c r="D29" s="143"/>
      <c r="E29" s="144">
        <v>43765838</v>
      </c>
      <c r="F29" s="51">
        <v>4668387</v>
      </c>
      <c r="G29" s="51">
        <v>655864</v>
      </c>
      <c r="H29" s="50">
        <v>0</v>
      </c>
      <c r="I29" s="145">
        <v>49090089</v>
      </c>
      <c r="J29" s="146">
        <v>3227323</v>
      </c>
      <c r="K29" s="147">
        <v>413061</v>
      </c>
      <c r="L29" s="147">
        <v>164065</v>
      </c>
      <c r="M29" s="147">
        <v>0</v>
      </c>
      <c r="N29" s="145">
        <v>3804449</v>
      </c>
      <c r="O29" s="147">
        <v>3739948</v>
      </c>
      <c r="P29" s="147">
        <v>237816</v>
      </c>
      <c r="Q29" s="147">
        <v>186561</v>
      </c>
      <c r="R29" s="147">
        <v>0</v>
      </c>
      <c r="S29" s="145">
        <v>4164325</v>
      </c>
      <c r="T29" s="146">
        <v>3588253</v>
      </c>
      <c r="U29" s="147">
        <v>200568</v>
      </c>
      <c r="V29" s="147">
        <v>15994</v>
      </c>
      <c r="W29" s="147">
        <v>0</v>
      </c>
      <c r="X29" s="145">
        <v>3804815</v>
      </c>
      <c r="Y29" s="146">
        <v>3651033</v>
      </c>
      <c r="Z29" s="147">
        <v>598605</v>
      </c>
      <c r="AA29" s="147">
        <v>104479</v>
      </c>
      <c r="AB29" s="147">
        <v>0</v>
      </c>
      <c r="AC29" s="145">
        <v>4354117</v>
      </c>
      <c r="AD29" s="146">
        <v>3878831</v>
      </c>
      <c r="AE29" s="147">
        <v>196432</v>
      </c>
      <c r="AF29" s="147">
        <v>67695</v>
      </c>
      <c r="AG29" s="147">
        <v>0</v>
      </c>
      <c r="AH29" s="145">
        <v>4142958</v>
      </c>
      <c r="AI29" s="146">
        <v>3758950</v>
      </c>
      <c r="AJ29" s="147">
        <v>181810</v>
      </c>
      <c r="AK29" s="147">
        <v>27062</v>
      </c>
      <c r="AL29" s="147">
        <v>0</v>
      </c>
      <c r="AM29" s="145">
        <v>3967822</v>
      </c>
      <c r="AN29" s="146">
        <v>4093450</v>
      </c>
      <c r="AO29" s="147">
        <v>582878</v>
      </c>
      <c r="AP29" s="147">
        <v>92716</v>
      </c>
      <c r="AQ29" s="147">
        <v>0</v>
      </c>
      <c r="AR29" s="145">
        <v>4769044</v>
      </c>
      <c r="AS29" s="146">
        <v>0</v>
      </c>
      <c r="AT29" s="147">
        <v>0</v>
      </c>
      <c r="AU29" s="147">
        <v>0</v>
      </c>
      <c r="AV29" s="147">
        <v>0</v>
      </c>
      <c r="AW29" s="145">
        <v>0</v>
      </c>
      <c r="AX29" s="146">
        <v>0</v>
      </c>
      <c r="AY29" s="147">
        <v>0</v>
      </c>
      <c r="AZ29" s="147">
        <v>0</v>
      </c>
      <c r="BA29" s="147">
        <v>0</v>
      </c>
      <c r="BB29" s="145">
        <v>0</v>
      </c>
      <c r="BC29" s="146">
        <v>0</v>
      </c>
      <c r="BD29" s="147">
        <v>0</v>
      </c>
      <c r="BE29" s="147">
        <v>0</v>
      </c>
      <c r="BF29" s="147">
        <v>0</v>
      </c>
      <c r="BG29" s="145">
        <v>0</v>
      </c>
      <c r="BH29" s="146">
        <v>0</v>
      </c>
      <c r="BI29" s="147">
        <v>0</v>
      </c>
      <c r="BJ29" s="147">
        <v>0</v>
      </c>
      <c r="BK29" s="147">
        <v>0</v>
      </c>
      <c r="BL29" s="145">
        <v>0</v>
      </c>
      <c r="BM29" s="146">
        <v>0</v>
      </c>
      <c r="BN29" s="147">
        <v>0</v>
      </c>
      <c r="BO29" s="147">
        <v>0</v>
      </c>
      <c r="BP29" s="147">
        <v>0</v>
      </c>
      <c r="BQ29" s="145">
        <v>0</v>
      </c>
      <c r="BR29" s="146">
        <v>25937788</v>
      </c>
      <c r="BS29" s="80">
        <v>2411170</v>
      </c>
      <c r="BT29" s="147">
        <v>658572</v>
      </c>
      <c r="BU29" s="147">
        <v>0</v>
      </c>
      <c r="BV29" s="148">
        <v>29007530</v>
      </c>
      <c r="BW29" s="153"/>
      <c r="BX29" s="155"/>
      <c r="BZ29" s="151"/>
      <c r="CA29" s="151"/>
      <c r="CB29" s="151"/>
      <c r="CC29" s="151"/>
      <c r="CD29" s="151"/>
      <c r="CE29" s="152"/>
      <c r="CF29" s="152"/>
      <c r="CG29" s="152"/>
      <c r="CH29" s="153"/>
      <c r="CI29" s="152"/>
    </row>
    <row r="30" spans="1:87" x14ac:dyDescent="0.3">
      <c r="A30" s="157">
        <v>24</v>
      </c>
      <c r="B30" s="158" t="s">
        <v>85</v>
      </c>
      <c r="D30" s="166"/>
      <c r="E30" s="144">
        <v>350227</v>
      </c>
      <c r="F30" s="51">
        <v>826</v>
      </c>
      <c r="G30" s="51">
        <v>6174</v>
      </c>
      <c r="H30" s="50">
        <v>0</v>
      </c>
      <c r="I30" s="145">
        <v>357227</v>
      </c>
      <c r="J30" s="146">
        <v>24119</v>
      </c>
      <c r="K30" s="147">
        <v>18</v>
      </c>
      <c r="L30" s="147">
        <v>0</v>
      </c>
      <c r="M30" s="147">
        <v>0</v>
      </c>
      <c r="N30" s="145">
        <v>24137</v>
      </c>
      <c r="O30" s="147">
        <v>25413</v>
      </c>
      <c r="P30" s="147">
        <v>80</v>
      </c>
      <c r="Q30" s="147">
        <v>0</v>
      </c>
      <c r="R30" s="147">
        <v>0</v>
      </c>
      <c r="S30" s="145">
        <v>25493</v>
      </c>
      <c r="T30" s="146">
        <v>27849</v>
      </c>
      <c r="U30" s="147">
        <v>64</v>
      </c>
      <c r="V30" s="147">
        <v>19</v>
      </c>
      <c r="W30" s="147">
        <v>0</v>
      </c>
      <c r="X30" s="145">
        <v>27932</v>
      </c>
      <c r="Y30" s="146">
        <v>26819</v>
      </c>
      <c r="Z30" s="147">
        <v>51</v>
      </c>
      <c r="AA30" s="147">
        <v>31</v>
      </c>
      <c r="AB30" s="147">
        <v>0</v>
      </c>
      <c r="AC30" s="145">
        <v>26901</v>
      </c>
      <c r="AD30" s="146">
        <v>26925</v>
      </c>
      <c r="AE30" s="147">
        <v>720</v>
      </c>
      <c r="AF30" s="147">
        <v>2</v>
      </c>
      <c r="AG30" s="147">
        <v>0</v>
      </c>
      <c r="AH30" s="145">
        <v>27647</v>
      </c>
      <c r="AI30" s="146">
        <v>28290</v>
      </c>
      <c r="AJ30" s="147">
        <v>40</v>
      </c>
      <c r="AK30" s="147">
        <v>7</v>
      </c>
      <c r="AL30" s="147">
        <v>0</v>
      </c>
      <c r="AM30" s="145">
        <v>28337</v>
      </c>
      <c r="AN30" s="146">
        <v>25403</v>
      </c>
      <c r="AO30" s="147">
        <v>107</v>
      </c>
      <c r="AP30" s="147">
        <v>854</v>
      </c>
      <c r="AQ30" s="147">
        <v>0</v>
      </c>
      <c r="AR30" s="145">
        <v>26364</v>
      </c>
      <c r="AS30" s="146">
        <v>0</v>
      </c>
      <c r="AT30" s="147">
        <v>0</v>
      </c>
      <c r="AU30" s="147">
        <v>0</v>
      </c>
      <c r="AV30" s="147">
        <v>0</v>
      </c>
      <c r="AW30" s="145">
        <v>0</v>
      </c>
      <c r="AX30" s="146">
        <v>0</v>
      </c>
      <c r="AY30" s="147">
        <v>0</v>
      </c>
      <c r="AZ30" s="147">
        <v>0</v>
      </c>
      <c r="BA30" s="147">
        <v>0</v>
      </c>
      <c r="BB30" s="145">
        <v>0</v>
      </c>
      <c r="BC30" s="146">
        <v>0</v>
      </c>
      <c r="BD30" s="147">
        <v>0</v>
      </c>
      <c r="BE30" s="147">
        <v>0</v>
      </c>
      <c r="BF30" s="147">
        <v>0</v>
      </c>
      <c r="BG30" s="145">
        <v>0</v>
      </c>
      <c r="BH30" s="146">
        <v>0</v>
      </c>
      <c r="BI30" s="147">
        <v>0</v>
      </c>
      <c r="BJ30" s="147">
        <v>0</v>
      </c>
      <c r="BK30" s="147">
        <v>0</v>
      </c>
      <c r="BL30" s="145">
        <v>0</v>
      </c>
      <c r="BM30" s="146">
        <v>0</v>
      </c>
      <c r="BN30" s="147">
        <v>0</v>
      </c>
      <c r="BO30" s="147">
        <v>0</v>
      </c>
      <c r="BP30" s="147">
        <v>0</v>
      </c>
      <c r="BQ30" s="145">
        <v>0</v>
      </c>
      <c r="BR30" s="146">
        <v>184818</v>
      </c>
      <c r="BS30" s="80">
        <v>1080</v>
      </c>
      <c r="BT30" s="147">
        <v>913</v>
      </c>
      <c r="BU30" s="147">
        <v>0</v>
      </c>
      <c r="BV30" s="148">
        <v>186811</v>
      </c>
      <c r="BW30" s="153"/>
      <c r="BX30" s="150"/>
      <c r="BZ30" s="160"/>
      <c r="CA30" s="160"/>
      <c r="CB30" s="160"/>
      <c r="CC30" s="160"/>
      <c r="CD30" s="160"/>
      <c r="CE30" s="152"/>
      <c r="CF30" s="152"/>
      <c r="CG30" s="152"/>
      <c r="CH30" s="153"/>
      <c r="CI30" s="152"/>
    </row>
    <row r="31" spans="1:87" x14ac:dyDescent="0.3">
      <c r="A31" s="141">
        <v>25</v>
      </c>
      <c r="B31" s="142" t="s">
        <v>86</v>
      </c>
      <c r="D31" s="143"/>
      <c r="E31" s="144">
        <v>15987544</v>
      </c>
      <c r="F31" s="51">
        <v>3214371</v>
      </c>
      <c r="G31" s="51">
        <v>820030</v>
      </c>
      <c r="H31" s="50">
        <v>0</v>
      </c>
      <c r="I31" s="145">
        <v>20021945</v>
      </c>
      <c r="J31" s="146">
        <v>1033979</v>
      </c>
      <c r="K31" s="147">
        <v>260089</v>
      </c>
      <c r="L31" s="147">
        <v>15435</v>
      </c>
      <c r="M31" s="147">
        <v>0</v>
      </c>
      <c r="N31" s="145">
        <v>1309503</v>
      </c>
      <c r="O31" s="147">
        <v>1057298</v>
      </c>
      <c r="P31" s="147">
        <v>260491</v>
      </c>
      <c r="Q31" s="147">
        <v>93035</v>
      </c>
      <c r="R31" s="147">
        <v>27</v>
      </c>
      <c r="S31" s="145">
        <v>1410851</v>
      </c>
      <c r="T31" s="146">
        <v>83618</v>
      </c>
      <c r="U31" s="147">
        <v>275135</v>
      </c>
      <c r="V31" s="147">
        <v>41366</v>
      </c>
      <c r="W31" s="147">
        <v>7</v>
      </c>
      <c r="X31" s="145">
        <v>400126</v>
      </c>
      <c r="Y31" s="146">
        <v>2346543</v>
      </c>
      <c r="Z31" s="147">
        <v>283847</v>
      </c>
      <c r="AA31" s="147">
        <v>51606</v>
      </c>
      <c r="AB31" s="147">
        <v>189</v>
      </c>
      <c r="AC31" s="145">
        <v>2682185</v>
      </c>
      <c r="AD31" s="146">
        <v>1452368</v>
      </c>
      <c r="AE31" s="147">
        <v>263612</v>
      </c>
      <c r="AF31" s="147">
        <v>51105</v>
      </c>
      <c r="AG31" s="147">
        <v>8</v>
      </c>
      <c r="AH31" s="145">
        <v>1767093</v>
      </c>
      <c r="AI31" s="146">
        <v>1170275</v>
      </c>
      <c r="AJ31" s="147">
        <v>264390</v>
      </c>
      <c r="AK31" s="147">
        <v>50404</v>
      </c>
      <c r="AL31" s="147">
        <v>786</v>
      </c>
      <c r="AM31" s="145">
        <v>1485855</v>
      </c>
      <c r="AN31" s="146">
        <v>1579765</v>
      </c>
      <c r="AO31" s="147">
        <v>261737</v>
      </c>
      <c r="AP31" s="147">
        <v>60174</v>
      </c>
      <c r="AQ31" s="147">
        <v>-697</v>
      </c>
      <c r="AR31" s="145">
        <v>1900979</v>
      </c>
      <c r="AS31" s="146">
        <v>0</v>
      </c>
      <c r="AT31" s="147">
        <v>0</v>
      </c>
      <c r="AU31" s="147">
        <v>0</v>
      </c>
      <c r="AV31" s="147">
        <v>0</v>
      </c>
      <c r="AW31" s="145">
        <v>0</v>
      </c>
      <c r="AX31" s="146">
        <v>0</v>
      </c>
      <c r="AY31" s="147">
        <v>0</v>
      </c>
      <c r="AZ31" s="147">
        <v>0</v>
      </c>
      <c r="BA31" s="147">
        <v>0</v>
      </c>
      <c r="BB31" s="145">
        <v>0</v>
      </c>
      <c r="BC31" s="146">
        <v>0</v>
      </c>
      <c r="BD31" s="147">
        <v>0</v>
      </c>
      <c r="BE31" s="147">
        <v>0</v>
      </c>
      <c r="BF31" s="147">
        <v>0</v>
      </c>
      <c r="BG31" s="145">
        <v>0</v>
      </c>
      <c r="BH31" s="146">
        <v>0</v>
      </c>
      <c r="BI31" s="147">
        <v>0</v>
      </c>
      <c r="BJ31" s="147">
        <v>0</v>
      </c>
      <c r="BK31" s="147">
        <v>0</v>
      </c>
      <c r="BL31" s="145">
        <v>0</v>
      </c>
      <c r="BM31" s="146">
        <v>0</v>
      </c>
      <c r="BN31" s="147">
        <v>0</v>
      </c>
      <c r="BO31" s="147">
        <v>0</v>
      </c>
      <c r="BP31" s="147">
        <v>0</v>
      </c>
      <c r="BQ31" s="145">
        <v>0</v>
      </c>
      <c r="BR31" s="146">
        <v>8723846</v>
      </c>
      <c r="BS31" s="80">
        <v>1869301</v>
      </c>
      <c r="BT31" s="147">
        <v>363125</v>
      </c>
      <c r="BU31" s="147">
        <v>320</v>
      </c>
      <c r="BV31" s="148">
        <v>10956592</v>
      </c>
      <c r="BW31" s="153"/>
      <c r="BX31" s="155"/>
      <c r="BZ31" s="151"/>
      <c r="CA31" s="151"/>
      <c r="CB31" s="151"/>
      <c r="CC31" s="151"/>
      <c r="CD31" s="151"/>
      <c r="CE31" s="152"/>
      <c r="CF31" s="152"/>
      <c r="CG31" s="152"/>
      <c r="CH31" s="153"/>
      <c r="CI31" s="152"/>
    </row>
    <row r="32" spans="1:87" x14ac:dyDescent="0.3">
      <c r="A32" s="141">
        <v>26</v>
      </c>
      <c r="B32" s="142" t="s">
        <v>87</v>
      </c>
      <c r="D32" s="143"/>
      <c r="E32" s="144">
        <v>436932</v>
      </c>
      <c r="F32" s="51">
        <v>209206</v>
      </c>
      <c r="G32" s="51">
        <v>20238</v>
      </c>
      <c r="H32" s="50">
        <v>0</v>
      </c>
      <c r="I32" s="145">
        <v>666376</v>
      </c>
      <c r="J32" s="146">
        <v>35233</v>
      </c>
      <c r="K32" s="147">
        <v>2208</v>
      </c>
      <c r="L32" s="147">
        <v>0</v>
      </c>
      <c r="M32" s="147">
        <v>0</v>
      </c>
      <c r="N32" s="145">
        <v>37441</v>
      </c>
      <c r="O32" s="147">
        <v>25013</v>
      </c>
      <c r="P32" s="147">
        <v>7455</v>
      </c>
      <c r="Q32" s="147">
        <v>58</v>
      </c>
      <c r="R32" s="147">
        <v>0</v>
      </c>
      <c r="S32" s="145">
        <v>32526</v>
      </c>
      <c r="T32" s="146">
        <v>48498</v>
      </c>
      <c r="U32" s="147">
        <v>7302</v>
      </c>
      <c r="V32" s="147">
        <v>0</v>
      </c>
      <c r="W32" s="147">
        <v>0</v>
      </c>
      <c r="X32" s="145">
        <v>55800</v>
      </c>
      <c r="Y32" s="146">
        <v>26741</v>
      </c>
      <c r="Z32" s="147">
        <v>14400</v>
      </c>
      <c r="AA32" s="147">
        <v>17</v>
      </c>
      <c r="AB32" s="147">
        <v>0</v>
      </c>
      <c r="AC32" s="145">
        <v>41158</v>
      </c>
      <c r="AD32" s="146">
        <v>35972</v>
      </c>
      <c r="AE32" s="147">
        <v>9259</v>
      </c>
      <c r="AF32" s="147">
        <v>2006</v>
      </c>
      <c r="AG32" s="147">
        <v>0</v>
      </c>
      <c r="AH32" s="145">
        <v>47237</v>
      </c>
      <c r="AI32" s="146">
        <v>33920</v>
      </c>
      <c r="AJ32" s="147">
        <v>7596</v>
      </c>
      <c r="AK32" s="147">
        <v>710</v>
      </c>
      <c r="AL32" s="147">
        <v>0</v>
      </c>
      <c r="AM32" s="145">
        <v>42226</v>
      </c>
      <c r="AN32" s="146">
        <v>25893</v>
      </c>
      <c r="AO32" s="147">
        <v>3914</v>
      </c>
      <c r="AP32" s="147">
        <v>-335</v>
      </c>
      <c r="AQ32" s="147">
        <v>0</v>
      </c>
      <c r="AR32" s="145">
        <v>29472</v>
      </c>
      <c r="AS32" s="146">
        <v>0</v>
      </c>
      <c r="AT32" s="147">
        <v>0</v>
      </c>
      <c r="AU32" s="147">
        <v>0</v>
      </c>
      <c r="AV32" s="147">
        <v>0</v>
      </c>
      <c r="AW32" s="145">
        <v>0</v>
      </c>
      <c r="AX32" s="146">
        <v>0</v>
      </c>
      <c r="AY32" s="147">
        <v>0</v>
      </c>
      <c r="AZ32" s="147">
        <v>0</v>
      </c>
      <c r="BA32" s="147">
        <v>0</v>
      </c>
      <c r="BB32" s="145">
        <v>0</v>
      </c>
      <c r="BC32" s="146">
        <v>0</v>
      </c>
      <c r="BD32" s="147">
        <v>0</v>
      </c>
      <c r="BE32" s="147">
        <v>0</v>
      </c>
      <c r="BF32" s="147">
        <v>0</v>
      </c>
      <c r="BG32" s="145">
        <v>0</v>
      </c>
      <c r="BH32" s="146">
        <v>0</v>
      </c>
      <c r="BI32" s="147">
        <v>0</v>
      </c>
      <c r="BJ32" s="147">
        <v>0</v>
      </c>
      <c r="BK32" s="147">
        <v>0</v>
      </c>
      <c r="BL32" s="145">
        <v>0</v>
      </c>
      <c r="BM32" s="146">
        <v>0</v>
      </c>
      <c r="BN32" s="147">
        <v>0</v>
      </c>
      <c r="BO32" s="147">
        <v>0</v>
      </c>
      <c r="BP32" s="147">
        <v>0</v>
      </c>
      <c r="BQ32" s="145">
        <v>0</v>
      </c>
      <c r="BR32" s="146">
        <v>231270</v>
      </c>
      <c r="BS32" s="80">
        <v>52134</v>
      </c>
      <c r="BT32" s="147">
        <v>2456</v>
      </c>
      <c r="BU32" s="147">
        <v>0</v>
      </c>
      <c r="BV32" s="148">
        <v>285860</v>
      </c>
      <c r="BW32" s="153"/>
      <c r="BX32" s="150"/>
      <c r="BZ32" s="151"/>
      <c r="CA32" s="151"/>
      <c r="CB32" s="151"/>
      <c r="CC32" s="151"/>
      <c r="CD32" s="151"/>
      <c r="CE32" s="152"/>
      <c r="CF32" s="152"/>
      <c r="CG32" s="152"/>
      <c r="CH32" s="153"/>
      <c r="CI32" s="152"/>
    </row>
    <row r="33" spans="1:112" x14ac:dyDescent="0.3">
      <c r="A33" s="141">
        <v>27</v>
      </c>
      <c r="B33" s="118" t="s">
        <v>88</v>
      </c>
      <c r="D33" s="143"/>
      <c r="E33" s="144">
        <v>1152277</v>
      </c>
      <c r="F33" s="51">
        <v>1470</v>
      </c>
      <c r="G33" s="51">
        <v>112044</v>
      </c>
      <c r="H33" s="50">
        <v>0</v>
      </c>
      <c r="I33" s="145">
        <v>1265791</v>
      </c>
      <c r="J33" s="146">
        <v>79139</v>
      </c>
      <c r="K33" s="147">
        <v>1172</v>
      </c>
      <c r="L33" s="147">
        <v>3830</v>
      </c>
      <c r="M33" s="147">
        <v>0</v>
      </c>
      <c r="N33" s="145">
        <v>84141</v>
      </c>
      <c r="O33" s="147">
        <v>119442</v>
      </c>
      <c r="P33" s="147">
        <v>4000</v>
      </c>
      <c r="Q33" s="147">
        <v>8824</v>
      </c>
      <c r="R33" s="147">
        <v>0</v>
      </c>
      <c r="S33" s="145">
        <v>132266</v>
      </c>
      <c r="T33" s="146">
        <v>84968</v>
      </c>
      <c r="U33" s="147">
        <v>1078</v>
      </c>
      <c r="V33" s="147">
        <v>5847</v>
      </c>
      <c r="W33" s="147">
        <v>0</v>
      </c>
      <c r="X33" s="145">
        <v>91893</v>
      </c>
      <c r="Y33" s="146">
        <v>88894</v>
      </c>
      <c r="Z33" s="147">
        <v>222</v>
      </c>
      <c r="AA33" s="147">
        <v>7293</v>
      </c>
      <c r="AB33" s="147">
        <v>0</v>
      </c>
      <c r="AC33" s="145">
        <v>96409</v>
      </c>
      <c r="AD33" s="146">
        <v>92467</v>
      </c>
      <c r="AE33" s="147">
        <v>729</v>
      </c>
      <c r="AF33" s="147">
        <v>5822</v>
      </c>
      <c r="AG33" s="147">
        <v>0</v>
      </c>
      <c r="AH33" s="145">
        <v>99018</v>
      </c>
      <c r="AI33" s="146">
        <v>86514</v>
      </c>
      <c r="AJ33" s="147">
        <v>70</v>
      </c>
      <c r="AK33" s="147">
        <v>8029</v>
      </c>
      <c r="AL33" s="147">
        <v>0</v>
      </c>
      <c r="AM33" s="145">
        <v>94613</v>
      </c>
      <c r="AN33" s="146">
        <v>92336</v>
      </c>
      <c r="AO33" s="147">
        <v>492</v>
      </c>
      <c r="AP33" s="147">
        <v>4992</v>
      </c>
      <c r="AQ33" s="147">
        <v>0</v>
      </c>
      <c r="AR33" s="145">
        <v>97820</v>
      </c>
      <c r="AS33" s="146">
        <v>0</v>
      </c>
      <c r="AT33" s="147">
        <v>0</v>
      </c>
      <c r="AU33" s="147">
        <v>0</v>
      </c>
      <c r="AV33" s="147">
        <v>0</v>
      </c>
      <c r="AW33" s="145">
        <v>0</v>
      </c>
      <c r="AX33" s="146">
        <v>0</v>
      </c>
      <c r="AY33" s="147">
        <v>0</v>
      </c>
      <c r="AZ33" s="147">
        <v>0</v>
      </c>
      <c r="BA33" s="147">
        <v>0</v>
      </c>
      <c r="BB33" s="145">
        <v>0</v>
      </c>
      <c r="BC33" s="146">
        <v>0</v>
      </c>
      <c r="BD33" s="147">
        <v>0</v>
      </c>
      <c r="BE33" s="147">
        <v>0</v>
      </c>
      <c r="BF33" s="147">
        <v>0</v>
      </c>
      <c r="BG33" s="145">
        <v>0</v>
      </c>
      <c r="BH33" s="146">
        <v>0</v>
      </c>
      <c r="BI33" s="147">
        <v>0</v>
      </c>
      <c r="BJ33" s="147">
        <v>0</v>
      </c>
      <c r="BK33" s="147">
        <v>0</v>
      </c>
      <c r="BL33" s="145">
        <v>0</v>
      </c>
      <c r="BM33" s="146">
        <v>0</v>
      </c>
      <c r="BN33" s="147">
        <v>0</v>
      </c>
      <c r="BO33" s="147">
        <v>0</v>
      </c>
      <c r="BP33" s="147">
        <v>0</v>
      </c>
      <c r="BQ33" s="145">
        <v>0</v>
      </c>
      <c r="BR33" s="146">
        <v>643760</v>
      </c>
      <c r="BS33" s="80">
        <v>7763</v>
      </c>
      <c r="BT33" s="147">
        <v>44637</v>
      </c>
      <c r="BU33" s="147">
        <v>0</v>
      </c>
      <c r="BV33" s="148">
        <v>696160</v>
      </c>
      <c r="BW33" s="153"/>
      <c r="BX33" s="155"/>
      <c r="BZ33" s="151"/>
      <c r="CA33" s="151"/>
      <c r="CB33" s="151"/>
      <c r="CC33" s="151"/>
      <c r="CD33" s="151"/>
      <c r="CE33" s="152"/>
      <c r="CF33" s="152"/>
      <c r="CG33" s="152"/>
      <c r="CH33" s="153"/>
      <c r="CI33" s="152"/>
    </row>
    <row r="34" spans="1:112" s="180" customFormat="1" x14ac:dyDescent="0.3">
      <c r="A34" s="167">
        <v>28</v>
      </c>
      <c r="B34" s="168" t="s">
        <v>89</v>
      </c>
      <c r="C34" s="169"/>
      <c r="D34" s="170"/>
      <c r="E34" s="171">
        <v>95873612</v>
      </c>
      <c r="F34" s="172">
        <v>1259399</v>
      </c>
      <c r="G34" s="172">
        <v>3562304</v>
      </c>
      <c r="H34" s="173">
        <v>0</v>
      </c>
      <c r="I34" s="174">
        <v>100695315</v>
      </c>
      <c r="J34" s="175">
        <v>6887612</v>
      </c>
      <c r="K34" s="176">
        <v>109445</v>
      </c>
      <c r="L34" s="176">
        <v>77932</v>
      </c>
      <c r="M34" s="176">
        <v>591</v>
      </c>
      <c r="N34" s="174">
        <v>7075580</v>
      </c>
      <c r="O34" s="176">
        <v>7568130</v>
      </c>
      <c r="P34" s="176">
        <v>138747</v>
      </c>
      <c r="Q34" s="176">
        <v>180749</v>
      </c>
      <c r="R34" s="176">
        <v>6048</v>
      </c>
      <c r="S34" s="174">
        <v>7893674</v>
      </c>
      <c r="T34" s="175">
        <v>7638170</v>
      </c>
      <c r="U34" s="176">
        <v>137317</v>
      </c>
      <c r="V34" s="176">
        <v>107783</v>
      </c>
      <c r="W34" s="176">
        <v>1532</v>
      </c>
      <c r="X34" s="174">
        <v>7884802</v>
      </c>
      <c r="Y34" s="175">
        <v>8130661</v>
      </c>
      <c r="Z34" s="176">
        <v>82747</v>
      </c>
      <c r="AA34" s="176">
        <v>117189</v>
      </c>
      <c r="AB34" s="176">
        <v>3153</v>
      </c>
      <c r="AC34" s="174">
        <v>8333750</v>
      </c>
      <c r="AD34" s="175">
        <v>7608902</v>
      </c>
      <c r="AE34" s="176">
        <v>149145</v>
      </c>
      <c r="AF34" s="176">
        <v>191142</v>
      </c>
      <c r="AG34" s="176">
        <v>5111</v>
      </c>
      <c r="AH34" s="174">
        <v>7954300</v>
      </c>
      <c r="AI34" s="175">
        <v>8025303</v>
      </c>
      <c r="AJ34" s="176">
        <v>208336</v>
      </c>
      <c r="AK34" s="176">
        <v>251272</v>
      </c>
      <c r="AL34" s="176">
        <v>14602</v>
      </c>
      <c r="AM34" s="174">
        <v>8499513</v>
      </c>
      <c r="AN34" s="175">
        <v>7928392</v>
      </c>
      <c r="AO34" s="176">
        <v>134417</v>
      </c>
      <c r="AP34" s="176">
        <v>242282</v>
      </c>
      <c r="AQ34" s="176">
        <v>21598</v>
      </c>
      <c r="AR34" s="174">
        <v>8326689</v>
      </c>
      <c r="AS34" s="175">
        <v>0</v>
      </c>
      <c r="AT34" s="176">
        <v>0</v>
      </c>
      <c r="AU34" s="176">
        <v>0</v>
      </c>
      <c r="AV34" s="176">
        <v>0</v>
      </c>
      <c r="AW34" s="174">
        <v>0</v>
      </c>
      <c r="AX34" s="175">
        <v>0</v>
      </c>
      <c r="AY34" s="176">
        <v>0</v>
      </c>
      <c r="AZ34" s="176">
        <v>0</v>
      </c>
      <c r="BA34" s="176">
        <v>0</v>
      </c>
      <c r="BB34" s="174">
        <v>0</v>
      </c>
      <c r="BC34" s="175">
        <v>0</v>
      </c>
      <c r="BD34" s="176">
        <v>0</v>
      </c>
      <c r="BE34" s="176">
        <v>0</v>
      </c>
      <c r="BF34" s="176">
        <v>0</v>
      </c>
      <c r="BG34" s="174">
        <v>0</v>
      </c>
      <c r="BH34" s="175">
        <v>0</v>
      </c>
      <c r="BI34" s="176">
        <v>0</v>
      </c>
      <c r="BJ34" s="176">
        <v>0</v>
      </c>
      <c r="BK34" s="176">
        <v>0</v>
      </c>
      <c r="BL34" s="174">
        <v>0</v>
      </c>
      <c r="BM34" s="175">
        <v>0</v>
      </c>
      <c r="BN34" s="176">
        <v>0</v>
      </c>
      <c r="BO34" s="176">
        <v>0</v>
      </c>
      <c r="BP34" s="176">
        <v>0</v>
      </c>
      <c r="BQ34" s="174">
        <v>0</v>
      </c>
      <c r="BR34" s="175">
        <v>53787170</v>
      </c>
      <c r="BS34" s="178">
        <v>960154</v>
      </c>
      <c r="BT34" s="176">
        <v>1168349</v>
      </c>
      <c r="BU34" s="176">
        <v>52635</v>
      </c>
      <c r="BV34" s="177">
        <v>55968308</v>
      </c>
      <c r="BW34" s="179"/>
      <c r="BX34" s="155"/>
      <c r="BY34" s="116"/>
      <c r="BZ34" s="151"/>
      <c r="CA34" s="151"/>
      <c r="CB34" s="151"/>
      <c r="CC34" s="151"/>
      <c r="CD34" s="151"/>
      <c r="CE34" s="152"/>
      <c r="CF34" s="152"/>
      <c r="CG34" s="152"/>
      <c r="CH34" s="153"/>
      <c r="CI34" s="152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</row>
    <row r="35" spans="1:112" x14ac:dyDescent="0.3">
      <c r="A35" s="141">
        <v>29</v>
      </c>
      <c r="B35" s="142" t="s">
        <v>90</v>
      </c>
      <c r="D35" s="143"/>
      <c r="E35" s="144">
        <v>7886844</v>
      </c>
      <c r="F35" s="51">
        <v>9147149</v>
      </c>
      <c r="G35" s="51">
        <v>253705</v>
      </c>
      <c r="H35" s="50">
        <v>0</v>
      </c>
      <c r="I35" s="145">
        <v>17287698</v>
      </c>
      <c r="J35" s="146">
        <v>447596</v>
      </c>
      <c r="K35" s="147">
        <v>513855</v>
      </c>
      <c r="L35" s="147">
        <v>15473</v>
      </c>
      <c r="M35" s="147">
        <v>0</v>
      </c>
      <c r="N35" s="145">
        <v>976924</v>
      </c>
      <c r="O35" s="147">
        <v>473106</v>
      </c>
      <c r="P35" s="147">
        <v>235421</v>
      </c>
      <c r="Q35" s="147">
        <v>32360</v>
      </c>
      <c r="R35" s="147">
        <v>36</v>
      </c>
      <c r="S35" s="145">
        <v>740923</v>
      </c>
      <c r="T35" s="146">
        <v>466067</v>
      </c>
      <c r="U35" s="147">
        <v>260125</v>
      </c>
      <c r="V35" s="147">
        <v>43122</v>
      </c>
      <c r="W35" s="147">
        <v>0</v>
      </c>
      <c r="X35" s="146">
        <v>769314</v>
      </c>
      <c r="Y35" s="146">
        <v>512029</v>
      </c>
      <c r="Z35" s="147">
        <v>476181</v>
      </c>
      <c r="AA35" s="147">
        <v>113621</v>
      </c>
      <c r="AB35" s="147">
        <v>0</v>
      </c>
      <c r="AC35" s="145">
        <v>1101831</v>
      </c>
      <c r="AD35" s="146">
        <v>504667</v>
      </c>
      <c r="AE35" s="147">
        <v>1769858</v>
      </c>
      <c r="AF35" s="147">
        <v>71817</v>
      </c>
      <c r="AG35" s="147">
        <v>0</v>
      </c>
      <c r="AH35" s="145">
        <v>2346342</v>
      </c>
      <c r="AI35" s="146">
        <v>474869</v>
      </c>
      <c r="AJ35" s="147">
        <v>646567</v>
      </c>
      <c r="AK35" s="147">
        <v>68709</v>
      </c>
      <c r="AL35" s="147">
        <v>0</v>
      </c>
      <c r="AM35" s="145">
        <v>1190145</v>
      </c>
      <c r="AN35" s="146">
        <v>447596</v>
      </c>
      <c r="AO35" s="147">
        <v>1032185</v>
      </c>
      <c r="AP35" s="147">
        <v>447086</v>
      </c>
      <c r="AQ35" s="147">
        <v>0</v>
      </c>
      <c r="AR35" s="145">
        <v>1926867</v>
      </c>
      <c r="AS35" s="146">
        <v>0</v>
      </c>
      <c r="AT35" s="147">
        <v>0</v>
      </c>
      <c r="AU35" s="147">
        <v>0</v>
      </c>
      <c r="AV35" s="147">
        <v>0</v>
      </c>
      <c r="AW35" s="145">
        <v>0</v>
      </c>
      <c r="AX35" s="146">
        <v>0</v>
      </c>
      <c r="AY35" s="147">
        <v>0</v>
      </c>
      <c r="AZ35" s="147">
        <v>0</v>
      </c>
      <c r="BA35" s="147">
        <v>0</v>
      </c>
      <c r="BB35" s="145">
        <v>0</v>
      </c>
      <c r="BC35" s="146">
        <v>0</v>
      </c>
      <c r="BD35" s="147">
        <v>0</v>
      </c>
      <c r="BE35" s="147">
        <v>0</v>
      </c>
      <c r="BF35" s="147">
        <v>0</v>
      </c>
      <c r="BG35" s="145">
        <v>0</v>
      </c>
      <c r="BH35" s="146">
        <v>0</v>
      </c>
      <c r="BI35" s="147">
        <v>0</v>
      </c>
      <c r="BJ35" s="147">
        <v>0</v>
      </c>
      <c r="BK35" s="147">
        <v>0</v>
      </c>
      <c r="BL35" s="145">
        <v>0</v>
      </c>
      <c r="BM35" s="146">
        <v>0</v>
      </c>
      <c r="BN35" s="147">
        <v>0</v>
      </c>
      <c r="BO35" s="147">
        <v>0</v>
      </c>
      <c r="BP35" s="147">
        <v>0</v>
      </c>
      <c r="BQ35" s="145">
        <v>0</v>
      </c>
      <c r="BR35" s="146">
        <v>3325930</v>
      </c>
      <c r="BS35" s="80">
        <v>4934192</v>
      </c>
      <c r="BT35" s="147">
        <v>792188</v>
      </c>
      <c r="BU35" s="147">
        <v>36</v>
      </c>
      <c r="BV35" s="148">
        <v>9052346</v>
      </c>
      <c r="BW35" s="153"/>
      <c r="BX35" s="150"/>
      <c r="BZ35" s="151"/>
      <c r="CA35" s="151"/>
      <c r="CB35" s="151"/>
      <c r="CC35" s="151"/>
      <c r="CD35" s="151"/>
      <c r="CE35" s="152"/>
      <c r="CF35" s="152"/>
      <c r="CG35" s="152"/>
      <c r="CH35" s="153"/>
      <c r="CI35" s="152"/>
    </row>
    <row r="36" spans="1:112" x14ac:dyDescent="0.3">
      <c r="A36" s="141">
        <v>30</v>
      </c>
      <c r="B36" s="142" t="s">
        <v>91</v>
      </c>
      <c r="D36" s="143"/>
      <c r="E36" s="144">
        <v>743279</v>
      </c>
      <c r="F36" s="51">
        <v>1960420</v>
      </c>
      <c r="G36" s="51">
        <v>13483</v>
      </c>
      <c r="H36" s="50">
        <v>0</v>
      </c>
      <c r="I36" s="145">
        <v>2717182</v>
      </c>
      <c r="J36" s="146">
        <v>31030</v>
      </c>
      <c r="K36" s="147">
        <v>425514</v>
      </c>
      <c r="L36" s="147">
        <v>63</v>
      </c>
      <c r="M36" s="147">
        <v>37</v>
      </c>
      <c r="N36" s="145">
        <v>456644</v>
      </c>
      <c r="O36" s="147">
        <v>58611</v>
      </c>
      <c r="P36" s="147">
        <v>78347</v>
      </c>
      <c r="Q36" s="147">
        <v>414</v>
      </c>
      <c r="R36" s="147">
        <v>0</v>
      </c>
      <c r="S36" s="145">
        <v>137372</v>
      </c>
      <c r="T36" s="146">
        <v>66840</v>
      </c>
      <c r="U36" s="147">
        <v>391630</v>
      </c>
      <c r="V36" s="147">
        <v>0</v>
      </c>
      <c r="W36" s="147">
        <v>0</v>
      </c>
      <c r="X36" s="145">
        <v>458470</v>
      </c>
      <c r="Y36" s="146">
        <v>62592</v>
      </c>
      <c r="Z36" s="147">
        <v>364459</v>
      </c>
      <c r="AA36" s="147">
        <v>1965</v>
      </c>
      <c r="AB36" s="147">
        <v>97</v>
      </c>
      <c r="AC36" s="145">
        <v>429113</v>
      </c>
      <c r="AD36" s="146">
        <v>47673</v>
      </c>
      <c r="AE36" s="147">
        <v>26118</v>
      </c>
      <c r="AF36" s="147">
        <v>-126</v>
      </c>
      <c r="AG36" s="147">
        <v>0</v>
      </c>
      <c r="AH36" s="145">
        <v>73665</v>
      </c>
      <c r="AI36" s="146">
        <v>65940</v>
      </c>
      <c r="AJ36" s="147">
        <v>55</v>
      </c>
      <c r="AK36" s="147">
        <v>142</v>
      </c>
      <c r="AL36" s="147">
        <v>15</v>
      </c>
      <c r="AM36" s="145">
        <v>66152</v>
      </c>
      <c r="AN36" s="146">
        <v>46231</v>
      </c>
      <c r="AO36" s="147">
        <v>341438</v>
      </c>
      <c r="AP36" s="147">
        <v>544</v>
      </c>
      <c r="AQ36" s="147">
        <v>53</v>
      </c>
      <c r="AR36" s="145">
        <v>388266</v>
      </c>
      <c r="AS36" s="146">
        <v>0</v>
      </c>
      <c r="AT36" s="147">
        <v>0</v>
      </c>
      <c r="AU36" s="147">
        <v>0</v>
      </c>
      <c r="AV36" s="147">
        <v>0</v>
      </c>
      <c r="AW36" s="145">
        <v>0</v>
      </c>
      <c r="AX36" s="146">
        <v>0</v>
      </c>
      <c r="AY36" s="147">
        <v>0</v>
      </c>
      <c r="AZ36" s="147">
        <v>0</v>
      </c>
      <c r="BA36" s="147">
        <v>0</v>
      </c>
      <c r="BB36" s="145">
        <v>0</v>
      </c>
      <c r="BC36" s="146">
        <v>0</v>
      </c>
      <c r="BD36" s="147">
        <v>0</v>
      </c>
      <c r="BE36" s="147">
        <v>0</v>
      </c>
      <c r="BF36" s="147">
        <v>0</v>
      </c>
      <c r="BG36" s="145">
        <v>0</v>
      </c>
      <c r="BH36" s="146">
        <v>0</v>
      </c>
      <c r="BI36" s="147">
        <v>0</v>
      </c>
      <c r="BJ36" s="147">
        <v>0</v>
      </c>
      <c r="BK36" s="147">
        <v>0</v>
      </c>
      <c r="BL36" s="145">
        <v>0</v>
      </c>
      <c r="BM36" s="146">
        <v>0</v>
      </c>
      <c r="BN36" s="147">
        <v>0</v>
      </c>
      <c r="BO36" s="147">
        <v>0</v>
      </c>
      <c r="BP36" s="147">
        <v>0</v>
      </c>
      <c r="BQ36" s="145">
        <v>0</v>
      </c>
      <c r="BR36" s="146">
        <v>378917</v>
      </c>
      <c r="BS36" s="80">
        <v>1627561</v>
      </c>
      <c r="BT36" s="147">
        <v>3002</v>
      </c>
      <c r="BU36" s="147">
        <v>202</v>
      </c>
      <c r="BV36" s="148">
        <v>2009682</v>
      </c>
      <c r="BW36" s="153"/>
      <c r="BX36" s="150"/>
      <c r="BZ36" s="151"/>
      <c r="CA36" s="151"/>
      <c r="CB36" s="151"/>
      <c r="CC36" s="151"/>
      <c r="CD36" s="151"/>
      <c r="CE36" s="152"/>
      <c r="CF36" s="152"/>
      <c r="CG36" s="152"/>
      <c r="CH36" s="153"/>
      <c r="CI36" s="152"/>
    </row>
    <row r="37" spans="1:112" x14ac:dyDescent="0.3">
      <c r="A37" s="141">
        <v>31</v>
      </c>
      <c r="B37" s="142" t="s">
        <v>92</v>
      </c>
      <c r="D37" s="143"/>
      <c r="E37" s="144">
        <v>2147808</v>
      </c>
      <c r="F37" s="51">
        <v>1736957</v>
      </c>
      <c r="G37" s="51">
        <v>71254</v>
      </c>
      <c r="H37" s="50">
        <v>0</v>
      </c>
      <c r="I37" s="145">
        <v>3956019</v>
      </c>
      <c r="J37" s="146">
        <v>141990</v>
      </c>
      <c r="K37" s="147">
        <v>14197</v>
      </c>
      <c r="L37" s="147">
        <v>2018</v>
      </c>
      <c r="M37" s="147">
        <v>0</v>
      </c>
      <c r="N37" s="145">
        <v>158205</v>
      </c>
      <c r="O37" s="147">
        <v>182846</v>
      </c>
      <c r="P37" s="147">
        <v>470184</v>
      </c>
      <c r="Q37" s="147">
        <v>3585</v>
      </c>
      <c r="R37" s="147">
        <v>0</v>
      </c>
      <c r="S37" s="145">
        <v>656615</v>
      </c>
      <c r="T37" s="146">
        <v>159691</v>
      </c>
      <c r="U37" s="147">
        <v>39157</v>
      </c>
      <c r="V37" s="147">
        <v>2681</v>
      </c>
      <c r="W37" s="147">
        <v>2</v>
      </c>
      <c r="X37" s="145">
        <v>201531</v>
      </c>
      <c r="Y37" s="146">
        <v>146083</v>
      </c>
      <c r="Z37" s="147">
        <v>272634</v>
      </c>
      <c r="AA37" s="147">
        <v>1150</v>
      </c>
      <c r="AB37" s="147">
        <v>0</v>
      </c>
      <c r="AC37" s="145">
        <v>419867</v>
      </c>
      <c r="AD37" s="146">
        <v>172147</v>
      </c>
      <c r="AE37" s="147">
        <v>59140</v>
      </c>
      <c r="AF37" s="147">
        <v>4430</v>
      </c>
      <c r="AG37" s="147">
        <v>2</v>
      </c>
      <c r="AH37" s="145">
        <v>235719</v>
      </c>
      <c r="AI37" s="146">
        <v>181606</v>
      </c>
      <c r="AJ37" s="147">
        <v>5700</v>
      </c>
      <c r="AK37" s="147">
        <v>5379</v>
      </c>
      <c r="AL37" s="147">
        <v>0</v>
      </c>
      <c r="AM37" s="145">
        <v>192685</v>
      </c>
      <c r="AN37" s="146">
        <v>183806</v>
      </c>
      <c r="AO37" s="147">
        <v>325077</v>
      </c>
      <c r="AP37" s="147">
        <v>8360</v>
      </c>
      <c r="AQ37" s="147">
        <v>0</v>
      </c>
      <c r="AR37" s="145">
        <v>517243</v>
      </c>
      <c r="AS37" s="146">
        <v>0</v>
      </c>
      <c r="AT37" s="147">
        <v>0</v>
      </c>
      <c r="AU37" s="147">
        <v>0</v>
      </c>
      <c r="AV37" s="147">
        <v>0</v>
      </c>
      <c r="AW37" s="145">
        <v>0</v>
      </c>
      <c r="AX37" s="146">
        <v>0</v>
      </c>
      <c r="AY37" s="147">
        <v>0</v>
      </c>
      <c r="AZ37" s="147">
        <v>0</v>
      </c>
      <c r="BA37" s="147">
        <v>0</v>
      </c>
      <c r="BB37" s="145">
        <v>0</v>
      </c>
      <c r="BC37" s="146">
        <v>0</v>
      </c>
      <c r="BD37" s="147">
        <v>0</v>
      </c>
      <c r="BE37" s="147">
        <v>0</v>
      </c>
      <c r="BF37" s="147">
        <v>0</v>
      </c>
      <c r="BG37" s="145">
        <v>0</v>
      </c>
      <c r="BH37" s="146">
        <v>0</v>
      </c>
      <c r="BI37" s="147">
        <v>0</v>
      </c>
      <c r="BJ37" s="147">
        <v>0</v>
      </c>
      <c r="BK37" s="147">
        <v>0</v>
      </c>
      <c r="BL37" s="145">
        <v>0</v>
      </c>
      <c r="BM37" s="146">
        <v>0</v>
      </c>
      <c r="BN37" s="147">
        <v>0</v>
      </c>
      <c r="BO37" s="147">
        <v>0</v>
      </c>
      <c r="BP37" s="147">
        <v>0</v>
      </c>
      <c r="BQ37" s="145">
        <v>0</v>
      </c>
      <c r="BR37" s="146">
        <v>1168169</v>
      </c>
      <c r="BS37" s="80">
        <v>1186089</v>
      </c>
      <c r="BT37" s="147">
        <v>27603</v>
      </c>
      <c r="BU37" s="147">
        <v>4</v>
      </c>
      <c r="BV37" s="148">
        <v>2381865</v>
      </c>
      <c r="BW37" s="153"/>
      <c r="BX37" s="155"/>
      <c r="BZ37" s="151"/>
      <c r="CA37" s="151"/>
      <c r="CB37" s="151"/>
      <c r="CC37" s="151"/>
      <c r="CD37" s="151"/>
      <c r="CE37" s="152"/>
      <c r="CF37" s="152"/>
      <c r="CG37" s="152"/>
      <c r="CH37" s="153"/>
      <c r="CI37" s="152"/>
    </row>
    <row r="38" spans="1:112" x14ac:dyDescent="0.3">
      <c r="A38" s="141">
        <v>32</v>
      </c>
      <c r="B38" s="162" t="s">
        <v>93</v>
      </c>
      <c r="D38" s="143"/>
      <c r="E38" s="144">
        <v>6646566</v>
      </c>
      <c r="F38" s="51">
        <v>1996099</v>
      </c>
      <c r="G38" s="51">
        <v>305249</v>
      </c>
      <c r="H38" s="50">
        <v>0</v>
      </c>
      <c r="I38" s="145">
        <v>8947914</v>
      </c>
      <c r="J38" s="146">
        <v>208857</v>
      </c>
      <c r="K38" s="147">
        <v>226502</v>
      </c>
      <c r="L38" s="147">
        <v>14181</v>
      </c>
      <c r="M38" s="147">
        <v>0</v>
      </c>
      <c r="N38" s="145">
        <v>449540</v>
      </c>
      <c r="O38" s="147">
        <v>392418</v>
      </c>
      <c r="P38" s="147">
        <v>446031</v>
      </c>
      <c r="Q38" s="147">
        <v>17397</v>
      </c>
      <c r="R38" s="147">
        <v>0</v>
      </c>
      <c r="S38" s="145">
        <v>855846</v>
      </c>
      <c r="T38" s="146">
        <v>505197</v>
      </c>
      <c r="U38" s="147">
        <v>129606</v>
      </c>
      <c r="V38" s="147">
        <v>24490</v>
      </c>
      <c r="W38" s="147">
        <v>2</v>
      </c>
      <c r="X38" s="145">
        <v>659295</v>
      </c>
      <c r="Y38" s="146">
        <v>424275</v>
      </c>
      <c r="Z38" s="147">
        <v>192442</v>
      </c>
      <c r="AA38" s="147">
        <v>42381</v>
      </c>
      <c r="AB38" s="147">
        <v>315</v>
      </c>
      <c r="AC38" s="145">
        <v>659413</v>
      </c>
      <c r="AD38" s="146">
        <v>455151</v>
      </c>
      <c r="AE38" s="147">
        <v>306601</v>
      </c>
      <c r="AF38" s="147">
        <v>16834</v>
      </c>
      <c r="AG38" s="147">
        <v>823</v>
      </c>
      <c r="AH38" s="145">
        <v>779409</v>
      </c>
      <c r="AI38" s="146">
        <v>495334</v>
      </c>
      <c r="AJ38" s="147">
        <v>208805</v>
      </c>
      <c r="AK38" s="147">
        <v>43340</v>
      </c>
      <c r="AL38" s="147">
        <v>315</v>
      </c>
      <c r="AM38" s="145">
        <v>747794</v>
      </c>
      <c r="AN38" s="146">
        <v>382088</v>
      </c>
      <c r="AO38" s="147">
        <v>228267</v>
      </c>
      <c r="AP38" s="147">
        <v>17752</v>
      </c>
      <c r="AQ38" s="147">
        <v>496</v>
      </c>
      <c r="AR38" s="145">
        <v>628603</v>
      </c>
      <c r="AS38" s="146">
        <v>0</v>
      </c>
      <c r="AT38" s="147">
        <v>0</v>
      </c>
      <c r="AU38" s="147">
        <v>0</v>
      </c>
      <c r="AV38" s="147">
        <v>0</v>
      </c>
      <c r="AW38" s="145">
        <v>0</v>
      </c>
      <c r="AX38" s="146">
        <v>0</v>
      </c>
      <c r="AY38" s="147">
        <v>0</v>
      </c>
      <c r="AZ38" s="147">
        <v>0</v>
      </c>
      <c r="BA38" s="147">
        <v>0</v>
      </c>
      <c r="BB38" s="145">
        <v>0</v>
      </c>
      <c r="BC38" s="146">
        <v>0</v>
      </c>
      <c r="BD38" s="147">
        <v>0</v>
      </c>
      <c r="BE38" s="147">
        <v>0</v>
      </c>
      <c r="BF38" s="147">
        <v>0</v>
      </c>
      <c r="BG38" s="145">
        <v>0</v>
      </c>
      <c r="BH38" s="146">
        <v>0</v>
      </c>
      <c r="BI38" s="147">
        <v>0</v>
      </c>
      <c r="BJ38" s="147">
        <v>0</v>
      </c>
      <c r="BK38" s="147">
        <v>0</v>
      </c>
      <c r="BL38" s="145">
        <v>0</v>
      </c>
      <c r="BM38" s="146">
        <v>0</v>
      </c>
      <c r="BN38" s="147">
        <v>0</v>
      </c>
      <c r="BO38" s="147">
        <v>0</v>
      </c>
      <c r="BP38" s="147">
        <v>0</v>
      </c>
      <c r="BQ38" s="145">
        <v>0</v>
      </c>
      <c r="BR38" s="146">
        <v>2863320</v>
      </c>
      <c r="BS38" s="80">
        <v>1738254</v>
      </c>
      <c r="BT38" s="147">
        <v>176375</v>
      </c>
      <c r="BU38" s="147">
        <v>1951</v>
      </c>
      <c r="BV38" s="148">
        <v>4779900</v>
      </c>
      <c r="BW38" s="153"/>
      <c r="BX38" s="150"/>
      <c r="BZ38" s="151"/>
      <c r="CA38" s="151"/>
      <c r="CB38" s="151"/>
      <c r="CC38" s="151"/>
      <c r="CD38" s="151"/>
      <c r="CE38" s="152"/>
      <c r="CF38" s="152"/>
      <c r="CG38" s="152"/>
      <c r="CH38" s="153"/>
      <c r="CI38" s="152"/>
    </row>
    <row r="39" spans="1:112" x14ac:dyDescent="0.3">
      <c r="A39" s="157">
        <v>33</v>
      </c>
      <c r="B39" s="181" t="s">
        <v>94</v>
      </c>
      <c r="D39" s="163"/>
      <c r="E39" s="144">
        <v>945049</v>
      </c>
      <c r="F39" s="51">
        <v>32072583</v>
      </c>
      <c r="G39" s="51">
        <v>7084</v>
      </c>
      <c r="H39" s="50">
        <v>0</v>
      </c>
      <c r="I39" s="145">
        <v>33024716</v>
      </c>
      <c r="J39" s="146">
        <v>43951</v>
      </c>
      <c r="K39" s="147">
        <v>1029197</v>
      </c>
      <c r="L39" s="147">
        <v>587</v>
      </c>
      <c r="M39" s="147">
        <v>0</v>
      </c>
      <c r="N39" s="145">
        <v>1073735</v>
      </c>
      <c r="O39" s="147">
        <v>44260</v>
      </c>
      <c r="P39" s="147">
        <v>1696861</v>
      </c>
      <c r="Q39" s="147">
        <v>224</v>
      </c>
      <c r="R39" s="147">
        <v>42</v>
      </c>
      <c r="S39" s="145">
        <v>1741387</v>
      </c>
      <c r="T39" s="146">
        <v>49228</v>
      </c>
      <c r="U39" s="147">
        <v>2226920</v>
      </c>
      <c r="V39" s="147">
        <v>1787</v>
      </c>
      <c r="W39" s="147">
        <v>0</v>
      </c>
      <c r="X39" s="145">
        <v>2277935</v>
      </c>
      <c r="Y39" s="146">
        <v>65135</v>
      </c>
      <c r="Z39" s="147">
        <v>2357990</v>
      </c>
      <c r="AA39" s="147">
        <v>1336</v>
      </c>
      <c r="AB39" s="147">
        <v>95</v>
      </c>
      <c r="AC39" s="145">
        <v>2424556</v>
      </c>
      <c r="AD39" s="146">
        <v>55606</v>
      </c>
      <c r="AE39" s="147">
        <v>4653764</v>
      </c>
      <c r="AF39" s="147">
        <v>752</v>
      </c>
      <c r="AG39" s="147">
        <v>30</v>
      </c>
      <c r="AH39" s="145">
        <v>4710152</v>
      </c>
      <c r="AI39" s="146">
        <v>56006</v>
      </c>
      <c r="AJ39" s="147">
        <v>1853208</v>
      </c>
      <c r="AK39" s="147">
        <v>-459</v>
      </c>
      <c r="AL39" s="147">
        <v>0</v>
      </c>
      <c r="AM39" s="145">
        <v>1908755</v>
      </c>
      <c r="AN39" s="146">
        <v>52993</v>
      </c>
      <c r="AO39" s="147">
        <v>1492907</v>
      </c>
      <c r="AP39" s="147">
        <v>1354</v>
      </c>
      <c r="AQ39" s="147">
        <v>0</v>
      </c>
      <c r="AR39" s="145">
        <v>1547254</v>
      </c>
      <c r="AS39" s="146">
        <v>0</v>
      </c>
      <c r="AT39" s="147">
        <v>0</v>
      </c>
      <c r="AU39" s="147">
        <v>0</v>
      </c>
      <c r="AV39" s="147">
        <v>0</v>
      </c>
      <c r="AW39" s="145">
        <v>0</v>
      </c>
      <c r="AX39" s="146">
        <v>0</v>
      </c>
      <c r="AY39" s="147">
        <v>0</v>
      </c>
      <c r="AZ39" s="147">
        <v>0</v>
      </c>
      <c r="BA39" s="147">
        <v>0</v>
      </c>
      <c r="BB39" s="145">
        <v>0</v>
      </c>
      <c r="BC39" s="146">
        <v>0</v>
      </c>
      <c r="BD39" s="147">
        <v>0</v>
      </c>
      <c r="BE39" s="147">
        <v>0</v>
      </c>
      <c r="BF39" s="147">
        <v>0</v>
      </c>
      <c r="BG39" s="145">
        <v>0</v>
      </c>
      <c r="BH39" s="146">
        <v>0</v>
      </c>
      <c r="BI39" s="147">
        <v>0</v>
      </c>
      <c r="BJ39" s="147">
        <v>0</v>
      </c>
      <c r="BK39" s="147">
        <v>0</v>
      </c>
      <c r="BL39" s="145">
        <v>0</v>
      </c>
      <c r="BM39" s="146">
        <v>0</v>
      </c>
      <c r="BN39" s="147">
        <v>0</v>
      </c>
      <c r="BO39" s="147">
        <v>0</v>
      </c>
      <c r="BP39" s="147">
        <v>0</v>
      </c>
      <c r="BQ39" s="145">
        <v>0</v>
      </c>
      <c r="BR39" s="146">
        <v>367179</v>
      </c>
      <c r="BS39" s="80">
        <v>15310847</v>
      </c>
      <c r="BT39" s="147">
        <v>5581</v>
      </c>
      <c r="BU39" s="147">
        <v>167</v>
      </c>
      <c r="BV39" s="148">
        <v>15683774</v>
      </c>
      <c r="BW39" s="153"/>
      <c r="BX39" s="150"/>
      <c r="BZ39" s="151"/>
      <c r="CA39" s="151"/>
      <c r="CB39" s="151"/>
      <c r="CC39" s="151"/>
      <c r="CD39" s="151"/>
      <c r="CE39" s="152"/>
      <c r="CF39" s="152"/>
      <c r="CG39" s="152"/>
      <c r="CH39" s="153"/>
      <c r="CI39" s="152"/>
    </row>
    <row r="40" spans="1:112" x14ac:dyDescent="0.3">
      <c r="A40" s="141">
        <v>34</v>
      </c>
      <c r="B40" s="142" t="s">
        <v>95</v>
      </c>
      <c r="D40" s="143"/>
      <c r="E40" s="144">
        <v>2068376</v>
      </c>
      <c r="F40" s="51">
        <v>8263833</v>
      </c>
      <c r="G40" s="51">
        <v>13462</v>
      </c>
      <c r="H40" s="50">
        <v>0</v>
      </c>
      <c r="I40" s="145">
        <v>10345671</v>
      </c>
      <c r="J40" s="146">
        <v>103988</v>
      </c>
      <c r="K40" s="147">
        <v>654425</v>
      </c>
      <c r="L40" s="147">
        <v>312</v>
      </c>
      <c r="M40" s="147">
        <v>0</v>
      </c>
      <c r="N40" s="145">
        <v>758725</v>
      </c>
      <c r="O40" s="147">
        <v>119345</v>
      </c>
      <c r="P40" s="147">
        <v>520242</v>
      </c>
      <c r="Q40" s="147">
        <v>-118</v>
      </c>
      <c r="R40" s="147">
        <v>0</v>
      </c>
      <c r="S40" s="145">
        <v>639469</v>
      </c>
      <c r="T40" s="146">
        <v>113384</v>
      </c>
      <c r="U40" s="147">
        <v>193724</v>
      </c>
      <c r="V40" s="147">
        <v>548</v>
      </c>
      <c r="W40" s="147">
        <v>0</v>
      </c>
      <c r="X40" s="145">
        <v>307656</v>
      </c>
      <c r="Y40" s="146">
        <v>164543</v>
      </c>
      <c r="Z40" s="147">
        <v>759490</v>
      </c>
      <c r="AA40" s="147">
        <v>690</v>
      </c>
      <c r="AB40" s="147">
        <v>0</v>
      </c>
      <c r="AC40" s="145">
        <v>924723</v>
      </c>
      <c r="AD40" s="146">
        <v>123694</v>
      </c>
      <c r="AE40" s="147">
        <v>233649</v>
      </c>
      <c r="AF40" s="147">
        <v>69</v>
      </c>
      <c r="AG40" s="147">
        <v>0</v>
      </c>
      <c r="AH40" s="145">
        <v>357412</v>
      </c>
      <c r="AI40" s="146">
        <v>123177</v>
      </c>
      <c r="AJ40" s="147">
        <v>948950</v>
      </c>
      <c r="AK40" s="147">
        <v>354</v>
      </c>
      <c r="AL40" s="147">
        <v>0</v>
      </c>
      <c r="AM40" s="145">
        <v>1072481</v>
      </c>
      <c r="AN40" s="146">
        <v>122144</v>
      </c>
      <c r="AO40" s="147">
        <v>144238</v>
      </c>
      <c r="AP40" s="147">
        <v>296</v>
      </c>
      <c r="AQ40" s="147">
        <v>0</v>
      </c>
      <c r="AR40" s="145">
        <v>266678</v>
      </c>
      <c r="AS40" s="146">
        <v>0</v>
      </c>
      <c r="AT40" s="147">
        <v>0</v>
      </c>
      <c r="AU40" s="147">
        <v>0</v>
      </c>
      <c r="AV40" s="147">
        <v>0</v>
      </c>
      <c r="AW40" s="145">
        <v>0</v>
      </c>
      <c r="AX40" s="146">
        <v>0</v>
      </c>
      <c r="AY40" s="147">
        <v>0</v>
      </c>
      <c r="AZ40" s="147">
        <v>0</v>
      </c>
      <c r="BA40" s="147">
        <v>0</v>
      </c>
      <c r="BB40" s="145">
        <v>0</v>
      </c>
      <c r="BC40" s="146">
        <v>0</v>
      </c>
      <c r="BD40" s="147">
        <v>0</v>
      </c>
      <c r="BE40" s="147">
        <v>0</v>
      </c>
      <c r="BF40" s="147">
        <v>0</v>
      </c>
      <c r="BG40" s="145">
        <v>0</v>
      </c>
      <c r="BH40" s="146">
        <v>0</v>
      </c>
      <c r="BI40" s="147">
        <v>0</v>
      </c>
      <c r="BJ40" s="147">
        <v>0</v>
      </c>
      <c r="BK40" s="147">
        <v>0</v>
      </c>
      <c r="BL40" s="145">
        <v>0</v>
      </c>
      <c r="BM40" s="146">
        <v>0</v>
      </c>
      <c r="BN40" s="147">
        <v>0</v>
      </c>
      <c r="BO40" s="147">
        <v>0</v>
      </c>
      <c r="BP40" s="147">
        <v>0</v>
      </c>
      <c r="BQ40" s="145">
        <v>0</v>
      </c>
      <c r="BR40" s="146">
        <v>870275</v>
      </c>
      <c r="BS40" s="80">
        <v>3454718</v>
      </c>
      <c r="BT40" s="147">
        <v>2151</v>
      </c>
      <c r="BU40" s="147">
        <v>0</v>
      </c>
      <c r="BV40" s="148">
        <v>4327144</v>
      </c>
      <c r="BW40" s="153"/>
      <c r="BX40" s="150"/>
      <c r="BZ40" s="151"/>
      <c r="CA40" s="151"/>
      <c r="CB40" s="151"/>
      <c r="CC40" s="151"/>
      <c r="CD40" s="151"/>
      <c r="CE40" s="152"/>
      <c r="CF40" s="152"/>
      <c r="CG40" s="152"/>
      <c r="CH40" s="153"/>
      <c r="CI40" s="152"/>
    </row>
    <row r="41" spans="1:112" x14ac:dyDescent="0.3">
      <c r="A41" s="141">
        <v>35</v>
      </c>
      <c r="B41" s="142" t="s">
        <v>96</v>
      </c>
      <c r="D41" s="143"/>
      <c r="E41" s="144">
        <v>577594</v>
      </c>
      <c r="F41" s="51">
        <v>8552691</v>
      </c>
      <c r="G41" s="51">
        <v>3015</v>
      </c>
      <c r="H41" s="50">
        <v>0</v>
      </c>
      <c r="I41" s="145">
        <v>9133300</v>
      </c>
      <c r="J41" s="146">
        <v>33450</v>
      </c>
      <c r="K41" s="147">
        <v>883670</v>
      </c>
      <c r="L41" s="147">
        <v>0</v>
      </c>
      <c r="M41" s="147">
        <v>0</v>
      </c>
      <c r="N41" s="145">
        <v>917120</v>
      </c>
      <c r="O41" s="147">
        <v>39315</v>
      </c>
      <c r="P41" s="147">
        <v>12271</v>
      </c>
      <c r="Q41" s="147">
        <v>546</v>
      </c>
      <c r="R41" s="147">
        <v>0</v>
      </c>
      <c r="S41" s="145">
        <v>52132</v>
      </c>
      <c r="T41" s="146">
        <v>47178</v>
      </c>
      <c r="U41" s="147">
        <v>80237</v>
      </c>
      <c r="V41" s="147">
        <v>268</v>
      </c>
      <c r="W41" s="147">
        <v>0</v>
      </c>
      <c r="X41" s="145">
        <v>127683</v>
      </c>
      <c r="Y41" s="146">
        <v>57038</v>
      </c>
      <c r="Z41" s="147">
        <v>1520406</v>
      </c>
      <c r="AA41" s="147">
        <v>411</v>
      </c>
      <c r="AB41" s="147">
        <v>3</v>
      </c>
      <c r="AC41" s="145">
        <v>1577858</v>
      </c>
      <c r="AD41" s="146">
        <v>53161</v>
      </c>
      <c r="AE41" s="147">
        <v>1593079</v>
      </c>
      <c r="AF41" s="147">
        <v>1572</v>
      </c>
      <c r="AG41" s="147">
        <v>0</v>
      </c>
      <c r="AH41" s="145">
        <v>1647812</v>
      </c>
      <c r="AI41" s="146">
        <v>39148</v>
      </c>
      <c r="AJ41" s="147">
        <v>199549</v>
      </c>
      <c r="AK41" s="147">
        <v>281</v>
      </c>
      <c r="AL41" s="147">
        <v>0</v>
      </c>
      <c r="AM41" s="145">
        <v>238978</v>
      </c>
      <c r="AN41" s="146">
        <v>46637</v>
      </c>
      <c r="AO41" s="147">
        <v>790010</v>
      </c>
      <c r="AP41" s="147">
        <v>530</v>
      </c>
      <c r="AQ41" s="147">
        <v>0</v>
      </c>
      <c r="AR41" s="145">
        <v>837177</v>
      </c>
      <c r="AS41" s="146">
        <v>0</v>
      </c>
      <c r="AT41" s="147">
        <v>0</v>
      </c>
      <c r="AU41" s="147">
        <v>0</v>
      </c>
      <c r="AV41" s="147">
        <v>0</v>
      </c>
      <c r="AW41" s="145">
        <v>0</v>
      </c>
      <c r="AX41" s="146">
        <v>0</v>
      </c>
      <c r="AY41" s="147">
        <v>0</v>
      </c>
      <c r="AZ41" s="147">
        <v>0</v>
      </c>
      <c r="BA41" s="147">
        <v>0</v>
      </c>
      <c r="BB41" s="145">
        <v>0</v>
      </c>
      <c r="BC41" s="146">
        <v>0</v>
      </c>
      <c r="BD41" s="147">
        <v>0</v>
      </c>
      <c r="BE41" s="147">
        <v>0</v>
      </c>
      <c r="BF41" s="147">
        <v>0</v>
      </c>
      <c r="BG41" s="145">
        <v>0</v>
      </c>
      <c r="BH41" s="146">
        <v>0</v>
      </c>
      <c r="BI41" s="147">
        <v>0</v>
      </c>
      <c r="BJ41" s="147">
        <v>0</v>
      </c>
      <c r="BK41" s="147">
        <v>0</v>
      </c>
      <c r="BL41" s="145">
        <v>0</v>
      </c>
      <c r="BM41" s="146">
        <v>0</v>
      </c>
      <c r="BN41" s="147">
        <v>0</v>
      </c>
      <c r="BO41" s="147">
        <v>0</v>
      </c>
      <c r="BP41" s="147">
        <v>0</v>
      </c>
      <c r="BQ41" s="145">
        <v>0</v>
      </c>
      <c r="BR41" s="146">
        <v>315927</v>
      </c>
      <c r="BS41" s="80">
        <v>5079222</v>
      </c>
      <c r="BT41" s="147">
        <v>3608</v>
      </c>
      <c r="BU41" s="147">
        <v>3</v>
      </c>
      <c r="BV41" s="148">
        <v>5398760</v>
      </c>
      <c r="BW41" s="153"/>
      <c r="BX41" s="155"/>
      <c r="BZ41" s="151"/>
      <c r="CA41" s="151"/>
      <c r="CB41" s="151"/>
      <c r="CC41" s="151"/>
      <c r="CD41" s="151"/>
      <c r="CE41" s="152"/>
      <c r="CF41" s="152"/>
      <c r="CG41" s="152"/>
      <c r="CH41" s="153"/>
      <c r="CI41" s="152"/>
    </row>
    <row r="42" spans="1:112" x14ac:dyDescent="0.3">
      <c r="A42" s="141">
        <v>36</v>
      </c>
      <c r="B42" s="118" t="s">
        <v>97</v>
      </c>
      <c r="D42" s="143"/>
      <c r="E42" s="144">
        <v>253054</v>
      </c>
      <c r="F42" s="51">
        <v>2305319</v>
      </c>
      <c r="G42" s="51">
        <v>4736</v>
      </c>
      <c r="H42" s="50">
        <v>0</v>
      </c>
      <c r="I42" s="145">
        <v>2563109</v>
      </c>
      <c r="J42" s="146">
        <v>16439</v>
      </c>
      <c r="K42" s="147">
        <v>98450</v>
      </c>
      <c r="L42" s="147">
        <v>76</v>
      </c>
      <c r="M42" s="147">
        <v>0</v>
      </c>
      <c r="N42" s="145">
        <v>114965</v>
      </c>
      <c r="O42" s="147">
        <v>16433</v>
      </c>
      <c r="P42" s="147">
        <v>92125</v>
      </c>
      <c r="Q42" s="147">
        <v>105</v>
      </c>
      <c r="R42" s="147">
        <v>0</v>
      </c>
      <c r="S42" s="145">
        <v>108663</v>
      </c>
      <c r="T42" s="146">
        <v>22791</v>
      </c>
      <c r="U42" s="147">
        <v>345486</v>
      </c>
      <c r="V42" s="147">
        <v>181</v>
      </c>
      <c r="W42" s="147">
        <v>0</v>
      </c>
      <c r="X42" s="145">
        <v>368458</v>
      </c>
      <c r="Y42" s="146">
        <v>17916</v>
      </c>
      <c r="Z42" s="147">
        <v>114678</v>
      </c>
      <c r="AA42" s="147">
        <v>81</v>
      </c>
      <c r="AB42" s="147">
        <v>0</v>
      </c>
      <c r="AC42" s="145">
        <v>132675</v>
      </c>
      <c r="AD42" s="146">
        <v>19916</v>
      </c>
      <c r="AE42" s="147">
        <v>194438</v>
      </c>
      <c r="AF42" s="147">
        <v>106</v>
      </c>
      <c r="AG42" s="147">
        <v>0</v>
      </c>
      <c r="AH42" s="145">
        <v>214460</v>
      </c>
      <c r="AI42" s="146">
        <v>23942</v>
      </c>
      <c r="AJ42" s="147">
        <v>336583</v>
      </c>
      <c r="AK42" s="147">
        <v>41</v>
      </c>
      <c r="AL42" s="147">
        <v>0</v>
      </c>
      <c r="AM42" s="145">
        <v>360566</v>
      </c>
      <c r="AN42" s="146">
        <v>15771</v>
      </c>
      <c r="AO42" s="147">
        <v>220769</v>
      </c>
      <c r="AP42" s="147">
        <v>87</v>
      </c>
      <c r="AQ42" s="147">
        <v>0</v>
      </c>
      <c r="AR42" s="145">
        <v>236627</v>
      </c>
      <c r="AS42" s="146">
        <v>0</v>
      </c>
      <c r="AT42" s="147">
        <v>0</v>
      </c>
      <c r="AU42" s="147">
        <v>0</v>
      </c>
      <c r="AV42" s="147">
        <v>0</v>
      </c>
      <c r="AW42" s="145">
        <v>0</v>
      </c>
      <c r="AX42" s="146">
        <v>0</v>
      </c>
      <c r="AY42" s="147">
        <v>0</v>
      </c>
      <c r="AZ42" s="147">
        <v>0</v>
      </c>
      <c r="BA42" s="147">
        <v>0</v>
      </c>
      <c r="BB42" s="145">
        <v>0</v>
      </c>
      <c r="BC42" s="146">
        <v>0</v>
      </c>
      <c r="BD42" s="147">
        <v>0</v>
      </c>
      <c r="BE42" s="147">
        <v>0</v>
      </c>
      <c r="BF42" s="147">
        <v>0</v>
      </c>
      <c r="BG42" s="145">
        <v>0</v>
      </c>
      <c r="BH42" s="146">
        <v>0</v>
      </c>
      <c r="BI42" s="147">
        <v>0</v>
      </c>
      <c r="BJ42" s="147">
        <v>0</v>
      </c>
      <c r="BK42" s="147">
        <v>0</v>
      </c>
      <c r="BL42" s="145">
        <v>0</v>
      </c>
      <c r="BM42" s="146">
        <v>0</v>
      </c>
      <c r="BN42" s="147">
        <v>0</v>
      </c>
      <c r="BO42" s="147">
        <v>0</v>
      </c>
      <c r="BP42" s="147">
        <v>0</v>
      </c>
      <c r="BQ42" s="145">
        <v>0</v>
      </c>
      <c r="BR42" s="146">
        <v>133208</v>
      </c>
      <c r="BS42" s="80">
        <v>1402529</v>
      </c>
      <c r="BT42" s="147">
        <v>677</v>
      </c>
      <c r="BU42" s="147">
        <v>0</v>
      </c>
      <c r="BV42" s="148">
        <v>1536414</v>
      </c>
      <c r="BW42" s="153"/>
      <c r="BX42" s="155"/>
      <c r="BZ42" s="151"/>
      <c r="CA42" s="151"/>
      <c r="CB42" s="151"/>
      <c r="CC42" s="151"/>
      <c r="CD42" s="151"/>
      <c r="CE42" s="152"/>
      <c r="CF42" s="152"/>
      <c r="CG42" s="152"/>
      <c r="CH42" s="153"/>
      <c r="CI42" s="152"/>
    </row>
    <row r="43" spans="1:112" x14ac:dyDescent="0.3">
      <c r="A43" s="141">
        <v>37</v>
      </c>
      <c r="B43" s="118" t="s">
        <v>98</v>
      </c>
      <c r="D43" s="182"/>
      <c r="E43" s="144">
        <v>1008690</v>
      </c>
      <c r="F43" s="51">
        <v>5080208</v>
      </c>
      <c r="G43" s="51">
        <v>206230</v>
      </c>
      <c r="H43" s="50">
        <v>0</v>
      </c>
      <c r="I43" s="145">
        <v>6295128</v>
      </c>
      <c r="J43" s="146">
        <v>41529</v>
      </c>
      <c r="K43" s="147">
        <v>685421</v>
      </c>
      <c r="L43" s="147">
        <v>0</v>
      </c>
      <c r="M43" s="147">
        <v>0</v>
      </c>
      <c r="N43" s="145">
        <v>726950</v>
      </c>
      <c r="O43" s="147">
        <v>120894</v>
      </c>
      <c r="P43" s="147">
        <v>26438</v>
      </c>
      <c r="Q43" s="147">
        <v>0</v>
      </c>
      <c r="R43" s="147">
        <v>0</v>
      </c>
      <c r="S43" s="145">
        <v>147332</v>
      </c>
      <c r="T43" s="146">
        <v>58851</v>
      </c>
      <c r="U43" s="147">
        <v>85997</v>
      </c>
      <c r="V43" s="147">
        <v>56</v>
      </c>
      <c r="W43" s="147">
        <v>0</v>
      </c>
      <c r="X43" s="145">
        <v>144904</v>
      </c>
      <c r="Y43" s="146">
        <v>97026</v>
      </c>
      <c r="Z43" s="147">
        <v>1138916</v>
      </c>
      <c r="AA43" s="147">
        <v>5563</v>
      </c>
      <c r="AB43" s="147">
        <v>20</v>
      </c>
      <c r="AC43" s="145">
        <v>1241525</v>
      </c>
      <c r="AD43" s="146">
        <v>84694</v>
      </c>
      <c r="AE43" s="147">
        <v>297877</v>
      </c>
      <c r="AF43" s="147">
        <v>309</v>
      </c>
      <c r="AG43" s="147">
        <v>0</v>
      </c>
      <c r="AH43" s="145">
        <v>382880</v>
      </c>
      <c r="AI43" s="146">
        <v>81933</v>
      </c>
      <c r="AJ43" s="147">
        <v>54534</v>
      </c>
      <c r="AK43" s="147">
        <v>126</v>
      </c>
      <c r="AL43" s="147">
        <v>21</v>
      </c>
      <c r="AM43" s="145">
        <v>136614</v>
      </c>
      <c r="AN43" s="146">
        <v>73317</v>
      </c>
      <c r="AO43" s="147">
        <v>868247</v>
      </c>
      <c r="AP43" s="147">
        <v>656</v>
      </c>
      <c r="AQ43" s="147">
        <v>0</v>
      </c>
      <c r="AR43" s="145">
        <v>942220</v>
      </c>
      <c r="AS43" s="146">
        <v>0</v>
      </c>
      <c r="AT43" s="147">
        <v>0</v>
      </c>
      <c r="AU43" s="147">
        <v>0</v>
      </c>
      <c r="AV43" s="147">
        <v>0</v>
      </c>
      <c r="AW43" s="145">
        <v>0</v>
      </c>
      <c r="AX43" s="146">
        <v>0</v>
      </c>
      <c r="AY43" s="147">
        <v>0</v>
      </c>
      <c r="AZ43" s="147">
        <v>0</v>
      </c>
      <c r="BA43" s="147">
        <v>0</v>
      </c>
      <c r="BB43" s="145">
        <v>0</v>
      </c>
      <c r="BC43" s="146">
        <v>0</v>
      </c>
      <c r="BD43" s="147">
        <v>0</v>
      </c>
      <c r="BE43" s="147">
        <v>0</v>
      </c>
      <c r="BF43" s="147">
        <v>0</v>
      </c>
      <c r="BG43" s="145">
        <v>0</v>
      </c>
      <c r="BH43" s="146">
        <v>0</v>
      </c>
      <c r="BI43" s="147">
        <v>0</v>
      </c>
      <c r="BJ43" s="147">
        <v>0</v>
      </c>
      <c r="BK43" s="147">
        <v>0</v>
      </c>
      <c r="BL43" s="145">
        <v>0</v>
      </c>
      <c r="BM43" s="146">
        <v>0</v>
      </c>
      <c r="BN43" s="147">
        <v>0</v>
      </c>
      <c r="BO43" s="147">
        <v>0</v>
      </c>
      <c r="BP43" s="147">
        <v>0</v>
      </c>
      <c r="BQ43" s="145">
        <v>0</v>
      </c>
      <c r="BR43" s="146">
        <v>558244</v>
      </c>
      <c r="BS43" s="80">
        <v>3157430</v>
      </c>
      <c r="BT43" s="147">
        <v>6710</v>
      </c>
      <c r="BU43" s="147">
        <v>41</v>
      </c>
      <c r="BV43" s="148">
        <v>3722425</v>
      </c>
      <c r="BW43" s="153"/>
      <c r="BX43" s="155"/>
      <c r="BZ43" s="151"/>
      <c r="CA43" s="151"/>
      <c r="CB43" s="151"/>
      <c r="CC43" s="151"/>
      <c r="CD43" s="151"/>
      <c r="CE43" s="152"/>
      <c r="CF43" s="152"/>
      <c r="CG43" s="152"/>
      <c r="CH43" s="153"/>
      <c r="CI43" s="152"/>
    </row>
    <row r="44" spans="1:112" x14ac:dyDescent="0.3">
      <c r="A44" s="141">
        <v>38</v>
      </c>
      <c r="B44" s="142" t="s">
        <v>99</v>
      </c>
      <c r="D44" s="143"/>
      <c r="E44" s="144">
        <v>921130</v>
      </c>
      <c r="F44" s="51">
        <v>1565615</v>
      </c>
      <c r="G44" s="51">
        <v>4835</v>
      </c>
      <c r="H44" s="50">
        <v>0</v>
      </c>
      <c r="I44" s="145">
        <v>2491580</v>
      </c>
      <c r="J44" s="146">
        <v>49075</v>
      </c>
      <c r="K44" s="147">
        <v>531832</v>
      </c>
      <c r="L44" s="147">
        <v>21085</v>
      </c>
      <c r="M44" s="147">
        <v>0</v>
      </c>
      <c r="N44" s="145">
        <v>601992</v>
      </c>
      <c r="O44" s="147">
        <v>67173</v>
      </c>
      <c r="P44" s="147">
        <v>2238</v>
      </c>
      <c r="Q44" s="147">
        <v>443</v>
      </c>
      <c r="R44" s="147">
        <v>21</v>
      </c>
      <c r="S44" s="145">
        <v>69875</v>
      </c>
      <c r="T44" s="146">
        <v>71784</v>
      </c>
      <c r="U44" s="147">
        <v>170</v>
      </c>
      <c r="V44" s="147">
        <v>189</v>
      </c>
      <c r="W44" s="147">
        <v>34</v>
      </c>
      <c r="X44" s="145">
        <v>72177</v>
      </c>
      <c r="Y44" s="146">
        <v>45306</v>
      </c>
      <c r="Z44" s="147">
        <v>89183</v>
      </c>
      <c r="AA44" s="147">
        <v>258</v>
      </c>
      <c r="AB44" s="147">
        <v>0</v>
      </c>
      <c r="AC44" s="145">
        <v>134747</v>
      </c>
      <c r="AD44" s="146">
        <v>72426</v>
      </c>
      <c r="AE44" s="147">
        <v>728</v>
      </c>
      <c r="AF44" s="147">
        <v>64</v>
      </c>
      <c r="AG44" s="147">
        <v>394</v>
      </c>
      <c r="AH44" s="145">
        <v>73612</v>
      </c>
      <c r="AI44" s="146">
        <v>48031</v>
      </c>
      <c r="AJ44" s="147">
        <v>4352</v>
      </c>
      <c r="AK44" s="147">
        <v>464</v>
      </c>
      <c r="AL44" s="147">
        <v>308</v>
      </c>
      <c r="AM44" s="145">
        <v>53155</v>
      </c>
      <c r="AN44" s="146">
        <v>92659</v>
      </c>
      <c r="AO44" s="147">
        <v>620435</v>
      </c>
      <c r="AP44" s="147">
        <v>26804</v>
      </c>
      <c r="AQ44" s="147">
        <v>91</v>
      </c>
      <c r="AR44" s="145">
        <v>739989</v>
      </c>
      <c r="AS44" s="146">
        <v>0</v>
      </c>
      <c r="AT44" s="147">
        <v>0</v>
      </c>
      <c r="AU44" s="147">
        <v>0</v>
      </c>
      <c r="AV44" s="147">
        <v>0</v>
      </c>
      <c r="AW44" s="145">
        <v>0</v>
      </c>
      <c r="AX44" s="146">
        <v>0</v>
      </c>
      <c r="AY44" s="147">
        <v>0</v>
      </c>
      <c r="AZ44" s="147">
        <v>0</v>
      </c>
      <c r="BA44" s="147">
        <v>0</v>
      </c>
      <c r="BB44" s="145">
        <v>0</v>
      </c>
      <c r="BC44" s="146">
        <v>0</v>
      </c>
      <c r="BD44" s="147">
        <v>0</v>
      </c>
      <c r="BE44" s="147">
        <v>0</v>
      </c>
      <c r="BF44" s="147">
        <v>0</v>
      </c>
      <c r="BG44" s="145">
        <v>0</v>
      </c>
      <c r="BH44" s="146">
        <v>0</v>
      </c>
      <c r="BI44" s="147">
        <v>0</v>
      </c>
      <c r="BJ44" s="147">
        <v>0</v>
      </c>
      <c r="BK44" s="147">
        <v>0</v>
      </c>
      <c r="BL44" s="145">
        <v>0</v>
      </c>
      <c r="BM44" s="146">
        <v>0</v>
      </c>
      <c r="BN44" s="147">
        <v>0</v>
      </c>
      <c r="BO44" s="147">
        <v>0</v>
      </c>
      <c r="BP44" s="147">
        <v>0</v>
      </c>
      <c r="BQ44" s="145">
        <v>0</v>
      </c>
      <c r="BR44" s="146">
        <v>446454</v>
      </c>
      <c r="BS44" s="80">
        <v>1248938</v>
      </c>
      <c r="BT44" s="147">
        <v>49307</v>
      </c>
      <c r="BU44" s="147">
        <v>848</v>
      </c>
      <c r="BV44" s="148">
        <v>1745547</v>
      </c>
      <c r="BW44" s="153"/>
      <c r="BX44" s="150"/>
      <c r="BZ44" s="151"/>
      <c r="CA44" s="151"/>
      <c r="CB44" s="151"/>
      <c r="CC44" s="151"/>
      <c r="CD44" s="151"/>
      <c r="CE44" s="152"/>
      <c r="CF44" s="152"/>
      <c r="CG44" s="152"/>
      <c r="CH44" s="153"/>
      <c r="CI44" s="152"/>
    </row>
    <row r="45" spans="1:112" x14ac:dyDescent="0.3">
      <c r="A45" s="141">
        <v>39</v>
      </c>
      <c r="B45" s="142" t="s">
        <v>100</v>
      </c>
      <c r="D45" s="143"/>
      <c r="E45" s="144">
        <v>1923917</v>
      </c>
      <c r="F45" s="51">
        <v>8911612</v>
      </c>
      <c r="G45" s="51">
        <v>23774</v>
      </c>
      <c r="H45" s="50">
        <v>0</v>
      </c>
      <c r="I45" s="145">
        <v>10859303</v>
      </c>
      <c r="J45" s="146">
        <v>110634</v>
      </c>
      <c r="K45" s="147">
        <v>734772</v>
      </c>
      <c r="L45" s="147">
        <v>0</v>
      </c>
      <c r="M45" s="147">
        <v>0</v>
      </c>
      <c r="N45" s="145">
        <v>845406</v>
      </c>
      <c r="O45" s="147">
        <v>117358</v>
      </c>
      <c r="P45" s="147">
        <v>316350</v>
      </c>
      <c r="Q45" s="147">
        <v>0</v>
      </c>
      <c r="R45" s="147">
        <v>0</v>
      </c>
      <c r="S45" s="145">
        <v>433708</v>
      </c>
      <c r="T45" s="146">
        <v>118697</v>
      </c>
      <c r="U45" s="147">
        <v>726142</v>
      </c>
      <c r="V45" s="147">
        <v>0</v>
      </c>
      <c r="W45" s="147">
        <v>0</v>
      </c>
      <c r="X45" s="145">
        <v>844839</v>
      </c>
      <c r="Y45" s="146">
        <v>144316</v>
      </c>
      <c r="Z45" s="147">
        <v>606032</v>
      </c>
      <c r="AA45" s="147">
        <v>120</v>
      </c>
      <c r="AB45" s="147">
        <v>1</v>
      </c>
      <c r="AC45" s="145">
        <v>750469</v>
      </c>
      <c r="AD45" s="146">
        <v>117199</v>
      </c>
      <c r="AE45" s="147">
        <v>885390</v>
      </c>
      <c r="AF45" s="147">
        <v>683</v>
      </c>
      <c r="AG45" s="147">
        <v>0</v>
      </c>
      <c r="AH45" s="145">
        <v>1003272</v>
      </c>
      <c r="AI45" s="146">
        <v>165110</v>
      </c>
      <c r="AJ45" s="147">
        <v>1560839</v>
      </c>
      <c r="AK45" s="147">
        <v>94</v>
      </c>
      <c r="AL45" s="147">
        <v>0</v>
      </c>
      <c r="AM45" s="145">
        <v>1726043</v>
      </c>
      <c r="AN45" s="146">
        <v>137176</v>
      </c>
      <c r="AO45" s="147">
        <v>397570</v>
      </c>
      <c r="AP45" s="147">
        <v>139</v>
      </c>
      <c r="AQ45" s="147">
        <v>0</v>
      </c>
      <c r="AR45" s="145">
        <v>534885</v>
      </c>
      <c r="AS45" s="146">
        <v>0</v>
      </c>
      <c r="AT45" s="147">
        <v>0</v>
      </c>
      <c r="AU45" s="147">
        <v>0</v>
      </c>
      <c r="AV45" s="147">
        <v>0</v>
      </c>
      <c r="AW45" s="145">
        <v>0</v>
      </c>
      <c r="AX45" s="146">
        <v>0</v>
      </c>
      <c r="AY45" s="147">
        <v>0</v>
      </c>
      <c r="AZ45" s="147">
        <v>0</v>
      </c>
      <c r="BA45" s="147">
        <v>0</v>
      </c>
      <c r="BB45" s="145">
        <v>0</v>
      </c>
      <c r="BC45" s="146">
        <v>0</v>
      </c>
      <c r="BD45" s="147">
        <v>0</v>
      </c>
      <c r="BE45" s="147">
        <v>0</v>
      </c>
      <c r="BF45" s="147">
        <v>0</v>
      </c>
      <c r="BG45" s="145">
        <v>0</v>
      </c>
      <c r="BH45" s="146">
        <v>0</v>
      </c>
      <c r="BI45" s="147">
        <v>0</v>
      </c>
      <c r="BJ45" s="147">
        <v>0</v>
      </c>
      <c r="BK45" s="147">
        <v>0</v>
      </c>
      <c r="BL45" s="145">
        <v>0</v>
      </c>
      <c r="BM45" s="146">
        <v>0</v>
      </c>
      <c r="BN45" s="147">
        <v>0</v>
      </c>
      <c r="BO45" s="147">
        <v>0</v>
      </c>
      <c r="BP45" s="147">
        <v>0</v>
      </c>
      <c r="BQ45" s="145">
        <v>0</v>
      </c>
      <c r="BR45" s="146">
        <v>910490</v>
      </c>
      <c r="BS45" s="80">
        <v>5227095</v>
      </c>
      <c r="BT45" s="147">
        <v>1036</v>
      </c>
      <c r="BU45" s="147">
        <v>1</v>
      </c>
      <c r="BV45" s="148">
        <v>6138622</v>
      </c>
      <c r="BW45" s="153"/>
      <c r="BX45" s="155"/>
      <c r="BZ45" s="151"/>
      <c r="CA45" s="151"/>
      <c r="CB45" s="151"/>
      <c r="CC45" s="151"/>
      <c r="CD45" s="151"/>
      <c r="CE45" s="152"/>
      <c r="CF45" s="152"/>
      <c r="CG45" s="152"/>
      <c r="CH45" s="153"/>
      <c r="CI45" s="152"/>
    </row>
    <row r="46" spans="1:112" x14ac:dyDescent="0.3">
      <c r="A46" s="141">
        <v>40</v>
      </c>
      <c r="B46" s="142" t="s">
        <v>101</v>
      </c>
      <c r="D46" s="143"/>
      <c r="E46" s="144">
        <v>1462716</v>
      </c>
      <c r="F46" s="51">
        <v>67657388</v>
      </c>
      <c r="G46" s="51">
        <v>5791</v>
      </c>
      <c r="H46" s="50">
        <v>0</v>
      </c>
      <c r="I46" s="145">
        <v>69125895</v>
      </c>
      <c r="J46" s="146">
        <v>46400</v>
      </c>
      <c r="K46" s="147">
        <v>6110871</v>
      </c>
      <c r="L46" s="147">
        <v>35</v>
      </c>
      <c r="M46" s="147">
        <v>0</v>
      </c>
      <c r="N46" s="145">
        <v>6157306</v>
      </c>
      <c r="O46" s="147">
        <v>91672</v>
      </c>
      <c r="P46" s="147">
        <v>7925226</v>
      </c>
      <c r="Q46" s="147">
        <v>503</v>
      </c>
      <c r="R46" s="147">
        <v>0</v>
      </c>
      <c r="S46" s="145">
        <v>8017401</v>
      </c>
      <c r="T46" s="146">
        <v>89093</v>
      </c>
      <c r="U46" s="147">
        <v>1319260</v>
      </c>
      <c r="V46" s="147">
        <v>529</v>
      </c>
      <c r="W46" s="147">
        <v>0</v>
      </c>
      <c r="X46" s="145">
        <v>1408882</v>
      </c>
      <c r="Y46" s="146">
        <v>84177</v>
      </c>
      <c r="Z46" s="147">
        <v>11683165</v>
      </c>
      <c r="AA46" s="147">
        <v>308</v>
      </c>
      <c r="AB46" s="147">
        <v>24</v>
      </c>
      <c r="AC46" s="145">
        <v>11767674</v>
      </c>
      <c r="AD46" s="146">
        <v>83334</v>
      </c>
      <c r="AE46" s="147">
        <v>5218454</v>
      </c>
      <c r="AF46" s="147">
        <v>552</v>
      </c>
      <c r="AG46" s="147">
        <v>42</v>
      </c>
      <c r="AH46" s="145">
        <v>5302382</v>
      </c>
      <c r="AI46" s="146">
        <v>148693</v>
      </c>
      <c r="AJ46" s="147">
        <v>1451313</v>
      </c>
      <c r="AK46" s="147">
        <v>449</v>
      </c>
      <c r="AL46" s="147">
        <v>14</v>
      </c>
      <c r="AM46" s="145">
        <v>1600469</v>
      </c>
      <c r="AN46" s="146">
        <v>85607</v>
      </c>
      <c r="AO46" s="147">
        <v>6061963</v>
      </c>
      <c r="AP46" s="147">
        <v>189</v>
      </c>
      <c r="AQ46" s="147">
        <v>13</v>
      </c>
      <c r="AR46" s="145">
        <v>6147772</v>
      </c>
      <c r="AS46" s="146">
        <v>0</v>
      </c>
      <c r="AT46" s="147">
        <v>0</v>
      </c>
      <c r="AU46" s="147">
        <v>0</v>
      </c>
      <c r="AV46" s="147">
        <v>0</v>
      </c>
      <c r="AW46" s="145">
        <v>0</v>
      </c>
      <c r="AX46" s="146">
        <v>0</v>
      </c>
      <c r="AY46" s="147">
        <v>0</v>
      </c>
      <c r="AZ46" s="147">
        <v>0</v>
      </c>
      <c r="BA46" s="147">
        <v>0</v>
      </c>
      <c r="BB46" s="145">
        <v>0</v>
      </c>
      <c r="BC46" s="146">
        <v>0</v>
      </c>
      <c r="BD46" s="147">
        <v>0</v>
      </c>
      <c r="BE46" s="147">
        <v>0</v>
      </c>
      <c r="BF46" s="147">
        <v>0</v>
      </c>
      <c r="BG46" s="145">
        <v>0</v>
      </c>
      <c r="BH46" s="146">
        <v>0</v>
      </c>
      <c r="BI46" s="147">
        <v>0</v>
      </c>
      <c r="BJ46" s="147">
        <v>0</v>
      </c>
      <c r="BK46" s="147">
        <v>0</v>
      </c>
      <c r="BL46" s="145">
        <v>0</v>
      </c>
      <c r="BM46" s="146">
        <v>0</v>
      </c>
      <c r="BN46" s="147">
        <v>0</v>
      </c>
      <c r="BO46" s="147">
        <v>0</v>
      </c>
      <c r="BP46" s="147">
        <v>0</v>
      </c>
      <c r="BQ46" s="145">
        <v>0</v>
      </c>
      <c r="BR46" s="146">
        <v>628976</v>
      </c>
      <c r="BS46" s="80">
        <v>39770252</v>
      </c>
      <c r="BT46" s="147">
        <v>2565</v>
      </c>
      <c r="BU46" s="147">
        <v>93</v>
      </c>
      <c r="BV46" s="148">
        <v>40401886</v>
      </c>
      <c r="BW46" s="153"/>
      <c r="BX46" s="155"/>
      <c r="BZ46" s="151"/>
      <c r="CA46" s="151"/>
      <c r="CB46" s="151"/>
      <c r="CC46" s="151"/>
      <c r="CD46" s="151"/>
      <c r="CE46" s="152"/>
      <c r="CF46" s="152"/>
      <c r="CG46" s="152"/>
      <c r="CH46" s="153"/>
      <c r="CI46" s="152"/>
    </row>
    <row r="47" spans="1:112" x14ac:dyDescent="0.3">
      <c r="A47" s="183">
        <v>41</v>
      </c>
      <c r="B47" s="184" t="s">
        <v>102</v>
      </c>
      <c r="C47" s="185"/>
      <c r="D47" s="186"/>
      <c r="E47" s="187">
        <v>3607301</v>
      </c>
      <c r="F47" s="95">
        <v>10528115</v>
      </c>
      <c r="G47" s="95">
        <v>4404253</v>
      </c>
      <c r="H47" s="94">
        <v>0</v>
      </c>
      <c r="I47" s="145">
        <v>18539669</v>
      </c>
      <c r="J47" s="146">
        <v>251329</v>
      </c>
      <c r="K47" s="147">
        <v>962792</v>
      </c>
      <c r="L47" s="147">
        <v>19254</v>
      </c>
      <c r="M47" s="147">
        <v>0</v>
      </c>
      <c r="N47" s="145">
        <v>1233375</v>
      </c>
      <c r="O47" s="147">
        <v>290981</v>
      </c>
      <c r="P47" s="147">
        <v>1594</v>
      </c>
      <c r="Q47" s="147">
        <v>75140</v>
      </c>
      <c r="R47" s="147">
        <v>0</v>
      </c>
      <c r="S47" s="145">
        <v>367715</v>
      </c>
      <c r="T47" s="146">
        <v>100940</v>
      </c>
      <c r="U47" s="147">
        <v>475188</v>
      </c>
      <c r="V47" s="147">
        <v>245384</v>
      </c>
      <c r="W47" s="147">
        <v>0</v>
      </c>
      <c r="X47" s="145">
        <v>821512</v>
      </c>
      <c r="Y47" s="146">
        <v>344314</v>
      </c>
      <c r="Z47" s="147">
        <v>645885</v>
      </c>
      <c r="AA47" s="147">
        <v>164316</v>
      </c>
      <c r="AB47" s="147">
        <v>0</v>
      </c>
      <c r="AC47" s="145">
        <v>1154515</v>
      </c>
      <c r="AD47" s="146">
        <v>297668</v>
      </c>
      <c r="AE47" s="147">
        <v>865091</v>
      </c>
      <c r="AF47" s="147">
        <v>192420</v>
      </c>
      <c r="AG47" s="147">
        <v>0</v>
      </c>
      <c r="AH47" s="145">
        <v>1355179</v>
      </c>
      <c r="AI47" s="146">
        <v>369527</v>
      </c>
      <c r="AJ47" s="147">
        <v>1410903</v>
      </c>
      <c r="AK47" s="147">
        <v>297171</v>
      </c>
      <c r="AL47" s="147">
        <v>0</v>
      </c>
      <c r="AM47" s="145">
        <v>2077601</v>
      </c>
      <c r="AN47" s="146">
        <v>281489</v>
      </c>
      <c r="AO47" s="147">
        <v>772809</v>
      </c>
      <c r="AP47" s="147">
        <v>174023</v>
      </c>
      <c r="AQ47" s="147">
        <v>190</v>
      </c>
      <c r="AR47" s="145">
        <v>1228511</v>
      </c>
      <c r="AS47" s="146">
        <v>0</v>
      </c>
      <c r="AT47" s="147">
        <v>0</v>
      </c>
      <c r="AU47" s="147">
        <v>0</v>
      </c>
      <c r="AV47" s="147">
        <v>0</v>
      </c>
      <c r="AW47" s="145">
        <v>0</v>
      </c>
      <c r="AX47" s="146">
        <v>0</v>
      </c>
      <c r="AY47" s="147">
        <v>0</v>
      </c>
      <c r="AZ47" s="147">
        <v>0</v>
      </c>
      <c r="BA47" s="147">
        <v>0</v>
      </c>
      <c r="BB47" s="145">
        <v>0</v>
      </c>
      <c r="BC47" s="146">
        <v>0</v>
      </c>
      <c r="BD47" s="147">
        <v>0</v>
      </c>
      <c r="BE47" s="147">
        <v>0</v>
      </c>
      <c r="BF47" s="147">
        <v>0</v>
      </c>
      <c r="BG47" s="145">
        <v>0</v>
      </c>
      <c r="BH47" s="146">
        <v>0</v>
      </c>
      <c r="BI47" s="147">
        <v>0</v>
      </c>
      <c r="BJ47" s="147">
        <v>0</v>
      </c>
      <c r="BK47" s="147">
        <v>0</v>
      </c>
      <c r="BL47" s="145">
        <v>0</v>
      </c>
      <c r="BM47" s="146">
        <v>0</v>
      </c>
      <c r="BN47" s="147">
        <v>0</v>
      </c>
      <c r="BO47" s="147">
        <v>0</v>
      </c>
      <c r="BP47" s="147">
        <v>0</v>
      </c>
      <c r="BQ47" s="145">
        <v>0</v>
      </c>
      <c r="BR47" s="146">
        <v>1936248</v>
      </c>
      <c r="BS47" s="80">
        <v>5134262</v>
      </c>
      <c r="BT47" s="147">
        <v>1167708</v>
      </c>
      <c r="BU47" s="147">
        <v>190</v>
      </c>
      <c r="BV47" s="148">
        <v>8238408</v>
      </c>
      <c r="BW47" s="153"/>
      <c r="BX47" s="150"/>
      <c r="BZ47" s="151"/>
      <c r="CA47" s="151"/>
      <c r="CB47" s="151"/>
      <c r="CC47" s="151"/>
      <c r="CD47" s="151"/>
      <c r="CE47" s="152"/>
      <c r="CF47" s="152"/>
      <c r="CG47" s="152"/>
      <c r="CH47" s="153"/>
      <c r="CI47" s="152"/>
    </row>
    <row r="48" spans="1:112" s="113" customFormat="1" x14ac:dyDescent="0.3">
      <c r="A48" s="188" t="s">
        <v>103</v>
      </c>
      <c r="B48" s="189"/>
      <c r="D48" s="190"/>
      <c r="E48" s="191">
        <v>260953957</v>
      </c>
      <c r="F48" s="192">
        <v>754992477</v>
      </c>
      <c r="G48" s="192">
        <v>15505515</v>
      </c>
      <c r="H48" s="192">
        <v>25576658</v>
      </c>
      <c r="I48" s="193">
        <v>1057028607</v>
      </c>
      <c r="J48" s="194">
        <v>17835015</v>
      </c>
      <c r="K48" s="195">
        <v>66987788</v>
      </c>
      <c r="L48" s="195">
        <v>507871</v>
      </c>
      <c r="M48" s="195">
        <v>664427</v>
      </c>
      <c r="N48" s="193">
        <v>85995101</v>
      </c>
      <c r="O48" s="195">
        <v>20298553</v>
      </c>
      <c r="P48" s="195">
        <v>50177552</v>
      </c>
      <c r="Q48" s="195">
        <v>786759</v>
      </c>
      <c r="R48" s="195">
        <v>1006182</v>
      </c>
      <c r="S48" s="193">
        <v>72269046</v>
      </c>
      <c r="T48" s="194">
        <v>18818267</v>
      </c>
      <c r="U48" s="195">
        <v>50712253</v>
      </c>
      <c r="V48" s="195">
        <v>839943</v>
      </c>
      <c r="W48" s="195">
        <v>3001732</v>
      </c>
      <c r="X48" s="193">
        <v>73372195</v>
      </c>
      <c r="Y48" s="194">
        <v>21996920</v>
      </c>
      <c r="Z48" s="195">
        <v>97511252</v>
      </c>
      <c r="AA48" s="195">
        <v>797132</v>
      </c>
      <c r="AB48" s="195">
        <v>145726</v>
      </c>
      <c r="AC48" s="193">
        <v>120451030</v>
      </c>
      <c r="AD48" s="194">
        <v>21062551</v>
      </c>
      <c r="AE48" s="195">
        <v>61813443</v>
      </c>
      <c r="AF48" s="195">
        <v>775873</v>
      </c>
      <c r="AG48" s="195">
        <v>1607472</v>
      </c>
      <c r="AH48" s="193">
        <v>85259339</v>
      </c>
      <c r="AI48" s="194">
        <v>21357389</v>
      </c>
      <c r="AJ48" s="195">
        <v>42603745</v>
      </c>
      <c r="AK48" s="195">
        <v>1296346</v>
      </c>
      <c r="AL48" s="195">
        <v>16467</v>
      </c>
      <c r="AM48" s="193">
        <v>65273947</v>
      </c>
      <c r="AN48" s="194">
        <v>21077585</v>
      </c>
      <c r="AO48" s="195">
        <v>67796976</v>
      </c>
      <c r="AP48" s="195">
        <v>1529510</v>
      </c>
      <c r="AQ48" s="195">
        <v>22049</v>
      </c>
      <c r="AR48" s="193">
        <v>90426120</v>
      </c>
      <c r="AS48" s="194">
        <v>0</v>
      </c>
      <c r="AT48" s="195">
        <v>0</v>
      </c>
      <c r="AU48" s="195">
        <v>0</v>
      </c>
      <c r="AV48" s="195">
        <v>0</v>
      </c>
      <c r="AW48" s="193">
        <v>0</v>
      </c>
      <c r="AX48" s="195">
        <v>0</v>
      </c>
      <c r="AY48" s="195">
        <v>0</v>
      </c>
      <c r="AZ48" s="195">
        <v>0</v>
      </c>
      <c r="BA48" s="195">
        <v>0</v>
      </c>
      <c r="BB48" s="193">
        <v>0</v>
      </c>
      <c r="BC48" s="195">
        <v>0</v>
      </c>
      <c r="BD48" s="195">
        <v>0</v>
      </c>
      <c r="BE48" s="195">
        <v>0</v>
      </c>
      <c r="BF48" s="195">
        <v>0</v>
      </c>
      <c r="BG48" s="193">
        <v>0</v>
      </c>
      <c r="BH48" s="194">
        <v>0</v>
      </c>
      <c r="BI48" s="195">
        <v>0</v>
      </c>
      <c r="BJ48" s="195">
        <v>0</v>
      </c>
      <c r="BK48" s="195">
        <v>0</v>
      </c>
      <c r="BL48" s="193">
        <v>0</v>
      </c>
      <c r="BM48" s="194">
        <v>0</v>
      </c>
      <c r="BN48" s="195">
        <v>0</v>
      </c>
      <c r="BO48" s="195">
        <v>0</v>
      </c>
      <c r="BP48" s="195">
        <v>0</v>
      </c>
      <c r="BQ48" s="193">
        <v>0</v>
      </c>
      <c r="BR48" s="194">
        <v>142446280</v>
      </c>
      <c r="BS48" s="195">
        <v>437603009</v>
      </c>
      <c r="BT48" s="195">
        <v>6533434</v>
      </c>
      <c r="BU48" s="195">
        <v>6464055</v>
      </c>
      <c r="BV48" s="196">
        <v>593046778</v>
      </c>
      <c r="BW48" s="153"/>
      <c r="BX48" s="155"/>
      <c r="BY48" s="116"/>
      <c r="BZ48" s="197"/>
      <c r="CA48" s="197"/>
      <c r="CB48" s="197"/>
      <c r="CC48" s="197"/>
      <c r="CD48" s="197"/>
      <c r="CE48" s="198"/>
      <c r="CF48" s="198"/>
      <c r="CG48" s="198"/>
      <c r="CH48" s="198"/>
      <c r="CI48" s="198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</row>
    <row r="49" spans="1:112" x14ac:dyDescent="0.3">
      <c r="A49" s="199" t="s">
        <v>104</v>
      </c>
      <c r="B49" s="142"/>
      <c r="D49" s="200"/>
      <c r="E49" s="144"/>
      <c r="F49" s="51"/>
      <c r="G49" s="51"/>
      <c r="H49" s="51"/>
      <c r="I49" s="201"/>
      <c r="J49" s="202"/>
      <c r="K49" s="44"/>
      <c r="L49" s="44"/>
      <c r="M49" s="44"/>
      <c r="N49" s="201"/>
      <c r="O49" s="44"/>
      <c r="P49" s="44"/>
      <c r="Q49" s="44"/>
      <c r="R49" s="44"/>
      <c r="S49" s="201"/>
      <c r="T49" s="202"/>
      <c r="U49" s="44"/>
      <c r="V49" s="44"/>
      <c r="W49" s="44"/>
      <c r="X49" s="201"/>
      <c r="Y49" s="202"/>
      <c r="Z49" s="44"/>
      <c r="AA49" s="44"/>
      <c r="AB49" s="44"/>
      <c r="AC49" s="201"/>
      <c r="AD49" s="202"/>
      <c r="AE49" s="44"/>
      <c r="AF49" s="44"/>
      <c r="AG49" s="44"/>
      <c r="AH49" s="201"/>
      <c r="AI49" s="202"/>
      <c r="AJ49" s="44"/>
      <c r="AK49" s="44"/>
      <c r="AL49" s="44"/>
      <c r="AM49" s="201"/>
      <c r="AN49" s="202"/>
      <c r="AO49" s="44"/>
      <c r="AP49" s="44"/>
      <c r="AQ49" s="44"/>
      <c r="AR49" s="201"/>
      <c r="AS49" s="202"/>
      <c r="AT49" s="44"/>
      <c r="AU49" s="44"/>
      <c r="AV49" s="44"/>
      <c r="AW49" s="201"/>
      <c r="AX49" s="44"/>
      <c r="AY49" s="44"/>
      <c r="AZ49" s="44"/>
      <c r="BA49" s="44"/>
      <c r="BB49" s="201"/>
      <c r="BC49" s="44"/>
      <c r="BD49" s="44"/>
      <c r="BE49" s="44"/>
      <c r="BF49" s="44"/>
      <c r="BG49" s="201"/>
      <c r="BH49" s="202"/>
      <c r="BI49" s="44"/>
      <c r="BJ49" s="44"/>
      <c r="BK49" s="44"/>
      <c r="BL49" s="201"/>
      <c r="BM49" s="202"/>
      <c r="BN49" s="44"/>
      <c r="BO49" s="44"/>
      <c r="BP49" s="44"/>
      <c r="BQ49" s="201"/>
      <c r="BR49" s="202"/>
      <c r="BS49" s="44"/>
      <c r="BT49" s="44"/>
      <c r="BU49" s="44"/>
      <c r="BV49" s="203"/>
      <c r="BW49" s="153"/>
      <c r="BX49" s="155"/>
    </row>
    <row r="50" spans="1:112" x14ac:dyDescent="0.3">
      <c r="A50" s="135" t="s">
        <v>23</v>
      </c>
      <c r="D50" s="204"/>
      <c r="E50" s="144"/>
      <c r="F50" s="51"/>
      <c r="G50" s="51"/>
      <c r="H50" s="51"/>
      <c r="I50" s="201"/>
      <c r="J50" s="205"/>
      <c r="K50" s="662"/>
      <c r="L50" s="662"/>
      <c r="M50" s="662"/>
      <c r="N50" s="201"/>
      <c r="O50" s="56"/>
      <c r="P50" s="56"/>
      <c r="Q50" s="56"/>
      <c r="R50" s="56"/>
      <c r="S50" s="202"/>
      <c r="T50" s="205"/>
      <c r="U50" s="56"/>
      <c r="V50" s="56"/>
      <c r="W50" s="56"/>
      <c r="X50" s="202"/>
      <c r="Y50" s="205"/>
      <c r="Z50" s="56"/>
      <c r="AA50" s="56"/>
      <c r="AB50" s="56"/>
      <c r="AC50" s="202"/>
      <c r="AD50" s="205"/>
      <c r="AE50" s="56"/>
      <c r="AF50" s="56"/>
      <c r="AG50" s="56"/>
      <c r="AH50" s="202"/>
      <c r="AI50" s="205"/>
      <c r="AJ50" s="56"/>
      <c r="AK50" s="56"/>
      <c r="AL50" s="56"/>
      <c r="AM50" s="202"/>
      <c r="AN50" s="205"/>
      <c r="AO50" s="56"/>
      <c r="AP50" s="56"/>
      <c r="AQ50" s="56"/>
      <c r="AR50" s="201"/>
      <c r="AS50" s="56"/>
      <c r="AT50" s="56"/>
      <c r="AU50" s="56"/>
      <c r="AV50" s="56"/>
      <c r="AW50" s="201"/>
      <c r="AX50" s="56"/>
      <c r="AY50" s="56"/>
      <c r="AZ50" s="56"/>
      <c r="BA50" s="56"/>
      <c r="BB50" s="201"/>
      <c r="BC50" s="56"/>
      <c r="BD50" s="56"/>
      <c r="BE50" s="56"/>
      <c r="BF50" s="56"/>
      <c r="BG50" s="201"/>
      <c r="BH50" s="205"/>
      <c r="BI50" s="56"/>
      <c r="BJ50" s="56"/>
      <c r="BK50" s="56"/>
      <c r="BL50" s="201"/>
      <c r="BM50" s="205"/>
      <c r="BN50" s="56"/>
      <c r="BO50" s="56"/>
      <c r="BP50" s="56"/>
      <c r="BQ50" s="201"/>
      <c r="BR50" s="205"/>
      <c r="BS50" s="56"/>
      <c r="BT50" s="56"/>
      <c r="BU50" s="56"/>
      <c r="BV50" s="203"/>
      <c r="BW50" s="206"/>
      <c r="BX50" s="155"/>
    </row>
    <row r="51" spans="1:112" x14ac:dyDescent="0.3">
      <c r="A51" s="141" t="s">
        <v>105</v>
      </c>
      <c r="B51" s="207"/>
      <c r="C51" s="207"/>
      <c r="D51" s="204"/>
      <c r="E51" s="144">
        <v>7704</v>
      </c>
      <c r="F51" s="51">
        <v>0</v>
      </c>
      <c r="G51" s="51">
        <v>0</v>
      </c>
      <c r="H51" s="51">
        <v>0</v>
      </c>
      <c r="I51" s="145">
        <v>7704</v>
      </c>
      <c r="J51" s="208">
        <v>475</v>
      </c>
      <c r="K51" s="80">
        <v>0</v>
      </c>
      <c r="L51" s="80">
        <v>0</v>
      </c>
      <c r="M51" s="80">
        <v>0</v>
      </c>
      <c r="N51" s="145">
        <v>475</v>
      </c>
      <c r="O51" s="80">
        <v>475</v>
      </c>
      <c r="P51" s="80">
        <v>0</v>
      </c>
      <c r="Q51" s="80">
        <v>0</v>
      </c>
      <c r="R51" s="80">
        <v>0</v>
      </c>
      <c r="S51" s="145">
        <v>475</v>
      </c>
      <c r="T51" s="80">
        <v>475</v>
      </c>
      <c r="U51" s="80">
        <v>0</v>
      </c>
      <c r="V51" s="80">
        <v>0</v>
      </c>
      <c r="W51" s="80">
        <v>0</v>
      </c>
      <c r="X51" s="145">
        <v>475</v>
      </c>
      <c r="Y51" s="19">
        <v>573</v>
      </c>
      <c r="Z51" s="80">
        <v>0</v>
      </c>
      <c r="AA51" s="80">
        <v>0</v>
      </c>
      <c r="AB51" s="80">
        <v>0</v>
      </c>
      <c r="AC51" s="145">
        <v>573</v>
      </c>
      <c r="AD51" s="80">
        <v>497</v>
      </c>
      <c r="AE51" s="80">
        <v>0</v>
      </c>
      <c r="AF51" s="80">
        <v>0</v>
      </c>
      <c r="AG51" s="80">
        <v>0</v>
      </c>
      <c r="AH51" s="145">
        <v>497</v>
      </c>
      <c r="AI51" s="80">
        <v>482</v>
      </c>
      <c r="AJ51" s="80">
        <v>0</v>
      </c>
      <c r="AK51" s="80">
        <v>0</v>
      </c>
      <c r="AL51" s="80">
        <v>0</v>
      </c>
      <c r="AM51" s="145">
        <v>482</v>
      </c>
      <c r="AN51" s="80">
        <v>482</v>
      </c>
      <c r="AO51" s="80">
        <v>0</v>
      </c>
      <c r="AP51" s="80">
        <v>0</v>
      </c>
      <c r="AQ51" s="80">
        <v>0</v>
      </c>
      <c r="AR51" s="145">
        <v>482</v>
      </c>
      <c r="AS51" s="80">
        <v>0</v>
      </c>
      <c r="AT51" s="80">
        <v>0</v>
      </c>
      <c r="AU51" s="80">
        <v>0</v>
      </c>
      <c r="AV51" s="80">
        <v>0</v>
      </c>
      <c r="AW51" s="145">
        <v>0</v>
      </c>
      <c r="AX51" s="80">
        <v>0</v>
      </c>
      <c r="AY51" s="80">
        <v>0</v>
      </c>
      <c r="AZ51" s="80">
        <v>0</v>
      </c>
      <c r="BA51" s="80">
        <v>0</v>
      </c>
      <c r="BB51" s="145">
        <v>0</v>
      </c>
      <c r="BC51" s="80">
        <v>0</v>
      </c>
      <c r="BD51" s="80">
        <v>0</v>
      </c>
      <c r="BE51" s="80">
        <v>0</v>
      </c>
      <c r="BF51" s="80">
        <v>0</v>
      </c>
      <c r="BG51" s="145">
        <v>0</v>
      </c>
      <c r="BH51" s="80">
        <v>0</v>
      </c>
      <c r="BI51" s="80">
        <v>0</v>
      </c>
      <c r="BJ51" s="80">
        <v>0</v>
      </c>
      <c r="BK51" s="80">
        <v>0</v>
      </c>
      <c r="BL51" s="145">
        <v>0</v>
      </c>
      <c r="BM51" s="80">
        <v>0</v>
      </c>
      <c r="BN51" s="80">
        <v>0</v>
      </c>
      <c r="BO51" s="80">
        <v>0</v>
      </c>
      <c r="BP51" s="80">
        <v>0</v>
      </c>
      <c r="BQ51" s="145">
        <v>0</v>
      </c>
      <c r="BR51" s="80">
        <v>3459</v>
      </c>
      <c r="BS51" s="80">
        <v>0</v>
      </c>
      <c r="BT51" s="80">
        <v>0</v>
      </c>
      <c r="BU51" s="80">
        <v>0</v>
      </c>
      <c r="BV51" s="148">
        <v>3459</v>
      </c>
      <c r="BW51" s="153"/>
      <c r="BX51" s="155"/>
      <c r="BZ51" s="151"/>
      <c r="CA51" s="151"/>
      <c r="CB51" s="151"/>
      <c r="CC51" s="151"/>
      <c r="CD51" s="151"/>
      <c r="CE51" s="152"/>
      <c r="CF51" s="152"/>
      <c r="CG51" s="152"/>
      <c r="CH51" s="153"/>
      <c r="CI51" s="152"/>
    </row>
    <row r="52" spans="1:112" x14ac:dyDescent="0.3">
      <c r="A52" s="141" t="s">
        <v>106</v>
      </c>
      <c r="B52" s="207"/>
      <c r="C52" s="118"/>
      <c r="D52" s="200" t="s">
        <v>45</v>
      </c>
      <c r="E52" s="144">
        <v>471709</v>
      </c>
      <c r="F52" s="51">
        <v>0</v>
      </c>
      <c r="G52" s="51">
        <v>0</v>
      </c>
      <c r="H52" s="51">
        <v>0</v>
      </c>
      <c r="I52" s="145">
        <v>471709</v>
      </c>
      <c r="J52" s="208">
        <v>39309</v>
      </c>
      <c r="K52" s="80">
        <v>0</v>
      </c>
      <c r="L52" s="80">
        <v>0</v>
      </c>
      <c r="M52" s="80">
        <v>0</v>
      </c>
      <c r="N52" s="145">
        <v>39309</v>
      </c>
      <c r="O52" s="80">
        <v>39309</v>
      </c>
      <c r="P52" s="80">
        <v>0</v>
      </c>
      <c r="Q52" s="80">
        <v>0</v>
      </c>
      <c r="R52" s="80">
        <v>0</v>
      </c>
      <c r="S52" s="145">
        <v>39309</v>
      </c>
      <c r="T52" s="80">
        <v>39309</v>
      </c>
      <c r="U52" s="80">
        <v>0</v>
      </c>
      <c r="V52" s="80">
        <v>0</v>
      </c>
      <c r="W52" s="80">
        <v>0</v>
      </c>
      <c r="X52" s="145">
        <v>39309</v>
      </c>
      <c r="Y52" s="80">
        <v>39309</v>
      </c>
      <c r="Z52" s="80">
        <v>0</v>
      </c>
      <c r="AA52" s="80">
        <v>0</v>
      </c>
      <c r="AB52" s="80">
        <v>0</v>
      </c>
      <c r="AC52" s="145">
        <v>39309</v>
      </c>
      <c r="AD52" s="80">
        <v>39309</v>
      </c>
      <c r="AE52" s="80">
        <v>0</v>
      </c>
      <c r="AF52" s="80">
        <v>0</v>
      </c>
      <c r="AG52" s="80">
        <v>0</v>
      </c>
      <c r="AH52" s="145">
        <v>39309</v>
      </c>
      <c r="AI52" s="80">
        <v>39309</v>
      </c>
      <c r="AJ52" s="80">
        <v>0</v>
      </c>
      <c r="AK52" s="80">
        <v>0</v>
      </c>
      <c r="AL52" s="80">
        <v>0</v>
      </c>
      <c r="AM52" s="145">
        <v>39309</v>
      </c>
      <c r="AN52" s="80">
        <v>39309</v>
      </c>
      <c r="AO52" s="80">
        <v>0</v>
      </c>
      <c r="AP52" s="80">
        <v>0</v>
      </c>
      <c r="AQ52" s="80">
        <v>0</v>
      </c>
      <c r="AR52" s="145">
        <v>39309</v>
      </c>
      <c r="AS52" s="80">
        <v>0</v>
      </c>
      <c r="AT52" s="80">
        <v>0</v>
      </c>
      <c r="AU52" s="80">
        <v>0</v>
      </c>
      <c r="AV52" s="80">
        <v>0</v>
      </c>
      <c r="AW52" s="145">
        <v>0</v>
      </c>
      <c r="AX52" s="80">
        <v>0</v>
      </c>
      <c r="AY52" s="80">
        <v>0</v>
      </c>
      <c r="AZ52" s="80">
        <v>0</v>
      </c>
      <c r="BA52" s="80">
        <v>0</v>
      </c>
      <c r="BB52" s="145">
        <v>0</v>
      </c>
      <c r="BC52" s="80">
        <v>0</v>
      </c>
      <c r="BD52" s="80">
        <v>0</v>
      </c>
      <c r="BE52" s="80">
        <v>0</v>
      </c>
      <c r="BF52" s="80">
        <v>0</v>
      </c>
      <c r="BG52" s="145">
        <v>0</v>
      </c>
      <c r="BH52" s="80">
        <v>0</v>
      </c>
      <c r="BI52" s="80">
        <v>0</v>
      </c>
      <c r="BJ52" s="80">
        <v>0</v>
      </c>
      <c r="BK52" s="80">
        <v>0</v>
      </c>
      <c r="BL52" s="145">
        <v>0</v>
      </c>
      <c r="BM52" s="80">
        <v>0</v>
      </c>
      <c r="BN52" s="80">
        <v>0</v>
      </c>
      <c r="BO52" s="80">
        <v>0</v>
      </c>
      <c r="BP52" s="80">
        <v>0</v>
      </c>
      <c r="BQ52" s="145">
        <v>0</v>
      </c>
      <c r="BR52" s="80">
        <v>275163</v>
      </c>
      <c r="BS52" s="80">
        <v>0</v>
      </c>
      <c r="BT52" s="80">
        <v>0</v>
      </c>
      <c r="BU52" s="80">
        <v>0</v>
      </c>
      <c r="BV52" s="148">
        <v>275163</v>
      </c>
      <c r="BW52" s="153"/>
      <c r="BX52" s="155"/>
      <c r="BZ52" s="151"/>
      <c r="CA52" s="151"/>
      <c r="CB52" s="151"/>
      <c r="CC52" s="151"/>
      <c r="CD52" s="151"/>
      <c r="CE52" s="152"/>
      <c r="CF52" s="152"/>
      <c r="CG52" s="152"/>
      <c r="CH52" s="153"/>
      <c r="CI52" s="152"/>
    </row>
    <row r="53" spans="1:112" x14ac:dyDescent="0.3">
      <c r="A53" s="141" t="s">
        <v>107</v>
      </c>
      <c r="B53" s="207"/>
      <c r="C53" s="118"/>
      <c r="D53" s="209"/>
      <c r="E53" s="144">
        <v>301806272</v>
      </c>
      <c r="F53" s="51">
        <v>0</v>
      </c>
      <c r="G53" s="51">
        <v>0</v>
      </c>
      <c r="H53" s="51">
        <v>0</v>
      </c>
      <c r="I53" s="145">
        <v>301806272</v>
      </c>
      <c r="J53" s="208">
        <v>3383917.5034699999</v>
      </c>
      <c r="K53" s="80">
        <v>0</v>
      </c>
      <c r="L53" s="80">
        <v>0</v>
      </c>
      <c r="M53" s="79">
        <v>0</v>
      </c>
      <c r="N53" s="145">
        <v>3383917.5034699999</v>
      </c>
      <c r="O53" s="80">
        <v>2612522.952</v>
      </c>
      <c r="P53" s="80">
        <v>0</v>
      </c>
      <c r="Q53" s="80">
        <v>0</v>
      </c>
      <c r="R53" s="80">
        <v>0</v>
      </c>
      <c r="S53" s="145">
        <v>2612522.952</v>
      </c>
      <c r="T53" s="144">
        <v>29876720</v>
      </c>
      <c r="U53" s="80">
        <v>0</v>
      </c>
      <c r="V53" s="80">
        <v>0</v>
      </c>
      <c r="W53" s="80">
        <v>0</v>
      </c>
      <c r="X53" s="145">
        <v>29876720</v>
      </c>
      <c r="Y53" s="80">
        <v>46420658.013999999</v>
      </c>
      <c r="Z53" s="80">
        <v>0</v>
      </c>
      <c r="AA53" s="80">
        <v>0</v>
      </c>
      <c r="AB53" s="80">
        <v>0</v>
      </c>
      <c r="AC53" s="145">
        <v>46420658.013999999</v>
      </c>
      <c r="AD53" s="144">
        <v>40543167</v>
      </c>
      <c r="AE53" s="51">
        <v>0</v>
      </c>
      <c r="AF53" s="51">
        <v>0</v>
      </c>
      <c r="AG53" s="51">
        <v>0</v>
      </c>
      <c r="AH53" s="145">
        <v>40543167</v>
      </c>
      <c r="AI53" s="80">
        <v>24956108.072999999</v>
      </c>
      <c r="AJ53" s="80">
        <v>0</v>
      </c>
      <c r="AK53" s="80">
        <v>0</v>
      </c>
      <c r="AL53" s="80">
        <v>0</v>
      </c>
      <c r="AM53" s="145">
        <v>24956108.072999999</v>
      </c>
      <c r="AN53" s="80">
        <v>6483835</v>
      </c>
      <c r="AO53" s="80">
        <v>0</v>
      </c>
      <c r="AP53" s="80">
        <v>0</v>
      </c>
      <c r="AQ53" s="80">
        <v>0</v>
      </c>
      <c r="AR53" s="76">
        <v>6483835</v>
      </c>
      <c r="AS53" s="80">
        <v>0</v>
      </c>
      <c r="AT53" s="80">
        <v>0</v>
      </c>
      <c r="AU53" s="80">
        <v>0</v>
      </c>
      <c r="AV53" s="80">
        <v>0</v>
      </c>
      <c r="AW53" s="76">
        <v>0</v>
      </c>
      <c r="AX53" s="80">
        <v>0</v>
      </c>
      <c r="AY53" s="80">
        <v>0</v>
      </c>
      <c r="AZ53" s="80">
        <v>0</v>
      </c>
      <c r="BA53" s="80">
        <v>0</v>
      </c>
      <c r="BB53" s="76">
        <v>0</v>
      </c>
      <c r="BC53" s="80">
        <v>0</v>
      </c>
      <c r="BD53" s="80">
        <v>0</v>
      </c>
      <c r="BE53" s="80">
        <v>0</v>
      </c>
      <c r="BF53" s="80">
        <v>0</v>
      </c>
      <c r="BG53" s="76">
        <v>0</v>
      </c>
      <c r="BH53" s="80">
        <v>0</v>
      </c>
      <c r="BI53" s="80">
        <v>0</v>
      </c>
      <c r="BJ53" s="80">
        <v>0</v>
      </c>
      <c r="BK53" s="80">
        <v>0</v>
      </c>
      <c r="BL53" s="76">
        <v>0</v>
      </c>
      <c r="BM53" s="80">
        <v>0</v>
      </c>
      <c r="BN53" s="80">
        <v>0</v>
      </c>
      <c r="BO53" s="80">
        <v>0</v>
      </c>
      <c r="BP53" s="80">
        <v>0</v>
      </c>
      <c r="BQ53" s="76">
        <v>0</v>
      </c>
      <c r="BR53" s="80">
        <v>154276928.54247001</v>
      </c>
      <c r="BS53" s="80">
        <v>0</v>
      </c>
      <c r="BT53" s="80">
        <v>0</v>
      </c>
      <c r="BU53" s="80">
        <v>0</v>
      </c>
      <c r="BV53" s="148">
        <v>154276928.54247001</v>
      </c>
      <c r="BW53" s="153"/>
      <c r="BX53" s="155"/>
      <c r="BZ53" s="151"/>
      <c r="CA53" s="151"/>
      <c r="CB53" s="151"/>
      <c r="CC53" s="151"/>
      <c r="CD53" s="151"/>
      <c r="CE53" s="152"/>
      <c r="CF53" s="152"/>
      <c r="CG53" s="152"/>
      <c r="CH53" s="153"/>
      <c r="CI53" s="152"/>
    </row>
    <row r="54" spans="1:112" s="211" customFormat="1" x14ac:dyDescent="0.3">
      <c r="A54" s="210" t="s">
        <v>48</v>
      </c>
      <c r="C54" s="212"/>
      <c r="D54" s="209"/>
      <c r="E54" s="213">
        <v>301696272</v>
      </c>
      <c r="F54" s="106">
        <v>0</v>
      </c>
      <c r="G54" s="106">
        <v>0</v>
      </c>
      <c r="H54" s="106">
        <v>0</v>
      </c>
      <c r="I54" s="214">
        <v>301696272</v>
      </c>
      <c r="J54" s="215">
        <v>3383843.9796799999</v>
      </c>
      <c r="K54" s="62">
        <v>0</v>
      </c>
      <c r="L54" s="62">
        <v>0</v>
      </c>
      <c r="M54" s="62">
        <v>0</v>
      </c>
      <c r="N54" s="214">
        <v>3383843.9796799999</v>
      </c>
      <c r="O54" s="62">
        <v>2598616.6510000001</v>
      </c>
      <c r="P54" s="62">
        <v>0</v>
      </c>
      <c r="Q54" s="62">
        <v>0</v>
      </c>
      <c r="R54" s="62">
        <v>0</v>
      </c>
      <c r="S54" s="214">
        <v>2598616.6510000001</v>
      </c>
      <c r="T54" s="62">
        <v>29864719</v>
      </c>
      <c r="U54" s="62">
        <v>0</v>
      </c>
      <c r="V54" s="62">
        <v>0</v>
      </c>
      <c r="W54" s="62">
        <v>0</v>
      </c>
      <c r="X54" s="214">
        <v>29864719</v>
      </c>
      <c r="Y54" s="217">
        <v>46420138.457000002</v>
      </c>
      <c r="Z54" s="62">
        <v>0</v>
      </c>
      <c r="AA54" s="62">
        <v>0</v>
      </c>
      <c r="AB54" s="62">
        <v>0</v>
      </c>
      <c r="AC54" s="214">
        <v>46420138.457000002</v>
      </c>
      <c r="AD54" s="62">
        <v>40442839</v>
      </c>
      <c r="AE54" s="62">
        <v>0</v>
      </c>
      <c r="AF54" s="62">
        <v>0</v>
      </c>
      <c r="AG54" s="62">
        <v>0</v>
      </c>
      <c r="AH54" s="214">
        <v>40442839</v>
      </c>
      <c r="AI54" s="62">
        <v>24968264.114999998</v>
      </c>
      <c r="AJ54" s="62">
        <v>0</v>
      </c>
      <c r="AK54" s="62">
        <v>0</v>
      </c>
      <c r="AL54" s="62">
        <v>0</v>
      </c>
      <c r="AM54" s="214">
        <v>24968264.114999998</v>
      </c>
      <c r="AN54" s="62">
        <v>6468835</v>
      </c>
      <c r="AO54" s="62">
        <v>0</v>
      </c>
      <c r="AP54" s="62">
        <v>0</v>
      </c>
      <c r="AQ54" s="62">
        <v>0</v>
      </c>
      <c r="AR54" s="214">
        <v>6468835</v>
      </c>
      <c r="AS54" s="62">
        <v>0</v>
      </c>
      <c r="AT54" s="62">
        <v>0</v>
      </c>
      <c r="AU54" s="62">
        <v>0</v>
      </c>
      <c r="AV54" s="62">
        <v>0</v>
      </c>
      <c r="AW54" s="214">
        <v>0</v>
      </c>
      <c r="AX54" s="62">
        <v>0</v>
      </c>
      <c r="AY54" s="62">
        <v>0</v>
      </c>
      <c r="AZ54" s="62">
        <v>0</v>
      </c>
      <c r="BA54" s="62">
        <v>0</v>
      </c>
      <c r="BB54" s="214">
        <v>0</v>
      </c>
      <c r="BC54" s="62">
        <v>0</v>
      </c>
      <c r="BD54" s="62">
        <v>0</v>
      </c>
      <c r="BE54" s="62">
        <v>0</v>
      </c>
      <c r="BF54" s="62">
        <v>0</v>
      </c>
      <c r="BG54" s="214">
        <v>0</v>
      </c>
      <c r="BH54" s="62">
        <v>0</v>
      </c>
      <c r="BI54" s="62">
        <v>0</v>
      </c>
      <c r="BJ54" s="62">
        <v>0</v>
      </c>
      <c r="BK54" s="62">
        <v>0</v>
      </c>
      <c r="BL54" s="214">
        <v>0</v>
      </c>
      <c r="BM54" s="62">
        <v>0</v>
      </c>
      <c r="BN54" s="62">
        <v>0</v>
      </c>
      <c r="BO54" s="62">
        <v>0</v>
      </c>
      <c r="BP54" s="62">
        <v>0</v>
      </c>
      <c r="BQ54" s="214">
        <v>0</v>
      </c>
      <c r="BR54" s="62">
        <v>154147256.20268002</v>
      </c>
      <c r="BS54" s="62">
        <v>0</v>
      </c>
      <c r="BT54" s="62">
        <v>0</v>
      </c>
      <c r="BU54" s="62">
        <v>0</v>
      </c>
      <c r="BV54" s="216">
        <v>154147256.20268002</v>
      </c>
      <c r="BW54" s="218"/>
      <c r="BX54" s="219"/>
      <c r="BY54" s="212"/>
      <c r="BZ54" s="220"/>
      <c r="CA54" s="220"/>
      <c r="CB54" s="220"/>
      <c r="CC54" s="220"/>
      <c r="CD54" s="220"/>
      <c r="CE54" s="221"/>
      <c r="CF54" s="221"/>
      <c r="CG54" s="221"/>
      <c r="CH54" s="218"/>
      <c r="CI54" s="221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</row>
    <row r="55" spans="1:112" s="211" customFormat="1" x14ac:dyDescent="0.3">
      <c r="A55" s="210" t="s">
        <v>108</v>
      </c>
      <c r="C55" s="212"/>
      <c r="D55" s="209"/>
      <c r="E55" s="213">
        <v>110000</v>
      </c>
      <c r="F55" s="106">
        <v>0</v>
      </c>
      <c r="G55" s="106">
        <v>0</v>
      </c>
      <c r="H55" s="106">
        <v>0</v>
      </c>
      <c r="I55" s="214">
        <v>110000</v>
      </c>
      <c r="J55" s="215">
        <v>73.523789999999991</v>
      </c>
      <c r="K55" s="62">
        <v>0</v>
      </c>
      <c r="L55" s="62">
        <v>0</v>
      </c>
      <c r="M55" s="62">
        <v>0</v>
      </c>
      <c r="N55" s="214">
        <v>73.523789999999991</v>
      </c>
      <c r="O55" s="62">
        <v>13906.300999999999</v>
      </c>
      <c r="P55" s="62">
        <v>0</v>
      </c>
      <c r="Q55" s="62">
        <v>0</v>
      </c>
      <c r="R55" s="62">
        <v>0</v>
      </c>
      <c r="S55" s="214">
        <v>13906.300999999999</v>
      </c>
      <c r="T55" s="62">
        <v>12001</v>
      </c>
      <c r="U55" s="62">
        <v>0</v>
      </c>
      <c r="V55" s="62">
        <v>0</v>
      </c>
      <c r="W55" s="62">
        <v>0</v>
      </c>
      <c r="X55" s="214">
        <v>12001</v>
      </c>
      <c r="Y55" s="217">
        <v>519.55700000000002</v>
      </c>
      <c r="Z55" s="62">
        <v>0</v>
      </c>
      <c r="AA55" s="62">
        <v>0</v>
      </c>
      <c r="AB55" s="62">
        <v>0</v>
      </c>
      <c r="AC55" s="214">
        <v>519.55700000000002</v>
      </c>
      <c r="AD55" s="62">
        <v>100328</v>
      </c>
      <c r="AE55" s="62">
        <v>0</v>
      </c>
      <c r="AF55" s="62">
        <v>0</v>
      </c>
      <c r="AG55" s="62">
        <v>0</v>
      </c>
      <c r="AH55" s="214">
        <v>100328</v>
      </c>
      <c r="AI55" s="62">
        <v>-12156.041999999999</v>
      </c>
      <c r="AJ55" s="62">
        <v>0</v>
      </c>
      <c r="AK55" s="62">
        <v>0</v>
      </c>
      <c r="AL55" s="62">
        <v>0</v>
      </c>
      <c r="AM55" s="214">
        <v>-12156.041999999999</v>
      </c>
      <c r="AN55" s="62">
        <v>15000</v>
      </c>
      <c r="AO55" s="62">
        <v>0</v>
      </c>
      <c r="AP55" s="62">
        <v>0</v>
      </c>
      <c r="AQ55" s="62">
        <v>0</v>
      </c>
      <c r="AR55" s="214">
        <v>15000</v>
      </c>
      <c r="AS55" s="62">
        <v>0</v>
      </c>
      <c r="AT55" s="62">
        <v>0</v>
      </c>
      <c r="AU55" s="62">
        <v>0</v>
      </c>
      <c r="AV55" s="62">
        <v>0</v>
      </c>
      <c r="AW55" s="214">
        <v>0</v>
      </c>
      <c r="AX55" s="62">
        <v>0</v>
      </c>
      <c r="AY55" s="62">
        <v>0</v>
      </c>
      <c r="AZ55" s="62">
        <v>0</v>
      </c>
      <c r="BA55" s="62">
        <v>0</v>
      </c>
      <c r="BB55" s="214">
        <v>0</v>
      </c>
      <c r="BC55" s="62">
        <v>0</v>
      </c>
      <c r="BD55" s="62">
        <v>0</v>
      </c>
      <c r="BE55" s="62">
        <v>0</v>
      </c>
      <c r="BF55" s="62">
        <v>0</v>
      </c>
      <c r="BG55" s="214">
        <v>0</v>
      </c>
      <c r="BH55" s="62">
        <v>0</v>
      </c>
      <c r="BI55" s="62">
        <v>0</v>
      </c>
      <c r="BJ55" s="62">
        <v>0</v>
      </c>
      <c r="BK55" s="62">
        <v>0</v>
      </c>
      <c r="BL55" s="214">
        <v>0</v>
      </c>
      <c r="BM55" s="62">
        <v>0</v>
      </c>
      <c r="BN55" s="62">
        <v>0</v>
      </c>
      <c r="BO55" s="62">
        <v>0</v>
      </c>
      <c r="BP55" s="62">
        <v>0</v>
      </c>
      <c r="BQ55" s="214">
        <v>0</v>
      </c>
      <c r="BR55" s="62">
        <v>129672.33979</v>
      </c>
      <c r="BS55" s="62">
        <v>0</v>
      </c>
      <c r="BT55" s="62">
        <v>0</v>
      </c>
      <c r="BU55" s="62">
        <v>0</v>
      </c>
      <c r="BV55" s="216">
        <v>129672.33979</v>
      </c>
      <c r="BW55" s="218"/>
      <c r="BX55" s="219"/>
      <c r="BY55" s="212"/>
      <c r="BZ55" s="220"/>
      <c r="CA55" s="220"/>
      <c r="CB55" s="220"/>
      <c r="CC55" s="220"/>
      <c r="CD55" s="220"/>
      <c r="CE55" s="221"/>
      <c r="CF55" s="221"/>
      <c r="CG55" s="221"/>
      <c r="CH55" s="218"/>
      <c r="CI55" s="221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</row>
    <row r="56" spans="1:112" x14ac:dyDescent="0.3">
      <c r="A56" s="141" t="s">
        <v>109</v>
      </c>
      <c r="B56" s="207"/>
      <c r="C56" s="118"/>
      <c r="D56" s="200"/>
      <c r="E56" s="144">
        <v>0</v>
      </c>
      <c r="F56" s="51">
        <v>560756789</v>
      </c>
      <c r="G56" s="51">
        <v>0</v>
      </c>
      <c r="H56" s="51">
        <v>0</v>
      </c>
      <c r="I56" s="145">
        <v>560756789</v>
      </c>
      <c r="J56" s="208">
        <v>0</v>
      </c>
      <c r="K56" s="80">
        <v>46729733</v>
      </c>
      <c r="L56" s="80">
        <v>0</v>
      </c>
      <c r="M56" s="80">
        <v>0</v>
      </c>
      <c r="N56" s="145">
        <v>46729733</v>
      </c>
      <c r="O56" s="80">
        <v>0</v>
      </c>
      <c r="P56" s="80">
        <v>46729733</v>
      </c>
      <c r="Q56" s="80">
        <v>0</v>
      </c>
      <c r="R56" s="80">
        <v>0</v>
      </c>
      <c r="S56" s="145">
        <v>46729733</v>
      </c>
      <c r="T56" s="80">
        <v>0</v>
      </c>
      <c r="U56" s="80">
        <v>46729733</v>
      </c>
      <c r="V56" s="80">
        <v>0</v>
      </c>
      <c r="W56" s="80">
        <v>0</v>
      </c>
      <c r="X56" s="145">
        <v>46729733</v>
      </c>
      <c r="Y56" s="80">
        <v>0</v>
      </c>
      <c r="Z56" s="80">
        <v>46729733</v>
      </c>
      <c r="AA56" s="80">
        <v>0</v>
      </c>
      <c r="AB56" s="80">
        <v>0</v>
      </c>
      <c r="AC56" s="145">
        <v>46729733</v>
      </c>
      <c r="AD56" s="80">
        <v>0</v>
      </c>
      <c r="AE56" s="80">
        <v>46729733</v>
      </c>
      <c r="AF56" s="80">
        <v>0</v>
      </c>
      <c r="AG56" s="80">
        <v>0</v>
      </c>
      <c r="AH56" s="145">
        <v>46729733</v>
      </c>
      <c r="AI56" s="80">
        <v>0</v>
      </c>
      <c r="AJ56" s="80">
        <v>46729733</v>
      </c>
      <c r="AK56" s="80">
        <v>0</v>
      </c>
      <c r="AL56" s="80">
        <v>0</v>
      </c>
      <c r="AM56" s="145">
        <v>46729733</v>
      </c>
      <c r="AN56" s="80">
        <v>0</v>
      </c>
      <c r="AO56" s="80">
        <v>46729733</v>
      </c>
      <c r="AP56" s="80">
        <v>0</v>
      </c>
      <c r="AQ56" s="80">
        <v>0</v>
      </c>
      <c r="AR56" s="145">
        <v>46729733</v>
      </c>
      <c r="AS56" s="80">
        <v>0</v>
      </c>
      <c r="AT56" s="80">
        <v>0</v>
      </c>
      <c r="AU56" s="80">
        <v>0</v>
      </c>
      <c r="AV56" s="80">
        <v>0</v>
      </c>
      <c r="AW56" s="145">
        <v>0</v>
      </c>
      <c r="AX56" s="80">
        <v>0</v>
      </c>
      <c r="AY56" s="80">
        <v>0</v>
      </c>
      <c r="AZ56" s="80">
        <v>0</v>
      </c>
      <c r="BA56" s="80">
        <v>0</v>
      </c>
      <c r="BB56" s="145">
        <v>0</v>
      </c>
      <c r="BC56" s="80">
        <v>0</v>
      </c>
      <c r="BD56" s="80">
        <v>0</v>
      </c>
      <c r="BE56" s="80">
        <v>0</v>
      </c>
      <c r="BF56" s="80">
        <v>0</v>
      </c>
      <c r="BG56" s="145">
        <v>0</v>
      </c>
      <c r="BH56" s="80">
        <v>0</v>
      </c>
      <c r="BI56" s="80">
        <v>0</v>
      </c>
      <c r="BJ56" s="80">
        <v>0</v>
      </c>
      <c r="BK56" s="80">
        <v>0</v>
      </c>
      <c r="BL56" s="145">
        <v>0</v>
      </c>
      <c r="BM56" s="80">
        <v>0</v>
      </c>
      <c r="BN56" s="80">
        <v>0</v>
      </c>
      <c r="BO56" s="80">
        <v>0</v>
      </c>
      <c r="BP56" s="80">
        <v>0</v>
      </c>
      <c r="BQ56" s="145">
        <v>0</v>
      </c>
      <c r="BR56" s="80">
        <v>0</v>
      </c>
      <c r="BS56" s="80">
        <v>327108131</v>
      </c>
      <c r="BT56" s="80">
        <v>0</v>
      </c>
      <c r="BU56" s="80">
        <v>0</v>
      </c>
      <c r="BV56" s="148">
        <v>327108131</v>
      </c>
      <c r="BW56" s="153"/>
      <c r="BX56" s="155"/>
      <c r="BZ56" s="151"/>
      <c r="CA56" s="151"/>
      <c r="CB56" s="151"/>
      <c r="CC56" s="151"/>
      <c r="CD56" s="151"/>
      <c r="CE56" s="152"/>
      <c r="CF56" s="152"/>
      <c r="CG56" s="152"/>
      <c r="CH56" s="153"/>
      <c r="CI56" s="152"/>
    </row>
    <row r="57" spans="1:112" ht="13.5" customHeight="1" x14ac:dyDescent="0.3">
      <c r="A57" s="157" t="s">
        <v>110</v>
      </c>
      <c r="B57" s="222"/>
      <c r="C57" s="118"/>
      <c r="D57" s="223"/>
      <c r="E57" s="144">
        <v>0</v>
      </c>
      <c r="F57" s="51">
        <v>15334823</v>
      </c>
      <c r="G57" s="51">
        <v>0</v>
      </c>
      <c r="H57" s="51">
        <v>0</v>
      </c>
      <c r="I57" s="145">
        <v>15334823</v>
      </c>
      <c r="J57" s="208">
        <v>0</v>
      </c>
      <c r="K57" s="80">
        <v>0</v>
      </c>
      <c r="L57" s="80">
        <v>0</v>
      </c>
      <c r="M57" s="80">
        <v>0</v>
      </c>
      <c r="N57" s="145">
        <v>0</v>
      </c>
      <c r="O57" s="80">
        <v>0</v>
      </c>
      <c r="P57" s="80">
        <v>0</v>
      </c>
      <c r="Q57" s="80">
        <v>0</v>
      </c>
      <c r="R57" s="80">
        <v>0</v>
      </c>
      <c r="S57" s="145">
        <v>0</v>
      </c>
      <c r="T57" s="80">
        <v>0</v>
      </c>
      <c r="U57" s="80">
        <v>0</v>
      </c>
      <c r="V57" s="80">
        <v>0</v>
      </c>
      <c r="W57" s="80">
        <v>0</v>
      </c>
      <c r="X57" s="145">
        <v>0</v>
      </c>
      <c r="Y57" s="80">
        <v>0</v>
      </c>
      <c r="Z57" s="80">
        <v>0</v>
      </c>
      <c r="AA57" s="80">
        <v>0</v>
      </c>
      <c r="AB57" s="80">
        <v>0</v>
      </c>
      <c r="AC57" s="145">
        <v>0</v>
      </c>
      <c r="AD57" s="80">
        <v>0</v>
      </c>
      <c r="AE57" s="80">
        <v>5111607</v>
      </c>
      <c r="AF57" s="80">
        <v>0</v>
      </c>
      <c r="AG57" s="80">
        <v>0</v>
      </c>
      <c r="AH57" s="145">
        <v>5111607</v>
      </c>
      <c r="AI57" s="80">
        <v>0</v>
      </c>
      <c r="AJ57" s="80">
        <v>0</v>
      </c>
      <c r="AK57" s="80">
        <v>0</v>
      </c>
      <c r="AL57" s="80">
        <v>0</v>
      </c>
      <c r="AM57" s="145">
        <v>0</v>
      </c>
      <c r="AN57" s="80">
        <v>0</v>
      </c>
      <c r="AO57" s="80">
        <v>0</v>
      </c>
      <c r="AP57" s="80">
        <v>0</v>
      </c>
      <c r="AQ57" s="80">
        <v>0</v>
      </c>
      <c r="AR57" s="145">
        <v>0</v>
      </c>
      <c r="AS57" s="80">
        <v>0</v>
      </c>
      <c r="AT57" s="80">
        <v>0</v>
      </c>
      <c r="AU57" s="80">
        <v>0</v>
      </c>
      <c r="AV57" s="80">
        <v>0</v>
      </c>
      <c r="AW57" s="145">
        <v>0</v>
      </c>
      <c r="AX57" s="80">
        <v>0</v>
      </c>
      <c r="AY57" s="80">
        <v>0</v>
      </c>
      <c r="AZ57" s="80">
        <v>0</v>
      </c>
      <c r="BA57" s="80">
        <v>0</v>
      </c>
      <c r="BB57" s="145">
        <v>0</v>
      </c>
      <c r="BC57" s="80">
        <v>0</v>
      </c>
      <c r="BD57" s="80">
        <v>0</v>
      </c>
      <c r="BE57" s="80">
        <v>0</v>
      </c>
      <c r="BF57" s="80">
        <v>0</v>
      </c>
      <c r="BG57" s="145">
        <v>0</v>
      </c>
      <c r="BH57" s="80">
        <v>0</v>
      </c>
      <c r="BI57" s="80">
        <v>0</v>
      </c>
      <c r="BJ57" s="80">
        <v>0</v>
      </c>
      <c r="BK57" s="80">
        <v>0</v>
      </c>
      <c r="BL57" s="145">
        <v>0</v>
      </c>
      <c r="BM57" s="80">
        <v>0</v>
      </c>
      <c r="BN57" s="80">
        <v>0</v>
      </c>
      <c r="BO57" s="80">
        <v>0</v>
      </c>
      <c r="BP57" s="80">
        <v>0</v>
      </c>
      <c r="BQ57" s="145">
        <v>0</v>
      </c>
      <c r="BR57" s="80">
        <v>0</v>
      </c>
      <c r="BS57" s="80">
        <v>5111607</v>
      </c>
      <c r="BT57" s="80">
        <v>0</v>
      </c>
      <c r="BU57" s="80">
        <v>0</v>
      </c>
      <c r="BV57" s="148">
        <v>5111607</v>
      </c>
      <c r="BW57" s="153"/>
      <c r="BX57" s="155"/>
      <c r="BZ57" s="160"/>
      <c r="CA57" s="160"/>
      <c r="CB57" s="160"/>
      <c r="CC57" s="160"/>
      <c r="CD57" s="160"/>
      <c r="CE57" s="152"/>
      <c r="CF57" s="152"/>
      <c r="CG57" s="152"/>
      <c r="CH57" s="153"/>
      <c r="CI57" s="152"/>
    </row>
    <row r="58" spans="1:112" ht="12.75" customHeight="1" x14ac:dyDescent="0.3">
      <c r="A58" s="141" t="s">
        <v>111</v>
      </c>
      <c r="B58" s="207"/>
      <c r="C58" s="118"/>
      <c r="D58" s="200" t="s">
        <v>46</v>
      </c>
      <c r="E58" s="144">
        <v>0</v>
      </c>
      <c r="F58" s="51">
        <v>0</v>
      </c>
      <c r="G58" s="51">
        <v>0</v>
      </c>
      <c r="H58" s="51">
        <v>56116</v>
      </c>
      <c r="I58" s="145">
        <v>56116</v>
      </c>
      <c r="J58" s="208">
        <v>0</v>
      </c>
      <c r="K58" s="80">
        <v>0</v>
      </c>
      <c r="L58" s="80">
        <v>0</v>
      </c>
      <c r="M58" s="80">
        <v>183362</v>
      </c>
      <c r="N58" s="145">
        <v>183362</v>
      </c>
      <c r="O58" s="80">
        <v>0</v>
      </c>
      <c r="P58" s="80">
        <v>0</v>
      </c>
      <c r="Q58" s="80">
        <v>0</v>
      </c>
      <c r="R58" s="80">
        <v>60398</v>
      </c>
      <c r="S58" s="145">
        <v>60398</v>
      </c>
      <c r="T58" s="80">
        <v>0</v>
      </c>
      <c r="U58" s="80">
        <v>0</v>
      </c>
      <c r="V58" s="80">
        <v>0</v>
      </c>
      <c r="W58" s="80">
        <v>19201</v>
      </c>
      <c r="X58" s="145">
        <v>19201</v>
      </c>
      <c r="Y58" s="80">
        <v>0</v>
      </c>
      <c r="Z58" s="80">
        <v>0</v>
      </c>
      <c r="AA58" s="80">
        <v>0</v>
      </c>
      <c r="AB58" s="80">
        <v>9</v>
      </c>
      <c r="AC58" s="145">
        <v>9</v>
      </c>
      <c r="AD58" s="80">
        <v>0</v>
      </c>
      <c r="AE58" s="80">
        <v>0</v>
      </c>
      <c r="AF58" s="80">
        <v>0</v>
      </c>
      <c r="AG58" s="224">
        <v>118</v>
      </c>
      <c r="AH58" s="145">
        <v>118</v>
      </c>
      <c r="AI58" s="80">
        <v>0</v>
      </c>
      <c r="AJ58" s="80">
        <v>0</v>
      </c>
      <c r="AK58" s="80">
        <v>0</v>
      </c>
      <c r="AL58" s="80">
        <v>24</v>
      </c>
      <c r="AM58" s="145">
        <v>24</v>
      </c>
      <c r="AN58" s="80">
        <v>0</v>
      </c>
      <c r="AO58" s="80">
        <v>0</v>
      </c>
      <c r="AP58" s="80">
        <v>0</v>
      </c>
      <c r="AQ58" s="80">
        <v>19</v>
      </c>
      <c r="AR58" s="145">
        <v>19</v>
      </c>
      <c r="AS58" s="80">
        <v>0</v>
      </c>
      <c r="AT58" s="80">
        <v>0</v>
      </c>
      <c r="AU58" s="80">
        <v>0</v>
      </c>
      <c r="AV58" s="224">
        <v>0</v>
      </c>
      <c r="AW58" s="145">
        <v>0</v>
      </c>
      <c r="AX58" s="80">
        <v>0</v>
      </c>
      <c r="AY58" s="80">
        <v>0</v>
      </c>
      <c r="AZ58" s="80">
        <v>0</v>
      </c>
      <c r="BA58" s="80">
        <v>0</v>
      </c>
      <c r="BB58" s="145">
        <v>0</v>
      </c>
      <c r="BC58" s="80">
        <v>0</v>
      </c>
      <c r="BD58" s="80">
        <v>0</v>
      </c>
      <c r="BE58" s="80">
        <v>0</v>
      </c>
      <c r="BF58" s="80">
        <v>0</v>
      </c>
      <c r="BG58" s="145">
        <v>0</v>
      </c>
      <c r="BH58" s="80">
        <v>0</v>
      </c>
      <c r="BI58" s="80">
        <v>0</v>
      </c>
      <c r="BJ58" s="80">
        <v>0</v>
      </c>
      <c r="BK58" s="80">
        <v>0</v>
      </c>
      <c r="BL58" s="145">
        <v>0</v>
      </c>
      <c r="BM58" s="80">
        <v>0</v>
      </c>
      <c r="BN58" s="80">
        <v>0</v>
      </c>
      <c r="BO58" s="80">
        <v>0</v>
      </c>
      <c r="BP58" s="80">
        <v>0</v>
      </c>
      <c r="BQ58" s="145">
        <v>0</v>
      </c>
      <c r="BR58" s="80">
        <v>0</v>
      </c>
      <c r="BS58" s="80">
        <v>0</v>
      </c>
      <c r="BT58" s="80">
        <v>0</v>
      </c>
      <c r="BU58" s="80">
        <v>263131</v>
      </c>
      <c r="BV58" s="148">
        <v>263131</v>
      </c>
      <c r="BW58" s="153"/>
      <c r="BX58" s="155"/>
      <c r="BZ58" s="151"/>
      <c r="CA58" s="151"/>
      <c r="CB58" s="151"/>
      <c r="CC58" s="151"/>
      <c r="CD58" s="151"/>
      <c r="CE58" s="152"/>
      <c r="CF58" s="149"/>
      <c r="CG58" s="152"/>
      <c r="CH58" s="153"/>
      <c r="CI58" s="152"/>
    </row>
    <row r="59" spans="1:112" x14ac:dyDescent="0.3">
      <c r="A59" s="157" t="s">
        <v>112</v>
      </c>
      <c r="B59" s="222"/>
      <c r="C59" s="118"/>
      <c r="D59" s="225"/>
      <c r="E59" s="144">
        <v>0</v>
      </c>
      <c r="F59" s="51">
        <v>72582</v>
      </c>
      <c r="G59" s="51">
        <v>0</v>
      </c>
      <c r="H59" s="51">
        <v>0</v>
      </c>
      <c r="I59" s="145">
        <v>72582</v>
      </c>
      <c r="J59" s="208">
        <v>0</v>
      </c>
      <c r="K59" s="80">
        <v>0</v>
      </c>
      <c r="L59" s="80">
        <v>0</v>
      </c>
      <c r="M59" s="80">
        <v>0</v>
      </c>
      <c r="N59" s="145">
        <v>0</v>
      </c>
      <c r="O59" s="80">
        <v>0</v>
      </c>
      <c r="P59" s="80">
        <v>0</v>
      </c>
      <c r="Q59" s="80">
        <v>0</v>
      </c>
      <c r="R59" s="80">
        <v>0</v>
      </c>
      <c r="S59" s="145">
        <v>0</v>
      </c>
      <c r="T59" s="80">
        <v>0</v>
      </c>
      <c r="U59" s="80">
        <v>42582</v>
      </c>
      <c r="V59" s="80">
        <v>0</v>
      </c>
      <c r="W59" s="80">
        <v>0</v>
      </c>
      <c r="X59" s="145">
        <v>42582</v>
      </c>
      <c r="Y59" s="80">
        <v>0</v>
      </c>
      <c r="Z59" s="80">
        <v>30000</v>
      </c>
      <c r="AA59" s="80">
        <v>0</v>
      </c>
      <c r="AB59" s="80">
        <v>0</v>
      </c>
      <c r="AC59" s="145">
        <v>30000</v>
      </c>
      <c r="AD59" s="80">
        <v>0</v>
      </c>
      <c r="AE59" s="80">
        <v>0</v>
      </c>
      <c r="AF59" s="80">
        <v>0</v>
      </c>
      <c r="AG59" s="80">
        <v>0</v>
      </c>
      <c r="AH59" s="145">
        <v>0</v>
      </c>
      <c r="AI59" s="80">
        <v>0</v>
      </c>
      <c r="AJ59" s="80">
        <v>0</v>
      </c>
      <c r="AK59" s="80">
        <v>0</v>
      </c>
      <c r="AL59" s="80">
        <v>0</v>
      </c>
      <c r="AM59" s="145">
        <v>0</v>
      </c>
      <c r="AN59" s="80">
        <v>0</v>
      </c>
      <c r="AO59" s="80">
        <v>0</v>
      </c>
      <c r="AP59" s="80">
        <v>0</v>
      </c>
      <c r="AQ59" s="80">
        <v>0</v>
      </c>
      <c r="AR59" s="145">
        <v>0</v>
      </c>
      <c r="AS59" s="80">
        <v>0</v>
      </c>
      <c r="AT59" s="80">
        <v>0</v>
      </c>
      <c r="AU59" s="80">
        <v>0</v>
      </c>
      <c r="AV59" s="80">
        <v>0</v>
      </c>
      <c r="AW59" s="145">
        <v>0</v>
      </c>
      <c r="AX59" s="80">
        <v>0</v>
      </c>
      <c r="AY59" s="80">
        <v>0</v>
      </c>
      <c r="AZ59" s="80">
        <v>0</v>
      </c>
      <c r="BA59" s="80">
        <v>0</v>
      </c>
      <c r="BB59" s="145">
        <v>0</v>
      </c>
      <c r="BC59" s="80">
        <v>0</v>
      </c>
      <c r="BD59" s="80">
        <v>0</v>
      </c>
      <c r="BE59" s="80">
        <v>0</v>
      </c>
      <c r="BF59" s="80">
        <v>0</v>
      </c>
      <c r="BG59" s="145">
        <v>0</v>
      </c>
      <c r="BH59" s="80">
        <v>0</v>
      </c>
      <c r="BI59" s="80">
        <v>0</v>
      </c>
      <c r="BJ59" s="80">
        <v>0</v>
      </c>
      <c r="BK59" s="80">
        <v>0</v>
      </c>
      <c r="BL59" s="145">
        <v>0</v>
      </c>
      <c r="BM59" s="80">
        <v>0</v>
      </c>
      <c r="BN59" s="80">
        <v>0</v>
      </c>
      <c r="BO59" s="80">
        <v>0</v>
      </c>
      <c r="BP59" s="80">
        <v>0</v>
      </c>
      <c r="BQ59" s="145">
        <v>0</v>
      </c>
      <c r="BR59" s="80">
        <v>0</v>
      </c>
      <c r="BS59" s="80">
        <v>72582</v>
      </c>
      <c r="BT59" s="80">
        <v>0</v>
      </c>
      <c r="BU59" s="80">
        <v>0</v>
      </c>
      <c r="BV59" s="148">
        <v>72582</v>
      </c>
      <c r="BW59" s="153"/>
      <c r="BX59" s="155"/>
      <c r="BZ59" s="160"/>
      <c r="CA59" s="160"/>
      <c r="CB59" s="160"/>
      <c r="CC59" s="160"/>
      <c r="CD59" s="160"/>
      <c r="CE59" s="152"/>
      <c r="CF59" s="152"/>
      <c r="CG59" s="152"/>
      <c r="CH59" s="153"/>
      <c r="CI59" s="152"/>
    </row>
    <row r="60" spans="1:112" x14ac:dyDescent="0.3">
      <c r="A60" s="226" t="s">
        <v>113</v>
      </c>
      <c r="B60" s="222"/>
      <c r="C60" s="118"/>
      <c r="D60" s="225"/>
      <c r="E60" s="144">
        <v>0</v>
      </c>
      <c r="F60" s="51">
        <v>0</v>
      </c>
      <c r="G60" s="51">
        <v>0</v>
      </c>
      <c r="H60" s="51">
        <v>0</v>
      </c>
      <c r="I60" s="145">
        <v>0</v>
      </c>
      <c r="J60" s="208">
        <v>0</v>
      </c>
      <c r="K60" s="80">
        <v>0</v>
      </c>
      <c r="L60" s="80">
        <v>0</v>
      </c>
      <c r="M60" s="80">
        <v>0</v>
      </c>
      <c r="N60" s="145">
        <v>0</v>
      </c>
      <c r="O60" s="80">
        <v>0</v>
      </c>
      <c r="P60" s="80">
        <v>0</v>
      </c>
      <c r="Q60" s="80">
        <v>0</v>
      </c>
      <c r="R60" s="80">
        <v>0</v>
      </c>
      <c r="S60" s="145">
        <v>0</v>
      </c>
      <c r="T60" s="80">
        <v>0</v>
      </c>
      <c r="U60" s="80">
        <v>0</v>
      </c>
      <c r="V60" s="80">
        <v>0</v>
      </c>
      <c r="W60" s="80">
        <v>0</v>
      </c>
      <c r="X60" s="145">
        <v>0</v>
      </c>
      <c r="Y60" s="80">
        <v>0</v>
      </c>
      <c r="Z60" s="80">
        <v>0</v>
      </c>
      <c r="AA60" s="80">
        <v>0</v>
      </c>
      <c r="AB60" s="80">
        <v>5192</v>
      </c>
      <c r="AC60" s="145">
        <v>5192</v>
      </c>
      <c r="AD60" s="80">
        <v>0</v>
      </c>
      <c r="AE60" s="80">
        <v>0</v>
      </c>
      <c r="AF60" s="80">
        <v>0</v>
      </c>
      <c r="AG60" s="80">
        <v>0</v>
      </c>
      <c r="AH60" s="145">
        <v>0</v>
      </c>
      <c r="AI60" s="80">
        <v>0</v>
      </c>
      <c r="AJ60" s="80">
        <v>0</v>
      </c>
      <c r="AK60" s="80">
        <v>0</v>
      </c>
      <c r="AL60" s="80">
        <v>195467</v>
      </c>
      <c r="AM60" s="145">
        <v>195467</v>
      </c>
      <c r="AN60" s="80">
        <v>0</v>
      </c>
      <c r="AO60" s="80">
        <v>0</v>
      </c>
      <c r="AP60" s="80">
        <v>0</v>
      </c>
      <c r="AQ60" s="80">
        <v>0</v>
      </c>
      <c r="AR60" s="145">
        <v>0</v>
      </c>
      <c r="AS60" s="80"/>
      <c r="AT60" s="80"/>
      <c r="AU60" s="80"/>
      <c r="AV60" s="80"/>
      <c r="AW60" s="145"/>
      <c r="AX60" s="80"/>
      <c r="AY60" s="80"/>
      <c r="AZ60" s="80"/>
      <c r="BA60" s="80"/>
      <c r="BB60" s="145"/>
      <c r="BC60" s="80"/>
      <c r="BD60" s="80"/>
      <c r="BE60" s="80"/>
      <c r="BF60" s="80"/>
      <c r="BG60" s="145"/>
      <c r="BH60" s="80"/>
      <c r="BI60" s="80"/>
      <c r="BJ60" s="80"/>
      <c r="BK60" s="80"/>
      <c r="BL60" s="145"/>
      <c r="BM60" s="80"/>
      <c r="BN60" s="80"/>
      <c r="BO60" s="80"/>
      <c r="BP60" s="80"/>
      <c r="BQ60" s="145"/>
      <c r="BR60" s="80">
        <v>0</v>
      </c>
      <c r="BS60" s="80">
        <v>0</v>
      </c>
      <c r="BT60" s="80">
        <v>0</v>
      </c>
      <c r="BU60" s="80">
        <v>200659</v>
      </c>
      <c r="BV60" s="148">
        <v>200659</v>
      </c>
      <c r="BW60" s="153"/>
      <c r="BX60" s="155"/>
      <c r="BZ60" s="160"/>
      <c r="CA60" s="160"/>
      <c r="CB60" s="160"/>
      <c r="CC60" s="160"/>
      <c r="CD60" s="160"/>
      <c r="CE60" s="152"/>
      <c r="CF60" s="152"/>
      <c r="CG60" s="152"/>
      <c r="CH60" s="153"/>
      <c r="CI60" s="152"/>
    </row>
    <row r="61" spans="1:112" s="211" customFormat="1" x14ac:dyDescent="0.3">
      <c r="A61" s="227"/>
      <c r="B61" s="228" t="s">
        <v>114</v>
      </c>
      <c r="D61" s="225"/>
      <c r="E61" s="213">
        <v>0</v>
      </c>
      <c r="F61" s="106">
        <v>0</v>
      </c>
      <c r="G61" s="106">
        <v>0</v>
      </c>
      <c r="H61" s="106">
        <v>0</v>
      </c>
      <c r="I61" s="214">
        <v>0</v>
      </c>
      <c r="J61" s="215">
        <v>0</v>
      </c>
      <c r="K61" s="62">
        <v>0</v>
      </c>
      <c r="L61" s="62">
        <v>0</v>
      </c>
      <c r="M61" s="62">
        <v>0</v>
      </c>
      <c r="N61" s="214">
        <v>0</v>
      </c>
      <c r="O61" s="62">
        <v>0</v>
      </c>
      <c r="P61" s="62">
        <v>0</v>
      </c>
      <c r="Q61" s="62">
        <v>0</v>
      </c>
      <c r="R61" s="62">
        <v>0</v>
      </c>
      <c r="S61" s="214">
        <v>0</v>
      </c>
      <c r="T61" s="62">
        <v>0</v>
      </c>
      <c r="U61" s="62">
        <v>0</v>
      </c>
      <c r="V61" s="62">
        <v>0</v>
      </c>
      <c r="W61" s="62">
        <v>0</v>
      </c>
      <c r="X61" s="214">
        <v>0</v>
      </c>
      <c r="Y61" s="62">
        <v>0</v>
      </c>
      <c r="Z61" s="62">
        <v>0</v>
      </c>
      <c r="AA61" s="62">
        <v>0</v>
      </c>
      <c r="AB61" s="62">
        <v>5192</v>
      </c>
      <c r="AC61" s="214">
        <v>5192</v>
      </c>
      <c r="AD61" s="62">
        <v>0</v>
      </c>
      <c r="AE61" s="62">
        <v>0</v>
      </c>
      <c r="AF61" s="62">
        <v>0</v>
      </c>
      <c r="AG61" s="62">
        <v>0</v>
      </c>
      <c r="AH61" s="214">
        <v>0</v>
      </c>
      <c r="AI61" s="62">
        <v>0</v>
      </c>
      <c r="AJ61" s="62">
        <v>0</v>
      </c>
      <c r="AK61" s="62">
        <v>0</v>
      </c>
      <c r="AL61" s="62">
        <v>195467</v>
      </c>
      <c r="AM61" s="214">
        <v>195467</v>
      </c>
      <c r="AN61" s="62">
        <v>0</v>
      </c>
      <c r="AO61" s="62">
        <v>0</v>
      </c>
      <c r="AP61" s="62">
        <v>0</v>
      </c>
      <c r="AQ61" s="62">
        <v>0</v>
      </c>
      <c r="AR61" s="145">
        <v>0</v>
      </c>
      <c r="AS61" s="62"/>
      <c r="AT61" s="62"/>
      <c r="AU61" s="62"/>
      <c r="AV61" s="62"/>
      <c r="AW61" s="214"/>
      <c r="AX61" s="62"/>
      <c r="AY61" s="62"/>
      <c r="AZ61" s="62"/>
      <c r="BA61" s="62"/>
      <c r="BB61" s="214"/>
      <c r="BC61" s="62"/>
      <c r="BD61" s="62"/>
      <c r="BE61" s="62"/>
      <c r="BF61" s="62"/>
      <c r="BG61" s="214"/>
      <c r="BH61" s="62"/>
      <c r="BI61" s="62"/>
      <c r="BJ61" s="62"/>
      <c r="BK61" s="62"/>
      <c r="BL61" s="214"/>
      <c r="BM61" s="62"/>
      <c r="BN61" s="62"/>
      <c r="BO61" s="62"/>
      <c r="BP61" s="62"/>
      <c r="BQ61" s="214"/>
      <c r="BR61" s="62">
        <v>0</v>
      </c>
      <c r="BS61" s="62">
        <v>0</v>
      </c>
      <c r="BT61" s="62">
        <v>0</v>
      </c>
      <c r="BU61" s="62">
        <v>200659</v>
      </c>
      <c r="BV61" s="216">
        <v>200659</v>
      </c>
      <c r="BW61" s="218"/>
      <c r="BX61" s="155"/>
      <c r="BY61" s="212"/>
      <c r="BZ61" s="229"/>
      <c r="CA61" s="229"/>
      <c r="CB61" s="229"/>
      <c r="CC61" s="229"/>
      <c r="CD61" s="229"/>
      <c r="CE61" s="221"/>
      <c r="CF61" s="221"/>
      <c r="CG61" s="221"/>
      <c r="CH61" s="218"/>
      <c r="CI61" s="221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</row>
    <row r="62" spans="1:112" x14ac:dyDescent="0.3">
      <c r="A62" s="157" t="s">
        <v>115</v>
      </c>
      <c r="B62" s="222"/>
      <c r="C62" s="222"/>
      <c r="D62" s="223"/>
      <c r="E62" s="144">
        <v>0</v>
      </c>
      <c r="F62" s="51">
        <v>20619315</v>
      </c>
      <c r="G62" s="51">
        <v>0</v>
      </c>
      <c r="H62" s="51">
        <v>0</v>
      </c>
      <c r="I62" s="145">
        <v>20619315</v>
      </c>
      <c r="J62" s="208">
        <v>0</v>
      </c>
      <c r="K62" s="80">
        <v>1894466</v>
      </c>
      <c r="L62" s="80">
        <v>0</v>
      </c>
      <c r="M62" s="80">
        <v>0</v>
      </c>
      <c r="N62" s="145">
        <v>1894466</v>
      </c>
      <c r="O62" s="80">
        <v>0</v>
      </c>
      <c r="P62" s="80">
        <v>1656276</v>
      </c>
      <c r="Q62" s="80">
        <v>0</v>
      </c>
      <c r="R62" s="80">
        <v>0</v>
      </c>
      <c r="S62" s="145">
        <v>1656276</v>
      </c>
      <c r="T62" s="80">
        <v>0</v>
      </c>
      <c r="U62" s="80">
        <v>340</v>
      </c>
      <c r="V62" s="80">
        <v>0</v>
      </c>
      <c r="W62" s="80">
        <v>0</v>
      </c>
      <c r="X62" s="145">
        <v>340</v>
      </c>
      <c r="Y62" s="80">
        <v>0</v>
      </c>
      <c r="Z62" s="80">
        <v>1612402</v>
      </c>
      <c r="AA62" s="80">
        <v>0</v>
      </c>
      <c r="AB62" s="80">
        <v>0</v>
      </c>
      <c r="AC62" s="145">
        <v>1612402</v>
      </c>
      <c r="AD62" s="80">
        <v>0</v>
      </c>
      <c r="AE62" s="80">
        <v>3319943</v>
      </c>
      <c r="AF62" s="80">
        <v>0</v>
      </c>
      <c r="AG62" s="80">
        <v>0</v>
      </c>
      <c r="AH62" s="145">
        <v>3319943</v>
      </c>
      <c r="AI62" s="80">
        <v>0</v>
      </c>
      <c r="AJ62" s="80">
        <v>1666735</v>
      </c>
      <c r="AK62" s="80">
        <v>0</v>
      </c>
      <c r="AL62" s="80">
        <v>0</v>
      </c>
      <c r="AM62" s="145">
        <v>1666735</v>
      </c>
      <c r="AN62" s="80">
        <v>0</v>
      </c>
      <c r="AO62" s="80">
        <v>1719424</v>
      </c>
      <c r="AP62" s="80">
        <v>0</v>
      </c>
      <c r="AQ62" s="80">
        <v>0</v>
      </c>
      <c r="AR62" s="145">
        <v>1719424</v>
      </c>
      <c r="AS62" s="80">
        <v>0</v>
      </c>
      <c r="AT62" s="80">
        <v>0</v>
      </c>
      <c r="AU62" s="80">
        <v>0</v>
      </c>
      <c r="AV62" s="80">
        <v>0</v>
      </c>
      <c r="AW62" s="145">
        <v>0</v>
      </c>
      <c r="AX62" s="80">
        <v>0</v>
      </c>
      <c r="AY62" s="80">
        <v>0</v>
      </c>
      <c r="AZ62" s="80">
        <v>0</v>
      </c>
      <c r="BA62" s="80">
        <v>0</v>
      </c>
      <c r="BB62" s="145">
        <v>0</v>
      </c>
      <c r="BC62" s="80">
        <v>0</v>
      </c>
      <c r="BD62" s="80">
        <v>0</v>
      </c>
      <c r="BE62" s="80">
        <v>0</v>
      </c>
      <c r="BF62" s="80">
        <v>0</v>
      </c>
      <c r="BG62" s="145">
        <v>0</v>
      </c>
      <c r="BH62" s="80">
        <v>0</v>
      </c>
      <c r="BI62" s="80">
        <v>0</v>
      </c>
      <c r="BJ62" s="80">
        <v>0</v>
      </c>
      <c r="BK62" s="80">
        <v>0</v>
      </c>
      <c r="BL62" s="145">
        <v>0</v>
      </c>
      <c r="BM62" s="80">
        <v>0</v>
      </c>
      <c r="BN62" s="80">
        <v>0</v>
      </c>
      <c r="BO62" s="80">
        <v>0</v>
      </c>
      <c r="BP62" s="80">
        <v>0</v>
      </c>
      <c r="BQ62" s="145">
        <v>0</v>
      </c>
      <c r="BR62" s="80">
        <v>0</v>
      </c>
      <c r="BS62" s="80">
        <v>11869586</v>
      </c>
      <c r="BT62" s="80">
        <v>0</v>
      </c>
      <c r="BU62" s="80">
        <v>0</v>
      </c>
      <c r="BV62" s="148">
        <v>11869586</v>
      </c>
      <c r="BW62" s="153"/>
      <c r="BX62" s="155"/>
      <c r="BZ62" s="160"/>
      <c r="CA62" s="160"/>
      <c r="CB62" s="160"/>
      <c r="CC62" s="160"/>
      <c r="CD62" s="160"/>
      <c r="CE62" s="152"/>
      <c r="CF62" s="152"/>
      <c r="CG62" s="152"/>
      <c r="CH62" s="153"/>
      <c r="CI62" s="152"/>
    </row>
    <row r="63" spans="1:112" x14ac:dyDescent="0.3">
      <c r="A63" s="141" t="s">
        <v>116</v>
      </c>
      <c r="B63" s="207"/>
      <c r="C63" s="118"/>
      <c r="D63" s="204"/>
      <c r="E63" s="144">
        <v>2343063</v>
      </c>
      <c r="F63" s="51">
        <v>55443</v>
      </c>
      <c r="G63" s="51">
        <v>0</v>
      </c>
      <c r="H63" s="51">
        <v>0</v>
      </c>
      <c r="I63" s="145">
        <v>2398506</v>
      </c>
      <c r="J63" s="208">
        <v>180659</v>
      </c>
      <c r="K63" s="80">
        <v>2642</v>
      </c>
      <c r="L63" s="80">
        <v>0</v>
      </c>
      <c r="M63" s="80">
        <v>0</v>
      </c>
      <c r="N63" s="145">
        <v>183301</v>
      </c>
      <c r="O63" s="80">
        <v>181983</v>
      </c>
      <c r="P63" s="80">
        <v>3438</v>
      </c>
      <c r="Q63" s="80">
        <v>0</v>
      </c>
      <c r="R63" s="80">
        <v>0</v>
      </c>
      <c r="S63" s="145">
        <v>185421</v>
      </c>
      <c r="T63" s="80">
        <v>178898</v>
      </c>
      <c r="U63" s="80">
        <v>3764</v>
      </c>
      <c r="V63" s="80">
        <v>0</v>
      </c>
      <c r="W63" s="80">
        <v>0</v>
      </c>
      <c r="X63" s="145">
        <v>182662</v>
      </c>
      <c r="Y63" s="80">
        <v>247999</v>
      </c>
      <c r="Z63" s="19">
        <v>4247</v>
      </c>
      <c r="AA63" s="80">
        <v>0</v>
      </c>
      <c r="AB63" s="80">
        <v>0</v>
      </c>
      <c r="AC63" s="145">
        <v>252246</v>
      </c>
      <c r="AD63" s="80">
        <v>186656</v>
      </c>
      <c r="AE63" s="80">
        <v>8028</v>
      </c>
      <c r="AF63" s="80">
        <v>0</v>
      </c>
      <c r="AG63" s="80">
        <v>0</v>
      </c>
      <c r="AH63" s="145">
        <v>194684</v>
      </c>
      <c r="AI63" s="80">
        <v>185050</v>
      </c>
      <c r="AJ63" s="80">
        <v>1474</v>
      </c>
      <c r="AK63" s="80">
        <v>0</v>
      </c>
      <c r="AL63" s="80">
        <v>0</v>
      </c>
      <c r="AM63" s="145">
        <v>186524</v>
      </c>
      <c r="AN63" s="80">
        <v>184041</v>
      </c>
      <c r="AO63" s="80">
        <v>6717</v>
      </c>
      <c r="AP63" s="80">
        <v>0</v>
      </c>
      <c r="AQ63" s="80">
        <v>0</v>
      </c>
      <c r="AR63" s="145">
        <v>190758</v>
      </c>
      <c r="AS63" s="80">
        <v>0</v>
      </c>
      <c r="AT63" s="80">
        <v>0</v>
      </c>
      <c r="AU63" s="80">
        <v>0</v>
      </c>
      <c r="AV63" s="80">
        <v>0</v>
      </c>
      <c r="AW63" s="145">
        <v>0</v>
      </c>
      <c r="AX63" s="80">
        <v>0</v>
      </c>
      <c r="AY63" s="80">
        <v>0</v>
      </c>
      <c r="AZ63" s="80">
        <v>0</v>
      </c>
      <c r="BA63" s="80">
        <v>0</v>
      </c>
      <c r="BB63" s="145">
        <v>0</v>
      </c>
      <c r="BC63" s="80">
        <v>0</v>
      </c>
      <c r="BD63" s="80">
        <v>0</v>
      </c>
      <c r="BE63" s="80">
        <v>0</v>
      </c>
      <c r="BF63" s="80">
        <v>0</v>
      </c>
      <c r="BG63" s="145">
        <v>0</v>
      </c>
      <c r="BH63" s="80">
        <v>0</v>
      </c>
      <c r="BI63" s="80">
        <v>0</v>
      </c>
      <c r="BJ63" s="80">
        <v>0</v>
      </c>
      <c r="BK63" s="80">
        <v>0</v>
      </c>
      <c r="BL63" s="145">
        <v>0</v>
      </c>
      <c r="BM63" s="80">
        <v>0</v>
      </c>
      <c r="BN63" s="80">
        <v>0</v>
      </c>
      <c r="BO63" s="80">
        <v>0</v>
      </c>
      <c r="BP63" s="80">
        <v>0</v>
      </c>
      <c r="BQ63" s="145">
        <v>0</v>
      </c>
      <c r="BR63" s="80">
        <v>1345286</v>
      </c>
      <c r="BS63" s="80">
        <v>30310</v>
      </c>
      <c r="BT63" s="80">
        <v>0</v>
      </c>
      <c r="BU63" s="80">
        <v>0</v>
      </c>
      <c r="BV63" s="148">
        <v>1375596</v>
      </c>
      <c r="BW63" s="153"/>
      <c r="BX63" s="155"/>
      <c r="BZ63" s="151"/>
      <c r="CA63" s="151"/>
      <c r="CB63" s="151"/>
      <c r="CC63" s="151"/>
      <c r="CD63" s="151"/>
      <c r="CE63" s="152"/>
      <c r="CF63" s="152"/>
      <c r="CG63" s="152"/>
      <c r="CH63" s="153"/>
      <c r="CI63" s="152"/>
    </row>
    <row r="64" spans="1:112" x14ac:dyDescent="0.3">
      <c r="A64" s="230" t="s">
        <v>117</v>
      </c>
      <c r="B64" s="231"/>
      <c r="C64" s="118"/>
      <c r="D64" s="204"/>
      <c r="E64" s="144">
        <v>988235</v>
      </c>
      <c r="F64" s="51">
        <v>134353</v>
      </c>
      <c r="G64" s="51">
        <v>0</v>
      </c>
      <c r="H64" s="51">
        <v>0</v>
      </c>
      <c r="I64" s="145">
        <v>1122588</v>
      </c>
      <c r="J64" s="208">
        <v>82065</v>
      </c>
      <c r="K64" s="80">
        <v>1660</v>
      </c>
      <c r="L64" s="80">
        <v>0</v>
      </c>
      <c r="M64" s="80">
        <v>0</v>
      </c>
      <c r="N64" s="145">
        <v>83725</v>
      </c>
      <c r="O64" s="80">
        <v>86976</v>
      </c>
      <c r="P64" s="80">
        <v>2017</v>
      </c>
      <c r="Q64" s="80">
        <v>0</v>
      </c>
      <c r="R64" s="80">
        <v>0</v>
      </c>
      <c r="S64" s="145">
        <v>88993</v>
      </c>
      <c r="T64" s="80">
        <v>84087</v>
      </c>
      <c r="U64" s="80">
        <v>4091</v>
      </c>
      <c r="V64" s="80">
        <v>0</v>
      </c>
      <c r="W64" s="80">
        <v>0</v>
      </c>
      <c r="X64" s="145">
        <v>88178</v>
      </c>
      <c r="Y64" s="80">
        <v>111910</v>
      </c>
      <c r="Z64" s="19">
        <v>5101</v>
      </c>
      <c r="AA64" s="80">
        <v>0</v>
      </c>
      <c r="AB64" s="80">
        <v>0</v>
      </c>
      <c r="AC64" s="145">
        <v>117011</v>
      </c>
      <c r="AD64" s="80">
        <v>92146</v>
      </c>
      <c r="AE64" s="80">
        <v>12044</v>
      </c>
      <c r="AF64" s="80">
        <v>0</v>
      </c>
      <c r="AG64" s="80">
        <v>0</v>
      </c>
      <c r="AH64" s="145">
        <v>104190</v>
      </c>
      <c r="AI64" s="80">
        <v>87053</v>
      </c>
      <c r="AJ64" s="80">
        <v>8182</v>
      </c>
      <c r="AK64" s="80">
        <v>0</v>
      </c>
      <c r="AL64" s="80">
        <v>0</v>
      </c>
      <c r="AM64" s="145">
        <v>95235</v>
      </c>
      <c r="AN64" s="80">
        <v>91546</v>
      </c>
      <c r="AO64" s="80">
        <v>6757</v>
      </c>
      <c r="AP64" s="80">
        <v>0</v>
      </c>
      <c r="AQ64" s="80">
        <v>0</v>
      </c>
      <c r="AR64" s="145">
        <v>98303</v>
      </c>
      <c r="AS64" s="80">
        <v>0</v>
      </c>
      <c r="AT64" s="80">
        <v>0</v>
      </c>
      <c r="AU64" s="80">
        <v>0</v>
      </c>
      <c r="AV64" s="80">
        <v>0</v>
      </c>
      <c r="AW64" s="145">
        <v>0</v>
      </c>
      <c r="AX64" s="80">
        <v>0</v>
      </c>
      <c r="AY64" s="80">
        <v>0</v>
      </c>
      <c r="AZ64" s="80">
        <v>0</v>
      </c>
      <c r="BA64" s="80">
        <v>0</v>
      </c>
      <c r="BB64" s="145">
        <v>0</v>
      </c>
      <c r="BC64" s="80">
        <v>0</v>
      </c>
      <c r="BD64" s="80">
        <v>0</v>
      </c>
      <c r="BE64" s="80">
        <v>0</v>
      </c>
      <c r="BF64" s="80">
        <v>0</v>
      </c>
      <c r="BG64" s="145">
        <v>0</v>
      </c>
      <c r="BH64" s="80">
        <v>0</v>
      </c>
      <c r="BI64" s="80">
        <v>0</v>
      </c>
      <c r="BJ64" s="80">
        <v>0</v>
      </c>
      <c r="BK64" s="80">
        <v>0</v>
      </c>
      <c r="BL64" s="145">
        <v>0</v>
      </c>
      <c r="BM64" s="80">
        <v>0</v>
      </c>
      <c r="BN64" s="80">
        <v>0</v>
      </c>
      <c r="BO64" s="80">
        <v>0</v>
      </c>
      <c r="BP64" s="80">
        <v>0</v>
      </c>
      <c r="BQ64" s="145">
        <v>0</v>
      </c>
      <c r="BR64" s="80">
        <v>635783</v>
      </c>
      <c r="BS64" s="80">
        <v>39852</v>
      </c>
      <c r="BT64" s="80">
        <v>0</v>
      </c>
      <c r="BU64" s="80">
        <v>0</v>
      </c>
      <c r="BV64" s="148">
        <v>675635</v>
      </c>
      <c r="BW64" s="153"/>
      <c r="BX64" s="155"/>
      <c r="BZ64" s="151"/>
      <c r="CA64" s="151"/>
      <c r="CB64" s="151"/>
      <c r="CC64" s="151"/>
      <c r="CD64" s="151"/>
      <c r="CE64" s="152"/>
      <c r="CF64" s="152"/>
      <c r="CG64" s="152"/>
      <c r="CH64" s="153"/>
      <c r="CI64" s="152"/>
    </row>
    <row r="65" spans="1:112" x14ac:dyDescent="0.3">
      <c r="A65" s="183" t="s">
        <v>118</v>
      </c>
      <c r="B65" s="142"/>
      <c r="D65" s="204"/>
      <c r="E65" s="187">
        <v>0</v>
      </c>
      <c r="F65" s="95">
        <v>12034</v>
      </c>
      <c r="G65" s="95">
        <v>0</v>
      </c>
      <c r="H65" s="94">
        <v>0</v>
      </c>
      <c r="I65" s="145">
        <v>12034</v>
      </c>
      <c r="J65" s="146">
        <v>0</v>
      </c>
      <c r="K65" s="147">
        <v>0</v>
      </c>
      <c r="L65" s="147">
        <v>0</v>
      </c>
      <c r="M65" s="147">
        <v>0</v>
      </c>
      <c r="N65" s="145">
        <v>0</v>
      </c>
      <c r="O65" s="147">
        <v>0</v>
      </c>
      <c r="P65" s="147">
        <v>0</v>
      </c>
      <c r="Q65" s="147">
        <v>0</v>
      </c>
      <c r="R65" s="147">
        <v>0</v>
      </c>
      <c r="S65" s="145">
        <v>0</v>
      </c>
      <c r="T65" s="146">
        <v>0</v>
      </c>
      <c r="U65" s="147">
        <v>0</v>
      </c>
      <c r="V65" s="147">
        <v>0</v>
      </c>
      <c r="W65" s="147">
        <v>0</v>
      </c>
      <c r="X65" s="145">
        <v>0</v>
      </c>
      <c r="Y65" s="146">
        <v>0</v>
      </c>
      <c r="Z65" s="147">
        <v>0</v>
      </c>
      <c r="AA65" s="147">
        <v>0</v>
      </c>
      <c r="AB65" s="147">
        <v>0</v>
      </c>
      <c r="AC65" s="145">
        <v>0</v>
      </c>
      <c r="AD65" s="146">
        <v>0</v>
      </c>
      <c r="AE65" s="147">
        <v>0</v>
      </c>
      <c r="AF65" s="147">
        <v>0</v>
      </c>
      <c r="AG65" s="147">
        <v>0</v>
      </c>
      <c r="AH65" s="145">
        <v>0</v>
      </c>
      <c r="AI65" s="146">
        <v>0</v>
      </c>
      <c r="AJ65" s="147">
        <v>0</v>
      </c>
      <c r="AK65" s="147">
        <v>0</v>
      </c>
      <c r="AL65" s="147">
        <v>0</v>
      </c>
      <c r="AM65" s="145">
        <v>0</v>
      </c>
      <c r="AN65" s="146">
        <v>0</v>
      </c>
      <c r="AO65" s="147">
        <v>0</v>
      </c>
      <c r="AP65" s="147">
        <v>0</v>
      </c>
      <c r="AQ65" s="147">
        <v>0</v>
      </c>
      <c r="AR65" s="145">
        <v>0</v>
      </c>
      <c r="AS65" s="146">
        <v>0</v>
      </c>
      <c r="AT65" s="147">
        <v>0</v>
      </c>
      <c r="AU65" s="147">
        <v>0</v>
      </c>
      <c r="AV65" s="147">
        <v>0</v>
      </c>
      <c r="AW65" s="145">
        <v>0</v>
      </c>
      <c r="AX65" s="146">
        <v>0</v>
      </c>
      <c r="AY65" s="147">
        <v>0</v>
      </c>
      <c r="AZ65" s="147">
        <v>0</v>
      </c>
      <c r="BA65" s="147">
        <v>0</v>
      </c>
      <c r="BB65" s="145">
        <v>0</v>
      </c>
      <c r="BC65" s="146">
        <v>0</v>
      </c>
      <c r="BD65" s="147">
        <v>0</v>
      </c>
      <c r="BE65" s="147">
        <v>0</v>
      </c>
      <c r="BF65" s="147">
        <v>0</v>
      </c>
      <c r="BG65" s="145">
        <v>0</v>
      </c>
      <c r="BH65" s="146">
        <v>0</v>
      </c>
      <c r="BI65" s="147">
        <v>0</v>
      </c>
      <c r="BJ65" s="147">
        <v>0</v>
      </c>
      <c r="BK65" s="147">
        <v>0</v>
      </c>
      <c r="BL65" s="145">
        <v>0</v>
      </c>
      <c r="BM65" s="146">
        <v>0</v>
      </c>
      <c r="BN65" s="147">
        <v>0</v>
      </c>
      <c r="BO65" s="147">
        <v>0</v>
      </c>
      <c r="BP65" s="147">
        <v>0</v>
      </c>
      <c r="BQ65" s="145">
        <v>0</v>
      </c>
      <c r="BR65" s="146">
        <v>0</v>
      </c>
      <c r="BS65" s="80">
        <v>0</v>
      </c>
      <c r="BT65" s="147">
        <v>0</v>
      </c>
      <c r="BU65" s="147">
        <v>0</v>
      </c>
      <c r="BV65" s="148">
        <v>0</v>
      </c>
      <c r="BW65" s="153"/>
      <c r="BX65" s="155"/>
      <c r="BZ65" s="151"/>
      <c r="CA65" s="151"/>
      <c r="CB65" s="151"/>
      <c r="CC65" s="151"/>
      <c r="CD65" s="151"/>
      <c r="CE65" s="152"/>
      <c r="CF65" s="152"/>
      <c r="CG65" s="152"/>
      <c r="CH65" s="153"/>
      <c r="CI65" s="152"/>
    </row>
    <row r="66" spans="1:112" s="239" customFormat="1" x14ac:dyDescent="0.3">
      <c r="A66" s="232" t="s">
        <v>119</v>
      </c>
      <c r="B66" s="232"/>
      <c r="C66" s="233"/>
      <c r="D66" s="234"/>
      <c r="E66" s="191">
        <v>305616983</v>
      </c>
      <c r="F66" s="192">
        <v>596985339</v>
      </c>
      <c r="G66" s="192">
        <v>0</v>
      </c>
      <c r="H66" s="192">
        <v>56116</v>
      </c>
      <c r="I66" s="193">
        <v>902658438</v>
      </c>
      <c r="J66" s="194">
        <v>3686425.5034699999</v>
      </c>
      <c r="K66" s="195">
        <v>48628501</v>
      </c>
      <c r="L66" s="195">
        <v>0</v>
      </c>
      <c r="M66" s="195">
        <v>183362</v>
      </c>
      <c r="N66" s="193">
        <v>52498288.503470004</v>
      </c>
      <c r="O66" s="195">
        <v>2921265.952</v>
      </c>
      <c r="P66" s="195">
        <v>48391464</v>
      </c>
      <c r="Q66" s="195">
        <v>0</v>
      </c>
      <c r="R66" s="235">
        <v>60398</v>
      </c>
      <c r="S66" s="193">
        <v>51373127.952</v>
      </c>
      <c r="T66" s="195">
        <v>30179489</v>
      </c>
      <c r="U66" s="195">
        <v>46780510</v>
      </c>
      <c r="V66" s="195">
        <v>0</v>
      </c>
      <c r="W66" s="195">
        <v>19201</v>
      </c>
      <c r="X66" s="193">
        <v>76979200</v>
      </c>
      <c r="Y66" s="195">
        <v>46820449.013999999</v>
      </c>
      <c r="Z66" s="195">
        <v>48381483</v>
      </c>
      <c r="AA66" s="195">
        <v>0</v>
      </c>
      <c r="AB66" s="195">
        <v>5201</v>
      </c>
      <c r="AC66" s="193">
        <v>95207133.013999999</v>
      </c>
      <c r="AD66" s="195">
        <v>40861775</v>
      </c>
      <c r="AE66" s="195">
        <v>55181355</v>
      </c>
      <c r="AF66" s="195">
        <v>0</v>
      </c>
      <c r="AG66" s="195">
        <v>118</v>
      </c>
      <c r="AH66" s="193">
        <v>96043248</v>
      </c>
      <c r="AI66" s="195">
        <v>25268002.072999999</v>
      </c>
      <c r="AJ66" s="195">
        <v>48406124</v>
      </c>
      <c r="AK66" s="195">
        <v>0</v>
      </c>
      <c r="AL66" s="195">
        <v>195491</v>
      </c>
      <c r="AM66" s="193">
        <v>73869617.072999999</v>
      </c>
      <c r="AN66" s="195">
        <v>6799213</v>
      </c>
      <c r="AO66" s="195">
        <v>48462631</v>
      </c>
      <c r="AP66" s="195">
        <v>0</v>
      </c>
      <c r="AQ66" s="195">
        <v>19</v>
      </c>
      <c r="AR66" s="193">
        <v>55261863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 s="195">
        <v>0</v>
      </c>
      <c r="BD66" s="195">
        <v>0</v>
      </c>
      <c r="BE66" s="195">
        <v>0</v>
      </c>
      <c r="BF66" s="195">
        <v>0</v>
      </c>
      <c r="BG66" s="195">
        <v>0</v>
      </c>
      <c r="BH66" s="195">
        <v>0</v>
      </c>
      <c r="BI66" s="195">
        <v>0</v>
      </c>
      <c r="BJ66" s="195">
        <v>0</v>
      </c>
      <c r="BK66" s="195">
        <v>0</v>
      </c>
      <c r="BL66" s="195">
        <v>0</v>
      </c>
      <c r="BM66" s="195">
        <v>0</v>
      </c>
      <c r="BN66" s="195">
        <v>0</v>
      </c>
      <c r="BO66" s="195">
        <v>0</v>
      </c>
      <c r="BP66" s="195">
        <v>0</v>
      </c>
      <c r="BQ66" s="195">
        <v>0</v>
      </c>
      <c r="BR66" s="195">
        <v>156536619.54247001</v>
      </c>
      <c r="BS66" s="195">
        <v>344232068</v>
      </c>
      <c r="BT66" s="195">
        <v>0</v>
      </c>
      <c r="BU66" s="195">
        <v>463790</v>
      </c>
      <c r="BV66" s="196">
        <v>501232477.54246998</v>
      </c>
      <c r="BW66" s="44"/>
      <c r="BX66" s="236"/>
      <c r="BY66" s="44"/>
      <c r="BZ66" s="44"/>
      <c r="CA66" s="44"/>
      <c r="CB66" s="44"/>
      <c r="CC66" s="44"/>
      <c r="CD66" s="237"/>
      <c r="CE66" s="238"/>
      <c r="CF66" s="238"/>
      <c r="CG66" s="238"/>
      <c r="CH66" s="238"/>
      <c r="CI66" s="238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</row>
    <row r="67" spans="1:112" s="242" customFormat="1" x14ac:dyDescent="0.3">
      <c r="A67" s="232" t="s">
        <v>56</v>
      </c>
      <c r="B67" s="240"/>
      <c r="C67" s="239"/>
      <c r="D67" s="241"/>
      <c r="E67" s="195">
        <v>566570940</v>
      </c>
      <c r="F67" s="195">
        <v>1351977816</v>
      </c>
      <c r="G67" s="195">
        <v>15505515</v>
      </c>
      <c r="H67" s="195">
        <v>25632774</v>
      </c>
      <c r="I67" s="193">
        <v>1959687045</v>
      </c>
      <c r="J67" s="194">
        <v>70674213.503470004</v>
      </c>
      <c r="K67" s="194">
        <v>49136372</v>
      </c>
      <c r="L67" s="194">
        <v>664427</v>
      </c>
      <c r="M67" s="194">
        <v>86178463</v>
      </c>
      <c r="N67" s="193">
        <v>72796841.503470004</v>
      </c>
      <c r="O67" s="195">
        <v>53098817.952</v>
      </c>
      <c r="P67" s="194">
        <v>49178223</v>
      </c>
      <c r="Q67" s="194">
        <v>1006182</v>
      </c>
      <c r="R67" s="194">
        <v>72329444</v>
      </c>
      <c r="S67" s="194">
        <v>70191394.951999992</v>
      </c>
      <c r="T67" s="194">
        <v>80891742</v>
      </c>
      <c r="U67" s="194">
        <v>47620453</v>
      </c>
      <c r="V67" s="194">
        <v>3001732</v>
      </c>
      <c r="W67" s="194">
        <v>73391396</v>
      </c>
      <c r="X67" s="194">
        <v>98976120</v>
      </c>
      <c r="Y67" s="194">
        <v>144331701.014</v>
      </c>
      <c r="Z67" s="194">
        <v>49178615</v>
      </c>
      <c r="AA67" s="194">
        <v>145726</v>
      </c>
      <c r="AB67" s="194">
        <v>120456231</v>
      </c>
      <c r="AC67" s="194">
        <v>116269684.014</v>
      </c>
      <c r="AD67" s="194">
        <v>102675218</v>
      </c>
      <c r="AE67" s="194">
        <v>55957228</v>
      </c>
      <c r="AF67" s="194">
        <v>1607472</v>
      </c>
      <c r="AG67" s="194">
        <v>85259457</v>
      </c>
      <c r="AH67" s="194">
        <v>117400637</v>
      </c>
      <c r="AI67" s="194">
        <v>67871747.072999999</v>
      </c>
      <c r="AJ67" s="194">
        <v>49702470</v>
      </c>
      <c r="AK67" s="194">
        <v>16467</v>
      </c>
      <c r="AL67" s="194">
        <v>65469438</v>
      </c>
      <c r="AM67" s="194">
        <v>94947202.072999999</v>
      </c>
      <c r="AN67" s="195">
        <v>27876798</v>
      </c>
      <c r="AO67" s="195">
        <v>116259607</v>
      </c>
      <c r="AP67" s="195">
        <v>1529510</v>
      </c>
      <c r="AQ67" s="195">
        <v>22068</v>
      </c>
      <c r="AR67" s="193">
        <v>145687983</v>
      </c>
      <c r="AS67" s="195"/>
      <c r="AT67" s="195"/>
      <c r="AU67" s="195"/>
      <c r="AV67" s="195"/>
      <c r="AW67" s="193"/>
      <c r="AX67" s="195"/>
      <c r="AY67" s="195"/>
      <c r="AZ67" s="195"/>
      <c r="BA67" s="195"/>
      <c r="BB67" s="193"/>
      <c r="BC67" s="195"/>
      <c r="BD67" s="195"/>
      <c r="BE67" s="195"/>
      <c r="BF67" s="195"/>
      <c r="BG67" s="193"/>
      <c r="BH67" s="195"/>
      <c r="BI67" s="195"/>
      <c r="BJ67" s="195"/>
      <c r="BK67" s="195"/>
      <c r="BL67" s="193"/>
      <c r="BM67" s="195"/>
      <c r="BN67" s="195"/>
      <c r="BO67" s="195"/>
      <c r="BP67" s="195"/>
      <c r="BQ67" s="193"/>
      <c r="BR67" s="195">
        <v>298982899.54246998</v>
      </c>
      <c r="BS67" s="195">
        <v>781835077</v>
      </c>
      <c r="BT67" s="195">
        <v>6533434</v>
      </c>
      <c r="BU67" s="195">
        <v>6927845</v>
      </c>
      <c r="BV67" s="196">
        <v>1094279255.54247</v>
      </c>
      <c r="BW67" s="153"/>
      <c r="BX67" s="155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</row>
    <row r="68" spans="1:112" s="116" customFormat="1" x14ac:dyDescent="0.3">
      <c r="A68" s="199" t="s">
        <v>120</v>
      </c>
      <c r="B68" s="142"/>
      <c r="D68" s="209" t="s">
        <v>47</v>
      </c>
      <c r="E68" s="147">
        <v>44706036</v>
      </c>
      <c r="F68" s="147">
        <v>0</v>
      </c>
      <c r="G68" s="147">
        <v>0</v>
      </c>
      <c r="H68" s="147">
        <v>0</v>
      </c>
      <c r="I68" s="145">
        <v>44706036</v>
      </c>
      <c r="J68" s="146"/>
      <c r="K68" s="147"/>
      <c r="L68" s="147"/>
      <c r="M68" s="147"/>
      <c r="N68" s="145">
        <v>0</v>
      </c>
      <c r="O68" s="147"/>
      <c r="P68" s="147"/>
      <c r="Q68" s="147"/>
      <c r="R68" s="147"/>
      <c r="S68" s="146">
        <v>0</v>
      </c>
      <c r="T68" s="147"/>
      <c r="U68" s="147"/>
      <c r="V68" s="147"/>
      <c r="W68" s="147"/>
      <c r="X68" s="146">
        <v>0</v>
      </c>
      <c r="Y68" s="147"/>
      <c r="Z68" s="147"/>
      <c r="AA68" s="147"/>
      <c r="AB68" s="147"/>
      <c r="AC68" s="146">
        <v>0</v>
      </c>
      <c r="AD68" s="147"/>
      <c r="AE68" s="147"/>
      <c r="AF68" s="147"/>
      <c r="AG68" s="147"/>
      <c r="AH68" s="146">
        <v>0</v>
      </c>
      <c r="AI68" s="147"/>
      <c r="AJ68" s="147"/>
      <c r="AK68" s="147"/>
      <c r="AL68" s="147"/>
      <c r="AM68" s="146">
        <v>0</v>
      </c>
      <c r="AN68" s="147">
        <v>0</v>
      </c>
      <c r="AO68" s="147">
        <v>0</v>
      </c>
      <c r="AP68" s="147">
        <v>0</v>
      </c>
      <c r="AQ68" s="147">
        <v>0</v>
      </c>
      <c r="AR68" s="145">
        <v>0</v>
      </c>
      <c r="AS68" s="147"/>
      <c r="AT68" s="147"/>
      <c r="AU68" s="147"/>
      <c r="AV68" s="147"/>
      <c r="AW68" s="145"/>
      <c r="AX68" s="147"/>
      <c r="AY68" s="147"/>
      <c r="AZ68" s="147"/>
      <c r="BA68" s="147"/>
      <c r="BB68" s="145"/>
      <c r="BC68" s="147"/>
      <c r="BD68" s="147"/>
      <c r="BE68" s="147"/>
      <c r="BF68" s="147"/>
      <c r="BG68" s="145"/>
      <c r="BH68" s="147"/>
      <c r="BI68" s="147"/>
      <c r="BJ68" s="147"/>
      <c r="BK68" s="147"/>
      <c r="BL68" s="145"/>
      <c r="BM68" s="147"/>
      <c r="BN68" s="147"/>
      <c r="BO68" s="147"/>
      <c r="BP68" s="147"/>
      <c r="BQ68" s="145"/>
      <c r="BR68" s="147">
        <v>0</v>
      </c>
      <c r="BS68" s="147">
        <v>0</v>
      </c>
      <c r="BT68" s="147">
        <v>0</v>
      </c>
      <c r="BU68" s="147">
        <v>0</v>
      </c>
      <c r="BV68" s="148">
        <v>0</v>
      </c>
      <c r="BW68" s="153"/>
      <c r="BX68" s="155"/>
    </row>
    <row r="69" spans="1:112" x14ac:dyDescent="0.3">
      <c r="A69" s="243" t="s">
        <v>121</v>
      </c>
      <c r="B69" s="142"/>
      <c r="D69" s="204"/>
      <c r="E69" s="146">
        <v>14752085</v>
      </c>
      <c r="F69" s="147">
        <v>0</v>
      </c>
      <c r="G69" s="147">
        <v>0</v>
      </c>
      <c r="H69" s="147">
        <v>0</v>
      </c>
      <c r="I69" s="145">
        <v>14752085</v>
      </c>
      <c r="J69" s="146">
        <v>0</v>
      </c>
      <c r="K69" s="147">
        <v>0</v>
      </c>
      <c r="L69" s="147">
        <v>0</v>
      </c>
      <c r="M69" s="147">
        <v>0</v>
      </c>
      <c r="N69" s="145">
        <v>0</v>
      </c>
      <c r="O69" s="147">
        <v>0</v>
      </c>
      <c r="P69" s="147">
        <v>0</v>
      </c>
      <c r="Q69" s="147">
        <v>0</v>
      </c>
      <c r="R69" s="147">
        <v>0</v>
      </c>
      <c r="S69" s="145">
        <v>0</v>
      </c>
      <c r="T69" s="147">
        <v>0</v>
      </c>
      <c r="U69" s="147">
        <v>0</v>
      </c>
      <c r="V69" s="147">
        <v>0</v>
      </c>
      <c r="W69" s="147">
        <v>0</v>
      </c>
      <c r="X69" s="145">
        <v>0</v>
      </c>
      <c r="Y69" s="147">
        <v>0</v>
      </c>
      <c r="Z69" s="147">
        <v>0</v>
      </c>
      <c r="AA69" s="147">
        <v>0</v>
      </c>
      <c r="AB69" s="147">
        <v>0</v>
      </c>
      <c r="AC69" s="145">
        <v>0</v>
      </c>
      <c r="AD69" s="147">
        <v>0</v>
      </c>
      <c r="AE69" s="147">
        <v>0</v>
      </c>
      <c r="AF69" s="147">
        <v>0</v>
      </c>
      <c r="AG69" s="147">
        <v>0</v>
      </c>
      <c r="AH69" s="145">
        <v>0</v>
      </c>
      <c r="AI69" s="147">
        <v>0</v>
      </c>
      <c r="AJ69" s="147">
        <v>0</v>
      </c>
      <c r="AK69" s="147">
        <v>0</v>
      </c>
      <c r="AL69" s="147">
        <v>0</v>
      </c>
      <c r="AM69" s="145">
        <v>0</v>
      </c>
      <c r="AN69" s="147">
        <v>0</v>
      </c>
      <c r="AO69" s="147">
        <v>0</v>
      </c>
      <c r="AP69" s="147">
        <v>0</v>
      </c>
      <c r="AQ69" s="147">
        <v>0</v>
      </c>
      <c r="AR69" s="145">
        <v>0</v>
      </c>
      <c r="AS69" s="147"/>
      <c r="AT69" s="147"/>
      <c r="AU69" s="147"/>
      <c r="AV69" s="147"/>
      <c r="AW69" s="145"/>
      <c r="AX69" s="147"/>
      <c r="AY69" s="147"/>
      <c r="AZ69" s="147"/>
      <c r="BA69" s="147"/>
      <c r="BB69" s="145"/>
      <c r="BC69" s="147"/>
      <c r="BD69" s="147"/>
      <c r="BE69" s="147"/>
      <c r="BF69" s="147"/>
      <c r="BG69" s="145"/>
      <c r="BH69" s="147"/>
      <c r="BI69" s="147"/>
      <c r="BJ69" s="147"/>
      <c r="BK69" s="147"/>
      <c r="BL69" s="145"/>
      <c r="BM69" s="147"/>
      <c r="BN69" s="147"/>
      <c r="BO69" s="147"/>
      <c r="BP69" s="147"/>
      <c r="BQ69" s="145"/>
      <c r="BR69" s="147">
        <v>0</v>
      </c>
      <c r="BS69" s="147">
        <v>0</v>
      </c>
      <c r="BT69" s="147">
        <v>0</v>
      </c>
      <c r="BU69" s="147">
        <v>0</v>
      </c>
      <c r="BV69" s="148">
        <v>0</v>
      </c>
      <c r="BW69" s="153"/>
      <c r="BX69" s="155"/>
      <c r="BZ69" s="244"/>
      <c r="CA69" s="244"/>
      <c r="CB69" s="244"/>
      <c r="CC69" s="244"/>
      <c r="CD69" s="244"/>
      <c r="CE69" s="245"/>
      <c r="CF69" s="245"/>
      <c r="CG69" s="245"/>
      <c r="CH69" s="245"/>
      <c r="CI69" s="245"/>
    </row>
    <row r="70" spans="1:112" ht="13.5" hidden="1" customHeight="1" x14ac:dyDescent="0.3">
      <c r="A70" s="243" t="s">
        <v>122</v>
      </c>
      <c r="B70" s="142"/>
      <c r="D70" s="204"/>
      <c r="E70" s="147">
        <v>0</v>
      </c>
      <c r="F70" s="147">
        <v>0</v>
      </c>
      <c r="G70" s="147">
        <v>0</v>
      </c>
      <c r="H70" s="147">
        <v>0</v>
      </c>
      <c r="I70" s="145">
        <v>0</v>
      </c>
      <c r="J70" s="146">
        <v>0</v>
      </c>
      <c r="K70" s="147">
        <v>0</v>
      </c>
      <c r="L70" s="147">
        <v>0</v>
      </c>
      <c r="M70" s="147">
        <v>0</v>
      </c>
      <c r="N70" s="145">
        <v>0</v>
      </c>
      <c r="O70" s="147">
        <v>0</v>
      </c>
      <c r="P70" s="147">
        <v>0</v>
      </c>
      <c r="Q70" s="147">
        <v>0</v>
      </c>
      <c r="R70" s="147">
        <v>0</v>
      </c>
      <c r="S70" s="145">
        <v>0</v>
      </c>
      <c r="T70" s="147">
        <v>0</v>
      </c>
      <c r="U70" s="147">
        <v>0</v>
      </c>
      <c r="V70" s="147">
        <v>0</v>
      </c>
      <c r="W70" s="147">
        <v>0</v>
      </c>
      <c r="X70" s="145">
        <v>0</v>
      </c>
      <c r="Y70" s="147">
        <v>0</v>
      </c>
      <c r="Z70" s="147">
        <v>0</v>
      </c>
      <c r="AA70" s="147">
        <v>0</v>
      </c>
      <c r="AB70" s="147">
        <v>0</v>
      </c>
      <c r="AC70" s="145">
        <v>0</v>
      </c>
      <c r="AD70" s="147">
        <v>0</v>
      </c>
      <c r="AE70" s="147">
        <v>0</v>
      </c>
      <c r="AF70" s="147">
        <v>0</v>
      </c>
      <c r="AG70" s="147">
        <v>0</v>
      </c>
      <c r="AH70" s="145">
        <v>0</v>
      </c>
      <c r="AI70" s="147">
        <v>0</v>
      </c>
      <c r="AJ70" s="147">
        <v>0</v>
      </c>
      <c r="AK70" s="147">
        <v>0</v>
      </c>
      <c r="AL70" s="147">
        <v>0</v>
      </c>
      <c r="AM70" s="246">
        <v>0</v>
      </c>
      <c r="AN70" s="147">
        <v>0</v>
      </c>
      <c r="AO70" s="147">
        <v>0</v>
      </c>
      <c r="AP70" s="147">
        <v>0</v>
      </c>
      <c r="AQ70" s="147">
        <v>0</v>
      </c>
      <c r="AR70" s="145">
        <v>0</v>
      </c>
      <c r="AS70" s="147"/>
      <c r="AT70" s="147"/>
      <c r="AU70" s="147"/>
      <c r="AV70" s="147"/>
      <c r="AW70" s="145"/>
      <c r="AX70" s="147"/>
      <c r="AY70" s="147"/>
      <c r="AZ70" s="147"/>
      <c r="BA70" s="147"/>
      <c r="BB70" s="145"/>
      <c r="BC70" s="147"/>
      <c r="BD70" s="147"/>
      <c r="BE70" s="147"/>
      <c r="BF70" s="147"/>
      <c r="BG70" s="145"/>
      <c r="BH70" s="147"/>
      <c r="BI70" s="147"/>
      <c r="BJ70" s="147"/>
      <c r="BK70" s="147"/>
      <c r="BL70" s="145"/>
      <c r="BM70" s="147"/>
      <c r="BN70" s="147"/>
      <c r="BO70" s="147"/>
      <c r="BP70" s="147"/>
      <c r="BQ70" s="145"/>
      <c r="BR70" s="147">
        <v>0</v>
      </c>
      <c r="BS70" s="147">
        <v>0</v>
      </c>
      <c r="BT70" s="147">
        <v>0</v>
      </c>
      <c r="BU70" s="147">
        <v>0</v>
      </c>
      <c r="BV70" s="148">
        <v>0</v>
      </c>
      <c r="BW70" s="153"/>
      <c r="BX70" s="155"/>
      <c r="BZ70" s="244"/>
      <c r="CA70" s="244"/>
      <c r="CB70" s="244"/>
      <c r="CC70" s="244"/>
      <c r="CD70" s="244"/>
      <c r="CE70" s="245"/>
      <c r="CF70" s="245"/>
      <c r="CG70" s="245"/>
      <c r="CH70" s="245"/>
      <c r="CI70" s="245"/>
    </row>
    <row r="71" spans="1:112" ht="13.5" customHeight="1" x14ac:dyDescent="0.3">
      <c r="A71" s="243" t="s">
        <v>123</v>
      </c>
      <c r="B71" s="243"/>
      <c r="D71" s="204"/>
      <c r="E71" s="147">
        <v>5000000</v>
      </c>
      <c r="F71" s="147">
        <v>0</v>
      </c>
      <c r="G71" s="147">
        <v>0</v>
      </c>
      <c r="H71" s="147">
        <v>0</v>
      </c>
      <c r="I71" s="145">
        <v>5000000</v>
      </c>
      <c r="J71" s="146"/>
      <c r="K71" s="147"/>
      <c r="L71" s="147"/>
      <c r="M71" s="147"/>
      <c r="N71" s="145">
        <v>0</v>
      </c>
      <c r="O71" s="147"/>
      <c r="P71" s="147"/>
      <c r="Q71" s="147"/>
      <c r="R71" s="147"/>
      <c r="S71" s="145">
        <v>0</v>
      </c>
      <c r="T71" s="147"/>
      <c r="U71" s="147"/>
      <c r="V71" s="147"/>
      <c r="W71" s="147"/>
      <c r="X71" s="145">
        <v>0</v>
      </c>
      <c r="Y71" s="147"/>
      <c r="Z71" s="147"/>
      <c r="AA71" s="147"/>
      <c r="AB71" s="147"/>
      <c r="AC71" s="145">
        <v>0</v>
      </c>
      <c r="AD71" s="147"/>
      <c r="AE71" s="147"/>
      <c r="AF71" s="147"/>
      <c r="AG71" s="147"/>
      <c r="AH71" s="145">
        <v>0</v>
      </c>
      <c r="AI71" s="147"/>
      <c r="AJ71" s="147"/>
      <c r="AK71" s="147"/>
      <c r="AL71" s="147"/>
      <c r="AM71" s="145">
        <v>0</v>
      </c>
      <c r="AN71" s="147">
        <v>0</v>
      </c>
      <c r="AO71" s="147">
        <v>0</v>
      </c>
      <c r="AP71" s="147">
        <v>0</v>
      </c>
      <c r="AQ71" s="147">
        <v>0</v>
      </c>
      <c r="AR71" s="145">
        <v>0</v>
      </c>
      <c r="AS71" s="147"/>
      <c r="AT71" s="147"/>
      <c r="AU71" s="147"/>
      <c r="AV71" s="147"/>
      <c r="AW71" s="145"/>
      <c r="AX71" s="147"/>
      <c r="AY71" s="147"/>
      <c r="AZ71" s="147"/>
      <c r="BA71" s="147"/>
      <c r="BB71" s="145"/>
      <c r="BC71" s="147"/>
      <c r="BD71" s="147"/>
      <c r="BE71" s="147"/>
      <c r="BF71" s="147"/>
      <c r="BG71" s="145"/>
      <c r="BH71" s="147"/>
      <c r="BI71" s="147"/>
      <c r="BJ71" s="147"/>
      <c r="BK71" s="147"/>
      <c r="BL71" s="145"/>
      <c r="BM71" s="147"/>
      <c r="BN71" s="147"/>
      <c r="BO71" s="147"/>
      <c r="BP71" s="147"/>
      <c r="BQ71" s="145"/>
      <c r="BR71" s="147">
        <v>0</v>
      </c>
      <c r="BS71" s="147">
        <v>0</v>
      </c>
      <c r="BT71" s="147">
        <v>0</v>
      </c>
      <c r="BU71" s="147">
        <v>0</v>
      </c>
      <c r="BV71" s="148">
        <v>0</v>
      </c>
      <c r="BW71" s="153"/>
      <c r="BX71" s="155"/>
      <c r="BZ71" s="244"/>
      <c r="CA71" s="244"/>
      <c r="CB71" s="244"/>
      <c r="CC71" s="244"/>
      <c r="CD71" s="244"/>
      <c r="CE71" s="245"/>
      <c r="CF71" s="245"/>
      <c r="CG71" s="245"/>
      <c r="CH71" s="245"/>
      <c r="CI71" s="245"/>
    </row>
    <row r="72" spans="1:112" ht="13.5" customHeight="1" x14ac:dyDescent="0.3">
      <c r="A72" s="243" t="s">
        <v>124</v>
      </c>
      <c r="B72" s="243"/>
      <c r="D72" s="204"/>
      <c r="E72" s="147">
        <v>-3917343</v>
      </c>
      <c r="F72" s="147">
        <v>0</v>
      </c>
      <c r="G72" s="147">
        <v>0</v>
      </c>
      <c r="H72" s="147">
        <v>0</v>
      </c>
      <c r="I72" s="145">
        <v>-3917343</v>
      </c>
      <c r="J72" s="146"/>
      <c r="K72" s="147"/>
      <c r="L72" s="147"/>
      <c r="M72" s="147"/>
      <c r="N72" s="145">
        <v>0</v>
      </c>
      <c r="O72" s="147"/>
      <c r="P72" s="147"/>
      <c r="Q72" s="147"/>
      <c r="R72" s="147"/>
      <c r="S72" s="145">
        <v>0</v>
      </c>
      <c r="T72" s="147"/>
      <c r="U72" s="147"/>
      <c r="V72" s="147"/>
      <c r="W72" s="147"/>
      <c r="X72" s="145">
        <v>0</v>
      </c>
      <c r="Y72" s="147"/>
      <c r="Z72" s="147"/>
      <c r="AA72" s="147"/>
      <c r="AB72" s="147"/>
      <c r="AC72" s="145">
        <v>0</v>
      </c>
      <c r="AD72" s="147"/>
      <c r="AE72" s="147"/>
      <c r="AF72" s="147"/>
      <c r="AG72" s="147"/>
      <c r="AH72" s="145">
        <v>0</v>
      </c>
      <c r="AI72" s="147"/>
      <c r="AJ72" s="147"/>
      <c r="AK72" s="147"/>
      <c r="AL72" s="147"/>
      <c r="AM72" s="145">
        <v>0</v>
      </c>
      <c r="AN72" s="147">
        <v>0</v>
      </c>
      <c r="AO72" s="147">
        <v>0</v>
      </c>
      <c r="AP72" s="147">
        <v>0</v>
      </c>
      <c r="AQ72" s="147">
        <v>0</v>
      </c>
      <c r="AR72" s="145">
        <v>0</v>
      </c>
      <c r="AS72" s="147"/>
      <c r="AT72" s="147"/>
      <c r="AU72" s="147"/>
      <c r="AV72" s="147"/>
      <c r="AW72" s="145"/>
      <c r="AX72" s="147"/>
      <c r="AY72" s="147"/>
      <c r="AZ72" s="147"/>
      <c r="BA72" s="147"/>
      <c r="BB72" s="145"/>
      <c r="BC72" s="147"/>
      <c r="BD72" s="147"/>
      <c r="BE72" s="147"/>
      <c r="BF72" s="147"/>
      <c r="BG72" s="145"/>
      <c r="BH72" s="147"/>
      <c r="BI72" s="147"/>
      <c r="BJ72" s="147"/>
      <c r="BK72" s="147"/>
      <c r="BL72" s="145"/>
      <c r="BM72" s="147"/>
      <c r="BN72" s="147"/>
      <c r="BO72" s="147"/>
      <c r="BP72" s="147"/>
      <c r="BQ72" s="145"/>
      <c r="BR72" s="147">
        <v>0</v>
      </c>
      <c r="BS72" s="147">
        <v>0</v>
      </c>
      <c r="BT72" s="147">
        <v>0</v>
      </c>
      <c r="BU72" s="147">
        <v>0</v>
      </c>
      <c r="BV72" s="148">
        <v>0</v>
      </c>
      <c r="BW72" s="153"/>
      <c r="BX72" s="155"/>
      <c r="BZ72" s="244"/>
      <c r="CA72" s="244"/>
      <c r="CB72" s="244"/>
      <c r="CC72" s="244"/>
      <c r="CD72" s="244"/>
      <c r="CE72" s="245"/>
      <c r="CF72" s="245"/>
      <c r="CG72" s="245"/>
      <c r="CH72" s="245"/>
      <c r="CI72" s="245"/>
    </row>
    <row r="73" spans="1:112" ht="13.5" customHeight="1" x14ac:dyDescent="0.3">
      <c r="A73" s="243" t="s">
        <v>125</v>
      </c>
      <c r="B73" s="243"/>
      <c r="D73" s="204"/>
      <c r="E73" s="147">
        <v>-2000000</v>
      </c>
      <c r="F73" s="147">
        <v>0</v>
      </c>
      <c r="G73" s="147">
        <v>0</v>
      </c>
      <c r="H73" s="147">
        <v>0</v>
      </c>
      <c r="I73" s="145">
        <v>-2000000</v>
      </c>
      <c r="J73" s="146"/>
      <c r="K73" s="147"/>
      <c r="L73" s="147"/>
      <c r="M73" s="147"/>
      <c r="N73" s="145">
        <v>0</v>
      </c>
      <c r="O73" s="147"/>
      <c r="P73" s="147"/>
      <c r="Q73" s="147"/>
      <c r="R73" s="147"/>
      <c r="S73" s="145">
        <v>0</v>
      </c>
      <c r="T73" s="147"/>
      <c r="U73" s="147"/>
      <c r="V73" s="147"/>
      <c r="W73" s="147"/>
      <c r="X73" s="145">
        <v>0</v>
      </c>
      <c r="Y73" s="147"/>
      <c r="Z73" s="147"/>
      <c r="AA73" s="147"/>
      <c r="AB73" s="147"/>
      <c r="AC73" s="145">
        <v>0</v>
      </c>
      <c r="AD73" s="147"/>
      <c r="AE73" s="147"/>
      <c r="AF73" s="147"/>
      <c r="AG73" s="147"/>
      <c r="AH73" s="145">
        <v>0</v>
      </c>
      <c r="AI73" s="147"/>
      <c r="AJ73" s="147"/>
      <c r="AK73" s="147"/>
      <c r="AL73" s="147"/>
      <c r="AM73" s="145">
        <v>0</v>
      </c>
      <c r="AN73" s="147">
        <v>0</v>
      </c>
      <c r="AO73" s="147">
        <v>0</v>
      </c>
      <c r="AP73" s="147">
        <v>0</v>
      </c>
      <c r="AQ73" s="147">
        <v>0</v>
      </c>
      <c r="AR73" s="145">
        <v>0</v>
      </c>
      <c r="AS73" s="147"/>
      <c r="AT73" s="147"/>
      <c r="AU73" s="147"/>
      <c r="AV73" s="147"/>
      <c r="AW73" s="145"/>
      <c r="AX73" s="147"/>
      <c r="AY73" s="147"/>
      <c r="AZ73" s="147"/>
      <c r="BA73" s="147"/>
      <c r="BB73" s="145"/>
      <c r="BC73" s="147"/>
      <c r="BD73" s="147"/>
      <c r="BE73" s="147"/>
      <c r="BF73" s="147"/>
      <c r="BG73" s="145"/>
      <c r="BH73" s="147"/>
      <c r="BI73" s="147"/>
      <c r="BJ73" s="147"/>
      <c r="BK73" s="147"/>
      <c r="BL73" s="145"/>
      <c r="BM73" s="147"/>
      <c r="BN73" s="147"/>
      <c r="BO73" s="147"/>
      <c r="BP73" s="147"/>
      <c r="BQ73" s="145"/>
      <c r="BR73" s="147">
        <v>0</v>
      </c>
      <c r="BS73" s="147">
        <v>0</v>
      </c>
      <c r="BT73" s="147">
        <v>0</v>
      </c>
      <c r="BU73" s="147">
        <v>0</v>
      </c>
      <c r="BV73" s="148">
        <v>0</v>
      </c>
      <c r="BW73" s="153"/>
      <c r="BX73" s="155"/>
      <c r="BZ73" s="244"/>
      <c r="CA73" s="244"/>
      <c r="CB73" s="244"/>
      <c r="CC73" s="244"/>
      <c r="CD73" s="244"/>
      <c r="CE73" s="245"/>
      <c r="CF73" s="245"/>
      <c r="CG73" s="245"/>
      <c r="CH73" s="245"/>
      <c r="CI73" s="245"/>
    </row>
    <row r="74" spans="1:112" s="242" customFormat="1" x14ac:dyDescent="0.3">
      <c r="A74" s="232" t="s">
        <v>56</v>
      </c>
      <c r="B74" s="240"/>
      <c r="C74" s="239"/>
      <c r="D74" s="241"/>
      <c r="E74" s="195">
        <v>581323025</v>
      </c>
      <c r="F74" s="195">
        <v>1351977816</v>
      </c>
      <c r="G74" s="195">
        <v>15505515</v>
      </c>
      <c r="H74" s="195">
        <v>25632774</v>
      </c>
      <c r="I74" s="193">
        <v>2018227823</v>
      </c>
      <c r="J74" s="194">
        <v>21521440.50347</v>
      </c>
      <c r="K74" s="195">
        <v>115616289</v>
      </c>
      <c r="L74" s="195">
        <v>507871</v>
      </c>
      <c r="M74" s="195">
        <v>847789</v>
      </c>
      <c r="N74" s="193">
        <v>138493389.50347</v>
      </c>
      <c r="O74" s="195">
        <v>23219818.952</v>
      </c>
      <c r="P74" s="195">
        <v>98569016</v>
      </c>
      <c r="Q74" s="195">
        <v>786759</v>
      </c>
      <c r="R74" s="195">
        <v>1066580</v>
      </c>
      <c r="S74" s="193">
        <v>123642173.95199999</v>
      </c>
      <c r="T74" s="195">
        <v>48997756</v>
      </c>
      <c r="U74" s="195">
        <v>97492763</v>
      </c>
      <c r="V74" s="195">
        <v>839943</v>
      </c>
      <c r="W74" s="195">
        <v>3020933</v>
      </c>
      <c r="X74" s="193">
        <v>150351395</v>
      </c>
      <c r="Y74" s="195">
        <v>68817369.013999999</v>
      </c>
      <c r="Z74" s="195">
        <v>145892735</v>
      </c>
      <c r="AA74" s="195">
        <v>797132</v>
      </c>
      <c r="AB74" s="195">
        <v>150927</v>
      </c>
      <c r="AC74" s="193">
        <v>215658163.014</v>
      </c>
      <c r="AD74" s="195">
        <v>61924326</v>
      </c>
      <c r="AE74" s="195">
        <v>116994798</v>
      </c>
      <c r="AF74" s="195">
        <v>775873</v>
      </c>
      <c r="AG74" s="195">
        <v>1607590</v>
      </c>
      <c r="AH74" s="193">
        <v>181302587</v>
      </c>
      <c r="AI74" s="195">
        <v>46625391.072999999</v>
      </c>
      <c r="AJ74" s="195">
        <v>91009869</v>
      </c>
      <c r="AK74" s="195">
        <v>1296346</v>
      </c>
      <c r="AL74" s="195">
        <v>211958</v>
      </c>
      <c r="AM74" s="193">
        <v>139143564.07300001</v>
      </c>
      <c r="AN74" s="195">
        <v>27876798</v>
      </c>
      <c r="AO74" s="195">
        <v>116259607</v>
      </c>
      <c r="AP74" s="195">
        <v>1529510</v>
      </c>
      <c r="AQ74" s="195">
        <v>22068</v>
      </c>
      <c r="AR74" s="193">
        <v>145687983</v>
      </c>
      <c r="AS74" s="195">
        <v>0</v>
      </c>
      <c r="AT74" s="195">
        <v>0</v>
      </c>
      <c r="AU74" s="195">
        <v>0</v>
      </c>
      <c r="AV74" s="195">
        <v>0</v>
      </c>
      <c r="AW74" s="193">
        <v>0</v>
      </c>
      <c r="AX74" s="195">
        <v>0</v>
      </c>
      <c r="AY74" s="195">
        <v>0</v>
      </c>
      <c r="AZ74" s="195">
        <v>0</v>
      </c>
      <c r="BA74" s="195">
        <v>0</v>
      </c>
      <c r="BB74" s="193">
        <v>0</v>
      </c>
      <c r="BC74" s="195">
        <v>0</v>
      </c>
      <c r="BD74" s="195">
        <v>0</v>
      </c>
      <c r="BE74" s="195">
        <v>0</v>
      </c>
      <c r="BF74" s="195">
        <v>0</v>
      </c>
      <c r="BG74" s="193">
        <v>0</v>
      </c>
      <c r="BH74" s="195">
        <v>0</v>
      </c>
      <c r="BI74" s="195">
        <v>0</v>
      </c>
      <c r="BJ74" s="195">
        <v>0</v>
      </c>
      <c r="BK74" s="195">
        <v>0</v>
      </c>
      <c r="BL74" s="193">
        <v>0</v>
      </c>
      <c r="BM74" s="195">
        <v>0</v>
      </c>
      <c r="BN74" s="195">
        <v>0</v>
      </c>
      <c r="BO74" s="195">
        <v>0</v>
      </c>
      <c r="BP74" s="195">
        <v>0</v>
      </c>
      <c r="BQ74" s="193">
        <v>0</v>
      </c>
      <c r="BR74" s="195">
        <v>298982899.54246998</v>
      </c>
      <c r="BS74" s="195">
        <v>781835077</v>
      </c>
      <c r="BT74" s="195">
        <v>6533434</v>
      </c>
      <c r="BU74" s="195">
        <v>6927845</v>
      </c>
      <c r="BV74" s="196">
        <v>1094279255.54247</v>
      </c>
      <c r="BW74" s="153"/>
      <c r="BX74" s="155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</row>
    <row r="75" spans="1:112" hidden="1" x14ac:dyDescent="0.3">
      <c r="A75" s="199"/>
      <c r="B75" s="142"/>
      <c r="D75" s="204"/>
      <c r="E75" s="147"/>
      <c r="F75" s="147"/>
      <c r="G75" s="147"/>
      <c r="H75" s="147"/>
      <c r="I75" s="145"/>
      <c r="J75" s="146"/>
      <c r="K75" s="147"/>
      <c r="L75" s="147"/>
      <c r="M75" s="147"/>
      <c r="N75" s="145"/>
      <c r="O75" s="147"/>
      <c r="P75" s="147"/>
      <c r="Q75" s="147"/>
      <c r="R75" s="147"/>
      <c r="S75" s="145"/>
      <c r="T75" s="147"/>
      <c r="U75" s="147"/>
      <c r="V75" s="147"/>
      <c r="W75" s="147"/>
      <c r="X75" s="145"/>
      <c r="Y75" s="147"/>
      <c r="Z75" s="147"/>
      <c r="AA75" s="147"/>
      <c r="AB75" s="147"/>
      <c r="AC75" s="145"/>
      <c r="AD75" s="147"/>
      <c r="AE75" s="147"/>
      <c r="AF75" s="147"/>
      <c r="AG75" s="147"/>
      <c r="AH75" s="145"/>
      <c r="AI75" s="147"/>
      <c r="AJ75" s="147"/>
      <c r="AK75" s="147"/>
      <c r="AL75" s="147"/>
      <c r="AM75" s="145"/>
      <c r="AN75" s="147"/>
      <c r="AO75" s="147"/>
      <c r="AP75" s="147"/>
      <c r="AQ75" s="147"/>
      <c r="AR75" s="145"/>
      <c r="AS75" s="147"/>
      <c r="AT75" s="147"/>
      <c r="AU75" s="147"/>
      <c r="AV75" s="147"/>
      <c r="AW75" s="145"/>
      <c r="AX75" s="147"/>
      <c r="AY75" s="147"/>
      <c r="AZ75" s="147"/>
      <c r="BA75" s="147"/>
      <c r="BB75" s="145"/>
      <c r="BC75" s="147"/>
      <c r="BD75" s="147"/>
      <c r="BE75" s="147"/>
      <c r="BF75" s="147"/>
      <c r="BG75" s="145"/>
      <c r="BH75" s="147"/>
      <c r="BI75" s="147"/>
      <c r="BJ75" s="147"/>
      <c r="BK75" s="147"/>
      <c r="BL75" s="145"/>
      <c r="BM75" s="147"/>
      <c r="BN75" s="147"/>
      <c r="BO75" s="147"/>
      <c r="BP75" s="147"/>
      <c r="BQ75" s="145"/>
      <c r="BR75" s="147"/>
      <c r="BS75" s="147"/>
      <c r="BT75" s="147"/>
      <c r="BU75" s="147"/>
      <c r="BV75" s="148"/>
      <c r="BW75" s="153"/>
      <c r="BX75" s="155"/>
    </row>
    <row r="76" spans="1:112" x14ac:dyDescent="0.3">
      <c r="A76" s="247" t="s">
        <v>126</v>
      </c>
      <c r="B76" s="248"/>
      <c r="C76" s="249"/>
      <c r="D76" s="250"/>
      <c r="E76" s="251">
        <v>581323025</v>
      </c>
      <c r="F76" s="251">
        <v>1351977816</v>
      </c>
      <c r="G76" s="251">
        <v>15505515</v>
      </c>
      <c r="H76" s="251">
        <v>25632774</v>
      </c>
      <c r="I76" s="252">
        <v>2018227823</v>
      </c>
      <c r="J76" s="253">
        <v>21521440.50347</v>
      </c>
      <c r="K76" s="251">
        <v>115616289</v>
      </c>
      <c r="L76" s="251">
        <v>507871</v>
      </c>
      <c r="M76" s="251">
        <v>847789</v>
      </c>
      <c r="N76" s="252">
        <v>138493389.50347</v>
      </c>
      <c r="O76" s="251">
        <v>23219818.952</v>
      </c>
      <c r="P76" s="251">
        <v>98569016</v>
      </c>
      <c r="Q76" s="251">
        <v>786759</v>
      </c>
      <c r="R76" s="251">
        <v>1066580</v>
      </c>
      <c r="S76" s="252">
        <v>123642173.95199999</v>
      </c>
      <c r="T76" s="251">
        <v>48997756</v>
      </c>
      <c r="U76" s="251">
        <v>97492763</v>
      </c>
      <c r="V76" s="251">
        <v>839943</v>
      </c>
      <c r="W76" s="251">
        <v>3020933</v>
      </c>
      <c r="X76" s="252">
        <v>150351395</v>
      </c>
      <c r="Y76" s="251">
        <v>68817369.013999999</v>
      </c>
      <c r="Z76" s="251">
        <v>145892735</v>
      </c>
      <c r="AA76" s="251">
        <v>797132</v>
      </c>
      <c r="AB76" s="251">
        <v>150927</v>
      </c>
      <c r="AC76" s="252">
        <v>215658163.014</v>
      </c>
      <c r="AD76" s="251">
        <v>61924326</v>
      </c>
      <c r="AE76" s="251">
        <v>116994798</v>
      </c>
      <c r="AF76" s="251">
        <v>775873</v>
      </c>
      <c r="AG76" s="251">
        <v>1607590</v>
      </c>
      <c r="AH76" s="252">
        <v>181302587</v>
      </c>
      <c r="AI76" s="251">
        <v>46625391.072999999</v>
      </c>
      <c r="AJ76" s="251">
        <v>91009869</v>
      </c>
      <c r="AK76" s="251">
        <v>1296346</v>
      </c>
      <c r="AL76" s="251">
        <v>211958</v>
      </c>
      <c r="AM76" s="252">
        <v>139143564.07300001</v>
      </c>
      <c r="AN76" s="253">
        <v>27876798</v>
      </c>
      <c r="AO76" s="251">
        <v>116259607</v>
      </c>
      <c r="AP76" s="251">
        <v>1529510</v>
      </c>
      <c r="AQ76" s="254">
        <v>22068</v>
      </c>
      <c r="AR76" s="252">
        <v>145687983</v>
      </c>
      <c r="AS76" s="252">
        <v>0</v>
      </c>
      <c r="AT76" s="252">
        <v>0</v>
      </c>
      <c r="AU76" s="252">
        <v>0</v>
      </c>
      <c r="AV76" s="252">
        <v>0</v>
      </c>
      <c r="AW76" s="252">
        <v>0</v>
      </c>
      <c r="AX76" s="252">
        <v>0</v>
      </c>
      <c r="AY76" s="252">
        <v>0</v>
      </c>
      <c r="AZ76" s="252">
        <v>0</v>
      </c>
      <c r="BA76" s="252">
        <v>0</v>
      </c>
      <c r="BB76" s="252">
        <v>0</v>
      </c>
      <c r="BC76" s="252">
        <v>0</v>
      </c>
      <c r="BD76" s="252">
        <v>0</v>
      </c>
      <c r="BE76" s="252">
        <v>0</v>
      </c>
      <c r="BF76" s="252">
        <v>0</v>
      </c>
      <c r="BG76" s="252">
        <v>0</v>
      </c>
      <c r="BH76" s="252">
        <v>0</v>
      </c>
      <c r="BI76" s="252">
        <v>0</v>
      </c>
      <c r="BJ76" s="252">
        <v>0</v>
      </c>
      <c r="BK76" s="252">
        <v>0</v>
      </c>
      <c r="BL76" s="252">
        <v>0</v>
      </c>
      <c r="BM76" s="252">
        <v>0</v>
      </c>
      <c r="BN76" s="252">
        <v>0</v>
      </c>
      <c r="BO76" s="252">
        <v>0</v>
      </c>
      <c r="BP76" s="252">
        <v>0</v>
      </c>
      <c r="BQ76" s="252">
        <v>0</v>
      </c>
      <c r="BR76" s="251">
        <v>298982899.54246998</v>
      </c>
      <c r="BS76" s="251">
        <v>781835077</v>
      </c>
      <c r="BT76" s="251">
        <v>6533434</v>
      </c>
      <c r="BU76" s="251">
        <v>6927845</v>
      </c>
      <c r="BV76" s="255">
        <v>1094279255.54247</v>
      </c>
      <c r="BW76" s="153"/>
      <c r="BX76" s="155"/>
    </row>
    <row r="77" spans="1:112" x14ac:dyDescent="0.3">
      <c r="A77" s="211" t="s">
        <v>127</v>
      </c>
      <c r="B77" s="256"/>
      <c r="C77" s="256"/>
      <c r="D77" s="256"/>
      <c r="E77" s="256"/>
      <c r="F77" s="256"/>
      <c r="G77" s="256"/>
      <c r="H77" s="256"/>
      <c r="I77" s="257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X77" s="155"/>
    </row>
    <row r="78" spans="1:112" x14ac:dyDescent="0.3">
      <c r="A78" s="211" t="s">
        <v>128</v>
      </c>
      <c r="B78" s="256"/>
      <c r="C78" s="256"/>
      <c r="D78" s="256"/>
      <c r="E78" s="256"/>
      <c r="F78" s="256"/>
      <c r="G78" s="256"/>
      <c r="H78" s="256"/>
      <c r="I78" s="257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X78" s="155"/>
    </row>
    <row r="79" spans="1:112" x14ac:dyDescent="0.3">
      <c r="A79" s="211" t="s">
        <v>129</v>
      </c>
      <c r="B79" s="256"/>
      <c r="C79" s="256"/>
      <c r="D79" s="256"/>
      <c r="E79" s="256"/>
      <c r="F79" s="256"/>
      <c r="G79" s="256"/>
      <c r="H79" s="256"/>
      <c r="I79" s="257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X79" s="155"/>
    </row>
    <row r="80" spans="1:112" x14ac:dyDescent="0.3">
      <c r="A80" s="212" t="s">
        <v>130</v>
      </c>
      <c r="B80" s="212"/>
      <c r="C80" s="212"/>
      <c r="D80" s="212"/>
      <c r="E80" s="212"/>
      <c r="F80" s="212"/>
      <c r="G80" s="212"/>
      <c r="H80" s="212"/>
      <c r="I80" s="258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X80" s="155"/>
    </row>
    <row r="81" spans="1:76" x14ac:dyDescent="0.3">
      <c r="A81" s="211"/>
      <c r="B81" s="256"/>
      <c r="C81" s="256"/>
      <c r="D81" s="256"/>
      <c r="E81" s="256"/>
      <c r="F81" s="256"/>
      <c r="G81" s="256"/>
      <c r="H81" s="256"/>
      <c r="I81" s="257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16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X81" s="155"/>
    </row>
    <row r="82" spans="1:76" x14ac:dyDescent="0.3">
      <c r="I82" s="44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53"/>
      <c r="BX82" s="155"/>
    </row>
    <row r="83" spans="1:76" x14ac:dyDescent="0.3">
      <c r="BX83" s="155"/>
    </row>
    <row r="84" spans="1:76" x14ac:dyDescent="0.3">
      <c r="B84" s="162"/>
      <c r="C84" s="142"/>
      <c r="D84" s="142"/>
      <c r="E84" s="25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245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X84" s="155"/>
    </row>
    <row r="85" spans="1:76" x14ac:dyDescent="0.3">
      <c r="B85" s="162"/>
      <c r="C85" s="142"/>
      <c r="D85" s="142"/>
      <c r="E85" s="25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X85" s="155"/>
    </row>
    <row r="86" spans="1:76" x14ac:dyDescent="0.3">
      <c r="B86" s="162"/>
      <c r="C86" s="142"/>
      <c r="D86" s="142"/>
      <c r="E86" s="25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X86" s="155"/>
    </row>
    <row r="87" spans="1:76" x14ac:dyDescent="0.3">
      <c r="B87" s="162"/>
      <c r="C87" s="142"/>
      <c r="D87" s="142"/>
      <c r="E87" s="25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X87" s="155"/>
    </row>
    <row r="88" spans="1:76" x14ac:dyDescent="0.3">
      <c r="B88" s="162"/>
      <c r="C88" s="142"/>
      <c r="D88" s="142"/>
      <c r="E88" s="25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/>
      <c r="BS88" s="149"/>
      <c r="BT88" s="149"/>
      <c r="BU88" s="149"/>
      <c r="BV88" s="149"/>
      <c r="BX88" s="155"/>
    </row>
    <row r="89" spans="1:76" x14ac:dyDescent="0.3">
      <c r="B89" s="162"/>
      <c r="C89" s="142"/>
      <c r="D89" s="142"/>
      <c r="E89" s="25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  <c r="BX89" s="155"/>
    </row>
    <row r="90" spans="1:76" x14ac:dyDescent="0.3">
      <c r="B90" s="162"/>
      <c r="C90" s="142"/>
      <c r="D90" s="142"/>
      <c r="E90" s="25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X90" s="155"/>
    </row>
    <row r="91" spans="1:76" x14ac:dyDescent="0.3">
      <c r="B91" s="162"/>
      <c r="C91" s="142"/>
      <c r="D91" s="142"/>
      <c r="E91" s="25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X91" s="155"/>
    </row>
    <row r="92" spans="1:76" x14ac:dyDescent="0.3">
      <c r="B92" s="162"/>
      <c r="C92" s="142"/>
      <c r="D92" s="142"/>
      <c r="E92" s="25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245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X92" s="155"/>
    </row>
    <row r="93" spans="1:76" x14ac:dyDescent="0.3">
      <c r="B93" s="162"/>
      <c r="C93" s="142"/>
      <c r="D93" s="142"/>
      <c r="E93" s="25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245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X93" s="155"/>
    </row>
    <row r="94" spans="1:76" x14ac:dyDescent="0.3">
      <c r="B94" s="162"/>
      <c r="C94" s="142"/>
      <c r="D94" s="142"/>
      <c r="E94" s="25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260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X94" s="155"/>
    </row>
    <row r="95" spans="1:76" x14ac:dyDescent="0.3">
      <c r="B95" s="162"/>
      <c r="C95" s="142"/>
      <c r="D95" s="142"/>
      <c r="E95" s="25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245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X95" s="155"/>
    </row>
    <row r="96" spans="1:76" x14ac:dyDescent="0.3">
      <c r="B96" s="162"/>
      <c r="C96" s="142"/>
      <c r="D96" s="142"/>
      <c r="E96" s="25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X96" s="155"/>
    </row>
    <row r="97" spans="2:76" x14ac:dyDescent="0.3">
      <c r="B97" s="162"/>
      <c r="C97" s="142"/>
      <c r="D97" s="142"/>
      <c r="E97" s="25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245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X97" s="155"/>
    </row>
    <row r="98" spans="2:76" x14ac:dyDescent="0.3">
      <c r="B98" s="162"/>
      <c r="C98" s="142"/>
      <c r="D98" s="142"/>
      <c r="E98" s="25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X98" s="155"/>
    </row>
    <row r="99" spans="2:76" x14ac:dyDescent="0.3">
      <c r="B99" s="162"/>
      <c r="C99" s="142"/>
      <c r="D99" s="142"/>
      <c r="E99" s="25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X99" s="155"/>
    </row>
    <row r="100" spans="2:76" x14ac:dyDescent="0.3">
      <c r="B100" s="162"/>
      <c r="C100" s="142"/>
      <c r="D100" s="142"/>
      <c r="E100" s="25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X100" s="155"/>
    </row>
    <row r="101" spans="2:76" x14ac:dyDescent="0.3">
      <c r="B101" s="162"/>
      <c r="C101" s="142"/>
      <c r="D101" s="142"/>
      <c r="E101" s="25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X101" s="155"/>
    </row>
    <row r="102" spans="2:76" x14ac:dyDescent="0.3">
      <c r="B102" s="162"/>
      <c r="C102" s="142"/>
      <c r="D102" s="142"/>
      <c r="E102" s="25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X102" s="155"/>
    </row>
    <row r="103" spans="2:76" x14ac:dyDescent="0.3">
      <c r="B103" s="162"/>
      <c r="C103" s="142"/>
      <c r="D103" s="142"/>
      <c r="E103" s="25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X103" s="155"/>
    </row>
    <row r="104" spans="2:76" x14ac:dyDescent="0.3">
      <c r="B104" s="162"/>
      <c r="C104" s="142"/>
      <c r="D104" s="142"/>
      <c r="E104" s="25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  <c r="BX104" s="155"/>
    </row>
    <row r="105" spans="2:76" x14ac:dyDescent="0.3">
      <c r="B105" s="162"/>
      <c r="C105" s="142"/>
      <c r="D105" s="142"/>
      <c r="E105" s="25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  <c r="BV105" s="149"/>
      <c r="BX105" s="155"/>
    </row>
    <row r="106" spans="2:76" x14ac:dyDescent="0.3">
      <c r="B106" s="162"/>
      <c r="C106" s="142"/>
      <c r="D106" s="142"/>
      <c r="E106" s="25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X106" s="155"/>
    </row>
    <row r="107" spans="2:76" x14ac:dyDescent="0.3">
      <c r="B107" s="162"/>
      <c r="C107" s="142"/>
      <c r="D107" s="142"/>
      <c r="E107" s="25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X107" s="155"/>
    </row>
    <row r="108" spans="2:76" x14ac:dyDescent="0.3">
      <c r="B108" s="162"/>
      <c r="C108" s="142"/>
      <c r="D108" s="142"/>
      <c r="E108" s="25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X108" s="155"/>
    </row>
    <row r="109" spans="2:76" x14ac:dyDescent="0.3">
      <c r="B109" s="162"/>
      <c r="C109" s="142"/>
      <c r="D109" s="142"/>
      <c r="E109" s="25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X109" s="155"/>
    </row>
    <row r="110" spans="2:76" x14ac:dyDescent="0.3">
      <c r="B110" s="116"/>
      <c r="D110" s="116"/>
      <c r="E110" s="153"/>
      <c r="F110" s="153"/>
      <c r="G110" s="153"/>
      <c r="H110" s="153"/>
      <c r="I110" s="153"/>
      <c r="J110" s="153"/>
      <c r="K110" s="153"/>
      <c r="L110" s="153"/>
      <c r="M110" s="153"/>
      <c r="N110" s="153"/>
      <c r="O110" s="153"/>
      <c r="P110" s="153"/>
      <c r="Q110" s="153"/>
      <c r="R110" s="153"/>
      <c r="S110" s="153"/>
      <c r="T110" s="153"/>
      <c r="U110" s="153"/>
      <c r="V110" s="153"/>
      <c r="W110" s="153"/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  <c r="BT110" s="153"/>
      <c r="BU110" s="153"/>
      <c r="BV110" s="153"/>
      <c r="BX110" s="155"/>
    </row>
    <row r="111" spans="2:76" x14ac:dyDescent="0.3">
      <c r="B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X111" s="155"/>
    </row>
    <row r="112" spans="2:76" x14ac:dyDescent="0.3">
      <c r="B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X112" s="155"/>
    </row>
    <row r="113" spans="2:76" x14ac:dyDescent="0.3">
      <c r="B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X113" s="155"/>
    </row>
    <row r="114" spans="2:76" x14ac:dyDescent="0.3">
      <c r="B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X114" s="155"/>
    </row>
    <row r="115" spans="2:76" x14ac:dyDescent="0.3">
      <c r="B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X115" s="155"/>
    </row>
    <row r="116" spans="2:76" x14ac:dyDescent="0.3">
      <c r="B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X116" s="155"/>
    </row>
    <row r="117" spans="2:76" x14ac:dyDescent="0.3">
      <c r="B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X117" s="155"/>
    </row>
    <row r="118" spans="2:76" x14ac:dyDescent="0.3">
      <c r="B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X118" s="155"/>
    </row>
    <row r="119" spans="2:76" x14ac:dyDescent="0.3">
      <c r="B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X119" s="155"/>
    </row>
    <row r="120" spans="2:76" x14ac:dyDescent="0.3">
      <c r="B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X120" s="155"/>
    </row>
    <row r="121" spans="2:76" x14ac:dyDescent="0.3">
      <c r="B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X121" s="155"/>
    </row>
    <row r="122" spans="2:76" x14ac:dyDescent="0.3">
      <c r="B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X122" s="155"/>
    </row>
    <row r="123" spans="2:76" x14ac:dyDescent="0.3">
      <c r="B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X123" s="155"/>
    </row>
    <row r="124" spans="2:76" x14ac:dyDescent="0.3">
      <c r="B124" s="116"/>
      <c r="D124" s="116"/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  <c r="O124" s="261"/>
      <c r="P124" s="261"/>
      <c r="Q124" s="261"/>
      <c r="R124" s="261"/>
      <c r="S124" s="261"/>
      <c r="T124" s="261"/>
      <c r="U124" s="261"/>
      <c r="V124" s="261"/>
      <c r="W124" s="261"/>
      <c r="X124" s="261"/>
      <c r="Y124" s="261"/>
      <c r="Z124" s="261"/>
      <c r="AA124" s="261"/>
      <c r="AB124" s="261"/>
      <c r="AC124" s="261"/>
      <c r="AD124" s="261"/>
      <c r="AE124" s="261"/>
      <c r="AF124" s="261"/>
      <c r="AG124" s="261"/>
      <c r="AH124" s="261"/>
      <c r="AI124" s="261"/>
      <c r="AJ124" s="261"/>
      <c r="AK124" s="261"/>
      <c r="AL124" s="261"/>
      <c r="AM124" s="261"/>
      <c r="AN124" s="261"/>
      <c r="AO124" s="261"/>
      <c r="AP124" s="261"/>
      <c r="AQ124" s="261"/>
      <c r="AR124" s="261"/>
      <c r="AS124" s="261"/>
      <c r="AT124" s="261"/>
      <c r="AU124" s="261"/>
      <c r="AV124" s="261"/>
      <c r="AW124" s="261"/>
      <c r="AX124" s="261"/>
      <c r="AY124" s="261"/>
      <c r="AZ124" s="261"/>
      <c r="BA124" s="261"/>
      <c r="BB124" s="261"/>
      <c r="BC124" s="261"/>
      <c r="BD124" s="261"/>
      <c r="BE124" s="261"/>
      <c r="BF124" s="261"/>
      <c r="BG124" s="261"/>
      <c r="BH124" s="261"/>
      <c r="BI124" s="261"/>
      <c r="BJ124" s="261"/>
      <c r="BK124" s="261"/>
      <c r="BL124" s="261"/>
      <c r="BM124" s="261"/>
      <c r="BN124" s="261"/>
      <c r="BO124" s="261"/>
      <c r="BP124" s="261"/>
      <c r="BQ124" s="261"/>
      <c r="BR124" s="261"/>
      <c r="BS124" s="261"/>
      <c r="BT124" s="261"/>
      <c r="BU124" s="261"/>
      <c r="BV124" s="261"/>
      <c r="BX124" s="155"/>
    </row>
    <row r="125" spans="2:76" x14ac:dyDescent="0.3">
      <c r="B125" s="116"/>
      <c r="D125" s="116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1"/>
      <c r="AK125" s="261"/>
      <c r="AL125" s="261"/>
      <c r="AM125" s="261"/>
      <c r="AN125" s="261"/>
      <c r="AO125" s="261"/>
      <c r="AP125" s="261"/>
      <c r="AQ125" s="261"/>
      <c r="AR125" s="261"/>
      <c r="AS125" s="261"/>
      <c r="AT125" s="261"/>
      <c r="AU125" s="261"/>
      <c r="AV125" s="261"/>
      <c r="AW125" s="261"/>
      <c r="AX125" s="261"/>
      <c r="AY125" s="261"/>
      <c r="AZ125" s="261"/>
      <c r="BA125" s="261"/>
      <c r="BB125" s="261"/>
      <c r="BC125" s="261"/>
      <c r="BD125" s="261"/>
      <c r="BE125" s="261"/>
      <c r="BF125" s="261"/>
      <c r="BG125" s="261"/>
      <c r="BH125" s="261"/>
      <c r="BI125" s="261"/>
      <c r="BJ125" s="261"/>
      <c r="BK125" s="261"/>
      <c r="BL125" s="261"/>
      <c r="BM125" s="261"/>
      <c r="BN125" s="261"/>
      <c r="BO125" s="261"/>
      <c r="BP125" s="261"/>
      <c r="BQ125" s="261"/>
      <c r="BR125" s="261"/>
      <c r="BS125" s="261"/>
      <c r="BT125" s="261"/>
      <c r="BU125" s="261"/>
      <c r="BV125" s="261"/>
      <c r="BX125" s="155"/>
    </row>
    <row r="126" spans="2:76" x14ac:dyDescent="0.3">
      <c r="B126" s="162"/>
      <c r="C126" s="142"/>
      <c r="D126" s="142"/>
      <c r="E126" s="259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  <c r="BT126" s="149"/>
      <c r="BU126" s="149"/>
      <c r="BV126" s="149"/>
      <c r="BX126" s="155"/>
    </row>
    <row r="127" spans="2:76" x14ac:dyDescent="0.3">
      <c r="B127" s="162"/>
      <c r="C127" s="162"/>
      <c r="D127" s="162"/>
      <c r="E127" s="259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X127" s="155"/>
    </row>
    <row r="128" spans="2:76" x14ac:dyDescent="0.3">
      <c r="B128" s="162"/>
      <c r="C128" s="142"/>
      <c r="D128" s="142"/>
      <c r="E128" s="25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  <c r="BT128" s="149"/>
      <c r="BU128" s="149"/>
      <c r="BV128" s="149"/>
      <c r="BX128" s="155"/>
    </row>
    <row r="129" spans="2:76" x14ac:dyDescent="0.3">
      <c r="B129" s="181"/>
      <c r="C129" s="142"/>
      <c r="D129" s="142"/>
      <c r="E129" s="25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  <c r="BT129" s="149"/>
      <c r="BU129" s="149"/>
      <c r="BV129" s="149"/>
      <c r="BX129" s="155"/>
    </row>
    <row r="130" spans="2:76" x14ac:dyDescent="0.3">
      <c r="B130" s="162"/>
      <c r="C130" s="142"/>
      <c r="D130" s="142"/>
      <c r="E130" s="25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  <c r="BT130" s="149"/>
      <c r="BU130" s="149"/>
      <c r="BV130" s="149"/>
      <c r="BX130" s="155"/>
    </row>
    <row r="131" spans="2:76" x14ac:dyDescent="0.3">
      <c r="B131" s="162"/>
      <c r="C131" s="142"/>
      <c r="D131" s="142"/>
      <c r="E131" s="259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  <c r="BT131" s="149"/>
      <c r="BU131" s="149"/>
      <c r="BV131" s="149"/>
      <c r="BX131" s="155"/>
    </row>
    <row r="132" spans="2:76" x14ac:dyDescent="0.3">
      <c r="B132" s="162"/>
      <c r="C132" s="142"/>
      <c r="D132" s="142"/>
      <c r="E132" s="259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  <c r="BT132" s="149"/>
      <c r="BU132" s="149"/>
      <c r="BV132" s="149"/>
      <c r="BX132" s="155"/>
    </row>
    <row r="133" spans="2:76" x14ac:dyDescent="0.3">
      <c r="B133" s="162"/>
      <c r="C133" s="142"/>
      <c r="D133" s="142"/>
      <c r="E133" s="25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  <c r="BX133" s="155"/>
    </row>
    <row r="134" spans="2:76" x14ac:dyDescent="0.3">
      <c r="B134" s="162"/>
      <c r="C134" s="142"/>
      <c r="D134" s="142"/>
      <c r="E134" s="25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  <c r="BX134" s="155"/>
    </row>
    <row r="135" spans="2:76" x14ac:dyDescent="0.3">
      <c r="B135" s="162"/>
      <c r="C135" s="142"/>
      <c r="D135" s="142"/>
      <c r="E135" s="25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  <c r="BX135" s="155"/>
    </row>
    <row r="136" spans="2:76" x14ac:dyDescent="0.3">
      <c r="B136" s="162"/>
      <c r="C136" s="142"/>
      <c r="D136" s="142"/>
      <c r="E136" s="25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X136" s="155"/>
    </row>
    <row r="137" spans="2:76" x14ac:dyDescent="0.3">
      <c r="B137" s="162"/>
      <c r="C137" s="142"/>
      <c r="D137" s="142"/>
      <c r="E137" s="25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  <c r="BX137" s="155"/>
    </row>
    <row r="138" spans="2:76" x14ac:dyDescent="0.3">
      <c r="B138" s="162"/>
      <c r="C138" s="142"/>
      <c r="D138" s="142"/>
      <c r="E138" s="25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X138" s="155"/>
    </row>
    <row r="139" spans="2:76" x14ac:dyDescent="0.3">
      <c r="B139" s="162"/>
      <c r="C139" s="162"/>
      <c r="D139" s="162"/>
      <c r="E139" s="259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X139" s="155"/>
    </row>
    <row r="140" spans="2:76" x14ac:dyDescent="0.3">
      <c r="B140" s="162"/>
      <c r="C140" s="142"/>
      <c r="D140" s="142"/>
      <c r="E140" s="25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X140" s="155"/>
    </row>
    <row r="141" spans="2:76" x14ac:dyDescent="0.3">
      <c r="B141" s="162"/>
      <c r="C141" s="142"/>
      <c r="D141" s="142"/>
      <c r="E141" s="259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  <c r="BX141" s="155"/>
    </row>
    <row r="142" spans="2:76" x14ac:dyDescent="0.3">
      <c r="B142" s="162"/>
      <c r="C142" s="142"/>
      <c r="D142" s="142"/>
      <c r="E142" s="25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  <c r="BT142" s="149"/>
      <c r="BU142" s="149"/>
      <c r="BV142" s="149"/>
      <c r="BX142" s="155"/>
    </row>
    <row r="143" spans="2:76" x14ac:dyDescent="0.3">
      <c r="B143" s="162"/>
      <c r="C143" s="142"/>
      <c r="D143" s="142"/>
      <c r="E143" s="25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U143" s="149"/>
      <c r="BV143" s="149"/>
      <c r="BX143" s="155"/>
    </row>
    <row r="144" spans="2:76" x14ac:dyDescent="0.3">
      <c r="B144" s="162"/>
      <c r="C144" s="142"/>
      <c r="D144" s="142"/>
      <c r="E144" s="259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  <c r="BT144" s="149"/>
      <c r="BU144" s="149"/>
      <c r="BV144" s="149"/>
      <c r="BX144" s="155"/>
    </row>
    <row r="145" spans="2:76" x14ac:dyDescent="0.3">
      <c r="B145" s="162"/>
      <c r="C145" s="142"/>
      <c r="D145" s="142"/>
      <c r="E145" s="259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  <c r="BT145" s="149"/>
      <c r="BU145" s="149"/>
      <c r="BV145" s="149"/>
      <c r="BX145" s="155"/>
    </row>
    <row r="146" spans="2:76" x14ac:dyDescent="0.3">
      <c r="B146" s="162"/>
      <c r="C146" s="142"/>
      <c r="D146" s="142"/>
      <c r="E146" s="259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  <c r="BT146" s="149"/>
      <c r="BU146" s="149"/>
      <c r="BV146" s="149"/>
      <c r="BX146" s="155"/>
    </row>
    <row r="147" spans="2:76" x14ac:dyDescent="0.3">
      <c r="B147" s="162"/>
      <c r="C147" s="142"/>
      <c r="D147" s="142"/>
      <c r="E147" s="25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  <c r="BT147" s="149"/>
      <c r="BU147" s="149"/>
      <c r="BV147" s="149"/>
      <c r="BX147" s="155"/>
    </row>
    <row r="148" spans="2:76" x14ac:dyDescent="0.3">
      <c r="B148" s="162"/>
      <c r="C148" s="142"/>
      <c r="D148" s="142"/>
      <c r="E148" s="25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  <c r="BT148" s="149"/>
      <c r="BU148" s="149"/>
      <c r="BV148" s="149"/>
      <c r="BX148" s="155"/>
    </row>
    <row r="149" spans="2:76" x14ac:dyDescent="0.3">
      <c r="B149" s="162"/>
      <c r="C149" s="142"/>
      <c r="D149" s="142"/>
      <c r="E149" s="25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  <c r="BT149" s="149"/>
      <c r="BU149" s="149"/>
      <c r="BV149" s="149"/>
      <c r="BX149" s="155"/>
    </row>
    <row r="150" spans="2:76" x14ac:dyDescent="0.3">
      <c r="B150" s="162"/>
      <c r="C150" s="142"/>
      <c r="D150" s="142"/>
      <c r="E150" s="25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  <c r="BT150" s="149"/>
      <c r="BU150" s="149"/>
      <c r="BV150" s="149"/>
      <c r="BX150" s="155"/>
    </row>
    <row r="151" spans="2:76" x14ac:dyDescent="0.3">
      <c r="B151" s="162"/>
      <c r="C151" s="142"/>
      <c r="D151" s="142"/>
      <c r="E151" s="259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X151" s="155"/>
    </row>
    <row r="152" spans="2:76" x14ac:dyDescent="0.3">
      <c r="B152" s="162"/>
      <c r="C152" s="162"/>
      <c r="D152" s="162"/>
      <c r="E152" s="259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  <c r="BT152" s="149"/>
      <c r="BU152" s="149"/>
      <c r="BV152" s="149"/>
      <c r="BX152" s="155"/>
    </row>
    <row r="153" spans="2:76" x14ac:dyDescent="0.3">
      <c r="B153" s="162"/>
      <c r="C153" s="142"/>
      <c r="D153" s="142"/>
      <c r="E153" s="259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  <c r="BX153" s="155"/>
    </row>
    <row r="154" spans="2:76" x14ac:dyDescent="0.3">
      <c r="B154" s="162"/>
      <c r="C154" s="142"/>
      <c r="D154" s="142"/>
      <c r="E154" s="259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  <c r="BX154" s="155"/>
    </row>
    <row r="155" spans="2:76" x14ac:dyDescent="0.3">
      <c r="B155" s="116"/>
      <c r="D155" s="116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53"/>
      <c r="BN155" s="153"/>
      <c r="BO155" s="153"/>
      <c r="BP155" s="153"/>
      <c r="BQ155" s="153"/>
      <c r="BR155" s="153"/>
      <c r="BS155" s="153"/>
      <c r="BT155" s="153"/>
      <c r="BU155" s="153"/>
      <c r="BV155" s="153"/>
      <c r="BX155" s="155"/>
    </row>
    <row r="156" spans="2:76" x14ac:dyDescent="0.3">
      <c r="B156" s="162"/>
      <c r="C156" s="142"/>
      <c r="D156" s="142"/>
      <c r="E156" s="259"/>
      <c r="F156" s="149"/>
      <c r="G156" s="149"/>
      <c r="H156" s="149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X156" s="155"/>
    </row>
    <row r="157" spans="2:76" x14ac:dyDescent="0.3">
      <c r="B157" s="162"/>
      <c r="C157" s="142"/>
      <c r="D157" s="142"/>
      <c r="E157" s="259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  <c r="BT157" s="149"/>
      <c r="BU157" s="149"/>
      <c r="BV157" s="149"/>
      <c r="BX157" s="155"/>
    </row>
    <row r="158" spans="2:76" x14ac:dyDescent="0.3">
      <c r="B158" s="162"/>
      <c r="C158" s="142"/>
      <c r="D158" s="142"/>
      <c r="E158" s="25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  <c r="BX158" s="155"/>
    </row>
    <row r="159" spans="2:76" x14ac:dyDescent="0.3">
      <c r="B159" s="162"/>
      <c r="C159" s="142"/>
      <c r="D159" s="142"/>
      <c r="E159" s="25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  <c r="BX159" s="155"/>
    </row>
    <row r="160" spans="2:76" x14ac:dyDescent="0.3">
      <c r="B160" s="162"/>
      <c r="C160" s="142"/>
      <c r="D160" s="142"/>
      <c r="E160" s="25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  <c r="BX160" s="155"/>
    </row>
    <row r="161" spans="2:76" x14ac:dyDescent="0.3">
      <c r="B161" s="162"/>
      <c r="C161" s="142"/>
      <c r="D161" s="142"/>
      <c r="E161" s="25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  <c r="BX161" s="155"/>
    </row>
    <row r="162" spans="2:76" x14ac:dyDescent="0.3">
      <c r="B162" s="162"/>
      <c r="C162" s="142"/>
      <c r="D162" s="142"/>
      <c r="E162" s="25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  <c r="BX162" s="155"/>
    </row>
    <row r="163" spans="2:76" x14ac:dyDescent="0.3">
      <c r="B163" s="162"/>
      <c r="C163" s="142"/>
      <c r="D163" s="142"/>
      <c r="E163" s="25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  <c r="BT163" s="149"/>
      <c r="BU163" s="149"/>
      <c r="BV163" s="149"/>
      <c r="BX163" s="155"/>
    </row>
    <row r="164" spans="2:76" x14ac:dyDescent="0.3">
      <c r="B164" s="162"/>
      <c r="C164" s="142"/>
      <c r="D164" s="142"/>
      <c r="E164" s="259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  <c r="BX164" s="155"/>
    </row>
    <row r="165" spans="2:76" x14ac:dyDescent="0.3">
      <c r="B165" s="162"/>
      <c r="C165" s="142"/>
      <c r="D165" s="142"/>
      <c r="E165" s="25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  <c r="BX165" s="155"/>
    </row>
    <row r="166" spans="2:76" x14ac:dyDescent="0.3">
      <c r="B166" s="162"/>
      <c r="C166" s="142"/>
      <c r="D166" s="142"/>
      <c r="E166" s="25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  <c r="BT166" s="149"/>
      <c r="BU166" s="149"/>
      <c r="BV166" s="149"/>
      <c r="BX166" s="155"/>
    </row>
    <row r="167" spans="2:76" x14ac:dyDescent="0.3">
      <c r="B167" s="162"/>
      <c r="C167" s="142"/>
      <c r="D167" s="142"/>
      <c r="E167" s="259"/>
      <c r="F167" s="149"/>
      <c r="G167" s="149"/>
      <c r="H167" s="149"/>
      <c r="I167" s="149"/>
      <c r="J167" s="149"/>
      <c r="K167" s="149"/>
      <c r="L167" s="149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  <c r="BX167" s="155"/>
    </row>
    <row r="168" spans="2:76" x14ac:dyDescent="0.3">
      <c r="B168" s="162"/>
      <c r="C168" s="142"/>
      <c r="D168" s="142"/>
      <c r="E168" s="259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  <c r="BX168" s="155"/>
    </row>
    <row r="169" spans="2:76" x14ac:dyDescent="0.3">
      <c r="B169" s="162"/>
      <c r="C169" s="142"/>
      <c r="D169" s="142"/>
      <c r="E169" s="259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</row>
    <row r="170" spans="2:76" x14ac:dyDescent="0.3">
      <c r="B170" s="162"/>
      <c r="C170" s="142"/>
      <c r="D170" s="142"/>
      <c r="E170" s="259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</row>
    <row r="171" spans="2:76" x14ac:dyDescent="0.3">
      <c r="B171" s="162"/>
      <c r="C171" s="142"/>
      <c r="D171" s="142"/>
      <c r="E171" s="25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  <c r="BT171" s="149"/>
      <c r="BU171" s="149"/>
      <c r="BV171" s="149"/>
    </row>
    <row r="172" spans="2:76" x14ac:dyDescent="0.3">
      <c r="B172" s="162"/>
      <c r="C172" s="142"/>
      <c r="D172" s="142"/>
      <c r="E172" s="25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  <c r="BT172" s="149"/>
      <c r="BU172" s="149"/>
      <c r="BV172" s="149"/>
    </row>
    <row r="173" spans="2:76" x14ac:dyDescent="0.3">
      <c r="B173" s="162"/>
      <c r="C173" s="142"/>
      <c r="D173" s="142"/>
      <c r="E173" s="25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  <c r="BT173" s="149"/>
      <c r="BU173" s="149"/>
      <c r="BV173" s="149"/>
    </row>
    <row r="174" spans="2:76" x14ac:dyDescent="0.3">
      <c r="B174" s="162"/>
      <c r="C174" s="142"/>
      <c r="D174" s="142"/>
      <c r="E174" s="25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  <c r="BT174" s="149"/>
      <c r="BU174" s="149"/>
      <c r="BV174" s="149"/>
    </row>
    <row r="175" spans="2:76" x14ac:dyDescent="0.3">
      <c r="B175" s="162"/>
      <c r="C175" s="162"/>
      <c r="D175" s="162"/>
      <c r="E175" s="25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  <c r="BT175" s="149"/>
      <c r="BU175" s="149"/>
      <c r="BV175" s="149"/>
    </row>
    <row r="176" spans="2:76" x14ac:dyDescent="0.3">
      <c r="B176" s="162"/>
      <c r="C176" s="142"/>
      <c r="D176" s="142"/>
      <c r="E176" s="25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  <c r="BT176" s="149"/>
      <c r="BU176" s="149"/>
      <c r="BV176" s="149"/>
    </row>
    <row r="177" spans="2:74" x14ac:dyDescent="0.3">
      <c r="B177" s="181"/>
      <c r="C177" s="142"/>
      <c r="D177" s="142"/>
      <c r="E177" s="25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</row>
    <row r="178" spans="2:74" x14ac:dyDescent="0.3">
      <c r="B178" s="162"/>
      <c r="C178" s="142"/>
      <c r="D178" s="142"/>
      <c r="E178" s="25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</row>
    <row r="179" spans="2:74" x14ac:dyDescent="0.3">
      <c r="B179" s="162"/>
      <c r="C179" s="142"/>
      <c r="D179" s="142"/>
      <c r="E179" s="259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  <c r="BT179" s="149"/>
      <c r="BU179" s="149"/>
      <c r="BV179" s="149"/>
    </row>
    <row r="180" spans="2:74" x14ac:dyDescent="0.3">
      <c r="B180" s="162"/>
      <c r="C180" s="142"/>
      <c r="D180" s="142"/>
      <c r="E180" s="259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</row>
    <row r="181" spans="2:74" x14ac:dyDescent="0.3">
      <c r="B181" s="162"/>
      <c r="C181" s="142"/>
      <c r="D181" s="142"/>
      <c r="E181" s="259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</row>
    <row r="182" spans="2:74" x14ac:dyDescent="0.3">
      <c r="B182" s="162"/>
      <c r="C182" s="142"/>
      <c r="D182" s="142"/>
      <c r="E182" s="259"/>
      <c r="F182" s="149"/>
      <c r="G182" s="149"/>
      <c r="H182" s="149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  <c r="BT182" s="149"/>
      <c r="BU182" s="149"/>
      <c r="BV182" s="149"/>
    </row>
    <row r="183" spans="2:74" x14ac:dyDescent="0.3">
      <c r="B183" s="162"/>
      <c r="C183" s="142"/>
      <c r="D183" s="142"/>
      <c r="E183" s="259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  <c r="BT183" s="149"/>
      <c r="BU183" s="149"/>
      <c r="BV183" s="149"/>
    </row>
    <row r="184" spans="2:74" x14ac:dyDescent="0.3">
      <c r="B184" s="162"/>
      <c r="C184" s="142"/>
      <c r="D184" s="142"/>
      <c r="E184" s="25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  <c r="BT184" s="149"/>
      <c r="BU184" s="149"/>
      <c r="BV184" s="149"/>
    </row>
    <row r="185" spans="2:74" x14ac:dyDescent="0.3">
      <c r="B185" s="162"/>
      <c r="C185" s="142"/>
      <c r="D185" s="142"/>
      <c r="E185" s="25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  <c r="BT185" s="149"/>
      <c r="BU185" s="149"/>
      <c r="BV185" s="149"/>
    </row>
    <row r="186" spans="2:74" x14ac:dyDescent="0.3">
      <c r="B186" s="162"/>
      <c r="C186" s="142"/>
      <c r="D186" s="142"/>
      <c r="E186" s="25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  <c r="BT186" s="149"/>
      <c r="BU186" s="149"/>
      <c r="BV186" s="149"/>
    </row>
    <row r="187" spans="2:74" x14ac:dyDescent="0.3">
      <c r="B187" s="162"/>
      <c r="C187" s="162"/>
      <c r="D187" s="162"/>
      <c r="E187" s="259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  <c r="BT187" s="149"/>
      <c r="BU187" s="149"/>
      <c r="BV187" s="149"/>
    </row>
    <row r="188" spans="2:74" x14ac:dyDescent="0.3">
      <c r="B188" s="162"/>
      <c r="C188" s="142"/>
      <c r="D188" s="142"/>
      <c r="E188" s="259"/>
      <c r="F188" s="149"/>
      <c r="G188" s="149"/>
      <c r="H188" s="149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  <c r="BT188" s="149"/>
      <c r="BU188" s="149"/>
      <c r="BV188" s="149"/>
    </row>
    <row r="189" spans="2:74" x14ac:dyDescent="0.3">
      <c r="B189" s="162"/>
      <c r="C189" s="142"/>
      <c r="D189" s="142"/>
      <c r="E189" s="25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  <c r="BT189" s="149"/>
      <c r="BU189" s="149"/>
      <c r="BV189" s="149"/>
    </row>
    <row r="190" spans="2:74" x14ac:dyDescent="0.3">
      <c r="B190" s="162"/>
      <c r="C190" s="142"/>
      <c r="D190" s="142"/>
      <c r="E190" s="259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  <c r="BT190" s="149"/>
      <c r="BU190" s="149"/>
      <c r="BV190" s="149"/>
    </row>
    <row r="191" spans="2:74" x14ac:dyDescent="0.3">
      <c r="B191" s="162"/>
      <c r="C191" s="142"/>
      <c r="D191" s="142"/>
      <c r="E191" s="25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  <c r="BT191" s="149"/>
      <c r="BU191" s="149"/>
      <c r="BV191" s="149"/>
    </row>
    <row r="192" spans="2:74" x14ac:dyDescent="0.3">
      <c r="B192" s="162"/>
      <c r="C192" s="142"/>
      <c r="D192" s="142"/>
      <c r="E192" s="25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  <c r="BT192" s="149"/>
      <c r="BU192" s="149"/>
      <c r="BV192" s="149"/>
    </row>
    <row r="193" spans="2:74" x14ac:dyDescent="0.3">
      <c r="B193" s="162"/>
      <c r="C193" s="142"/>
      <c r="D193" s="142"/>
      <c r="E193" s="25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  <c r="BT193" s="149"/>
      <c r="BU193" s="149"/>
      <c r="BV193" s="149"/>
    </row>
    <row r="194" spans="2:74" x14ac:dyDescent="0.3">
      <c r="B194" s="162"/>
      <c r="C194" s="142"/>
      <c r="D194" s="142"/>
      <c r="E194" s="25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  <c r="BT194" s="149"/>
      <c r="BU194" s="149"/>
      <c r="BV194" s="149"/>
    </row>
    <row r="195" spans="2:74" x14ac:dyDescent="0.3">
      <c r="B195" s="162"/>
      <c r="C195" s="142"/>
      <c r="D195" s="142"/>
      <c r="E195" s="25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  <c r="BM195" s="149"/>
      <c r="BN195" s="149"/>
      <c r="BO195" s="149"/>
      <c r="BP195" s="149"/>
      <c r="BQ195" s="149"/>
      <c r="BR195" s="149"/>
      <c r="BS195" s="149"/>
      <c r="BT195" s="149"/>
      <c r="BU195" s="149"/>
      <c r="BV195" s="149"/>
    </row>
    <row r="196" spans="2:74" x14ac:dyDescent="0.3">
      <c r="B196" s="162"/>
      <c r="C196" s="142"/>
      <c r="D196" s="142"/>
      <c r="E196" s="25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  <c r="BT196" s="149"/>
      <c r="BU196" s="149"/>
      <c r="BV196" s="149"/>
    </row>
    <row r="197" spans="2:74" x14ac:dyDescent="0.3">
      <c r="B197" s="162"/>
      <c r="C197" s="142"/>
      <c r="D197" s="142"/>
      <c r="E197" s="259"/>
      <c r="F197" s="149"/>
      <c r="G197" s="149"/>
      <c r="H197" s="149"/>
      <c r="I197" s="149"/>
      <c r="J197" s="149"/>
      <c r="K197" s="149"/>
      <c r="L197" s="149"/>
      <c r="M197" s="149"/>
      <c r="N197" s="149"/>
      <c r="O197" s="149"/>
      <c r="P197" s="149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  <c r="BM197" s="149"/>
      <c r="BN197" s="149"/>
      <c r="BO197" s="149"/>
      <c r="BP197" s="149"/>
      <c r="BQ197" s="149"/>
      <c r="BR197" s="149"/>
      <c r="BS197" s="149"/>
      <c r="BT197" s="149"/>
      <c r="BU197" s="149"/>
      <c r="BV197" s="149"/>
    </row>
    <row r="198" spans="2:74" x14ac:dyDescent="0.3">
      <c r="B198" s="162"/>
      <c r="C198" s="142"/>
      <c r="D198" s="142"/>
      <c r="E198" s="259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  <c r="BT198" s="149"/>
      <c r="BU198" s="149"/>
      <c r="BV198" s="149"/>
    </row>
    <row r="199" spans="2:74" x14ac:dyDescent="0.3">
      <c r="B199" s="162"/>
      <c r="C199" s="142"/>
      <c r="D199" s="142"/>
      <c r="E199" s="259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  <c r="BT199" s="149"/>
      <c r="BU199" s="149"/>
      <c r="BV199" s="149"/>
    </row>
    <row r="200" spans="2:74" x14ac:dyDescent="0.3">
      <c r="B200" s="162"/>
      <c r="C200" s="162"/>
      <c r="D200" s="162"/>
      <c r="E200" s="259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  <c r="BT200" s="149"/>
      <c r="BU200" s="149"/>
      <c r="BV200" s="149"/>
    </row>
    <row r="201" spans="2:74" x14ac:dyDescent="0.3">
      <c r="B201" s="162"/>
      <c r="C201" s="162"/>
      <c r="D201" s="162"/>
      <c r="E201" s="25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  <c r="BT201" s="149"/>
      <c r="BU201" s="149"/>
      <c r="BV201" s="149"/>
    </row>
    <row r="202" spans="2:74" x14ac:dyDescent="0.3">
      <c r="B202" s="162"/>
      <c r="C202" s="142"/>
      <c r="D202" s="142"/>
      <c r="E202" s="25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</row>
    <row r="203" spans="2:74" x14ac:dyDescent="0.3">
      <c r="B203" s="162"/>
      <c r="C203" s="142"/>
      <c r="D203" s="142"/>
      <c r="E203" s="25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  <c r="BT203" s="149"/>
      <c r="BU203" s="149"/>
      <c r="BV203" s="149"/>
    </row>
    <row r="204" spans="2:74" x14ac:dyDescent="0.3">
      <c r="B204" s="162"/>
      <c r="C204" s="142"/>
      <c r="D204" s="142"/>
      <c r="E204" s="25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  <c r="BT204" s="149"/>
      <c r="BU204" s="149"/>
      <c r="BV204" s="149"/>
    </row>
    <row r="205" spans="2:74" x14ac:dyDescent="0.3">
      <c r="B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</row>
    <row r="206" spans="2:74" x14ac:dyDescent="0.3">
      <c r="B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</row>
    <row r="207" spans="2:74" x14ac:dyDescent="0.3">
      <c r="B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</row>
    <row r="208" spans="2:74" x14ac:dyDescent="0.3">
      <c r="B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</row>
    <row r="209" spans="2:74" x14ac:dyDescent="0.3">
      <c r="B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</row>
    <row r="210" spans="2:74" x14ac:dyDescent="0.3">
      <c r="B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</row>
    <row r="211" spans="2:74" x14ac:dyDescent="0.3">
      <c r="B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</row>
    <row r="212" spans="2:74" x14ac:dyDescent="0.3">
      <c r="B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</row>
    <row r="213" spans="2:74" x14ac:dyDescent="0.3">
      <c r="B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</row>
    <row r="214" spans="2:74" x14ac:dyDescent="0.3">
      <c r="B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</row>
    <row r="215" spans="2:74" x14ac:dyDescent="0.3">
      <c r="B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</row>
    <row r="216" spans="2:74" x14ac:dyDescent="0.3">
      <c r="B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</row>
    <row r="217" spans="2:74" x14ac:dyDescent="0.3">
      <c r="B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</row>
    <row r="218" spans="2:74" x14ac:dyDescent="0.3">
      <c r="B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</row>
    <row r="219" spans="2:74" x14ac:dyDescent="0.3">
      <c r="B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</row>
    <row r="220" spans="2:74" x14ac:dyDescent="0.3">
      <c r="B220" s="116"/>
      <c r="D220" s="116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  <c r="R220" s="261"/>
      <c r="S220" s="261"/>
      <c r="T220" s="261"/>
      <c r="U220" s="261"/>
      <c r="V220" s="261"/>
      <c r="W220" s="261"/>
      <c r="X220" s="261"/>
      <c r="Y220" s="261"/>
      <c r="Z220" s="261"/>
      <c r="AA220" s="261"/>
      <c r="AB220" s="261"/>
      <c r="AC220" s="261"/>
      <c r="AD220" s="261"/>
      <c r="AE220" s="261"/>
      <c r="AF220" s="261"/>
      <c r="AG220" s="261"/>
      <c r="AH220" s="261"/>
      <c r="AI220" s="261"/>
      <c r="AJ220" s="261"/>
      <c r="AK220" s="261"/>
      <c r="AL220" s="261"/>
      <c r="AM220" s="261"/>
      <c r="AN220" s="261"/>
      <c r="AO220" s="261"/>
      <c r="AP220" s="261"/>
      <c r="AQ220" s="261"/>
      <c r="AR220" s="261"/>
      <c r="AS220" s="261"/>
      <c r="AT220" s="261"/>
      <c r="AU220" s="261"/>
      <c r="AV220" s="261"/>
      <c r="AW220" s="261"/>
      <c r="AX220" s="261"/>
      <c r="AY220" s="261"/>
      <c r="AZ220" s="261"/>
      <c r="BA220" s="261"/>
      <c r="BB220" s="261"/>
      <c r="BC220" s="261"/>
      <c r="BD220" s="261"/>
      <c r="BE220" s="261"/>
      <c r="BF220" s="261"/>
      <c r="BG220" s="261"/>
      <c r="BH220" s="261"/>
      <c r="BI220" s="261"/>
      <c r="BJ220" s="261"/>
      <c r="BK220" s="261"/>
      <c r="BL220" s="261"/>
      <c r="BM220" s="261"/>
      <c r="BN220" s="261"/>
      <c r="BO220" s="261"/>
      <c r="BP220" s="261"/>
      <c r="BQ220" s="261"/>
      <c r="BR220" s="261"/>
      <c r="BS220" s="261"/>
      <c r="BT220" s="261"/>
      <c r="BU220" s="261"/>
      <c r="BV220" s="261"/>
    </row>
    <row r="221" spans="2:74" x14ac:dyDescent="0.3">
      <c r="B221" s="162"/>
      <c r="C221" s="142"/>
      <c r="D221" s="142"/>
      <c r="E221" s="259"/>
      <c r="F221" s="149"/>
      <c r="G221" s="149"/>
      <c r="H221" s="149"/>
      <c r="I221" s="149"/>
      <c r="J221" s="149"/>
      <c r="K221" s="149"/>
      <c r="L221" s="149"/>
      <c r="M221" s="149"/>
      <c r="N221" s="149"/>
      <c r="O221" s="149"/>
      <c r="P221" s="149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9"/>
      <c r="BS221" s="149"/>
      <c r="BT221" s="149"/>
      <c r="BU221" s="149"/>
      <c r="BV221" s="149"/>
    </row>
    <row r="222" spans="2:74" x14ac:dyDescent="0.3">
      <c r="B222" s="162"/>
      <c r="C222" s="142"/>
      <c r="D222" s="142"/>
      <c r="E222" s="259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  <c r="BT222" s="149"/>
      <c r="BU222" s="149"/>
      <c r="BV222" s="149"/>
    </row>
    <row r="223" spans="2:74" x14ac:dyDescent="0.3">
      <c r="B223" s="162"/>
      <c r="C223" s="142"/>
      <c r="D223" s="142"/>
      <c r="E223" s="259"/>
      <c r="F223" s="149"/>
      <c r="G223" s="149"/>
      <c r="H223" s="149"/>
      <c r="I223" s="149"/>
      <c r="J223" s="149"/>
      <c r="K223" s="149"/>
      <c r="L223" s="149"/>
      <c r="M223" s="149"/>
      <c r="N223" s="149"/>
      <c r="O223" s="149"/>
      <c r="P223" s="149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  <c r="BT223" s="149"/>
      <c r="BU223" s="149"/>
      <c r="BV223" s="149"/>
    </row>
    <row r="224" spans="2:74" x14ac:dyDescent="0.3">
      <c r="B224" s="162"/>
      <c r="C224" s="142"/>
      <c r="D224" s="142"/>
      <c r="E224" s="259"/>
      <c r="F224" s="149"/>
      <c r="G224" s="149"/>
      <c r="H224" s="149"/>
      <c r="I224" s="149"/>
      <c r="J224" s="149"/>
      <c r="K224" s="149"/>
      <c r="L224" s="149"/>
      <c r="M224" s="149"/>
      <c r="N224" s="149"/>
      <c r="O224" s="149"/>
      <c r="P224" s="149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  <c r="BT224" s="149"/>
      <c r="BU224" s="149"/>
      <c r="BV224" s="149"/>
    </row>
    <row r="225" spans="2:74" x14ac:dyDescent="0.3">
      <c r="B225" s="162"/>
      <c r="C225" s="142"/>
      <c r="D225" s="142"/>
      <c r="E225" s="259"/>
      <c r="F225" s="149"/>
      <c r="G225" s="149"/>
      <c r="H225" s="149"/>
      <c r="I225" s="149"/>
      <c r="J225" s="149"/>
      <c r="K225" s="149"/>
      <c r="L225" s="149"/>
      <c r="M225" s="149"/>
      <c r="N225" s="149"/>
      <c r="O225" s="149"/>
      <c r="P225" s="149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  <c r="BT225" s="149"/>
      <c r="BU225" s="149"/>
      <c r="BV225" s="149"/>
    </row>
    <row r="226" spans="2:74" x14ac:dyDescent="0.3">
      <c r="B226" s="162"/>
      <c r="C226" s="142"/>
      <c r="D226" s="142"/>
      <c r="E226" s="259"/>
      <c r="F226" s="149"/>
      <c r="G226" s="149"/>
      <c r="H226" s="149"/>
      <c r="I226" s="149"/>
      <c r="J226" s="149"/>
      <c r="K226" s="149"/>
      <c r="L226" s="149"/>
      <c r="M226" s="149"/>
      <c r="N226" s="149"/>
      <c r="O226" s="149"/>
      <c r="P226" s="149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  <c r="BT226" s="149"/>
      <c r="BU226" s="149"/>
      <c r="BV226" s="149"/>
    </row>
    <row r="227" spans="2:74" x14ac:dyDescent="0.3">
      <c r="B227" s="162"/>
      <c r="C227" s="142"/>
      <c r="D227" s="142"/>
      <c r="E227" s="25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</row>
    <row r="228" spans="2:74" x14ac:dyDescent="0.3">
      <c r="B228" s="162"/>
      <c r="C228" s="142"/>
      <c r="D228" s="142"/>
      <c r="E228" s="25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</row>
    <row r="229" spans="2:74" x14ac:dyDescent="0.3">
      <c r="B229" s="162"/>
      <c r="C229" s="142"/>
      <c r="D229" s="142"/>
      <c r="E229" s="25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</row>
    <row r="230" spans="2:74" x14ac:dyDescent="0.3">
      <c r="B230" s="162"/>
      <c r="C230" s="142"/>
      <c r="D230" s="142"/>
      <c r="E230" s="25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  <c r="BT230" s="149"/>
      <c r="BU230" s="149"/>
      <c r="BV230" s="149"/>
    </row>
    <row r="231" spans="2:74" x14ac:dyDescent="0.3">
      <c r="B231" s="162"/>
      <c r="C231" s="142"/>
      <c r="D231" s="142"/>
      <c r="E231" s="259"/>
      <c r="F231" s="149"/>
      <c r="G231" s="149"/>
      <c r="H231" s="149"/>
      <c r="I231" s="149"/>
      <c r="J231" s="149"/>
      <c r="K231" s="149"/>
      <c r="L231" s="149"/>
      <c r="M231" s="149"/>
      <c r="N231" s="149"/>
      <c r="O231" s="149"/>
      <c r="P231" s="149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  <c r="BM231" s="149"/>
      <c r="BN231" s="149"/>
      <c r="BO231" s="149"/>
      <c r="BP231" s="149"/>
      <c r="BQ231" s="149"/>
      <c r="BR231" s="149"/>
      <c r="BS231" s="149"/>
      <c r="BT231" s="149"/>
      <c r="BU231" s="149"/>
      <c r="BV231" s="149"/>
    </row>
    <row r="232" spans="2:74" x14ac:dyDescent="0.3">
      <c r="B232" s="162"/>
      <c r="C232" s="142"/>
      <c r="D232" s="142"/>
      <c r="E232" s="259"/>
      <c r="F232" s="149"/>
      <c r="G232" s="149"/>
      <c r="H232" s="149"/>
      <c r="I232" s="149"/>
      <c r="J232" s="149"/>
      <c r="K232" s="149"/>
      <c r="L232" s="149"/>
      <c r="M232" s="149"/>
      <c r="N232" s="149"/>
      <c r="O232" s="149"/>
      <c r="P232" s="149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  <c r="BM232" s="149"/>
      <c r="BN232" s="149"/>
      <c r="BO232" s="149"/>
      <c r="BP232" s="149"/>
      <c r="BQ232" s="149"/>
      <c r="BR232" s="149"/>
      <c r="BS232" s="149"/>
      <c r="BT232" s="149"/>
      <c r="BU232" s="149"/>
      <c r="BV232" s="149"/>
    </row>
    <row r="233" spans="2:74" x14ac:dyDescent="0.3">
      <c r="B233" s="162"/>
      <c r="C233" s="142"/>
      <c r="D233" s="142"/>
      <c r="E233" s="259"/>
      <c r="F233" s="149"/>
      <c r="G233" s="149"/>
      <c r="H233" s="149"/>
      <c r="I233" s="149"/>
      <c r="J233" s="149"/>
      <c r="K233" s="149"/>
      <c r="L233" s="149"/>
      <c r="M233" s="149"/>
      <c r="N233" s="149"/>
      <c r="O233" s="149"/>
      <c r="P233" s="149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  <c r="BT233" s="149"/>
      <c r="BU233" s="149"/>
      <c r="BV233" s="149"/>
    </row>
    <row r="234" spans="2:74" x14ac:dyDescent="0.3">
      <c r="B234" s="162"/>
      <c r="C234" s="142"/>
      <c r="D234" s="142"/>
      <c r="E234" s="259"/>
      <c r="F234" s="149"/>
      <c r="G234" s="149"/>
      <c r="H234" s="149"/>
      <c r="I234" s="149"/>
      <c r="J234" s="149"/>
      <c r="K234" s="149"/>
      <c r="L234" s="149"/>
      <c r="M234" s="149"/>
      <c r="N234" s="149"/>
      <c r="O234" s="149"/>
      <c r="P234" s="149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  <c r="BT234" s="149"/>
      <c r="BU234" s="149"/>
      <c r="BV234" s="149"/>
    </row>
    <row r="235" spans="2:74" x14ac:dyDescent="0.3">
      <c r="B235" s="162"/>
      <c r="C235" s="142"/>
      <c r="D235" s="142"/>
      <c r="E235" s="259"/>
      <c r="F235" s="149"/>
      <c r="G235" s="149"/>
      <c r="H235" s="149"/>
      <c r="I235" s="149"/>
      <c r="J235" s="149"/>
      <c r="K235" s="149"/>
      <c r="L235" s="149"/>
      <c r="M235" s="149"/>
      <c r="N235" s="149"/>
      <c r="O235" s="149"/>
      <c r="P235" s="149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  <c r="BT235" s="149"/>
      <c r="BU235" s="149"/>
      <c r="BV235" s="149"/>
    </row>
    <row r="236" spans="2:74" x14ac:dyDescent="0.3">
      <c r="B236" s="162"/>
      <c r="C236" s="142"/>
      <c r="D236" s="142"/>
      <c r="E236" s="259"/>
      <c r="F236" s="149"/>
      <c r="G236" s="149"/>
      <c r="H236" s="149"/>
      <c r="I236" s="149"/>
      <c r="J236" s="149"/>
      <c r="K236" s="149"/>
      <c r="L236" s="149"/>
      <c r="M236" s="149"/>
      <c r="N236" s="149"/>
      <c r="O236" s="149"/>
      <c r="P236" s="149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</row>
    <row r="237" spans="2:74" x14ac:dyDescent="0.3">
      <c r="B237" s="162"/>
      <c r="C237" s="142"/>
      <c r="D237" s="142"/>
      <c r="E237" s="259"/>
      <c r="F237" s="149"/>
      <c r="G237" s="149"/>
      <c r="H237" s="149"/>
      <c r="I237" s="149"/>
      <c r="J237" s="149"/>
      <c r="K237" s="149"/>
      <c r="L237" s="149"/>
      <c r="M237" s="149"/>
      <c r="N237" s="149"/>
      <c r="O237" s="149"/>
      <c r="P237" s="149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  <c r="BT237" s="149"/>
      <c r="BU237" s="149"/>
      <c r="BV237" s="149"/>
    </row>
    <row r="238" spans="2:74" x14ac:dyDescent="0.3">
      <c r="B238" s="162"/>
      <c r="C238" s="142"/>
      <c r="D238" s="142"/>
      <c r="E238" s="25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</row>
    <row r="239" spans="2:74" x14ac:dyDescent="0.3">
      <c r="B239" s="162"/>
      <c r="C239" s="142"/>
      <c r="D239" s="142"/>
      <c r="E239" s="25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  <c r="BT239" s="149"/>
      <c r="BU239" s="149"/>
      <c r="BV239" s="149"/>
    </row>
    <row r="240" spans="2:74" x14ac:dyDescent="0.3">
      <c r="B240" s="162"/>
      <c r="C240" s="142"/>
      <c r="D240" s="142"/>
      <c r="E240" s="25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  <c r="BT240" s="149"/>
      <c r="BU240" s="149"/>
      <c r="BV240" s="149"/>
    </row>
    <row r="241" spans="2:74" x14ac:dyDescent="0.3">
      <c r="B241" s="162"/>
      <c r="C241" s="142"/>
      <c r="D241" s="142"/>
      <c r="E241" s="259"/>
      <c r="F241" s="149"/>
      <c r="G241" s="149"/>
      <c r="H241" s="149"/>
      <c r="I241" s="149"/>
      <c r="J241" s="149"/>
      <c r="K241" s="149"/>
      <c r="L241" s="149"/>
      <c r="M241" s="149"/>
      <c r="N241" s="149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  <c r="BT241" s="149"/>
      <c r="BU241" s="149"/>
      <c r="BV241" s="149"/>
    </row>
    <row r="242" spans="2:74" x14ac:dyDescent="0.3">
      <c r="B242" s="162"/>
      <c r="C242" s="142"/>
      <c r="D242" s="142"/>
      <c r="E242" s="25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  <c r="BT242" s="149"/>
      <c r="BU242" s="149"/>
      <c r="BV242" s="149"/>
    </row>
    <row r="243" spans="2:74" x14ac:dyDescent="0.3">
      <c r="B243" s="162"/>
      <c r="C243" s="142"/>
      <c r="D243" s="142"/>
      <c r="E243" s="25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  <c r="BT243" s="149"/>
      <c r="BU243" s="149"/>
      <c r="BV243" s="149"/>
    </row>
    <row r="244" spans="2:74" x14ac:dyDescent="0.3">
      <c r="B244" s="162"/>
      <c r="C244" s="142"/>
      <c r="D244" s="142"/>
      <c r="E244" s="25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  <c r="BT244" s="149"/>
      <c r="BU244" s="149"/>
      <c r="BV244" s="149"/>
    </row>
    <row r="245" spans="2:74" x14ac:dyDescent="0.3">
      <c r="B245" s="162"/>
      <c r="C245" s="142"/>
      <c r="D245" s="142"/>
      <c r="E245" s="25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  <c r="BT245" s="149"/>
      <c r="BU245" s="149"/>
      <c r="BV245" s="149"/>
    </row>
    <row r="246" spans="2:74" x14ac:dyDescent="0.3">
      <c r="B246" s="162"/>
      <c r="C246" s="142"/>
      <c r="D246" s="142"/>
      <c r="E246" s="25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  <c r="BM246" s="149"/>
      <c r="BN246" s="149"/>
      <c r="BO246" s="149"/>
      <c r="BP246" s="149"/>
      <c r="BQ246" s="149"/>
      <c r="BR246" s="149"/>
      <c r="BS246" s="149"/>
      <c r="BT246" s="149"/>
      <c r="BU246" s="149"/>
      <c r="BV246" s="149"/>
    </row>
    <row r="247" spans="2:74" x14ac:dyDescent="0.3">
      <c r="B247" s="162"/>
      <c r="C247" s="142"/>
      <c r="D247" s="142"/>
      <c r="E247" s="259"/>
      <c r="F247" s="149"/>
      <c r="G247" s="149"/>
      <c r="H247" s="149"/>
      <c r="I247" s="149"/>
      <c r="J247" s="149"/>
      <c r="K247" s="149"/>
      <c r="L247" s="149"/>
      <c r="M247" s="149"/>
      <c r="N247" s="149"/>
      <c r="O247" s="149"/>
      <c r="P247" s="149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9"/>
      <c r="BS247" s="149"/>
      <c r="BT247" s="149"/>
      <c r="BU247" s="149"/>
      <c r="BV247" s="149"/>
    </row>
    <row r="248" spans="2:74" x14ac:dyDescent="0.3">
      <c r="B248" s="162"/>
      <c r="C248" s="142"/>
      <c r="D248" s="142"/>
      <c r="E248" s="25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  <c r="BM248" s="149"/>
      <c r="BN248" s="149"/>
      <c r="BO248" s="149"/>
      <c r="BP248" s="149"/>
      <c r="BQ248" s="149"/>
      <c r="BR248" s="149"/>
      <c r="BS248" s="149"/>
      <c r="BT248" s="149"/>
      <c r="BU248" s="149"/>
      <c r="BV248" s="149"/>
    </row>
    <row r="249" spans="2:74" x14ac:dyDescent="0.3">
      <c r="B249" s="162"/>
      <c r="C249" s="142"/>
      <c r="D249" s="142"/>
      <c r="E249" s="25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  <c r="BM249" s="149"/>
      <c r="BN249" s="149"/>
      <c r="BO249" s="149"/>
      <c r="BP249" s="149"/>
      <c r="BQ249" s="149"/>
      <c r="BR249" s="149"/>
      <c r="BS249" s="149"/>
      <c r="BT249" s="149"/>
      <c r="BU249" s="149"/>
      <c r="BV249" s="149"/>
    </row>
    <row r="250" spans="2:74" x14ac:dyDescent="0.3">
      <c r="B250" s="162"/>
      <c r="C250" s="142"/>
      <c r="D250" s="142"/>
      <c r="E250" s="25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  <c r="BT250" s="149"/>
      <c r="BU250" s="149"/>
      <c r="BV250" s="149"/>
    </row>
    <row r="251" spans="2:74" x14ac:dyDescent="0.3">
      <c r="B251" s="162"/>
      <c r="C251" s="142"/>
      <c r="D251" s="142"/>
      <c r="E251" s="25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  <c r="BT251" s="149"/>
      <c r="BU251" s="149"/>
      <c r="BV251" s="149"/>
    </row>
    <row r="252" spans="2:74" x14ac:dyDescent="0.3">
      <c r="B252" s="162"/>
      <c r="C252" s="142"/>
      <c r="D252" s="142"/>
      <c r="E252" s="25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  <c r="BT252" s="149"/>
      <c r="BU252" s="149"/>
      <c r="BV252" s="149"/>
    </row>
    <row r="253" spans="2:74" x14ac:dyDescent="0.3">
      <c r="B253" s="162"/>
      <c r="C253" s="142"/>
      <c r="D253" s="142"/>
      <c r="E253" s="25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  <c r="BT253" s="149"/>
      <c r="BU253" s="149"/>
      <c r="BV253" s="149"/>
    </row>
    <row r="254" spans="2:74" x14ac:dyDescent="0.3">
      <c r="B254" s="162"/>
      <c r="C254" s="142"/>
      <c r="D254" s="142"/>
      <c r="E254" s="25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  <c r="BT254" s="149"/>
      <c r="BU254" s="149"/>
      <c r="BV254" s="149"/>
    </row>
    <row r="255" spans="2:74" x14ac:dyDescent="0.3">
      <c r="B255" s="162"/>
      <c r="C255" s="142"/>
      <c r="D255" s="142"/>
      <c r="E255" s="25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  <c r="BT255" s="149"/>
      <c r="BU255" s="149"/>
      <c r="BV255" s="149"/>
    </row>
    <row r="256" spans="2:74" x14ac:dyDescent="0.3">
      <c r="B256" s="162"/>
      <c r="C256" s="142"/>
      <c r="D256" s="142"/>
      <c r="E256" s="259"/>
      <c r="F256" s="149"/>
      <c r="G256" s="149"/>
      <c r="H256" s="149"/>
      <c r="I256" s="149"/>
      <c r="J256" s="149"/>
      <c r="K256" s="149"/>
      <c r="L256" s="149"/>
      <c r="M256" s="149"/>
      <c r="N256" s="149"/>
      <c r="O256" s="149"/>
      <c r="P256" s="149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  <c r="BT256" s="149"/>
      <c r="BU256" s="149"/>
      <c r="BV256" s="149"/>
    </row>
    <row r="257" spans="2:74" x14ac:dyDescent="0.3">
      <c r="B257" s="162"/>
      <c r="C257" s="142"/>
      <c r="D257" s="142"/>
      <c r="E257" s="259"/>
      <c r="F257" s="149"/>
      <c r="G257" s="149"/>
      <c r="H257" s="149"/>
      <c r="I257" s="149"/>
      <c r="J257" s="149"/>
      <c r="K257" s="149"/>
      <c r="L257" s="149"/>
      <c r="M257" s="149"/>
      <c r="N257" s="149"/>
      <c r="O257" s="149"/>
      <c r="P257" s="149"/>
      <c r="Q257" s="149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  <c r="BT257" s="149"/>
      <c r="BU257" s="149"/>
      <c r="BV257" s="149"/>
    </row>
    <row r="258" spans="2:74" x14ac:dyDescent="0.3">
      <c r="B258" s="162"/>
      <c r="C258" s="142"/>
      <c r="D258" s="142"/>
      <c r="E258" s="25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  <c r="BT258" s="149"/>
      <c r="BU258" s="149"/>
      <c r="BV258" s="149"/>
    </row>
    <row r="259" spans="2:74" x14ac:dyDescent="0.3">
      <c r="B259" s="162"/>
      <c r="C259" s="162"/>
      <c r="D259" s="162"/>
      <c r="E259" s="25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  <c r="BT259" s="149"/>
      <c r="BU259" s="149"/>
      <c r="BV259" s="149"/>
    </row>
    <row r="260" spans="2:74" x14ac:dyDescent="0.3">
      <c r="B260" s="162"/>
      <c r="C260" s="142"/>
      <c r="D260" s="142"/>
      <c r="E260" s="25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</row>
    <row r="261" spans="2:74" x14ac:dyDescent="0.3">
      <c r="B261" s="181"/>
      <c r="C261" s="142"/>
      <c r="D261" s="142"/>
      <c r="E261" s="25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</row>
    <row r="262" spans="2:74" x14ac:dyDescent="0.3">
      <c r="B262" s="162"/>
      <c r="C262" s="142"/>
      <c r="D262" s="142"/>
      <c r="E262" s="25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</row>
    <row r="263" spans="2:74" x14ac:dyDescent="0.3">
      <c r="B263" s="162"/>
      <c r="C263" s="142"/>
      <c r="D263" s="142"/>
      <c r="E263" s="25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</row>
    <row r="264" spans="2:74" x14ac:dyDescent="0.3">
      <c r="B264" s="162"/>
      <c r="C264" s="142"/>
      <c r="D264" s="142"/>
      <c r="E264" s="259"/>
      <c r="F264" s="149"/>
      <c r="G264" s="149"/>
      <c r="H264" s="149"/>
      <c r="I264" s="149"/>
      <c r="J264" s="149"/>
      <c r="K264" s="149"/>
      <c r="L264" s="149"/>
      <c r="M264" s="149"/>
      <c r="N264" s="149"/>
      <c r="O264" s="149"/>
      <c r="P264" s="149"/>
      <c r="Q264" s="149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</row>
    <row r="265" spans="2:74" x14ac:dyDescent="0.3">
      <c r="B265" s="162"/>
      <c r="C265" s="142"/>
      <c r="D265" s="142"/>
      <c r="E265" s="259"/>
      <c r="F265" s="149"/>
      <c r="G265" s="149"/>
      <c r="H265" s="149"/>
      <c r="I265" s="149"/>
      <c r="J265" s="149"/>
      <c r="K265" s="149"/>
      <c r="L265" s="149"/>
      <c r="M265" s="149"/>
      <c r="N265" s="149"/>
      <c r="O265" s="149"/>
      <c r="P265" s="149"/>
      <c r="Q265" s="149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  <c r="BT265" s="149"/>
      <c r="BU265" s="149"/>
      <c r="BV265" s="149"/>
    </row>
    <row r="266" spans="2:74" x14ac:dyDescent="0.3">
      <c r="B266" s="162"/>
      <c r="C266" s="142"/>
      <c r="D266" s="142"/>
      <c r="E266" s="259"/>
      <c r="F266" s="149"/>
      <c r="G266" s="149"/>
      <c r="H266" s="149"/>
      <c r="I266" s="149"/>
      <c r="J266" s="149"/>
      <c r="K266" s="149"/>
      <c r="L266" s="149"/>
      <c r="M266" s="149"/>
      <c r="N266" s="149"/>
      <c r="O266" s="149"/>
      <c r="P266" s="149"/>
      <c r="Q266" s="149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</row>
    <row r="267" spans="2:74" x14ac:dyDescent="0.3">
      <c r="B267" s="162"/>
      <c r="C267" s="142"/>
      <c r="D267" s="142"/>
      <c r="E267" s="259"/>
      <c r="F267" s="149"/>
      <c r="G267" s="149"/>
      <c r="H267" s="149"/>
      <c r="I267" s="149"/>
      <c r="J267" s="149"/>
      <c r="K267" s="149"/>
      <c r="L267" s="149"/>
      <c r="M267" s="149"/>
      <c r="N267" s="149"/>
      <c r="O267" s="149"/>
      <c r="P267" s="149"/>
      <c r="Q267" s="149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  <c r="BT267" s="149"/>
      <c r="BU267" s="149"/>
      <c r="BV267" s="149"/>
    </row>
    <row r="268" spans="2:74" x14ac:dyDescent="0.3">
      <c r="B268" s="162"/>
      <c r="C268" s="142"/>
      <c r="D268" s="142"/>
      <c r="E268" s="25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</row>
    <row r="269" spans="2:74" x14ac:dyDescent="0.3">
      <c r="B269" s="162"/>
      <c r="C269" s="142"/>
      <c r="D269" s="142"/>
      <c r="E269" s="25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  <c r="BT269" s="149"/>
      <c r="BU269" s="149"/>
      <c r="BV269" s="149"/>
    </row>
    <row r="270" spans="2:74" x14ac:dyDescent="0.3">
      <c r="B270" s="162"/>
      <c r="C270" s="142"/>
      <c r="D270" s="142"/>
      <c r="E270" s="25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  <c r="BT270" s="149"/>
      <c r="BU270" s="149"/>
      <c r="BV270" s="149"/>
    </row>
    <row r="271" spans="2:74" x14ac:dyDescent="0.3">
      <c r="B271" s="162"/>
      <c r="C271" s="162"/>
      <c r="D271" s="162"/>
      <c r="E271" s="259"/>
      <c r="F271" s="149"/>
      <c r="G271" s="149"/>
      <c r="H271" s="149"/>
      <c r="I271" s="149"/>
      <c r="J271" s="149"/>
      <c r="K271" s="149"/>
      <c r="L271" s="149"/>
      <c r="M271" s="149"/>
      <c r="N271" s="149"/>
      <c r="O271" s="149"/>
      <c r="P271" s="149"/>
      <c r="Q271" s="149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  <c r="BT271" s="149"/>
      <c r="BU271" s="149"/>
      <c r="BV271" s="149"/>
    </row>
    <row r="272" spans="2:74" x14ac:dyDescent="0.3">
      <c r="B272" s="162"/>
      <c r="C272" s="142"/>
      <c r="D272" s="142"/>
      <c r="E272" s="259"/>
      <c r="F272" s="149"/>
      <c r="G272" s="149"/>
      <c r="H272" s="149"/>
      <c r="I272" s="149"/>
      <c r="J272" s="149"/>
      <c r="K272" s="149"/>
      <c r="L272" s="149"/>
      <c r="M272" s="149"/>
      <c r="N272" s="149"/>
      <c r="O272" s="149"/>
      <c r="P272" s="149"/>
      <c r="Q272" s="149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</row>
    <row r="273" spans="2:74" x14ac:dyDescent="0.3">
      <c r="B273" s="162"/>
      <c r="C273" s="142"/>
      <c r="D273" s="142"/>
      <c r="E273" s="259"/>
      <c r="F273" s="149"/>
      <c r="G273" s="149"/>
      <c r="H273" s="149"/>
      <c r="I273" s="149"/>
      <c r="J273" s="149"/>
      <c r="K273" s="149"/>
      <c r="L273" s="149"/>
      <c r="M273" s="149"/>
      <c r="N273" s="149"/>
      <c r="O273" s="149"/>
      <c r="P273" s="149"/>
      <c r="Q273" s="149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</row>
    <row r="274" spans="2:74" x14ac:dyDescent="0.3">
      <c r="B274" s="162"/>
      <c r="C274" s="142"/>
      <c r="D274" s="142"/>
      <c r="E274" s="259"/>
      <c r="F274" s="149"/>
      <c r="G274" s="149"/>
      <c r="H274" s="149"/>
      <c r="I274" s="149"/>
      <c r="J274" s="149"/>
      <c r="K274" s="149"/>
      <c r="L274" s="149"/>
      <c r="M274" s="149"/>
      <c r="N274" s="149"/>
      <c r="O274" s="149"/>
      <c r="P274" s="149"/>
      <c r="Q274" s="149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</row>
    <row r="275" spans="2:74" x14ac:dyDescent="0.3">
      <c r="B275" s="162"/>
      <c r="C275" s="142"/>
      <c r="D275" s="142"/>
      <c r="E275" s="259"/>
      <c r="F275" s="149"/>
      <c r="G275" s="149"/>
      <c r="H275" s="149"/>
      <c r="I275" s="149"/>
      <c r="J275" s="149"/>
      <c r="K275" s="149"/>
      <c r="L275" s="149"/>
      <c r="M275" s="149"/>
      <c r="N275" s="149"/>
      <c r="O275" s="149"/>
      <c r="P275" s="149"/>
      <c r="Q275" s="149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  <c r="BT275" s="149"/>
      <c r="BU275" s="149"/>
      <c r="BV275" s="149"/>
    </row>
    <row r="276" spans="2:74" x14ac:dyDescent="0.3">
      <c r="B276" s="162"/>
      <c r="C276" s="142"/>
      <c r="D276" s="142"/>
      <c r="E276" s="259"/>
      <c r="F276" s="149"/>
      <c r="G276" s="149"/>
      <c r="H276" s="149"/>
      <c r="I276" s="149"/>
      <c r="J276" s="149"/>
      <c r="K276" s="149"/>
      <c r="L276" s="149"/>
      <c r="M276" s="149"/>
      <c r="N276" s="149"/>
      <c r="O276" s="149"/>
      <c r="P276" s="149"/>
      <c r="Q276" s="149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  <c r="BT276" s="149"/>
      <c r="BU276" s="149"/>
      <c r="BV276" s="149"/>
    </row>
    <row r="277" spans="2:74" x14ac:dyDescent="0.3">
      <c r="B277" s="162"/>
      <c r="C277" s="142"/>
      <c r="D277" s="142"/>
      <c r="E277" s="259"/>
      <c r="F277" s="149"/>
      <c r="G277" s="149"/>
      <c r="H277" s="149"/>
      <c r="I277" s="149"/>
      <c r="J277" s="149"/>
      <c r="K277" s="149"/>
      <c r="L277" s="149"/>
      <c r="M277" s="149"/>
      <c r="N277" s="149"/>
      <c r="O277" s="149"/>
      <c r="P277" s="149"/>
      <c r="Q277" s="149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  <c r="BT277" s="149"/>
      <c r="BU277" s="149"/>
      <c r="BV277" s="149"/>
    </row>
    <row r="278" spans="2:74" x14ac:dyDescent="0.3">
      <c r="B278" s="162"/>
      <c r="C278" s="142"/>
      <c r="D278" s="142"/>
      <c r="E278" s="25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49"/>
      <c r="V278" s="149"/>
      <c r="W278" s="149"/>
      <c r="X278" s="149"/>
      <c r="Y278" s="149"/>
      <c r="Z278" s="149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 s="149"/>
      <c r="AP278" s="149"/>
      <c r="AQ278" s="149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  <c r="BT278" s="149"/>
      <c r="BU278" s="149"/>
      <c r="BV278" s="149"/>
    </row>
    <row r="279" spans="2:74" x14ac:dyDescent="0.3">
      <c r="B279" s="162"/>
      <c r="C279" s="142"/>
      <c r="D279" s="142"/>
      <c r="E279" s="25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49"/>
      <c r="V279" s="149"/>
      <c r="W279" s="149"/>
      <c r="X279" s="149"/>
      <c r="Y279" s="149"/>
      <c r="Z279" s="149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 s="149"/>
      <c r="AP279" s="149"/>
      <c r="AQ279" s="149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  <c r="BT279" s="149"/>
      <c r="BU279" s="149"/>
      <c r="BV279" s="149"/>
    </row>
    <row r="280" spans="2:74" x14ac:dyDescent="0.3">
      <c r="B280" s="162"/>
      <c r="C280" s="142"/>
      <c r="D280" s="142"/>
      <c r="E280" s="25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49"/>
      <c r="V280" s="149"/>
      <c r="W280" s="149"/>
      <c r="X280" s="149"/>
      <c r="Y280" s="149"/>
      <c r="Z280" s="149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 s="149"/>
      <c r="AP280" s="149"/>
      <c r="AQ280" s="149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  <c r="BT280" s="149"/>
      <c r="BU280" s="149"/>
      <c r="BV280" s="149"/>
    </row>
    <row r="281" spans="2:74" x14ac:dyDescent="0.3">
      <c r="B281" s="162"/>
      <c r="C281" s="142"/>
      <c r="D281" s="142"/>
      <c r="E281" s="259"/>
      <c r="F281" s="149"/>
      <c r="G281" s="149"/>
      <c r="H281" s="149"/>
      <c r="I281" s="149"/>
      <c r="J281" s="149"/>
      <c r="K281" s="149"/>
      <c r="L281" s="149"/>
      <c r="M281" s="149"/>
      <c r="N281" s="149"/>
      <c r="O281" s="149"/>
      <c r="P281" s="149"/>
      <c r="Q281" s="149"/>
      <c r="R281" s="149"/>
      <c r="S281" s="149"/>
      <c r="T281" s="149"/>
      <c r="U281" s="149"/>
      <c r="V281" s="149"/>
      <c r="W281" s="149"/>
      <c r="X281" s="149"/>
      <c r="Y281" s="149"/>
      <c r="Z281" s="149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 s="149"/>
      <c r="AP281" s="149"/>
      <c r="AQ281" s="149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  <c r="BT281" s="149"/>
      <c r="BU281" s="149"/>
      <c r="BV281" s="149"/>
    </row>
    <row r="282" spans="2:74" x14ac:dyDescent="0.3">
      <c r="B282" s="162"/>
      <c r="C282" s="142"/>
      <c r="D282" s="142"/>
      <c r="E282" s="259"/>
      <c r="F282" s="149"/>
      <c r="G282" s="149"/>
      <c r="H282" s="149"/>
      <c r="I282" s="149"/>
      <c r="J282" s="149"/>
      <c r="K282" s="149"/>
      <c r="L282" s="149"/>
      <c r="M282" s="149"/>
      <c r="N282" s="149"/>
      <c r="O282" s="149"/>
      <c r="P282" s="149"/>
      <c r="Q282" s="149"/>
      <c r="R282" s="149"/>
      <c r="S282" s="149"/>
      <c r="T282" s="149"/>
      <c r="U282" s="149"/>
      <c r="V282" s="149"/>
      <c r="W282" s="149"/>
      <c r="X282" s="149"/>
      <c r="Y282" s="149"/>
      <c r="Z282" s="149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 s="149"/>
      <c r="AP282" s="149"/>
      <c r="AQ282" s="149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  <c r="BT282" s="149"/>
      <c r="BU282" s="149"/>
      <c r="BV282" s="149"/>
    </row>
    <row r="283" spans="2:74" x14ac:dyDescent="0.3">
      <c r="B283" s="162"/>
      <c r="C283" s="142"/>
      <c r="D283" s="142"/>
      <c r="E283" s="259"/>
      <c r="F283" s="149"/>
      <c r="G283" s="149"/>
      <c r="H283" s="149"/>
      <c r="I283" s="149"/>
      <c r="J283" s="149"/>
      <c r="K283" s="149"/>
      <c r="L283" s="149"/>
      <c r="M283" s="149"/>
      <c r="N283" s="149"/>
      <c r="O283" s="149"/>
      <c r="P283" s="149"/>
      <c r="Q283" s="149"/>
      <c r="R283" s="149"/>
      <c r="S283" s="149"/>
      <c r="T283" s="149"/>
      <c r="U283" s="149"/>
      <c r="V283" s="149"/>
      <c r="W283" s="149"/>
      <c r="X283" s="149"/>
      <c r="Y283" s="149"/>
      <c r="Z283" s="149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 s="149"/>
      <c r="AP283" s="149"/>
      <c r="AQ283" s="149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  <c r="BT283" s="149"/>
      <c r="BU283" s="149"/>
      <c r="BV283" s="149"/>
    </row>
    <row r="284" spans="2:74" x14ac:dyDescent="0.3">
      <c r="B284" s="162"/>
      <c r="C284" s="162"/>
      <c r="D284" s="162"/>
      <c r="E284" s="259"/>
      <c r="F284" s="149"/>
      <c r="G284" s="149"/>
      <c r="H284" s="149"/>
      <c r="I284" s="149"/>
      <c r="J284" s="149"/>
      <c r="K284" s="149"/>
      <c r="L284" s="149"/>
      <c r="M284" s="149"/>
      <c r="N284" s="149"/>
      <c r="O284" s="149"/>
      <c r="P284" s="149"/>
      <c r="Q284" s="149"/>
      <c r="R284" s="149"/>
      <c r="S284" s="149"/>
      <c r="T284" s="149"/>
      <c r="U284" s="149"/>
      <c r="V284" s="149"/>
      <c r="W284" s="149"/>
      <c r="X284" s="149"/>
      <c r="Y284" s="149"/>
      <c r="Z284" s="149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 s="149"/>
      <c r="AP284" s="149"/>
      <c r="AQ284" s="149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  <c r="BT284" s="149"/>
      <c r="BU284" s="149"/>
      <c r="BV284" s="149"/>
    </row>
    <row r="285" spans="2:74" x14ac:dyDescent="0.3">
      <c r="B285" s="162"/>
      <c r="C285" s="162"/>
      <c r="D285" s="162"/>
      <c r="E285" s="259"/>
      <c r="F285" s="149"/>
      <c r="G285" s="149"/>
      <c r="H285" s="149"/>
      <c r="I285" s="149"/>
      <c r="J285" s="149"/>
      <c r="K285" s="149"/>
      <c r="L285" s="149"/>
      <c r="M285" s="149"/>
      <c r="N285" s="149"/>
      <c r="O285" s="149"/>
      <c r="P285" s="149"/>
      <c r="Q285" s="149"/>
      <c r="R285" s="149"/>
      <c r="S285" s="149"/>
      <c r="T285" s="149"/>
      <c r="U285" s="149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 s="149"/>
      <c r="AP285" s="149"/>
      <c r="AQ285" s="149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  <c r="BT285" s="149"/>
      <c r="BU285" s="149"/>
      <c r="BV285" s="149"/>
    </row>
    <row r="286" spans="2:74" x14ac:dyDescent="0.3">
      <c r="B286" s="162"/>
      <c r="C286" s="142"/>
      <c r="D286" s="142"/>
      <c r="E286" s="259"/>
      <c r="F286" s="149"/>
      <c r="G286" s="149"/>
      <c r="H286" s="149"/>
      <c r="I286" s="149"/>
      <c r="J286" s="149"/>
      <c r="K286" s="149"/>
      <c r="L286" s="149"/>
      <c r="M286" s="149"/>
      <c r="N286" s="149"/>
      <c r="O286" s="149"/>
      <c r="P286" s="149"/>
      <c r="Q286" s="149"/>
      <c r="R286" s="149"/>
      <c r="S286" s="149"/>
      <c r="T286" s="149"/>
      <c r="U286" s="149"/>
      <c r="V286" s="149"/>
      <c r="W286" s="149"/>
      <c r="X286" s="149"/>
      <c r="Y286" s="149"/>
      <c r="Z286" s="149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 s="149"/>
      <c r="AP286" s="149"/>
      <c r="AQ286" s="149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  <c r="BT286" s="149"/>
      <c r="BU286" s="149"/>
      <c r="BV286" s="149"/>
    </row>
    <row r="287" spans="2:74" x14ac:dyDescent="0.3">
      <c r="B287" s="162"/>
      <c r="C287" s="142"/>
      <c r="D287" s="142"/>
      <c r="E287" s="259"/>
      <c r="F287" s="149"/>
      <c r="G287" s="149"/>
      <c r="H287" s="149"/>
      <c r="I287" s="149"/>
      <c r="J287" s="149"/>
      <c r="K287" s="149"/>
      <c r="L287" s="149"/>
      <c r="M287" s="149"/>
      <c r="N287" s="149"/>
      <c r="O287" s="149"/>
      <c r="P287" s="149"/>
      <c r="Q287" s="149"/>
      <c r="R287" s="149"/>
      <c r="S287" s="149"/>
      <c r="T287" s="149"/>
      <c r="U287" s="149"/>
      <c r="V287" s="149"/>
      <c r="W287" s="149"/>
      <c r="X287" s="149"/>
      <c r="Y287" s="149"/>
      <c r="Z287" s="149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 s="149"/>
      <c r="AP287" s="149"/>
      <c r="AQ287" s="149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  <c r="BT287" s="149"/>
      <c r="BU287" s="149"/>
      <c r="BV287" s="149"/>
    </row>
    <row r="288" spans="2:74" x14ac:dyDescent="0.3">
      <c r="B288" s="162"/>
      <c r="C288" s="142"/>
      <c r="D288" s="142"/>
      <c r="E288" s="25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49"/>
      <c r="V288" s="149"/>
      <c r="W288" s="149"/>
      <c r="X288" s="149"/>
      <c r="Y288" s="149"/>
      <c r="Z288" s="149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 s="149"/>
      <c r="AP288" s="149"/>
      <c r="AQ288" s="149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</row>
    <row r="289" spans="2:74" x14ac:dyDescent="0.3">
      <c r="B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</row>
    <row r="290" spans="2:74" x14ac:dyDescent="0.3">
      <c r="B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</row>
    <row r="291" spans="2:74" x14ac:dyDescent="0.3">
      <c r="B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</row>
    <row r="292" spans="2:74" x14ac:dyDescent="0.3">
      <c r="B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</row>
    <row r="293" spans="2:74" x14ac:dyDescent="0.3">
      <c r="B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</row>
    <row r="294" spans="2:74" x14ac:dyDescent="0.3">
      <c r="B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</row>
    <row r="295" spans="2:74" x14ac:dyDescent="0.3">
      <c r="B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</row>
    <row r="296" spans="2:74" x14ac:dyDescent="0.3">
      <c r="B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</row>
    <row r="297" spans="2:74" x14ac:dyDescent="0.3">
      <c r="B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</row>
    <row r="298" spans="2:74" x14ac:dyDescent="0.3">
      <c r="B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</row>
    <row r="299" spans="2:74" x14ac:dyDescent="0.3">
      <c r="B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</row>
    <row r="300" spans="2:74" x14ac:dyDescent="0.3">
      <c r="B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</row>
    <row r="301" spans="2:74" x14ac:dyDescent="0.3">
      <c r="B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</row>
    <row r="302" spans="2:74" x14ac:dyDescent="0.3">
      <c r="B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</row>
    <row r="303" spans="2:74" x14ac:dyDescent="0.3">
      <c r="B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</row>
    <row r="304" spans="2:74" x14ac:dyDescent="0.3">
      <c r="B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</row>
    <row r="305" spans="2:74" x14ac:dyDescent="0.3">
      <c r="B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</row>
    <row r="306" spans="2:74" x14ac:dyDescent="0.3">
      <c r="B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</row>
    <row r="307" spans="2:74" x14ac:dyDescent="0.3">
      <c r="B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</row>
    <row r="308" spans="2:74" x14ac:dyDescent="0.3">
      <c r="B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</row>
    <row r="309" spans="2:74" x14ac:dyDescent="0.3">
      <c r="B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</row>
    <row r="310" spans="2:74" x14ac:dyDescent="0.3">
      <c r="B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</row>
    <row r="311" spans="2:74" x14ac:dyDescent="0.3">
      <c r="B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</row>
    <row r="312" spans="2:74" x14ac:dyDescent="0.3">
      <c r="B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</row>
    <row r="313" spans="2:74" x14ac:dyDescent="0.3">
      <c r="B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</row>
    <row r="314" spans="2:74" x14ac:dyDescent="0.3">
      <c r="B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</row>
    <row r="315" spans="2:74" x14ac:dyDescent="0.3">
      <c r="B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</row>
    <row r="316" spans="2:74" x14ac:dyDescent="0.3">
      <c r="B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</row>
    <row r="317" spans="2:74" x14ac:dyDescent="0.3">
      <c r="B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</row>
    <row r="318" spans="2:74" x14ac:dyDescent="0.3">
      <c r="B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</row>
    <row r="319" spans="2:74" x14ac:dyDescent="0.3">
      <c r="B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</row>
    <row r="320" spans="2:74" x14ac:dyDescent="0.3">
      <c r="B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</row>
    <row r="321" spans="2:74" x14ac:dyDescent="0.3">
      <c r="B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</row>
    <row r="322" spans="2:74" x14ac:dyDescent="0.3">
      <c r="B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</row>
    <row r="323" spans="2:74" x14ac:dyDescent="0.3">
      <c r="B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</row>
    <row r="324" spans="2:74" x14ac:dyDescent="0.3">
      <c r="B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</row>
    <row r="325" spans="2:74" x14ac:dyDescent="0.3">
      <c r="B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</row>
    <row r="326" spans="2:74" x14ac:dyDescent="0.3">
      <c r="B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</row>
    <row r="327" spans="2:74" x14ac:dyDescent="0.3">
      <c r="B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</row>
    <row r="328" spans="2:74" x14ac:dyDescent="0.3">
      <c r="B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</row>
    <row r="329" spans="2:74" x14ac:dyDescent="0.3">
      <c r="B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</row>
    <row r="330" spans="2:74" x14ac:dyDescent="0.3">
      <c r="B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</row>
    <row r="331" spans="2:74" x14ac:dyDescent="0.3">
      <c r="B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</row>
    <row r="332" spans="2:74" x14ac:dyDescent="0.3">
      <c r="B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</row>
    <row r="333" spans="2:74" x14ac:dyDescent="0.3">
      <c r="B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</row>
    <row r="334" spans="2:74" x14ac:dyDescent="0.3">
      <c r="B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</row>
    <row r="335" spans="2:74" x14ac:dyDescent="0.3">
      <c r="B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</row>
    <row r="336" spans="2:74" x14ac:dyDescent="0.3">
      <c r="B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</row>
    <row r="337" spans="2:74" x14ac:dyDescent="0.3">
      <c r="B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</row>
    <row r="338" spans="2:74" x14ac:dyDescent="0.3">
      <c r="B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</row>
    <row r="339" spans="2:74" x14ac:dyDescent="0.3">
      <c r="B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</row>
    <row r="340" spans="2:74" x14ac:dyDescent="0.3">
      <c r="B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</row>
    <row r="341" spans="2:74" x14ac:dyDescent="0.3">
      <c r="B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</row>
    <row r="342" spans="2:74" x14ac:dyDescent="0.3">
      <c r="B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</row>
    <row r="343" spans="2:74" x14ac:dyDescent="0.3">
      <c r="B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</row>
    <row r="344" spans="2:74" x14ac:dyDescent="0.3">
      <c r="B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</row>
    <row r="345" spans="2:74" x14ac:dyDescent="0.3">
      <c r="B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</row>
    <row r="346" spans="2:74" x14ac:dyDescent="0.3">
      <c r="B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</row>
    <row r="347" spans="2:74" x14ac:dyDescent="0.3">
      <c r="B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</row>
    <row r="348" spans="2:74" x14ac:dyDescent="0.3">
      <c r="B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</row>
    <row r="349" spans="2:74" x14ac:dyDescent="0.3">
      <c r="B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</row>
    <row r="350" spans="2:74" x14ac:dyDescent="0.3">
      <c r="B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</row>
    <row r="351" spans="2:74" x14ac:dyDescent="0.3">
      <c r="B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</row>
    <row r="352" spans="2:74" x14ac:dyDescent="0.3">
      <c r="B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</row>
    <row r="353" spans="2:74" x14ac:dyDescent="0.3">
      <c r="B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</row>
    <row r="354" spans="2:74" x14ac:dyDescent="0.3">
      <c r="B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</row>
    <row r="355" spans="2:74" x14ac:dyDescent="0.3">
      <c r="B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</row>
    <row r="356" spans="2:74" x14ac:dyDescent="0.3">
      <c r="B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</row>
    <row r="357" spans="2:74" x14ac:dyDescent="0.3">
      <c r="B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</row>
    <row r="358" spans="2:74" x14ac:dyDescent="0.3">
      <c r="B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</row>
    <row r="359" spans="2:74" x14ac:dyDescent="0.3">
      <c r="B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</row>
    <row r="360" spans="2:74" x14ac:dyDescent="0.3">
      <c r="B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</row>
    <row r="361" spans="2:74" x14ac:dyDescent="0.3">
      <c r="B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</row>
    <row r="362" spans="2:74" x14ac:dyDescent="0.3">
      <c r="B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</row>
    <row r="363" spans="2:74" x14ac:dyDescent="0.3">
      <c r="B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</row>
    <row r="364" spans="2:74" x14ac:dyDescent="0.3">
      <c r="B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</row>
    <row r="365" spans="2:74" x14ac:dyDescent="0.3">
      <c r="B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</row>
    <row r="366" spans="2:74" x14ac:dyDescent="0.3">
      <c r="B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</row>
    <row r="367" spans="2:74" x14ac:dyDescent="0.3">
      <c r="B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</row>
    <row r="368" spans="2:74" x14ac:dyDescent="0.3">
      <c r="B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116"/>
      <c r="BV368" s="116"/>
    </row>
    <row r="369" spans="2:74" x14ac:dyDescent="0.3">
      <c r="B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116"/>
      <c r="BV369" s="116"/>
    </row>
    <row r="370" spans="2:74" x14ac:dyDescent="0.3">
      <c r="B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</row>
    <row r="371" spans="2:74" x14ac:dyDescent="0.3">
      <c r="B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/>
      <c r="BN371" s="116"/>
      <c r="BO371" s="116"/>
      <c r="BP371" s="116"/>
      <c r="BQ371" s="116"/>
      <c r="BR371" s="116"/>
      <c r="BS371" s="116"/>
      <c r="BT371" s="116"/>
      <c r="BU371" s="116"/>
      <c r="BV371" s="116"/>
    </row>
    <row r="372" spans="2:74" x14ac:dyDescent="0.3">
      <c r="B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</row>
    <row r="373" spans="2:74" x14ac:dyDescent="0.3">
      <c r="B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/>
      <c r="BO373" s="116"/>
      <c r="BP373" s="116"/>
      <c r="BQ373" s="116"/>
      <c r="BR373" s="116"/>
      <c r="BS373" s="116"/>
      <c r="BT373" s="116"/>
      <c r="BU373" s="116"/>
      <c r="BV373" s="116"/>
    </row>
    <row r="374" spans="2:74" x14ac:dyDescent="0.3">
      <c r="B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</row>
    <row r="375" spans="2:74" x14ac:dyDescent="0.3">
      <c r="B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116"/>
      <c r="BV375" s="116"/>
    </row>
    <row r="376" spans="2:74" x14ac:dyDescent="0.3">
      <c r="B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</row>
    <row r="377" spans="2:74" x14ac:dyDescent="0.3">
      <c r="B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116"/>
      <c r="BV377" s="116"/>
    </row>
    <row r="378" spans="2:74" x14ac:dyDescent="0.3">
      <c r="B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</row>
    <row r="379" spans="2:74" x14ac:dyDescent="0.3">
      <c r="B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/>
      <c r="BP379" s="116"/>
      <c r="BQ379" s="116"/>
      <c r="BR379" s="116"/>
      <c r="BS379" s="116"/>
      <c r="BT379" s="116"/>
      <c r="BU379" s="116"/>
      <c r="BV379" s="116"/>
    </row>
    <row r="380" spans="2:74" x14ac:dyDescent="0.3">
      <c r="B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</row>
    <row r="381" spans="2:74" x14ac:dyDescent="0.3">
      <c r="B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/>
      <c r="BP381" s="116"/>
      <c r="BQ381" s="116"/>
      <c r="BR381" s="116"/>
      <c r="BS381" s="116"/>
      <c r="BT381" s="116"/>
      <c r="BU381" s="116"/>
      <c r="BV381" s="116"/>
    </row>
    <row r="382" spans="2:74" x14ac:dyDescent="0.3">
      <c r="B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/>
      <c r="BK382" s="116"/>
      <c r="BL382" s="116"/>
      <c r="BM382" s="116"/>
      <c r="BN382" s="116"/>
      <c r="BO382" s="116"/>
      <c r="BP382" s="116"/>
      <c r="BQ382" s="116"/>
      <c r="BR382" s="116"/>
      <c r="BS382" s="116"/>
      <c r="BT382" s="116"/>
      <c r="BU382" s="116"/>
      <c r="BV382" s="116"/>
    </row>
    <row r="383" spans="2:74" x14ac:dyDescent="0.3">
      <c r="B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/>
      <c r="BQ383" s="116"/>
      <c r="BR383" s="116"/>
      <c r="BS383" s="116"/>
      <c r="BT383" s="116"/>
      <c r="BU383" s="116"/>
      <c r="BV383" s="116"/>
    </row>
    <row r="384" spans="2:74" x14ac:dyDescent="0.3">
      <c r="B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T384" s="116"/>
      <c r="BU384" s="116"/>
      <c r="BV384" s="116"/>
    </row>
    <row r="385" spans="2:74" x14ac:dyDescent="0.3">
      <c r="B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/>
      <c r="BN385" s="116"/>
      <c r="BO385" s="116"/>
      <c r="BP385" s="116"/>
      <c r="BQ385" s="116"/>
      <c r="BR385" s="116"/>
      <c r="BS385" s="116"/>
      <c r="BT385" s="116"/>
      <c r="BU385" s="116"/>
      <c r="BV385" s="116"/>
    </row>
    <row r="386" spans="2:74" x14ac:dyDescent="0.3">
      <c r="B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  <c r="BF386" s="116"/>
      <c r="BG386" s="116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T386" s="116"/>
      <c r="BU386" s="116"/>
      <c r="BV386" s="116"/>
    </row>
    <row r="387" spans="2:74" x14ac:dyDescent="0.3">
      <c r="B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/>
      <c r="BU387" s="116"/>
      <c r="BV387" s="116"/>
    </row>
    <row r="388" spans="2:74" x14ac:dyDescent="0.3">
      <c r="B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T388" s="116"/>
      <c r="BU388" s="116"/>
      <c r="BV388" s="116"/>
    </row>
    <row r="389" spans="2:74" x14ac:dyDescent="0.3">
      <c r="B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/>
      <c r="BU389" s="116"/>
      <c r="BV389" s="116"/>
    </row>
    <row r="390" spans="2:74" x14ac:dyDescent="0.3">
      <c r="B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/>
      <c r="BI390" s="116"/>
      <c r="BJ390" s="116"/>
      <c r="BK390" s="116"/>
      <c r="BL390" s="116"/>
      <c r="BM390" s="116"/>
      <c r="BN390" s="116"/>
      <c r="BO390" s="116"/>
      <c r="BP390" s="116"/>
      <c r="BQ390" s="116"/>
      <c r="BR390" s="116"/>
      <c r="BS390" s="116"/>
      <c r="BT390" s="116"/>
      <c r="BU390" s="116"/>
      <c r="BV390" s="116"/>
    </row>
    <row r="391" spans="2:74" x14ac:dyDescent="0.3">
      <c r="B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/>
      <c r="BR391" s="116"/>
      <c r="BS391" s="116"/>
      <c r="BT391" s="116"/>
      <c r="BU391" s="116"/>
      <c r="BV391" s="116"/>
    </row>
    <row r="392" spans="2:74" x14ac:dyDescent="0.3">
      <c r="B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</row>
    <row r="393" spans="2:74" x14ac:dyDescent="0.3">
      <c r="B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/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/>
      <c r="BU393" s="116"/>
      <c r="BV393" s="116"/>
    </row>
    <row r="394" spans="2:74" x14ac:dyDescent="0.3">
      <c r="B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/>
      <c r="BD394" s="116"/>
      <c r="BE394" s="116"/>
      <c r="BF394" s="116"/>
      <c r="BG394" s="116"/>
      <c r="BH394" s="116"/>
      <c r="BI394" s="116"/>
      <c r="BJ394" s="116"/>
      <c r="BK394" s="116"/>
      <c r="BL394" s="116"/>
      <c r="BM394" s="116"/>
      <c r="BN394" s="116"/>
      <c r="BO394" s="116"/>
      <c r="BP394" s="116"/>
      <c r="BQ394" s="116"/>
      <c r="BR394" s="116"/>
      <c r="BS394" s="116"/>
      <c r="BT394" s="116"/>
      <c r="BU394" s="116"/>
      <c r="BV394" s="116"/>
    </row>
    <row r="395" spans="2:74" x14ac:dyDescent="0.3">
      <c r="B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/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/>
      <c r="BU395" s="116"/>
      <c r="BV395" s="116"/>
    </row>
    <row r="396" spans="2:74" x14ac:dyDescent="0.3">
      <c r="B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/>
      <c r="BD396" s="116"/>
      <c r="BE396" s="116"/>
      <c r="BF396" s="116"/>
      <c r="BG396" s="116"/>
      <c r="BH396" s="116"/>
      <c r="BI396" s="116"/>
      <c r="BJ396" s="116"/>
      <c r="BK396" s="116"/>
      <c r="BL396" s="116"/>
      <c r="BM396" s="116"/>
      <c r="BN396" s="116"/>
      <c r="BO396" s="116"/>
      <c r="BP396" s="116"/>
      <c r="BQ396" s="116"/>
      <c r="BR396" s="116"/>
      <c r="BS396" s="116"/>
      <c r="BT396" s="116"/>
      <c r="BU396" s="116"/>
      <c r="BV396" s="116"/>
    </row>
    <row r="397" spans="2:74" x14ac:dyDescent="0.3">
      <c r="B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/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/>
      <c r="BR397" s="116"/>
      <c r="BS397" s="116"/>
      <c r="BT397" s="116"/>
      <c r="BU397" s="116"/>
      <c r="BV397" s="116"/>
    </row>
    <row r="398" spans="2:74" x14ac:dyDescent="0.3">
      <c r="B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/>
      <c r="BD398" s="116"/>
      <c r="BE398" s="116"/>
      <c r="BF398" s="116"/>
      <c r="BG398" s="116"/>
      <c r="BH398" s="116"/>
      <c r="BI398" s="116"/>
      <c r="BJ398" s="116"/>
      <c r="BK398" s="116"/>
      <c r="BL398" s="116"/>
      <c r="BM398" s="116"/>
      <c r="BN398" s="116"/>
      <c r="BO398" s="116"/>
      <c r="BP398" s="116"/>
      <c r="BQ398" s="116"/>
      <c r="BR398" s="116"/>
      <c r="BS398" s="116"/>
      <c r="BT398" s="116"/>
      <c r="BU398" s="116"/>
      <c r="BV398" s="116"/>
    </row>
    <row r="399" spans="2:74" x14ac:dyDescent="0.3">
      <c r="B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  <c r="BF399" s="116"/>
      <c r="BG399" s="116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/>
      <c r="BR399" s="116"/>
      <c r="BS399" s="116"/>
      <c r="BT399" s="116"/>
      <c r="BU399" s="116"/>
      <c r="BV399" s="116"/>
    </row>
    <row r="400" spans="2:74" x14ac:dyDescent="0.3">
      <c r="B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/>
      <c r="BE400" s="116"/>
      <c r="BF400" s="116"/>
      <c r="BG400" s="116"/>
      <c r="BH400" s="116"/>
      <c r="BI400" s="116"/>
      <c r="BJ400" s="116"/>
      <c r="BK400" s="116"/>
      <c r="BL400" s="116"/>
      <c r="BM400" s="116"/>
      <c r="BN400" s="116"/>
      <c r="BO400" s="116"/>
      <c r="BP400" s="116"/>
      <c r="BQ400" s="116"/>
      <c r="BR400" s="116"/>
      <c r="BS400" s="116"/>
      <c r="BT400" s="116"/>
      <c r="BU400" s="116"/>
      <c r="BV400" s="116"/>
    </row>
    <row r="401" spans="2:74" x14ac:dyDescent="0.3">
      <c r="B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  <c r="BF401" s="116"/>
      <c r="BG401" s="116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/>
      <c r="BR401" s="116"/>
      <c r="BS401" s="116"/>
      <c r="BT401" s="116"/>
      <c r="BU401" s="116"/>
      <c r="BV401" s="116"/>
    </row>
    <row r="402" spans="2:74" x14ac:dyDescent="0.3">
      <c r="B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</row>
    <row r="403" spans="2:74" x14ac:dyDescent="0.3">
      <c r="B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116"/>
      <c r="BV403" s="116"/>
    </row>
    <row r="404" spans="2:74" x14ac:dyDescent="0.3">
      <c r="B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</row>
    <row r="405" spans="2:74" x14ac:dyDescent="0.3">
      <c r="B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</row>
    <row r="406" spans="2:74" x14ac:dyDescent="0.3">
      <c r="B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</row>
    <row r="407" spans="2:74" x14ac:dyDescent="0.3">
      <c r="B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</row>
    <row r="408" spans="2:74" x14ac:dyDescent="0.3">
      <c r="B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  <c r="BF408" s="116"/>
      <c r="BG408" s="116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T408" s="116"/>
      <c r="BU408" s="116"/>
      <c r="BV408" s="116"/>
    </row>
    <row r="409" spans="2:74" x14ac:dyDescent="0.3">
      <c r="B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116"/>
      <c r="BV409" s="116"/>
    </row>
    <row r="410" spans="2:74" x14ac:dyDescent="0.3">
      <c r="B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  <c r="AZ410" s="116"/>
      <c r="BA410" s="116"/>
      <c r="BB410" s="116"/>
      <c r="BC410" s="116"/>
      <c r="BD410" s="116"/>
      <c r="BE410" s="116"/>
      <c r="BF410" s="116"/>
      <c r="BG410" s="116"/>
      <c r="BH410" s="116"/>
      <c r="BI410" s="116"/>
      <c r="BJ410" s="116"/>
      <c r="BK410" s="116"/>
      <c r="BL410" s="116"/>
      <c r="BM410" s="116"/>
      <c r="BN410" s="116"/>
      <c r="BO410" s="116"/>
      <c r="BP410" s="116"/>
      <c r="BQ410" s="116"/>
      <c r="BR410" s="116"/>
      <c r="BS410" s="116"/>
      <c r="BT410" s="116"/>
      <c r="BU410" s="116"/>
      <c r="BV410" s="116"/>
    </row>
    <row r="411" spans="2:74" x14ac:dyDescent="0.3">
      <c r="B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  <c r="AZ411" s="116"/>
      <c r="BA411" s="116"/>
      <c r="BB411" s="116"/>
      <c r="BC411" s="116"/>
      <c r="BD411" s="116"/>
      <c r="BE411" s="116"/>
      <c r="BF411" s="116"/>
      <c r="BG411" s="116"/>
      <c r="BH411" s="116"/>
      <c r="BI411" s="116"/>
      <c r="BJ411" s="116"/>
      <c r="BK411" s="116"/>
      <c r="BL411" s="116"/>
      <c r="BM411" s="116"/>
      <c r="BN411" s="116"/>
      <c r="BO411" s="116"/>
      <c r="BP411" s="116"/>
      <c r="BQ411" s="116"/>
      <c r="BR411" s="116"/>
      <c r="BS411" s="116"/>
      <c r="BT411" s="116"/>
      <c r="BU411" s="116"/>
      <c r="BV411" s="116"/>
    </row>
    <row r="412" spans="2:74" x14ac:dyDescent="0.3">
      <c r="B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AX412" s="116"/>
      <c r="AY412" s="116"/>
      <c r="AZ412" s="116"/>
      <c r="BA412" s="116"/>
      <c r="BB412" s="116"/>
      <c r="BC412" s="116"/>
      <c r="BD412" s="116"/>
      <c r="BE412" s="116"/>
      <c r="BF412" s="116"/>
      <c r="BG412" s="116"/>
      <c r="BH412" s="116"/>
      <c r="BI412" s="116"/>
      <c r="BJ412" s="116"/>
      <c r="BK412" s="116"/>
      <c r="BL412" s="116"/>
      <c r="BM412" s="116"/>
      <c r="BN412" s="116"/>
      <c r="BO412" s="116"/>
      <c r="BP412" s="116"/>
      <c r="BQ412" s="116"/>
      <c r="BR412" s="116"/>
      <c r="BS412" s="116"/>
      <c r="BT412" s="116"/>
      <c r="BU412" s="116"/>
      <c r="BV412" s="116"/>
    </row>
    <row r="413" spans="2:74" x14ac:dyDescent="0.3">
      <c r="B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AX413" s="116"/>
      <c r="AY413" s="116"/>
      <c r="AZ413" s="116"/>
      <c r="BA413" s="116"/>
      <c r="BB413" s="116"/>
      <c r="BC413" s="116"/>
      <c r="BD413" s="116"/>
      <c r="BE413" s="116"/>
      <c r="BF413" s="116"/>
      <c r="BG413" s="116"/>
      <c r="BH413" s="116"/>
      <c r="BI413" s="116"/>
      <c r="BJ413" s="116"/>
      <c r="BK413" s="116"/>
      <c r="BL413" s="116"/>
      <c r="BM413" s="116"/>
      <c r="BN413" s="116"/>
      <c r="BO413" s="116"/>
      <c r="BP413" s="116"/>
      <c r="BQ413" s="116"/>
      <c r="BR413" s="116"/>
      <c r="BS413" s="116"/>
      <c r="BT413" s="116"/>
      <c r="BU413" s="116"/>
      <c r="BV413" s="116"/>
    </row>
    <row r="414" spans="2:74" x14ac:dyDescent="0.3">
      <c r="B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  <c r="BA414" s="116"/>
      <c r="BB414" s="116"/>
      <c r="BC414" s="116"/>
      <c r="BD414" s="116"/>
      <c r="BE414" s="116"/>
      <c r="BF414" s="116"/>
      <c r="BG414" s="116"/>
      <c r="BH414" s="116"/>
      <c r="BI414" s="116"/>
      <c r="BJ414" s="116"/>
      <c r="BK414" s="116"/>
      <c r="BL414" s="116"/>
      <c r="BM414" s="116"/>
      <c r="BN414" s="116"/>
      <c r="BO414" s="116"/>
      <c r="BP414" s="116"/>
      <c r="BQ414" s="116"/>
      <c r="BR414" s="116"/>
      <c r="BS414" s="116"/>
      <c r="BT414" s="116"/>
      <c r="BU414" s="116"/>
      <c r="BV414" s="116"/>
    </row>
    <row r="415" spans="2:74" x14ac:dyDescent="0.3">
      <c r="B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  <c r="AI415" s="116"/>
      <c r="AJ415" s="116"/>
      <c r="AK415" s="116"/>
      <c r="AL415" s="116"/>
      <c r="AM415" s="116"/>
      <c r="AN415" s="116"/>
      <c r="AO415" s="116"/>
      <c r="AP415" s="116"/>
      <c r="AQ415" s="116"/>
      <c r="AR415" s="116"/>
      <c r="AS415" s="116"/>
      <c r="AT415" s="116"/>
      <c r="AU415" s="116"/>
      <c r="AV415" s="116"/>
      <c r="AW415" s="116"/>
      <c r="AX415" s="116"/>
      <c r="AY415" s="116"/>
      <c r="AZ415" s="116"/>
      <c r="BA415" s="116"/>
      <c r="BB415" s="116"/>
      <c r="BC415" s="116"/>
      <c r="BD415" s="116"/>
      <c r="BE415" s="116"/>
      <c r="BF415" s="116"/>
      <c r="BG415" s="116"/>
      <c r="BH415" s="116"/>
      <c r="BI415" s="116"/>
      <c r="BJ415" s="116"/>
      <c r="BK415" s="116"/>
      <c r="BL415" s="116"/>
      <c r="BM415" s="116"/>
      <c r="BN415" s="116"/>
      <c r="BO415" s="116"/>
      <c r="BP415" s="116"/>
      <c r="BQ415" s="116"/>
      <c r="BR415" s="116"/>
      <c r="BS415" s="116"/>
      <c r="BT415" s="116"/>
      <c r="BU415" s="116"/>
      <c r="BV415" s="116"/>
    </row>
    <row r="416" spans="2:74" x14ac:dyDescent="0.3">
      <c r="B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  <c r="BF416" s="116"/>
      <c r="BG416" s="116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T416" s="116"/>
      <c r="BU416" s="116"/>
      <c r="BV416" s="116"/>
    </row>
    <row r="417" spans="2:74" x14ac:dyDescent="0.3">
      <c r="B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</row>
    <row r="418" spans="2:74" x14ac:dyDescent="0.3">
      <c r="B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</row>
    <row r="419" spans="2:74" x14ac:dyDescent="0.3">
      <c r="B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  <c r="BF419" s="116"/>
      <c r="BG419" s="116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116"/>
      <c r="BV419" s="116"/>
    </row>
    <row r="420" spans="2:74" x14ac:dyDescent="0.3">
      <c r="B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  <c r="AZ420" s="116"/>
      <c r="BA420" s="116"/>
      <c r="BB420" s="116"/>
      <c r="BC420" s="116"/>
      <c r="BD420" s="116"/>
      <c r="BE420" s="116"/>
      <c r="BF420" s="116"/>
      <c r="BG420" s="116"/>
      <c r="BH420" s="116"/>
      <c r="BI420" s="116"/>
      <c r="BJ420" s="116"/>
      <c r="BK420" s="116"/>
      <c r="BL420" s="116"/>
      <c r="BM420" s="116"/>
      <c r="BN420" s="116"/>
      <c r="BO420" s="116"/>
      <c r="BP420" s="116"/>
      <c r="BQ420" s="116"/>
      <c r="BR420" s="116"/>
      <c r="BS420" s="116"/>
      <c r="BT420" s="116"/>
      <c r="BU420" s="116"/>
      <c r="BV420" s="116"/>
    </row>
    <row r="421" spans="2:74" x14ac:dyDescent="0.3">
      <c r="B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  <c r="AI421" s="116"/>
      <c r="AJ421" s="116"/>
      <c r="AK421" s="116"/>
      <c r="AL421" s="116"/>
      <c r="AM421" s="116"/>
      <c r="AN421" s="116"/>
      <c r="AO421" s="116"/>
      <c r="AP421" s="116"/>
      <c r="AQ421" s="116"/>
      <c r="AR421" s="116"/>
      <c r="AS421" s="116"/>
      <c r="AT421" s="116"/>
      <c r="AU421" s="116"/>
      <c r="AV421" s="116"/>
      <c r="AW421" s="116"/>
      <c r="AX421" s="116"/>
      <c r="AY421" s="116"/>
      <c r="AZ421" s="116"/>
      <c r="BA421" s="116"/>
      <c r="BB421" s="116"/>
      <c r="BC421" s="116"/>
      <c r="BD421" s="116"/>
      <c r="BE421" s="116"/>
      <c r="BF421" s="116"/>
      <c r="BG421" s="116"/>
      <c r="BH421" s="116"/>
      <c r="BI421" s="116"/>
      <c r="BJ421" s="116"/>
      <c r="BK421" s="116"/>
      <c r="BL421" s="116"/>
      <c r="BM421" s="116"/>
      <c r="BN421" s="116"/>
      <c r="BO421" s="116"/>
      <c r="BP421" s="116"/>
      <c r="BQ421" s="116"/>
      <c r="BR421" s="116"/>
      <c r="BS421" s="116"/>
      <c r="BT421" s="116"/>
      <c r="BU421" s="116"/>
      <c r="BV421" s="116"/>
    </row>
    <row r="422" spans="2:74" x14ac:dyDescent="0.3">
      <c r="B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  <c r="AZ422" s="116"/>
      <c r="BA422" s="116"/>
      <c r="BB422" s="116"/>
      <c r="BC422" s="116"/>
      <c r="BD422" s="116"/>
      <c r="BE422" s="116"/>
      <c r="BF422" s="116"/>
      <c r="BG422" s="116"/>
      <c r="BH422" s="116"/>
      <c r="BI422" s="116"/>
      <c r="BJ422" s="116"/>
      <c r="BK422" s="116"/>
      <c r="BL422" s="116"/>
      <c r="BM422" s="116"/>
      <c r="BN422" s="116"/>
      <c r="BO422" s="116"/>
      <c r="BP422" s="116"/>
      <c r="BQ422" s="116"/>
      <c r="BR422" s="116"/>
      <c r="BS422" s="116"/>
      <c r="BT422" s="116"/>
      <c r="BU422" s="116"/>
      <c r="BV422" s="116"/>
    </row>
    <row r="423" spans="2:74" x14ac:dyDescent="0.3">
      <c r="B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  <c r="AI423" s="116"/>
      <c r="AJ423" s="116"/>
      <c r="AK423" s="116"/>
      <c r="AL423" s="116"/>
      <c r="AM423" s="116"/>
      <c r="AN423" s="116"/>
      <c r="AO423" s="116"/>
      <c r="AP423" s="116"/>
      <c r="AQ423" s="116"/>
      <c r="AR423" s="116"/>
      <c r="AS423" s="116"/>
      <c r="AT423" s="116"/>
      <c r="AU423" s="116"/>
      <c r="AV423" s="116"/>
      <c r="AW423" s="116"/>
      <c r="AX423" s="116"/>
      <c r="AY423" s="116"/>
      <c r="AZ423" s="116"/>
      <c r="BA423" s="116"/>
      <c r="BB423" s="116"/>
      <c r="BC423" s="116"/>
      <c r="BD423" s="116"/>
      <c r="BE423" s="116"/>
      <c r="BF423" s="116"/>
      <c r="BG423" s="116"/>
      <c r="BH423" s="116"/>
      <c r="BI423" s="116"/>
      <c r="BJ423" s="116"/>
      <c r="BK423" s="116"/>
      <c r="BL423" s="116"/>
      <c r="BM423" s="116"/>
      <c r="BN423" s="116"/>
      <c r="BO423" s="116"/>
      <c r="BP423" s="116"/>
      <c r="BQ423" s="116"/>
      <c r="BR423" s="116"/>
      <c r="BS423" s="116"/>
      <c r="BT423" s="116"/>
      <c r="BU423" s="116"/>
      <c r="BV423" s="116"/>
    </row>
    <row r="424" spans="2:74" x14ac:dyDescent="0.3">
      <c r="B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  <c r="AZ424" s="116"/>
      <c r="BA424" s="116"/>
      <c r="BB424" s="116"/>
      <c r="BC424" s="116"/>
      <c r="BD424" s="116"/>
      <c r="BE424" s="116"/>
      <c r="BF424" s="116"/>
      <c r="BG424" s="116"/>
      <c r="BH424" s="116"/>
      <c r="BI424" s="116"/>
      <c r="BJ424" s="116"/>
      <c r="BK424" s="116"/>
      <c r="BL424" s="116"/>
      <c r="BM424" s="116"/>
      <c r="BN424" s="116"/>
      <c r="BO424" s="116"/>
      <c r="BP424" s="116"/>
      <c r="BQ424" s="116"/>
      <c r="BR424" s="116"/>
      <c r="BS424" s="116"/>
      <c r="BT424" s="116"/>
      <c r="BU424" s="116"/>
      <c r="BV424" s="116"/>
    </row>
    <row r="425" spans="2:74" x14ac:dyDescent="0.3">
      <c r="B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  <c r="AZ425" s="116"/>
      <c r="BA425" s="116"/>
      <c r="BB425" s="116"/>
      <c r="BC425" s="116"/>
      <c r="BD425" s="116"/>
      <c r="BE425" s="116"/>
      <c r="BF425" s="116"/>
      <c r="BG425" s="116"/>
      <c r="BH425" s="116"/>
      <c r="BI425" s="116"/>
      <c r="BJ425" s="116"/>
      <c r="BK425" s="116"/>
      <c r="BL425" s="116"/>
      <c r="BM425" s="116"/>
      <c r="BN425" s="116"/>
      <c r="BO425" s="116"/>
      <c r="BP425" s="116"/>
      <c r="BQ425" s="116"/>
      <c r="BR425" s="116"/>
      <c r="BS425" s="116"/>
      <c r="BT425" s="116"/>
      <c r="BU425" s="116"/>
      <c r="BV425" s="116"/>
    </row>
    <row r="426" spans="2:74" x14ac:dyDescent="0.3">
      <c r="B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  <c r="AI426" s="116"/>
      <c r="AJ426" s="116"/>
      <c r="AK426" s="116"/>
      <c r="AL426" s="116"/>
      <c r="AM426" s="116"/>
      <c r="AN426" s="116"/>
      <c r="AO426" s="116"/>
      <c r="AP426" s="116"/>
      <c r="AQ426" s="116"/>
      <c r="AR426" s="116"/>
      <c r="AS426" s="116"/>
      <c r="AT426" s="116"/>
      <c r="AU426" s="116"/>
      <c r="AV426" s="116"/>
      <c r="AW426" s="116"/>
      <c r="AX426" s="116"/>
      <c r="AY426" s="116"/>
      <c r="AZ426" s="116"/>
      <c r="BA426" s="116"/>
      <c r="BB426" s="116"/>
      <c r="BC426" s="116"/>
      <c r="BD426" s="116"/>
      <c r="BE426" s="116"/>
      <c r="BF426" s="116"/>
      <c r="BG426" s="116"/>
      <c r="BH426" s="116"/>
      <c r="BI426" s="116"/>
      <c r="BJ426" s="116"/>
      <c r="BK426" s="116"/>
      <c r="BL426" s="116"/>
      <c r="BM426" s="116"/>
      <c r="BN426" s="116"/>
      <c r="BO426" s="116"/>
      <c r="BP426" s="116"/>
      <c r="BQ426" s="116"/>
      <c r="BR426" s="116"/>
      <c r="BS426" s="116"/>
      <c r="BT426" s="116"/>
      <c r="BU426" s="116"/>
      <c r="BV426" s="116"/>
    </row>
    <row r="427" spans="2:74" x14ac:dyDescent="0.3">
      <c r="B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  <c r="AZ427" s="116"/>
      <c r="BA427" s="116"/>
      <c r="BB427" s="116"/>
      <c r="BC427" s="116"/>
      <c r="BD427" s="116"/>
      <c r="BE427" s="116"/>
      <c r="BF427" s="116"/>
      <c r="BG427" s="116"/>
      <c r="BH427" s="116"/>
      <c r="BI427" s="116"/>
      <c r="BJ427" s="116"/>
      <c r="BK427" s="116"/>
      <c r="BL427" s="116"/>
      <c r="BM427" s="116"/>
      <c r="BN427" s="116"/>
      <c r="BO427" s="116"/>
      <c r="BP427" s="116"/>
      <c r="BQ427" s="116"/>
      <c r="BR427" s="116"/>
      <c r="BS427" s="116"/>
      <c r="BT427" s="116"/>
      <c r="BU427" s="116"/>
      <c r="BV427" s="116"/>
    </row>
    <row r="428" spans="2:74" x14ac:dyDescent="0.3">
      <c r="B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  <c r="AE428" s="116"/>
      <c r="AF428" s="116"/>
      <c r="AG428" s="116"/>
      <c r="AH428" s="116"/>
      <c r="AI428" s="116"/>
      <c r="AJ428" s="116"/>
      <c r="AK428" s="116"/>
      <c r="AL428" s="116"/>
      <c r="AM428" s="116"/>
      <c r="AN428" s="116"/>
      <c r="AO428" s="116"/>
      <c r="AP428" s="116"/>
      <c r="AQ428" s="116"/>
      <c r="AR428" s="116"/>
      <c r="AS428" s="116"/>
      <c r="AT428" s="116"/>
      <c r="AU428" s="116"/>
      <c r="AV428" s="116"/>
      <c r="AW428" s="116"/>
      <c r="AX428" s="116"/>
      <c r="AY428" s="116"/>
      <c r="AZ428" s="116"/>
      <c r="BA428" s="116"/>
      <c r="BB428" s="116"/>
      <c r="BC428" s="116"/>
      <c r="BD428" s="116"/>
      <c r="BE428" s="116"/>
      <c r="BF428" s="116"/>
      <c r="BG428" s="116"/>
      <c r="BH428" s="116"/>
      <c r="BI428" s="116"/>
      <c r="BJ428" s="116"/>
      <c r="BK428" s="116"/>
      <c r="BL428" s="116"/>
      <c r="BM428" s="116"/>
      <c r="BN428" s="116"/>
      <c r="BO428" s="116"/>
      <c r="BP428" s="116"/>
      <c r="BQ428" s="116"/>
      <c r="BR428" s="116"/>
      <c r="BS428" s="116"/>
      <c r="BT428" s="116"/>
      <c r="BU428" s="116"/>
      <c r="BV428" s="116"/>
    </row>
    <row r="429" spans="2:74" x14ac:dyDescent="0.3">
      <c r="B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  <c r="BD429" s="116"/>
      <c r="BE429" s="116"/>
      <c r="BF429" s="116"/>
      <c r="BG429" s="116"/>
      <c r="BH429" s="116"/>
      <c r="BI429" s="116"/>
      <c r="BJ429" s="116"/>
      <c r="BK429" s="116"/>
      <c r="BL429" s="116"/>
      <c r="BM429" s="116"/>
      <c r="BN429" s="116"/>
      <c r="BO429" s="116"/>
      <c r="BP429" s="116"/>
      <c r="BQ429" s="116"/>
      <c r="BR429" s="116"/>
      <c r="BS429" s="116"/>
      <c r="BT429" s="116"/>
      <c r="BU429" s="116"/>
      <c r="BV429" s="116"/>
    </row>
    <row r="430" spans="2:74" x14ac:dyDescent="0.3">
      <c r="B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  <c r="AI430" s="116"/>
      <c r="AJ430" s="116"/>
      <c r="AK430" s="116"/>
      <c r="AL430" s="116"/>
      <c r="AM430" s="116"/>
      <c r="AN430" s="116"/>
      <c r="AO430" s="116"/>
      <c r="AP430" s="116"/>
      <c r="AQ430" s="116"/>
      <c r="AR430" s="116"/>
      <c r="AS430" s="116"/>
      <c r="AT430" s="116"/>
      <c r="AU430" s="116"/>
      <c r="AV430" s="116"/>
      <c r="AW430" s="116"/>
      <c r="AX430" s="116"/>
      <c r="AY430" s="116"/>
      <c r="AZ430" s="116"/>
      <c r="BA430" s="116"/>
      <c r="BB430" s="116"/>
      <c r="BC430" s="116"/>
      <c r="BD430" s="116"/>
      <c r="BE430" s="116"/>
      <c r="BF430" s="116"/>
      <c r="BG430" s="116"/>
      <c r="BH430" s="116"/>
      <c r="BI430" s="116"/>
      <c r="BJ430" s="116"/>
      <c r="BK430" s="116"/>
      <c r="BL430" s="116"/>
      <c r="BM430" s="116"/>
      <c r="BN430" s="116"/>
      <c r="BO430" s="116"/>
      <c r="BP430" s="116"/>
      <c r="BQ430" s="116"/>
      <c r="BR430" s="116"/>
      <c r="BS430" s="116"/>
      <c r="BT430" s="116"/>
      <c r="BU430" s="116"/>
      <c r="BV430" s="116"/>
    </row>
    <row r="431" spans="2:74" x14ac:dyDescent="0.3">
      <c r="B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  <c r="AI431" s="116"/>
      <c r="AJ431" s="116"/>
      <c r="AK431" s="116"/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  <c r="BF431" s="116"/>
      <c r="BG431" s="116"/>
      <c r="BH431" s="116"/>
      <c r="BI431" s="116"/>
      <c r="BJ431" s="116"/>
      <c r="BK431" s="116"/>
      <c r="BL431" s="116"/>
      <c r="BM431" s="116"/>
      <c r="BN431" s="116"/>
      <c r="BO431" s="116"/>
      <c r="BP431" s="116"/>
      <c r="BQ431" s="116"/>
      <c r="BR431" s="116"/>
      <c r="BS431" s="116"/>
      <c r="BT431" s="116"/>
      <c r="BU431" s="116"/>
      <c r="BV431" s="116"/>
    </row>
    <row r="432" spans="2:74" x14ac:dyDescent="0.3">
      <c r="B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  <c r="AE432" s="116"/>
      <c r="AF432" s="116"/>
      <c r="AG432" s="116"/>
      <c r="AH432" s="116"/>
      <c r="AI432" s="116"/>
      <c r="AJ432" s="116"/>
      <c r="AK432" s="116"/>
      <c r="AL432" s="116"/>
      <c r="AM432" s="116"/>
      <c r="AN432" s="116"/>
      <c r="AO432" s="116"/>
      <c r="AP432" s="116"/>
      <c r="AQ432" s="116"/>
      <c r="AR432" s="116"/>
      <c r="AS432" s="116"/>
      <c r="AT432" s="116"/>
      <c r="AU432" s="116"/>
      <c r="AV432" s="116"/>
      <c r="AW432" s="116"/>
      <c r="AX432" s="116"/>
      <c r="AY432" s="116"/>
      <c r="AZ432" s="116"/>
      <c r="BA432" s="116"/>
      <c r="BB432" s="116"/>
      <c r="BC432" s="116"/>
      <c r="BD432" s="116"/>
      <c r="BE432" s="116"/>
      <c r="BF432" s="116"/>
      <c r="BG432" s="116"/>
      <c r="BH432" s="116"/>
      <c r="BI432" s="116"/>
      <c r="BJ432" s="116"/>
      <c r="BK432" s="116"/>
      <c r="BL432" s="116"/>
      <c r="BM432" s="116"/>
      <c r="BN432" s="116"/>
      <c r="BO432" s="116"/>
      <c r="BP432" s="116"/>
      <c r="BQ432" s="116"/>
      <c r="BR432" s="116"/>
      <c r="BS432" s="116"/>
      <c r="BT432" s="116"/>
      <c r="BU432" s="116"/>
      <c r="BV432" s="116"/>
    </row>
    <row r="433" spans="2:74" x14ac:dyDescent="0.3">
      <c r="B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  <c r="BB433" s="116"/>
      <c r="BC433" s="116"/>
      <c r="BD433" s="116"/>
      <c r="BE433" s="116"/>
      <c r="BF433" s="116"/>
      <c r="BG433" s="116"/>
      <c r="BH433" s="116"/>
      <c r="BI433" s="116"/>
      <c r="BJ433" s="116"/>
      <c r="BK433" s="116"/>
      <c r="BL433" s="116"/>
      <c r="BM433" s="116"/>
      <c r="BN433" s="116"/>
      <c r="BO433" s="116"/>
      <c r="BP433" s="116"/>
      <c r="BQ433" s="116"/>
      <c r="BR433" s="116"/>
      <c r="BS433" s="116"/>
      <c r="BT433" s="116"/>
      <c r="BU433" s="116"/>
      <c r="BV433" s="116"/>
    </row>
    <row r="434" spans="2:74" x14ac:dyDescent="0.3">
      <c r="B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  <c r="AI434" s="116"/>
      <c r="AJ434" s="116"/>
      <c r="AK434" s="116"/>
      <c r="AL434" s="116"/>
      <c r="AM434" s="116"/>
      <c r="AN434" s="116"/>
      <c r="AO434" s="116"/>
      <c r="AP434" s="116"/>
      <c r="AQ434" s="116"/>
      <c r="AR434" s="116"/>
      <c r="AS434" s="116"/>
      <c r="AT434" s="116"/>
      <c r="AU434" s="116"/>
      <c r="AV434" s="116"/>
      <c r="AW434" s="116"/>
      <c r="AX434" s="116"/>
      <c r="AY434" s="116"/>
      <c r="AZ434" s="116"/>
      <c r="BA434" s="116"/>
      <c r="BB434" s="116"/>
      <c r="BC434" s="116"/>
      <c r="BD434" s="116"/>
      <c r="BE434" s="116"/>
      <c r="BF434" s="116"/>
      <c r="BG434" s="116"/>
      <c r="BH434" s="116"/>
      <c r="BI434" s="116"/>
      <c r="BJ434" s="116"/>
      <c r="BK434" s="116"/>
      <c r="BL434" s="116"/>
      <c r="BM434" s="116"/>
      <c r="BN434" s="116"/>
      <c r="BO434" s="116"/>
      <c r="BP434" s="116"/>
      <c r="BQ434" s="116"/>
      <c r="BR434" s="116"/>
      <c r="BS434" s="116"/>
      <c r="BT434" s="116"/>
      <c r="BU434" s="116"/>
      <c r="BV434" s="116"/>
    </row>
    <row r="435" spans="2:74" x14ac:dyDescent="0.3">
      <c r="B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  <c r="AZ435" s="116"/>
      <c r="BA435" s="116"/>
      <c r="BB435" s="116"/>
      <c r="BC435" s="116"/>
      <c r="BD435" s="116"/>
      <c r="BE435" s="116"/>
      <c r="BF435" s="116"/>
      <c r="BG435" s="116"/>
      <c r="BH435" s="116"/>
      <c r="BI435" s="116"/>
      <c r="BJ435" s="116"/>
      <c r="BK435" s="116"/>
      <c r="BL435" s="116"/>
      <c r="BM435" s="116"/>
      <c r="BN435" s="116"/>
      <c r="BO435" s="116"/>
      <c r="BP435" s="116"/>
      <c r="BQ435" s="116"/>
      <c r="BR435" s="116"/>
      <c r="BS435" s="116"/>
      <c r="BT435" s="116"/>
      <c r="BU435" s="116"/>
      <c r="BV435" s="116"/>
    </row>
    <row r="436" spans="2:74" x14ac:dyDescent="0.3">
      <c r="B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  <c r="AE436" s="116"/>
      <c r="AF436" s="116"/>
      <c r="AG436" s="116"/>
      <c r="AH436" s="116"/>
      <c r="AI436" s="116"/>
      <c r="AJ436" s="116"/>
      <c r="AK436" s="116"/>
      <c r="AL436" s="116"/>
      <c r="AM436" s="116"/>
      <c r="AN436" s="116"/>
      <c r="AO436" s="116"/>
      <c r="AP436" s="116"/>
      <c r="AQ436" s="116"/>
      <c r="AR436" s="116"/>
      <c r="AS436" s="116"/>
      <c r="AT436" s="116"/>
      <c r="AU436" s="116"/>
      <c r="AV436" s="116"/>
      <c r="AW436" s="116"/>
      <c r="AX436" s="116"/>
      <c r="AY436" s="116"/>
      <c r="AZ436" s="116"/>
      <c r="BA436" s="116"/>
      <c r="BB436" s="116"/>
      <c r="BC436" s="116"/>
      <c r="BD436" s="116"/>
      <c r="BE436" s="116"/>
      <c r="BF436" s="116"/>
      <c r="BG436" s="116"/>
      <c r="BH436" s="116"/>
      <c r="BI436" s="116"/>
      <c r="BJ436" s="116"/>
      <c r="BK436" s="116"/>
      <c r="BL436" s="116"/>
      <c r="BM436" s="116"/>
      <c r="BN436" s="116"/>
      <c r="BO436" s="116"/>
      <c r="BP436" s="116"/>
      <c r="BQ436" s="116"/>
      <c r="BR436" s="116"/>
      <c r="BS436" s="116"/>
      <c r="BT436" s="116"/>
      <c r="BU436" s="116"/>
      <c r="BV436" s="116"/>
    </row>
    <row r="437" spans="2:74" x14ac:dyDescent="0.3">
      <c r="B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  <c r="AE437" s="116"/>
      <c r="AF437" s="116"/>
      <c r="AG437" s="116"/>
      <c r="AH437" s="116"/>
      <c r="AI437" s="116"/>
      <c r="AJ437" s="116"/>
      <c r="AK437" s="116"/>
      <c r="AL437" s="116"/>
      <c r="AM437" s="116"/>
      <c r="AN437" s="116"/>
      <c r="AO437" s="116"/>
      <c r="AP437" s="116"/>
      <c r="AQ437" s="116"/>
      <c r="AR437" s="116"/>
      <c r="AS437" s="116"/>
      <c r="AT437" s="116"/>
      <c r="AU437" s="116"/>
      <c r="AV437" s="116"/>
      <c r="AW437" s="116"/>
      <c r="AX437" s="116"/>
      <c r="AY437" s="116"/>
      <c r="AZ437" s="116"/>
      <c r="BA437" s="116"/>
      <c r="BB437" s="116"/>
      <c r="BC437" s="116"/>
      <c r="BD437" s="116"/>
      <c r="BE437" s="116"/>
      <c r="BF437" s="116"/>
      <c r="BG437" s="116"/>
      <c r="BH437" s="116"/>
      <c r="BI437" s="116"/>
      <c r="BJ437" s="116"/>
      <c r="BK437" s="116"/>
      <c r="BL437" s="116"/>
      <c r="BM437" s="116"/>
      <c r="BN437" s="116"/>
      <c r="BO437" s="116"/>
      <c r="BP437" s="116"/>
      <c r="BQ437" s="116"/>
      <c r="BR437" s="116"/>
      <c r="BS437" s="116"/>
      <c r="BT437" s="116"/>
      <c r="BU437" s="116"/>
      <c r="BV437" s="116"/>
    </row>
    <row r="438" spans="2:74" x14ac:dyDescent="0.3">
      <c r="B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6"/>
      <c r="AG438" s="116"/>
      <c r="AH438" s="116"/>
      <c r="AI438" s="116"/>
      <c r="AJ438" s="116"/>
      <c r="AK438" s="116"/>
      <c r="AL438" s="116"/>
      <c r="AM438" s="116"/>
      <c r="AN438" s="116"/>
      <c r="AO438" s="116"/>
      <c r="AP438" s="116"/>
      <c r="AQ438" s="116"/>
      <c r="AR438" s="116"/>
      <c r="AS438" s="116"/>
      <c r="AT438" s="116"/>
      <c r="AU438" s="116"/>
      <c r="AV438" s="116"/>
      <c r="AW438" s="116"/>
      <c r="AX438" s="116"/>
      <c r="AY438" s="116"/>
      <c r="AZ438" s="116"/>
      <c r="BA438" s="116"/>
      <c r="BB438" s="116"/>
      <c r="BC438" s="116"/>
      <c r="BD438" s="116"/>
      <c r="BE438" s="116"/>
      <c r="BF438" s="116"/>
      <c r="BG438" s="116"/>
      <c r="BH438" s="116"/>
      <c r="BI438" s="116"/>
      <c r="BJ438" s="116"/>
      <c r="BK438" s="116"/>
      <c r="BL438" s="116"/>
      <c r="BM438" s="116"/>
      <c r="BN438" s="116"/>
      <c r="BO438" s="116"/>
      <c r="BP438" s="116"/>
      <c r="BQ438" s="116"/>
      <c r="BR438" s="116"/>
      <c r="BS438" s="116"/>
      <c r="BT438" s="116"/>
      <c r="BU438" s="116"/>
      <c r="BV438" s="116"/>
    </row>
    <row r="439" spans="2:74" x14ac:dyDescent="0.3">
      <c r="B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AL439" s="116"/>
      <c r="AM439" s="116"/>
      <c r="AN439" s="116"/>
      <c r="AO439" s="116"/>
      <c r="AP439" s="116"/>
      <c r="AQ439" s="116"/>
      <c r="AR439" s="116"/>
      <c r="AS439" s="116"/>
      <c r="AT439" s="116"/>
      <c r="AU439" s="116"/>
      <c r="AV439" s="116"/>
      <c r="AW439" s="116"/>
      <c r="AX439" s="116"/>
      <c r="AY439" s="116"/>
      <c r="AZ439" s="116"/>
      <c r="BA439" s="116"/>
      <c r="BB439" s="116"/>
      <c r="BC439" s="116"/>
      <c r="BD439" s="116"/>
      <c r="BE439" s="116"/>
      <c r="BF439" s="116"/>
      <c r="BG439" s="116"/>
      <c r="BH439" s="116"/>
      <c r="BI439" s="116"/>
      <c r="BJ439" s="116"/>
      <c r="BK439" s="116"/>
      <c r="BL439" s="116"/>
      <c r="BM439" s="116"/>
      <c r="BN439" s="116"/>
      <c r="BO439" s="116"/>
      <c r="BP439" s="116"/>
      <c r="BQ439" s="116"/>
      <c r="BR439" s="116"/>
      <c r="BS439" s="116"/>
      <c r="BT439" s="116"/>
      <c r="BU439" s="116"/>
      <c r="BV439" s="116"/>
    </row>
    <row r="440" spans="2:74" x14ac:dyDescent="0.3">
      <c r="B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6"/>
      <c r="AG440" s="116"/>
      <c r="AH440" s="116"/>
      <c r="AI440" s="116"/>
      <c r="AJ440" s="116"/>
      <c r="AK440" s="116"/>
      <c r="AL440" s="116"/>
      <c r="AM440" s="116"/>
      <c r="AN440" s="116"/>
      <c r="AO440" s="116"/>
      <c r="AP440" s="116"/>
      <c r="AQ440" s="116"/>
      <c r="AR440" s="116"/>
      <c r="AS440" s="116"/>
      <c r="AT440" s="116"/>
      <c r="AU440" s="116"/>
      <c r="AV440" s="116"/>
      <c r="AW440" s="116"/>
      <c r="AX440" s="116"/>
      <c r="AY440" s="116"/>
      <c r="AZ440" s="116"/>
      <c r="BA440" s="116"/>
      <c r="BB440" s="116"/>
      <c r="BC440" s="116"/>
      <c r="BD440" s="116"/>
      <c r="BE440" s="116"/>
      <c r="BF440" s="116"/>
      <c r="BG440" s="116"/>
      <c r="BH440" s="116"/>
      <c r="BI440" s="116"/>
      <c r="BJ440" s="116"/>
      <c r="BK440" s="116"/>
      <c r="BL440" s="116"/>
      <c r="BM440" s="116"/>
      <c r="BN440" s="116"/>
      <c r="BO440" s="116"/>
      <c r="BP440" s="116"/>
      <c r="BQ440" s="116"/>
      <c r="BR440" s="116"/>
      <c r="BS440" s="116"/>
      <c r="BT440" s="116"/>
      <c r="BU440" s="116"/>
      <c r="BV440" s="116"/>
    </row>
    <row r="441" spans="2:74" x14ac:dyDescent="0.3">
      <c r="B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6"/>
      <c r="AG441" s="116"/>
      <c r="AH441" s="116"/>
      <c r="AI441" s="116"/>
      <c r="AJ441" s="116"/>
      <c r="AK441" s="116"/>
      <c r="AL441" s="116"/>
      <c r="AM441" s="116"/>
      <c r="AN441" s="116"/>
      <c r="AO441" s="116"/>
      <c r="AP441" s="116"/>
      <c r="AQ441" s="116"/>
      <c r="AR441" s="116"/>
      <c r="AS441" s="116"/>
      <c r="AT441" s="116"/>
      <c r="AU441" s="116"/>
      <c r="AV441" s="116"/>
      <c r="AW441" s="116"/>
      <c r="AX441" s="116"/>
      <c r="AY441" s="116"/>
      <c r="AZ441" s="116"/>
      <c r="BA441" s="116"/>
      <c r="BB441" s="116"/>
      <c r="BC441" s="116"/>
      <c r="BD441" s="116"/>
      <c r="BE441" s="116"/>
      <c r="BF441" s="116"/>
      <c r="BG441" s="116"/>
      <c r="BH441" s="116"/>
      <c r="BI441" s="116"/>
      <c r="BJ441" s="116"/>
      <c r="BK441" s="116"/>
      <c r="BL441" s="116"/>
      <c r="BM441" s="116"/>
      <c r="BN441" s="116"/>
      <c r="BO441" s="116"/>
      <c r="BP441" s="116"/>
      <c r="BQ441" s="116"/>
      <c r="BR441" s="116"/>
      <c r="BS441" s="116"/>
      <c r="BT441" s="116"/>
      <c r="BU441" s="116"/>
      <c r="BV441" s="116"/>
    </row>
    <row r="442" spans="2:74" x14ac:dyDescent="0.3">
      <c r="B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  <c r="AE442" s="116"/>
      <c r="AF442" s="116"/>
      <c r="AG442" s="116"/>
      <c r="AH442" s="116"/>
      <c r="AI442" s="116"/>
      <c r="AJ442" s="116"/>
      <c r="AK442" s="116"/>
      <c r="AL442" s="116"/>
      <c r="AM442" s="116"/>
      <c r="AN442" s="116"/>
      <c r="AO442" s="116"/>
      <c r="AP442" s="116"/>
      <c r="AQ442" s="116"/>
      <c r="AR442" s="116"/>
      <c r="AS442" s="116"/>
      <c r="AT442" s="116"/>
      <c r="AU442" s="116"/>
      <c r="AV442" s="116"/>
      <c r="AW442" s="116"/>
      <c r="AX442" s="116"/>
      <c r="AY442" s="116"/>
      <c r="AZ442" s="116"/>
      <c r="BA442" s="116"/>
      <c r="BB442" s="116"/>
      <c r="BC442" s="116"/>
      <c r="BD442" s="116"/>
      <c r="BE442" s="116"/>
      <c r="BF442" s="116"/>
      <c r="BG442" s="116"/>
      <c r="BH442" s="116"/>
      <c r="BI442" s="116"/>
      <c r="BJ442" s="116"/>
      <c r="BK442" s="116"/>
      <c r="BL442" s="116"/>
      <c r="BM442" s="116"/>
      <c r="BN442" s="116"/>
      <c r="BO442" s="116"/>
      <c r="BP442" s="116"/>
      <c r="BQ442" s="116"/>
      <c r="BR442" s="116"/>
      <c r="BS442" s="116"/>
      <c r="BT442" s="116"/>
      <c r="BU442" s="116"/>
      <c r="BV442" s="116"/>
    </row>
    <row r="443" spans="2:74" x14ac:dyDescent="0.3">
      <c r="B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  <c r="AE443" s="116"/>
      <c r="AF443" s="116"/>
      <c r="AG443" s="116"/>
      <c r="AH443" s="116"/>
      <c r="AI443" s="116"/>
      <c r="AJ443" s="116"/>
      <c r="AK443" s="116"/>
      <c r="AL443" s="116"/>
      <c r="AM443" s="116"/>
      <c r="AN443" s="116"/>
      <c r="AO443" s="116"/>
      <c r="AP443" s="116"/>
      <c r="AQ443" s="116"/>
      <c r="AR443" s="116"/>
      <c r="AS443" s="116"/>
      <c r="AT443" s="116"/>
      <c r="AU443" s="116"/>
      <c r="AV443" s="116"/>
      <c r="AW443" s="116"/>
      <c r="AX443" s="116"/>
      <c r="AY443" s="116"/>
      <c r="AZ443" s="116"/>
      <c r="BA443" s="116"/>
      <c r="BB443" s="116"/>
      <c r="BC443" s="116"/>
      <c r="BD443" s="116"/>
      <c r="BE443" s="116"/>
      <c r="BF443" s="116"/>
      <c r="BG443" s="116"/>
      <c r="BH443" s="116"/>
      <c r="BI443" s="116"/>
      <c r="BJ443" s="116"/>
      <c r="BK443" s="116"/>
      <c r="BL443" s="116"/>
      <c r="BM443" s="116"/>
      <c r="BN443" s="116"/>
      <c r="BO443" s="116"/>
      <c r="BP443" s="116"/>
      <c r="BQ443" s="116"/>
      <c r="BR443" s="116"/>
      <c r="BS443" s="116"/>
      <c r="BT443" s="116"/>
      <c r="BU443" s="116"/>
      <c r="BV443" s="116"/>
    </row>
    <row r="444" spans="2:74" x14ac:dyDescent="0.3">
      <c r="B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6"/>
      <c r="AG444" s="116"/>
      <c r="AH444" s="116"/>
      <c r="AI444" s="116"/>
      <c r="AJ444" s="116"/>
      <c r="AK444" s="116"/>
      <c r="AL444" s="116"/>
      <c r="AM444" s="116"/>
      <c r="AN444" s="116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  <c r="AZ444" s="116"/>
      <c r="BA444" s="116"/>
      <c r="BB444" s="116"/>
      <c r="BC444" s="116"/>
      <c r="BD444" s="116"/>
      <c r="BE444" s="116"/>
      <c r="BF444" s="116"/>
      <c r="BG444" s="116"/>
      <c r="BH444" s="116"/>
      <c r="BI444" s="116"/>
      <c r="BJ444" s="116"/>
      <c r="BK444" s="116"/>
      <c r="BL444" s="116"/>
      <c r="BM444" s="116"/>
      <c r="BN444" s="116"/>
      <c r="BO444" s="116"/>
      <c r="BP444" s="116"/>
      <c r="BQ444" s="116"/>
      <c r="BR444" s="116"/>
      <c r="BS444" s="116"/>
      <c r="BT444" s="116"/>
      <c r="BU444" s="116"/>
      <c r="BV444" s="116"/>
    </row>
    <row r="445" spans="2:74" x14ac:dyDescent="0.3">
      <c r="B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  <c r="BD445" s="116"/>
      <c r="BE445" s="116"/>
      <c r="BF445" s="116"/>
      <c r="BG445" s="116"/>
      <c r="BH445" s="116"/>
      <c r="BI445" s="116"/>
      <c r="BJ445" s="116"/>
      <c r="BK445" s="116"/>
      <c r="BL445" s="116"/>
      <c r="BM445" s="116"/>
      <c r="BN445" s="116"/>
      <c r="BO445" s="116"/>
      <c r="BP445" s="116"/>
      <c r="BQ445" s="116"/>
      <c r="BR445" s="116"/>
      <c r="BS445" s="116"/>
      <c r="BT445" s="116"/>
      <c r="BU445" s="116"/>
      <c r="BV445" s="116"/>
    </row>
    <row r="446" spans="2:74" x14ac:dyDescent="0.3">
      <c r="B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  <c r="AE446" s="116"/>
      <c r="AF446" s="116"/>
      <c r="AG446" s="116"/>
      <c r="AH446" s="116"/>
      <c r="AI446" s="116"/>
      <c r="AJ446" s="116"/>
      <c r="AK446" s="116"/>
      <c r="AL446" s="116"/>
      <c r="AM446" s="116"/>
      <c r="AN446" s="116"/>
      <c r="AO446" s="116"/>
      <c r="AP446" s="116"/>
      <c r="AQ446" s="116"/>
      <c r="AR446" s="116"/>
      <c r="AS446" s="116"/>
      <c r="AT446" s="116"/>
      <c r="AU446" s="116"/>
      <c r="AV446" s="116"/>
      <c r="AW446" s="116"/>
      <c r="AX446" s="116"/>
      <c r="AY446" s="116"/>
      <c r="AZ446" s="116"/>
      <c r="BA446" s="116"/>
      <c r="BB446" s="116"/>
      <c r="BC446" s="116"/>
      <c r="BD446" s="116"/>
      <c r="BE446" s="116"/>
      <c r="BF446" s="116"/>
      <c r="BG446" s="116"/>
      <c r="BH446" s="116"/>
      <c r="BI446" s="116"/>
      <c r="BJ446" s="116"/>
      <c r="BK446" s="116"/>
      <c r="BL446" s="116"/>
      <c r="BM446" s="116"/>
      <c r="BN446" s="116"/>
      <c r="BO446" s="116"/>
      <c r="BP446" s="116"/>
      <c r="BQ446" s="116"/>
      <c r="BR446" s="116"/>
      <c r="BS446" s="116"/>
      <c r="BT446" s="116"/>
      <c r="BU446" s="116"/>
      <c r="BV446" s="116"/>
    </row>
    <row r="447" spans="2:74" x14ac:dyDescent="0.3">
      <c r="B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  <c r="BF447" s="116"/>
      <c r="BG447" s="116"/>
      <c r="BH447" s="116"/>
      <c r="BI447" s="116"/>
      <c r="BJ447" s="116"/>
      <c r="BK447" s="116"/>
      <c r="BL447" s="116"/>
      <c r="BM447" s="116"/>
      <c r="BN447" s="116"/>
      <c r="BO447" s="116"/>
      <c r="BP447" s="116"/>
      <c r="BQ447" s="116"/>
      <c r="BR447" s="116"/>
      <c r="BS447" s="116"/>
      <c r="BT447" s="116"/>
      <c r="BU447" s="116"/>
      <c r="BV447" s="116"/>
    </row>
    <row r="448" spans="2:74" x14ac:dyDescent="0.3">
      <c r="B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  <c r="AE448" s="116"/>
      <c r="AF448" s="116"/>
      <c r="AG448" s="116"/>
      <c r="AH448" s="116"/>
      <c r="AI448" s="116"/>
      <c r="AJ448" s="116"/>
      <c r="AK448" s="116"/>
      <c r="AL448" s="116"/>
      <c r="AM448" s="116"/>
      <c r="AN448" s="116"/>
      <c r="AO448" s="116"/>
      <c r="AP448" s="116"/>
      <c r="AQ448" s="116"/>
      <c r="AR448" s="116"/>
      <c r="AS448" s="116"/>
      <c r="AT448" s="116"/>
      <c r="AU448" s="116"/>
      <c r="AV448" s="116"/>
      <c r="AW448" s="116"/>
      <c r="AX448" s="116"/>
      <c r="AY448" s="116"/>
      <c r="AZ448" s="116"/>
      <c r="BA448" s="116"/>
      <c r="BB448" s="116"/>
      <c r="BC448" s="116"/>
      <c r="BD448" s="116"/>
      <c r="BE448" s="116"/>
      <c r="BF448" s="116"/>
      <c r="BG448" s="116"/>
      <c r="BH448" s="116"/>
      <c r="BI448" s="116"/>
      <c r="BJ448" s="116"/>
      <c r="BK448" s="116"/>
      <c r="BL448" s="116"/>
      <c r="BM448" s="116"/>
      <c r="BN448" s="116"/>
      <c r="BO448" s="116"/>
      <c r="BP448" s="116"/>
      <c r="BQ448" s="116"/>
      <c r="BR448" s="116"/>
      <c r="BS448" s="116"/>
      <c r="BT448" s="116"/>
      <c r="BU448" s="116"/>
      <c r="BV448" s="116"/>
    </row>
    <row r="449" spans="2:74" x14ac:dyDescent="0.3">
      <c r="B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  <c r="AE449" s="116"/>
      <c r="AF449" s="116"/>
      <c r="AG449" s="116"/>
      <c r="AH449" s="116"/>
      <c r="AI449" s="116"/>
      <c r="AJ449" s="116"/>
      <c r="AK449" s="116"/>
      <c r="AL449" s="116"/>
      <c r="AM449" s="116"/>
      <c r="AN449" s="116"/>
      <c r="AO449" s="116"/>
      <c r="AP449" s="116"/>
      <c r="AQ449" s="116"/>
      <c r="AR449" s="116"/>
      <c r="AS449" s="116"/>
      <c r="AT449" s="116"/>
      <c r="AU449" s="116"/>
      <c r="AV449" s="116"/>
      <c r="AW449" s="116"/>
      <c r="AX449" s="116"/>
      <c r="AY449" s="116"/>
      <c r="AZ449" s="116"/>
      <c r="BA449" s="116"/>
      <c r="BB449" s="116"/>
      <c r="BC449" s="116"/>
      <c r="BD449" s="116"/>
      <c r="BE449" s="116"/>
      <c r="BF449" s="116"/>
      <c r="BG449" s="116"/>
      <c r="BH449" s="116"/>
      <c r="BI449" s="116"/>
      <c r="BJ449" s="116"/>
      <c r="BK449" s="116"/>
      <c r="BL449" s="116"/>
      <c r="BM449" s="116"/>
      <c r="BN449" s="116"/>
      <c r="BO449" s="116"/>
      <c r="BP449" s="116"/>
      <c r="BQ449" s="116"/>
      <c r="BR449" s="116"/>
      <c r="BS449" s="116"/>
      <c r="BT449" s="116"/>
      <c r="BU449" s="116"/>
      <c r="BV449" s="116"/>
    </row>
    <row r="450" spans="2:74" x14ac:dyDescent="0.3">
      <c r="B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6"/>
      <c r="AG450" s="116"/>
      <c r="AH450" s="116"/>
      <c r="AI450" s="116"/>
      <c r="AJ450" s="116"/>
      <c r="AK450" s="116"/>
      <c r="AL450" s="116"/>
      <c r="AM450" s="116"/>
      <c r="AN450" s="116"/>
      <c r="AO450" s="116"/>
      <c r="AP450" s="116"/>
      <c r="AQ450" s="116"/>
      <c r="AR450" s="116"/>
      <c r="AS450" s="116"/>
      <c r="AT450" s="116"/>
      <c r="AU450" s="116"/>
      <c r="AV450" s="116"/>
      <c r="AW450" s="116"/>
      <c r="AX450" s="116"/>
      <c r="AY450" s="116"/>
      <c r="AZ450" s="116"/>
      <c r="BA450" s="116"/>
      <c r="BB450" s="116"/>
      <c r="BC450" s="116"/>
      <c r="BD450" s="116"/>
      <c r="BE450" s="116"/>
      <c r="BF450" s="116"/>
      <c r="BG450" s="116"/>
      <c r="BH450" s="116"/>
      <c r="BI450" s="116"/>
      <c r="BJ450" s="116"/>
      <c r="BK450" s="116"/>
      <c r="BL450" s="116"/>
      <c r="BM450" s="116"/>
      <c r="BN450" s="116"/>
      <c r="BO450" s="116"/>
      <c r="BP450" s="116"/>
      <c r="BQ450" s="116"/>
      <c r="BR450" s="116"/>
      <c r="BS450" s="116"/>
      <c r="BT450" s="116"/>
      <c r="BU450" s="116"/>
      <c r="BV450" s="116"/>
    </row>
    <row r="451" spans="2:74" x14ac:dyDescent="0.3">
      <c r="B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16"/>
      <c r="AG451" s="116"/>
      <c r="AH451" s="116"/>
      <c r="AI451" s="116"/>
      <c r="AJ451" s="116"/>
      <c r="AK451" s="116"/>
      <c r="AL451" s="116"/>
      <c r="AM451" s="116"/>
      <c r="AN451" s="116"/>
      <c r="AO451" s="116"/>
      <c r="AP451" s="116"/>
      <c r="AQ451" s="116"/>
      <c r="AR451" s="116"/>
      <c r="AS451" s="116"/>
      <c r="AT451" s="116"/>
      <c r="AU451" s="116"/>
      <c r="AV451" s="116"/>
      <c r="AW451" s="116"/>
      <c r="AX451" s="116"/>
      <c r="AY451" s="116"/>
      <c r="AZ451" s="116"/>
      <c r="BA451" s="116"/>
      <c r="BB451" s="116"/>
      <c r="BC451" s="116"/>
      <c r="BD451" s="116"/>
      <c r="BE451" s="116"/>
      <c r="BF451" s="116"/>
      <c r="BG451" s="116"/>
      <c r="BH451" s="116"/>
      <c r="BI451" s="116"/>
      <c r="BJ451" s="116"/>
      <c r="BK451" s="116"/>
      <c r="BL451" s="116"/>
      <c r="BM451" s="116"/>
      <c r="BN451" s="116"/>
      <c r="BO451" s="116"/>
      <c r="BP451" s="116"/>
      <c r="BQ451" s="116"/>
      <c r="BR451" s="116"/>
      <c r="BS451" s="116"/>
      <c r="BT451" s="116"/>
      <c r="BU451" s="116"/>
      <c r="BV451" s="116"/>
    </row>
    <row r="452" spans="2:74" x14ac:dyDescent="0.3">
      <c r="B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6"/>
      <c r="AG452" s="116"/>
      <c r="AH452" s="116"/>
      <c r="AI452" s="116"/>
      <c r="AJ452" s="116"/>
      <c r="AK452" s="116"/>
      <c r="AL452" s="116"/>
      <c r="AM452" s="116"/>
      <c r="AN452" s="116"/>
      <c r="AO452" s="116"/>
      <c r="AP452" s="116"/>
      <c r="AQ452" s="116"/>
      <c r="AR452" s="116"/>
      <c r="AS452" s="116"/>
      <c r="AT452" s="116"/>
      <c r="AU452" s="116"/>
      <c r="AV452" s="116"/>
      <c r="AW452" s="116"/>
      <c r="AX452" s="116"/>
      <c r="AY452" s="116"/>
      <c r="AZ452" s="116"/>
      <c r="BA452" s="116"/>
      <c r="BB452" s="116"/>
      <c r="BC452" s="116"/>
      <c r="BD452" s="116"/>
      <c r="BE452" s="116"/>
      <c r="BF452" s="116"/>
      <c r="BG452" s="116"/>
      <c r="BH452" s="116"/>
      <c r="BI452" s="116"/>
      <c r="BJ452" s="116"/>
      <c r="BK452" s="116"/>
      <c r="BL452" s="116"/>
      <c r="BM452" s="116"/>
      <c r="BN452" s="116"/>
      <c r="BO452" s="116"/>
      <c r="BP452" s="116"/>
      <c r="BQ452" s="116"/>
      <c r="BR452" s="116"/>
      <c r="BS452" s="116"/>
      <c r="BT452" s="116"/>
      <c r="BU452" s="116"/>
      <c r="BV452" s="116"/>
    </row>
    <row r="453" spans="2:74" x14ac:dyDescent="0.3">
      <c r="B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6"/>
      <c r="AG453" s="116"/>
      <c r="AH453" s="116"/>
      <c r="AI453" s="116"/>
      <c r="AJ453" s="116"/>
      <c r="AK453" s="116"/>
      <c r="AL453" s="116"/>
      <c r="AM453" s="116"/>
      <c r="AN453" s="116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6"/>
      <c r="AZ453" s="116"/>
      <c r="BA453" s="116"/>
      <c r="BB453" s="116"/>
      <c r="BC453" s="116"/>
      <c r="BD453" s="116"/>
      <c r="BE453" s="116"/>
      <c r="BF453" s="116"/>
      <c r="BG453" s="116"/>
      <c r="BH453" s="116"/>
      <c r="BI453" s="116"/>
      <c r="BJ453" s="116"/>
      <c r="BK453" s="116"/>
      <c r="BL453" s="116"/>
      <c r="BM453" s="116"/>
      <c r="BN453" s="116"/>
      <c r="BO453" s="116"/>
      <c r="BP453" s="116"/>
      <c r="BQ453" s="116"/>
      <c r="BR453" s="116"/>
      <c r="BS453" s="116"/>
      <c r="BT453" s="116"/>
      <c r="BU453" s="116"/>
      <c r="BV453" s="116"/>
    </row>
    <row r="454" spans="2:74" x14ac:dyDescent="0.3">
      <c r="B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6"/>
      <c r="AG454" s="116"/>
      <c r="AH454" s="116"/>
      <c r="AI454" s="116"/>
      <c r="AJ454" s="116"/>
      <c r="AK454" s="116"/>
      <c r="AL454" s="116"/>
      <c r="AM454" s="116"/>
      <c r="AN454" s="116"/>
      <c r="AO454" s="116"/>
      <c r="AP454" s="116"/>
      <c r="AQ454" s="116"/>
      <c r="AR454" s="116"/>
      <c r="AS454" s="116"/>
      <c r="AT454" s="116"/>
      <c r="AU454" s="116"/>
      <c r="AV454" s="116"/>
      <c r="AW454" s="116"/>
      <c r="AX454" s="116"/>
      <c r="AY454" s="116"/>
      <c r="AZ454" s="116"/>
      <c r="BA454" s="116"/>
      <c r="BB454" s="116"/>
      <c r="BC454" s="116"/>
      <c r="BD454" s="116"/>
      <c r="BE454" s="116"/>
      <c r="BF454" s="116"/>
      <c r="BG454" s="116"/>
      <c r="BH454" s="116"/>
      <c r="BI454" s="116"/>
      <c r="BJ454" s="116"/>
      <c r="BK454" s="116"/>
      <c r="BL454" s="116"/>
      <c r="BM454" s="116"/>
      <c r="BN454" s="116"/>
      <c r="BO454" s="116"/>
      <c r="BP454" s="116"/>
      <c r="BQ454" s="116"/>
      <c r="BR454" s="116"/>
      <c r="BS454" s="116"/>
      <c r="BT454" s="116"/>
      <c r="BU454" s="116"/>
      <c r="BV454" s="116"/>
    </row>
    <row r="455" spans="2:74" x14ac:dyDescent="0.3">
      <c r="B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6"/>
      <c r="AG455" s="116"/>
      <c r="AH455" s="116"/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  <c r="BD455" s="116"/>
      <c r="BE455" s="116"/>
      <c r="BF455" s="116"/>
      <c r="BG455" s="116"/>
      <c r="BH455" s="116"/>
      <c r="BI455" s="116"/>
      <c r="BJ455" s="116"/>
      <c r="BK455" s="116"/>
      <c r="BL455" s="116"/>
      <c r="BM455" s="116"/>
      <c r="BN455" s="116"/>
      <c r="BO455" s="116"/>
      <c r="BP455" s="116"/>
      <c r="BQ455" s="116"/>
      <c r="BR455" s="116"/>
      <c r="BS455" s="116"/>
      <c r="BT455" s="116"/>
      <c r="BU455" s="116"/>
      <c r="BV455" s="116"/>
    </row>
    <row r="456" spans="2:74" x14ac:dyDescent="0.3">
      <c r="B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  <c r="AE456" s="116"/>
      <c r="AF456" s="116"/>
      <c r="AG456" s="116"/>
      <c r="AH456" s="116"/>
      <c r="AI456" s="116"/>
      <c r="AJ456" s="116"/>
      <c r="AK456" s="116"/>
      <c r="AL456" s="116"/>
      <c r="AM456" s="116"/>
      <c r="AN456" s="116"/>
      <c r="AO456" s="116"/>
      <c r="AP456" s="116"/>
      <c r="AQ456" s="116"/>
      <c r="AR456" s="116"/>
      <c r="AS456" s="116"/>
      <c r="AT456" s="116"/>
      <c r="AU456" s="116"/>
      <c r="AV456" s="116"/>
      <c r="AW456" s="116"/>
      <c r="AX456" s="116"/>
      <c r="AY456" s="116"/>
      <c r="AZ456" s="116"/>
      <c r="BA456" s="116"/>
      <c r="BB456" s="116"/>
      <c r="BC456" s="116"/>
      <c r="BD456" s="116"/>
      <c r="BE456" s="116"/>
      <c r="BF456" s="116"/>
      <c r="BG456" s="116"/>
      <c r="BH456" s="116"/>
      <c r="BI456" s="116"/>
      <c r="BJ456" s="116"/>
      <c r="BK456" s="116"/>
      <c r="BL456" s="116"/>
      <c r="BM456" s="116"/>
      <c r="BN456" s="116"/>
      <c r="BO456" s="116"/>
      <c r="BP456" s="116"/>
      <c r="BQ456" s="116"/>
      <c r="BR456" s="116"/>
      <c r="BS456" s="116"/>
      <c r="BT456" s="116"/>
      <c r="BU456" s="116"/>
      <c r="BV456" s="116"/>
    </row>
    <row r="457" spans="2:74" x14ac:dyDescent="0.3">
      <c r="B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16"/>
      <c r="AN457" s="116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  <c r="AZ457" s="116"/>
      <c r="BA457" s="116"/>
      <c r="BB457" s="116"/>
      <c r="BC457" s="116"/>
      <c r="BD457" s="116"/>
      <c r="BE457" s="116"/>
      <c r="BF457" s="116"/>
      <c r="BG457" s="116"/>
      <c r="BH457" s="116"/>
      <c r="BI457" s="116"/>
      <c r="BJ457" s="116"/>
      <c r="BK457" s="116"/>
      <c r="BL457" s="116"/>
      <c r="BM457" s="116"/>
      <c r="BN457" s="116"/>
      <c r="BO457" s="116"/>
      <c r="BP457" s="116"/>
      <c r="BQ457" s="116"/>
      <c r="BR457" s="116"/>
      <c r="BS457" s="116"/>
      <c r="BT457" s="116"/>
      <c r="BU457" s="116"/>
      <c r="BV457" s="116"/>
    </row>
    <row r="458" spans="2:74" x14ac:dyDescent="0.3">
      <c r="B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6"/>
      <c r="AG458" s="116"/>
      <c r="AH458" s="116"/>
      <c r="AI458" s="116"/>
      <c r="AJ458" s="116"/>
      <c r="AK458" s="116"/>
      <c r="AL458" s="116"/>
      <c r="AM458" s="116"/>
      <c r="AN458" s="116"/>
      <c r="AO458" s="116"/>
      <c r="AP458" s="116"/>
      <c r="AQ458" s="116"/>
      <c r="AR458" s="116"/>
      <c r="AS458" s="116"/>
      <c r="AT458" s="116"/>
      <c r="AU458" s="116"/>
      <c r="AV458" s="116"/>
      <c r="AW458" s="116"/>
      <c r="AX458" s="116"/>
      <c r="AY458" s="116"/>
      <c r="AZ458" s="116"/>
      <c r="BA458" s="116"/>
      <c r="BB458" s="116"/>
      <c r="BC458" s="116"/>
      <c r="BD458" s="116"/>
      <c r="BE458" s="116"/>
      <c r="BF458" s="116"/>
      <c r="BG458" s="116"/>
      <c r="BH458" s="116"/>
      <c r="BI458" s="116"/>
      <c r="BJ458" s="116"/>
      <c r="BK458" s="116"/>
      <c r="BL458" s="116"/>
      <c r="BM458" s="116"/>
      <c r="BN458" s="116"/>
      <c r="BO458" s="116"/>
      <c r="BP458" s="116"/>
      <c r="BQ458" s="116"/>
      <c r="BR458" s="116"/>
      <c r="BS458" s="116"/>
      <c r="BT458" s="116"/>
      <c r="BU458" s="116"/>
      <c r="BV458" s="116"/>
    </row>
    <row r="459" spans="2:74" x14ac:dyDescent="0.3">
      <c r="B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16"/>
      <c r="AN459" s="116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  <c r="AZ459" s="116"/>
      <c r="BA459" s="116"/>
      <c r="BB459" s="116"/>
      <c r="BC459" s="116"/>
      <c r="BD459" s="116"/>
      <c r="BE459" s="116"/>
      <c r="BF459" s="116"/>
      <c r="BG459" s="116"/>
      <c r="BH459" s="116"/>
      <c r="BI459" s="116"/>
      <c r="BJ459" s="116"/>
      <c r="BK459" s="116"/>
      <c r="BL459" s="116"/>
      <c r="BM459" s="116"/>
      <c r="BN459" s="116"/>
      <c r="BO459" s="116"/>
      <c r="BP459" s="116"/>
      <c r="BQ459" s="116"/>
      <c r="BR459" s="116"/>
      <c r="BS459" s="116"/>
      <c r="BT459" s="116"/>
      <c r="BU459" s="116"/>
      <c r="BV459" s="116"/>
    </row>
    <row r="460" spans="2:74" x14ac:dyDescent="0.3">
      <c r="B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6"/>
      <c r="AG460" s="116"/>
      <c r="AH460" s="116"/>
      <c r="AI460" s="116"/>
      <c r="AJ460" s="116"/>
      <c r="AK460" s="116"/>
      <c r="AL460" s="116"/>
      <c r="AM460" s="116"/>
      <c r="AN460" s="116"/>
      <c r="AO460" s="116"/>
      <c r="AP460" s="116"/>
      <c r="AQ460" s="116"/>
      <c r="AR460" s="116"/>
      <c r="AS460" s="116"/>
      <c r="AT460" s="116"/>
      <c r="AU460" s="116"/>
      <c r="AV460" s="116"/>
      <c r="AW460" s="116"/>
      <c r="AX460" s="116"/>
      <c r="AY460" s="116"/>
      <c r="AZ460" s="116"/>
      <c r="BA460" s="116"/>
      <c r="BB460" s="116"/>
      <c r="BC460" s="116"/>
      <c r="BD460" s="116"/>
      <c r="BE460" s="116"/>
      <c r="BF460" s="116"/>
      <c r="BG460" s="116"/>
      <c r="BH460" s="116"/>
      <c r="BI460" s="116"/>
      <c r="BJ460" s="116"/>
      <c r="BK460" s="116"/>
      <c r="BL460" s="116"/>
      <c r="BM460" s="116"/>
      <c r="BN460" s="116"/>
      <c r="BO460" s="116"/>
      <c r="BP460" s="116"/>
      <c r="BQ460" s="116"/>
      <c r="BR460" s="116"/>
      <c r="BS460" s="116"/>
      <c r="BT460" s="116"/>
      <c r="BU460" s="116"/>
      <c r="BV460" s="116"/>
    </row>
    <row r="461" spans="2:74" x14ac:dyDescent="0.3">
      <c r="B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16"/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16"/>
      <c r="AV461" s="116"/>
      <c r="AW461" s="116"/>
      <c r="AX461" s="116"/>
      <c r="AY461" s="116"/>
      <c r="AZ461" s="116"/>
      <c r="BA461" s="116"/>
      <c r="BB461" s="116"/>
      <c r="BC461" s="116"/>
      <c r="BD461" s="116"/>
      <c r="BE461" s="116"/>
      <c r="BF461" s="116"/>
      <c r="BG461" s="116"/>
      <c r="BH461" s="116"/>
      <c r="BI461" s="116"/>
      <c r="BJ461" s="116"/>
      <c r="BK461" s="116"/>
      <c r="BL461" s="116"/>
      <c r="BM461" s="116"/>
      <c r="BN461" s="116"/>
      <c r="BO461" s="116"/>
      <c r="BP461" s="116"/>
      <c r="BQ461" s="116"/>
      <c r="BR461" s="116"/>
      <c r="BS461" s="116"/>
      <c r="BT461" s="116"/>
      <c r="BU461" s="116"/>
      <c r="BV461" s="116"/>
    </row>
    <row r="462" spans="2:74" x14ac:dyDescent="0.3">
      <c r="B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6"/>
      <c r="AG462" s="116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</row>
    <row r="463" spans="2:74" x14ac:dyDescent="0.3">
      <c r="B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</row>
    <row r="464" spans="2:74" x14ac:dyDescent="0.3">
      <c r="B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  <c r="AE464" s="116"/>
      <c r="AF464" s="116"/>
      <c r="AG464" s="116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</row>
    <row r="465" spans="2:74" x14ac:dyDescent="0.3">
      <c r="B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6"/>
      <c r="AG465" s="116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</row>
    <row r="466" spans="2:74" x14ac:dyDescent="0.3">
      <c r="B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  <c r="AE466" s="116"/>
      <c r="AF466" s="116"/>
      <c r="AG466" s="116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</row>
    <row r="467" spans="2:74" x14ac:dyDescent="0.3">
      <c r="B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  <c r="AE467" s="116"/>
      <c r="AF467" s="116"/>
      <c r="AG467" s="116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116"/>
      <c r="BV467" s="116"/>
    </row>
    <row r="468" spans="2:74" x14ac:dyDescent="0.3">
      <c r="B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  <c r="AE468" s="116"/>
      <c r="AF468" s="116"/>
      <c r="AG468" s="116"/>
      <c r="AH468" s="116"/>
      <c r="AI468" s="116"/>
      <c r="AJ468" s="116"/>
      <c r="AK468" s="116"/>
      <c r="AL468" s="116"/>
      <c r="AM468" s="116"/>
      <c r="AN468" s="116"/>
      <c r="AO468" s="116"/>
      <c r="AP468" s="116"/>
      <c r="AQ468" s="116"/>
      <c r="AR468" s="116"/>
      <c r="AS468" s="116"/>
      <c r="AT468" s="116"/>
      <c r="AU468" s="116"/>
      <c r="AV468" s="116"/>
      <c r="AW468" s="116"/>
      <c r="AX468" s="116"/>
      <c r="AY468" s="116"/>
      <c r="AZ468" s="116"/>
      <c r="BA468" s="116"/>
      <c r="BB468" s="116"/>
      <c r="BC468" s="116"/>
      <c r="BD468" s="116"/>
      <c r="BE468" s="116"/>
      <c r="BF468" s="116"/>
      <c r="BG468" s="116"/>
      <c r="BH468" s="116"/>
      <c r="BI468" s="116"/>
      <c r="BJ468" s="116"/>
      <c r="BK468" s="116"/>
      <c r="BL468" s="116"/>
      <c r="BM468" s="116"/>
      <c r="BN468" s="116"/>
      <c r="BO468" s="116"/>
      <c r="BP468" s="116"/>
      <c r="BQ468" s="116"/>
      <c r="BR468" s="116"/>
      <c r="BS468" s="116"/>
      <c r="BT468" s="116"/>
      <c r="BU468" s="116"/>
      <c r="BV468" s="116"/>
    </row>
    <row r="469" spans="2:74" x14ac:dyDescent="0.3">
      <c r="B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6"/>
      <c r="AG469" s="116"/>
      <c r="AH469" s="116"/>
      <c r="AI469" s="116"/>
      <c r="AJ469" s="116"/>
      <c r="AK469" s="116"/>
      <c r="AL469" s="116"/>
      <c r="AM469" s="116"/>
      <c r="AN469" s="116"/>
      <c r="AO469" s="116"/>
      <c r="AP469" s="116"/>
      <c r="AQ469" s="116"/>
      <c r="AR469" s="116"/>
      <c r="AS469" s="116"/>
      <c r="AT469" s="116"/>
      <c r="AU469" s="116"/>
      <c r="AV469" s="116"/>
      <c r="AW469" s="116"/>
      <c r="AX469" s="116"/>
      <c r="AY469" s="116"/>
      <c r="AZ469" s="116"/>
      <c r="BA469" s="116"/>
      <c r="BB469" s="116"/>
      <c r="BC469" s="116"/>
      <c r="BD469" s="116"/>
      <c r="BE469" s="116"/>
      <c r="BF469" s="116"/>
      <c r="BG469" s="116"/>
      <c r="BH469" s="116"/>
      <c r="BI469" s="116"/>
      <c r="BJ469" s="116"/>
      <c r="BK469" s="116"/>
      <c r="BL469" s="116"/>
      <c r="BM469" s="116"/>
      <c r="BN469" s="116"/>
      <c r="BO469" s="116"/>
      <c r="BP469" s="116"/>
      <c r="BQ469" s="116"/>
      <c r="BR469" s="116"/>
      <c r="BS469" s="116"/>
      <c r="BT469" s="116"/>
      <c r="BU469" s="116"/>
      <c r="BV469" s="116"/>
    </row>
    <row r="470" spans="2:74" x14ac:dyDescent="0.3">
      <c r="B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  <c r="AE470" s="116"/>
      <c r="AF470" s="116"/>
      <c r="AG470" s="116"/>
      <c r="AH470" s="116"/>
      <c r="AI470" s="116"/>
      <c r="AJ470" s="116"/>
      <c r="AK470" s="116"/>
      <c r="AL470" s="116"/>
      <c r="AM470" s="116"/>
      <c r="AN470" s="116"/>
      <c r="AO470" s="116"/>
      <c r="AP470" s="116"/>
      <c r="AQ470" s="116"/>
      <c r="AR470" s="116"/>
      <c r="AS470" s="116"/>
      <c r="AT470" s="116"/>
      <c r="AU470" s="116"/>
      <c r="AV470" s="116"/>
      <c r="AW470" s="116"/>
      <c r="AX470" s="116"/>
      <c r="AY470" s="116"/>
      <c r="AZ470" s="116"/>
      <c r="BA470" s="116"/>
      <c r="BB470" s="116"/>
      <c r="BC470" s="116"/>
      <c r="BD470" s="116"/>
      <c r="BE470" s="116"/>
      <c r="BF470" s="116"/>
      <c r="BG470" s="116"/>
      <c r="BH470" s="116"/>
      <c r="BI470" s="116"/>
      <c r="BJ470" s="116"/>
      <c r="BK470" s="116"/>
      <c r="BL470" s="116"/>
      <c r="BM470" s="116"/>
      <c r="BN470" s="116"/>
      <c r="BO470" s="116"/>
      <c r="BP470" s="116"/>
      <c r="BQ470" s="116"/>
      <c r="BR470" s="116"/>
      <c r="BS470" s="116"/>
      <c r="BT470" s="116"/>
      <c r="BU470" s="116"/>
      <c r="BV470" s="116"/>
    </row>
    <row r="471" spans="2:74" x14ac:dyDescent="0.3">
      <c r="B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6"/>
      <c r="AG471" s="116"/>
      <c r="AH471" s="116"/>
      <c r="AI471" s="116"/>
      <c r="AJ471" s="116"/>
      <c r="AK471" s="116"/>
      <c r="AL471" s="116"/>
      <c r="AM471" s="116"/>
      <c r="AN471" s="116"/>
      <c r="AO471" s="116"/>
      <c r="AP471" s="116"/>
      <c r="AQ471" s="116"/>
      <c r="AR471" s="116"/>
      <c r="AS471" s="116"/>
      <c r="AT471" s="116"/>
      <c r="AU471" s="116"/>
      <c r="AV471" s="116"/>
      <c r="AW471" s="116"/>
      <c r="AX471" s="116"/>
      <c r="AY471" s="116"/>
      <c r="AZ471" s="116"/>
      <c r="BA471" s="116"/>
      <c r="BB471" s="116"/>
      <c r="BC471" s="116"/>
      <c r="BD471" s="116"/>
      <c r="BE471" s="116"/>
      <c r="BF471" s="116"/>
      <c r="BG471" s="116"/>
      <c r="BH471" s="116"/>
      <c r="BI471" s="116"/>
      <c r="BJ471" s="116"/>
      <c r="BK471" s="116"/>
      <c r="BL471" s="116"/>
      <c r="BM471" s="116"/>
      <c r="BN471" s="116"/>
      <c r="BO471" s="116"/>
      <c r="BP471" s="116"/>
      <c r="BQ471" s="116"/>
      <c r="BR471" s="116"/>
      <c r="BS471" s="116"/>
      <c r="BT471" s="116"/>
      <c r="BU471" s="116"/>
      <c r="BV471" s="116"/>
    </row>
    <row r="472" spans="2:74" x14ac:dyDescent="0.3">
      <c r="B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  <c r="AE472" s="116"/>
      <c r="AF472" s="116"/>
      <c r="AG472" s="116"/>
      <c r="AH472" s="116"/>
      <c r="AI472" s="116"/>
      <c r="AJ472" s="116"/>
      <c r="AK472" s="116"/>
      <c r="AL472" s="116"/>
      <c r="AM472" s="116"/>
      <c r="AN472" s="116"/>
      <c r="AO472" s="116"/>
      <c r="AP472" s="116"/>
      <c r="AQ472" s="116"/>
      <c r="AR472" s="116"/>
      <c r="AS472" s="116"/>
      <c r="AT472" s="116"/>
      <c r="AU472" s="116"/>
      <c r="AV472" s="116"/>
      <c r="AW472" s="116"/>
      <c r="AX472" s="116"/>
      <c r="AY472" s="116"/>
      <c r="AZ472" s="116"/>
      <c r="BA472" s="116"/>
      <c r="BB472" s="116"/>
      <c r="BC472" s="116"/>
      <c r="BD472" s="116"/>
      <c r="BE472" s="116"/>
      <c r="BF472" s="116"/>
      <c r="BG472" s="116"/>
      <c r="BH472" s="116"/>
      <c r="BI472" s="116"/>
      <c r="BJ472" s="116"/>
      <c r="BK472" s="116"/>
      <c r="BL472" s="116"/>
      <c r="BM472" s="116"/>
      <c r="BN472" s="116"/>
      <c r="BO472" s="116"/>
      <c r="BP472" s="116"/>
      <c r="BQ472" s="116"/>
      <c r="BR472" s="116"/>
      <c r="BS472" s="116"/>
      <c r="BT472" s="116"/>
      <c r="BU472" s="116"/>
      <c r="BV472" s="116"/>
    </row>
    <row r="473" spans="2:74" x14ac:dyDescent="0.3">
      <c r="B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  <c r="AE473" s="116"/>
      <c r="AF473" s="116"/>
      <c r="AG473" s="116"/>
      <c r="AH473" s="116"/>
      <c r="AI473" s="116"/>
      <c r="AJ473" s="116"/>
      <c r="AK473" s="116"/>
      <c r="AL473" s="116"/>
      <c r="AM473" s="116"/>
      <c r="AN473" s="116"/>
      <c r="AO473" s="116"/>
      <c r="AP473" s="116"/>
      <c r="AQ473" s="116"/>
      <c r="AR473" s="116"/>
      <c r="AS473" s="116"/>
      <c r="AT473" s="116"/>
      <c r="AU473" s="116"/>
      <c r="AV473" s="116"/>
      <c r="AW473" s="116"/>
      <c r="AX473" s="116"/>
      <c r="AY473" s="116"/>
      <c r="AZ473" s="116"/>
      <c r="BA473" s="116"/>
      <c r="BB473" s="116"/>
      <c r="BC473" s="116"/>
      <c r="BD473" s="116"/>
      <c r="BE473" s="116"/>
      <c r="BF473" s="116"/>
      <c r="BG473" s="116"/>
      <c r="BH473" s="116"/>
      <c r="BI473" s="116"/>
      <c r="BJ473" s="116"/>
      <c r="BK473" s="116"/>
      <c r="BL473" s="116"/>
      <c r="BM473" s="116"/>
      <c r="BN473" s="116"/>
      <c r="BO473" s="116"/>
      <c r="BP473" s="116"/>
      <c r="BQ473" s="116"/>
      <c r="BR473" s="116"/>
      <c r="BS473" s="116"/>
      <c r="BT473" s="116"/>
      <c r="BU473" s="116"/>
      <c r="BV473" s="116"/>
    </row>
    <row r="474" spans="2:74" x14ac:dyDescent="0.3">
      <c r="B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  <c r="AE474" s="116"/>
      <c r="AF474" s="116"/>
      <c r="AG474" s="116"/>
      <c r="AH474" s="116"/>
      <c r="AI474" s="116"/>
      <c r="AJ474" s="116"/>
      <c r="AK474" s="116"/>
      <c r="AL474" s="116"/>
      <c r="AM474" s="116"/>
      <c r="AN474" s="116"/>
      <c r="AO474" s="116"/>
      <c r="AP474" s="116"/>
      <c r="AQ474" s="116"/>
      <c r="AR474" s="116"/>
      <c r="AS474" s="116"/>
      <c r="AT474" s="116"/>
      <c r="AU474" s="116"/>
      <c r="AV474" s="116"/>
      <c r="AW474" s="116"/>
      <c r="AX474" s="116"/>
      <c r="AY474" s="116"/>
      <c r="AZ474" s="116"/>
      <c r="BA474" s="116"/>
      <c r="BB474" s="116"/>
      <c r="BC474" s="116"/>
      <c r="BD474" s="116"/>
      <c r="BE474" s="116"/>
      <c r="BF474" s="116"/>
      <c r="BG474" s="116"/>
      <c r="BH474" s="116"/>
      <c r="BI474" s="116"/>
      <c r="BJ474" s="116"/>
      <c r="BK474" s="116"/>
      <c r="BL474" s="116"/>
      <c r="BM474" s="116"/>
      <c r="BN474" s="116"/>
      <c r="BO474" s="116"/>
      <c r="BP474" s="116"/>
      <c r="BQ474" s="116"/>
      <c r="BR474" s="116"/>
      <c r="BS474" s="116"/>
      <c r="BT474" s="116"/>
      <c r="BU474" s="116"/>
      <c r="BV474" s="116"/>
    </row>
    <row r="475" spans="2:74" x14ac:dyDescent="0.3">
      <c r="B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  <c r="AE475" s="116"/>
      <c r="AF475" s="116"/>
      <c r="AG475" s="116"/>
      <c r="AH475" s="116"/>
      <c r="AI475" s="116"/>
      <c r="AJ475" s="116"/>
      <c r="AK475" s="116"/>
      <c r="AL475" s="116"/>
      <c r="AM475" s="116"/>
      <c r="AN475" s="116"/>
      <c r="AO475" s="116"/>
      <c r="AP475" s="116"/>
      <c r="AQ475" s="116"/>
      <c r="AR475" s="116"/>
      <c r="AS475" s="116"/>
      <c r="AT475" s="116"/>
      <c r="AU475" s="116"/>
      <c r="AV475" s="116"/>
      <c r="AW475" s="116"/>
      <c r="AX475" s="116"/>
      <c r="AY475" s="116"/>
      <c r="AZ475" s="116"/>
      <c r="BA475" s="116"/>
      <c r="BB475" s="116"/>
      <c r="BC475" s="116"/>
      <c r="BD475" s="116"/>
      <c r="BE475" s="116"/>
      <c r="BF475" s="116"/>
      <c r="BG475" s="116"/>
      <c r="BH475" s="116"/>
      <c r="BI475" s="116"/>
      <c r="BJ475" s="116"/>
      <c r="BK475" s="116"/>
      <c r="BL475" s="116"/>
      <c r="BM475" s="116"/>
      <c r="BN475" s="116"/>
      <c r="BO475" s="116"/>
      <c r="BP475" s="116"/>
      <c r="BQ475" s="116"/>
      <c r="BR475" s="116"/>
      <c r="BS475" s="116"/>
      <c r="BT475" s="116"/>
      <c r="BU475" s="116"/>
      <c r="BV475" s="116"/>
    </row>
    <row r="476" spans="2:74" x14ac:dyDescent="0.3">
      <c r="B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  <c r="AE476" s="116"/>
      <c r="AF476" s="116"/>
      <c r="AG476" s="116"/>
      <c r="AH476" s="116"/>
      <c r="AI476" s="116"/>
      <c r="AJ476" s="116"/>
      <c r="AK476" s="116"/>
      <c r="AL476" s="116"/>
      <c r="AM476" s="116"/>
      <c r="AN476" s="116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  <c r="AZ476" s="116"/>
      <c r="BA476" s="116"/>
      <c r="BB476" s="116"/>
      <c r="BC476" s="116"/>
      <c r="BD476" s="116"/>
      <c r="BE476" s="116"/>
      <c r="BF476" s="116"/>
      <c r="BG476" s="116"/>
      <c r="BH476" s="116"/>
      <c r="BI476" s="116"/>
      <c r="BJ476" s="116"/>
      <c r="BK476" s="116"/>
      <c r="BL476" s="116"/>
      <c r="BM476" s="116"/>
      <c r="BN476" s="116"/>
      <c r="BO476" s="116"/>
      <c r="BP476" s="116"/>
      <c r="BQ476" s="116"/>
      <c r="BR476" s="116"/>
      <c r="BS476" s="116"/>
      <c r="BT476" s="116"/>
      <c r="BU476" s="116"/>
      <c r="BV476" s="116"/>
    </row>
    <row r="477" spans="2:74" x14ac:dyDescent="0.3">
      <c r="B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  <c r="AE477" s="116"/>
      <c r="AF477" s="116"/>
      <c r="AG477" s="116"/>
      <c r="AH477" s="116"/>
      <c r="AI477" s="116"/>
      <c r="AJ477" s="116"/>
      <c r="AK477" s="116"/>
      <c r="AL477" s="116"/>
      <c r="AM477" s="116"/>
      <c r="AN477" s="116"/>
      <c r="AO477" s="116"/>
      <c r="AP477" s="116"/>
      <c r="AQ477" s="116"/>
      <c r="AR477" s="116"/>
      <c r="AS477" s="116"/>
      <c r="AT477" s="116"/>
      <c r="AU477" s="116"/>
      <c r="AV477" s="116"/>
      <c r="AW477" s="116"/>
      <c r="AX477" s="116"/>
      <c r="AY477" s="116"/>
      <c r="AZ477" s="116"/>
      <c r="BA477" s="116"/>
      <c r="BB477" s="116"/>
      <c r="BC477" s="116"/>
      <c r="BD477" s="116"/>
      <c r="BE477" s="116"/>
      <c r="BF477" s="116"/>
      <c r="BG477" s="116"/>
      <c r="BH477" s="116"/>
      <c r="BI477" s="116"/>
      <c r="BJ477" s="116"/>
      <c r="BK477" s="116"/>
      <c r="BL477" s="116"/>
      <c r="BM477" s="116"/>
      <c r="BN477" s="116"/>
      <c r="BO477" s="116"/>
      <c r="BP477" s="116"/>
      <c r="BQ477" s="116"/>
      <c r="BR477" s="116"/>
      <c r="BS477" s="116"/>
      <c r="BT477" s="116"/>
      <c r="BU477" s="116"/>
      <c r="BV477" s="116"/>
    </row>
    <row r="478" spans="2:74" x14ac:dyDescent="0.3">
      <c r="B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  <c r="AZ478" s="116"/>
      <c r="BA478" s="116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116"/>
    </row>
    <row r="479" spans="2:74" x14ac:dyDescent="0.3">
      <c r="B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  <c r="AE479" s="116"/>
      <c r="AF479" s="116"/>
      <c r="AG479" s="116"/>
      <c r="AH479" s="116"/>
      <c r="AI479" s="116"/>
      <c r="AJ479" s="116"/>
      <c r="AK479" s="116"/>
      <c r="AL479" s="116"/>
      <c r="AM479" s="116"/>
      <c r="AN479" s="116"/>
      <c r="AO479" s="116"/>
      <c r="AP479" s="116"/>
      <c r="AQ479" s="116"/>
      <c r="AR479" s="116"/>
      <c r="AS479" s="116"/>
      <c r="AT479" s="116"/>
      <c r="AU479" s="116"/>
      <c r="AV479" s="116"/>
      <c r="AW479" s="116"/>
      <c r="AX479" s="116"/>
      <c r="AY479" s="116"/>
      <c r="AZ479" s="116"/>
      <c r="BA479" s="116"/>
      <c r="BB479" s="116"/>
      <c r="BC479" s="116"/>
      <c r="BD479" s="116"/>
      <c r="BE479" s="116"/>
      <c r="BF479" s="116"/>
      <c r="BG479" s="116"/>
      <c r="BH479" s="116"/>
      <c r="BI479" s="116"/>
      <c r="BJ479" s="116"/>
      <c r="BK479" s="116"/>
      <c r="BL479" s="116"/>
      <c r="BM479" s="116"/>
      <c r="BN479" s="116"/>
      <c r="BO479" s="116"/>
      <c r="BP479" s="116"/>
      <c r="BQ479" s="116"/>
      <c r="BR479" s="116"/>
      <c r="BS479" s="116"/>
      <c r="BT479" s="116"/>
      <c r="BU479" s="116"/>
      <c r="BV479" s="116"/>
    </row>
    <row r="480" spans="2:74" x14ac:dyDescent="0.3">
      <c r="B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  <c r="AE480" s="116"/>
      <c r="AF480" s="116"/>
      <c r="AG480" s="116"/>
      <c r="AH480" s="116"/>
      <c r="AI480" s="116"/>
      <c r="AJ480" s="116"/>
      <c r="AK480" s="116"/>
      <c r="AL480" s="116"/>
      <c r="AM480" s="116"/>
      <c r="AN480" s="116"/>
      <c r="AO480" s="116"/>
      <c r="AP480" s="116"/>
      <c r="AQ480" s="116"/>
      <c r="AR480" s="116"/>
      <c r="AS480" s="116"/>
      <c r="AT480" s="116"/>
      <c r="AU480" s="116"/>
      <c r="AV480" s="116"/>
      <c r="AW480" s="116"/>
      <c r="AX480" s="116"/>
      <c r="AY480" s="116"/>
      <c r="AZ480" s="116"/>
      <c r="BA480" s="116"/>
      <c r="BB480" s="116"/>
      <c r="BC480" s="116"/>
      <c r="BD480" s="116"/>
      <c r="BE480" s="116"/>
      <c r="BF480" s="116"/>
      <c r="BG480" s="116"/>
      <c r="BH480" s="116"/>
      <c r="BI480" s="116"/>
      <c r="BJ480" s="116"/>
      <c r="BK480" s="116"/>
      <c r="BL480" s="116"/>
      <c r="BM480" s="116"/>
      <c r="BN480" s="116"/>
      <c r="BO480" s="116"/>
      <c r="BP480" s="116"/>
      <c r="BQ480" s="116"/>
      <c r="BR480" s="116"/>
      <c r="BS480" s="116"/>
      <c r="BT480" s="116"/>
      <c r="BU480" s="116"/>
      <c r="BV480" s="116"/>
    </row>
    <row r="481" spans="2:74" x14ac:dyDescent="0.3">
      <c r="B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  <c r="AE481" s="116"/>
      <c r="AF481" s="116"/>
      <c r="AG481" s="116"/>
      <c r="AH481" s="116"/>
      <c r="AI481" s="116"/>
      <c r="AJ481" s="116"/>
      <c r="AK481" s="116"/>
      <c r="AL481" s="116"/>
      <c r="AM481" s="116"/>
      <c r="AN481" s="116"/>
      <c r="AO481" s="116"/>
      <c r="AP481" s="116"/>
      <c r="AQ481" s="116"/>
      <c r="AR481" s="116"/>
      <c r="AS481" s="116"/>
      <c r="AT481" s="116"/>
      <c r="AU481" s="116"/>
      <c r="AV481" s="116"/>
      <c r="AW481" s="116"/>
      <c r="AX481" s="116"/>
      <c r="AY481" s="116"/>
      <c r="AZ481" s="116"/>
      <c r="BA481" s="116"/>
      <c r="BB481" s="116"/>
      <c r="BC481" s="116"/>
      <c r="BD481" s="116"/>
      <c r="BE481" s="116"/>
      <c r="BF481" s="116"/>
      <c r="BG481" s="116"/>
      <c r="BH481" s="116"/>
      <c r="BI481" s="116"/>
      <c r="BJ481" s="116"/>
      <c r="BK481" s="116"/>
      <c r="BL481" s="116"/>
      <c r="BM481" s="116"/>
      <c r="BN481" s="116"/>
      <c r="BO481" s="116"/>
      <c r="BP481" s="116"/>
      <c r="BQ481" s="116"/>
      <c r="BR481" s="116"/>
      <c r="BS481" s="116"/>
      <c r="BT481" s="116"/>
      <c r="BU481" s="116"/>
      <c r="BV481" s="116"/>
    </row>
    <row r="482" spans="2:74" x14ac:dyDescent="0.3">
      <c r="B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  <c r="AE482" s="116"/>
      <c r="AF482" s="116"/>
      <c r="AG482" s="116"/>
      <c r="AH482" s="116"/>
      <c r="AI482" s="116"/>
      <c r="AJ482" s="116"/>
      <c r="AK482" s="116"/>
      <c r="AL482" s="116"/>
      <c r="AM482" s="116"/>
      <c r="AN482" s="116"/>
      <c r="AO482" s="116"/>
      <c r="AP482" s="116"/>
      <c r="AQ482" s="116"/>
      <c r="AR482" s="116"/>
      <c r="AS482" s="116"/>
      <c r="AT482" s="116"/>
      <c r="AU482" s="116"/>
      <c r="AV482" s="116"/>
      <c r="AW482" s="116"/>
      <c r="AX482" s="116"/>
      <c r="AY482" s="116"/>
      <c r="AZ482" s="116"/>
      <c r="BA482" s="116"/>
      <c r="BB482" s="116"/>
      <c r="BC482" s="116"/>
      <c r="BD482" s="116"/>
      <c r="BE482" s="116"/>
      <c r="BF482" s="116"/>
      <c r="BG482" s="116"/>
      <c r="BH482" s="116"/>
      <c r="BI482" s="116"/>
      <c r="BJ482" s="116"/>
      <c r="BK482" s="116"/>
      <c r="BL482" s="116"/>
      <c r="BM482" s="116"/>
      <c r="BN482" s="116"/>
      <c r="BO482" s="116"/>
      <c r="BP482" s="116"/>
      <c r="BQ482" s="116"/>
      <c r="BR482" s="116"/>
      <c r="BS482" s="116"/>
      <c r="BT482" s="116"/>
      <c r="BU482" s="116"/>
      <c r="BV482" s="116"/>
    </row>
    <row r="483" spans="2:74" x14ac:dyDescent="0.3">
      <c r="B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6"/>
      <c r="AG483" s="116"/>
      <c r="AH483" s="116"/>
      <c r="AI483" s="116"/>
      <c r="AJ483" s="116"/>
      <c r="AK483" s="116"/>
      <c r="AL483" s="116"/>
      <c r="AM483" s="116"/>
      <c r="AN483" s="116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  <c r="AZ483" s="116"/>
      <c r="BA483" s="116"/>
      <c r="BB483" s="116"/>
      <c r="BC483" s="116"/>
      <c r="BD483" s="116"/>
      <c r="BE483" s="116"/>
      <c r="BF483" s="116"/>
      <c r="BG483" s="116"/>
      <c r="BH483" s="116"/>
      <c r="BI483" s="116"/>
      <c r="BJ483" s="116"/>
      <c r="BK483" s="116"/>
      <c r="BL483" s="116"/>
      <c r="BM483" s="116"/>
      <c r="BN483" s="116"/>
      <c r="BO483" s="116"/>
      <c r="BP483" s="116"/>
      <c r="BQ483" s="116"/>
      <c r="BR483" s="116"/>
      <c r="BS483" s="116"/>
      <c r="BT483" s="116"/>
      <c r="BU483" s="116"/>
      <c r="BV483" s="116"/>
    </row>
    <row r="484" spans="2:74" x14ac:dyDescent="0.3">
      <c r="B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6"/>
      <c r="AG484" s="116"/>
      <c r="AH484" s="116"/>
      <c r="AI484" s="116"/>
      <c r="AJ484" s="116"/>
      <c r="AK484" s="116"/>
      <c r="AL484" s="116"/>
      <c r="AM484" s="116"/>
      <c r="AN484" s="116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  <c r="AZ484" s="116"/>
      <c r="BA484" s="116"/>
      <c r="BB484" s="116"/>
      <c r="BC484" s="116"/>
      <c r="BD484" s="116"/>
      <c r="BE484" s="116"/>
      <c r="BF484" s="116"/>
      <c r="BG484" s="116"/>
      <c r="BH484" s="116"/>
      <c r="BI484" s="116"/>
      <c r="BJ484" s="116"/>
      <c r="BK484" s="116"/>
      <c r="BL484" s="116"/>
      <c r="BM484" s="116"/>
      <c r="BN484" s="116"/>
      <c r="BO484" s="116"/>
      <c r="BP484" s="116"/>
      <c r="BQ484" s="116"/>
      <c r="BR484" s="116"/>
      <c r="BS484" s="116"/>
      <c r="BT484" s="116"/>
      <c r="BU484" s="116"/>
      <c r="BV484" s="116"/>
    </row>
    <row r="485" spans="2:74" x14ac:dyDescent="0.3">
      <c r="B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6"/>
      <c r="AG485" s="116"/>
      <c r="AH485" s="116"/>
      <c r="AI485" s="116"/>
      <c r="AJ485" s="116"/>
      <c r="AK485" s="116"/>
      <c r="AL485" s="116"/>
      <c r="AM485" s="116"/>
      <c r="AN485" s="116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  <c r="AZ485" s="116"/>
      <c r="BA485" s="116"/>
      <c r="BB485" s="116"/>
      <c r="BC485" s="116"/>
      <c r="BD485" s="116"/>
      <c r="BE485" s="116"/>
      <c r="BF485" s="116"/>
      <c r="BG485" s="116"/>
      <c r="BH485" s="116"/>
      <c r="BI485" s="116"/>
      <c r="BJ485" s="116"/>
      <c r="BK485" s="116"/>
      <c r="BL485" s="116"/>
      <c r="BM485" s="116"/>
      <c r="BN485" s="116"/>
      <c r="BO485" s="116"/>
      <c r="BP485" s="116"/>
      <c r="BQ485" s="116"/>
      <c r="BR485" s="116"/>
      <c r="BS485" s="116"/>
      <c r="BT485" s="116"/>
      <c r="BU485" s="116"/>
      <c r="BV485" s="116"/>
    </row>
    <row r="486" spans="2:74" x14ac:dyDescent="0.3">
      <c r="B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  <c r="AE486" s="116"/>
      <c r="AF486" s="116"/>
      <c r="AG486" s="116"/>
      <c r="AH486" s="116"/>
      <c r="AI486" s="116"/>
      <c r="AJ486" s="116"/>
      <c r="AK486" s="116"/>
      <c r="AL486" s="116"/>
      <c r="AM486" s="116"/>
      <c r="AN486" s="116"/>
      <c r="AO486" s="116"/>
      <c r="AP486" s="116"/>
      <c r="AQ486" s="116"/>
      <c r="AR486" s="116"/>
      <c r="AS486" s="116"/>
      <c r="AT486" s="116"/>
      <c r="AU486" s="116"/>
      <c r="AV486" s="116"/>
      <c r="AW486" s="116"/>
      <c r="AX486" s="116"/>
      <c r="AY486" s="116"/>
      <c r="AZ486" s="116"/>
      <c r="BA486" s="116"/>
      <c r="BB486" s="116"/>
      <c r="BC486" s="116"/>
      <c r="BD486" s="116"/>
      <c r="BE486" s="116"/>
      <c r="BF486" s="116"/>
      <c r="BG486" s="116"/>
      <c r="BH486" s="116"/>
      <c r="BI486" s="116"/>
      <c r="BJ486" s="116"/>
      <c r="BK486" s="116"/>
      <c r="BL486" s="116"/>
      <c r="BM486" s="116"/>
      <c r="BN486" s="116"/>
      <c r="BO486" s="116"/>
      <c r="BP486" s="116"/>
      <c r="BQ486" s="116"/>
      <c r="BR486" s="116"/>
      <c r="BS486" s="116"/>
      <c r="BT486" s="116"/>
      <c r="BU486" s="116"/>
      <c r="BV486" s="116"/>
    </row>
    <row r="487" spans="2:74" x14ac:dyDescent="0.3">
      <c r="B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6"/>
      <c r="AG487" s="116"/>
      <c r="AH487" s="116"/>
      <c r="AI487" s="116"/>
      <c r="AJ487" s="116"/>
      <c r="AK487" s="116"/>
      <c r="AL487" s="116"/>
      <c r="AM487" s="116"/>
      <c r="AN487" s="116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  <c r="AZ487" s="116"/>
      <c r="BA487" s="116"/>
      <c r="BB487" s="116"/>
      <c r="BC487" s="116"/>
      <c r="BD487" s="116"/>
      <c r="BE487" s="116"/>
      <c r="BF487" s="116"/>
      <c r="BG487" s="116"/>
      <c r="BH487" s="116"/>
      <c r="BI487" s="116"/>
      <c r="BJ487" s="116"/>
      <c r="BK487" s="116"/>
      <c r="BL487" s="116"/>
      <c r="BM487" s="116"/>
      <c r="BN487" s="116"/>
      <c r="BO487" s="116"/>
      <c r="BP487" s="116"/>
      <c r="BQ487" s="116"/>
      <c r="BR487" s="116"/>
      <c r="BS487" s="116"/>
      <c r="BT487" s="116"/>
      <c r="BU487" s="116"/>
      <c r="BV487" s="116"/>
    </row>
    <row r="488" spans="2:74" x14ac:dyDescent="0.3">
      <c r="B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  <c r="AE488" s="116"/>
      <c r="AF488" s="116"/>
      <c r="AG488" s="116"/>
      <c r="AH488" s="116"/>
      <c r="AI488" s="116"/>
      <c r="AJ488" s="116"/>
      <c r="AK488" s="116"/>
      <c r="AL488" s="116"/>
      <c r="AM488" s="116"/>
      <c r="AN488" s="116"/>
      <c r="AO488" s="116"/>
      <c r="AP488" s="116"/>
      <c r="AQ488" s="116"/>
      <c r="AR488" s="116"/>
      <c r="AS488" s="116"/>
      <c r="AT488" s="116"/>
      <c r="AU488" s="116"/>
      <c r="AV488" s="116"/>
      <c r="AW488" s="116"/>
      <c r="AX488" s="116"/>
      <c r="AY488" s="116"/>
      <c r="AZ488" s="116"/>
      <c r="BA488" s="116"/>
      <c r="BB488" s="116"/>
      <c r="BC488" s="116"/>
      <c r="BD488" s="116"/>
      <c r="BE488" s="116"/>
      <c r="BF488" s="116"/>
      <c r="BG488" s="116"/>
      <c r="BH488" s="116"/>
      <c r="BI488" s="116"/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T488" s="116"/>
      <c r="BU488" s="116"/>
      <c r="BV488" s="116"/>
    </row>
    <row r="489" spans="2:74" x14ac:dyDescent="0.3">
      <c r="B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  <c r="AI489" s="116"/>
      <c r="AJ489" s="116"/>
      <c r="AK489" s="116"/>
      <c r="AL489" s="116"/>
      <c r="AM489" s="116"/>
      <c r="AN489" s="116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  <c r="BF489" s="116"/>
      <c r="BG489" s="116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V489" s="116"/>
    </row>
    <row r="490" spans="2:74" x14ac:dyDescent="0.3">
      <c r="B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  <c r="AE490" s="116"/>
      <c r="AF490" s="116"/>
      <c r="AG490" s="116"/>
      <c r="AH490" s="116"/>
      <c r="AI490" s="116"/>
      <c r="AJ490" s="116"/>
      <c r="AK490" s="116"/>
      <c r="AL490" s="116"/>
      <c r="AM490" s="116"/>
      <c r="AN490" s="116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  <c r="AZ490" s="116"/>
      <c r="BA490" s="116"/>
      <c r="BB490" s="116"/>
      <c r="BC490" s="116"/>
      <c r="BD490" s="116"/>
      <c r="BE490" s="116"/>
      <c r="BF490" s="116"/>
      <c r="BG490" s="116"/>
      <c r="BH490" s="116"/>
      <c r="BI490" s="116"/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T490" s="116"/>
      <c r="BU490" s="116"/>
      <c r="BV490" s="116"/>
    </row>
    <row r="491" spans="2:74" x14ac:dyDescent="0.3">
      <c r="B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  <c r="BD491" s="116"/>
      <c r="BE491" s="116"/>
      <c r="BF491" s="116"/>
      <c r="BG491" s="116"/>
      <c r="BH491" s="116"/>
      <c r="BI491" s="116"/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116"/>
      <c r="BV491" s="116"/>
    </row>
    <row r="492" spans="2:74" x14ac:dyDescent="0.3">
      <c r="B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6"/>
      <c r="AG492" s="116"/>
      <c r="AH492" s="116"/>
      <c r="AI492" s="116"/>
      <c r="AJ492" s="116"/>
      <c r="AK492" s="116"/>
      <c r="AL492" s="116"/>
      <c r="AM492" s="116"/>
      <c r="AN492" s="116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  <c r="AZ492" s="116"/>
      <c r="BA492" s="116"/>
      <c r="BB492" s="116"/>
      <c r="BC492" s="116"/>
      <c r="BD492" s="116"/>
      <c r="BE492" s="116"/>
      <c r="BF492" s="116"/>
      <c r="BG492" s="116"/>
      <c r="BH492" s="116"/>
      <c r="BI492" s="116"/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116"/>
      <c r="BV492" s="116"/>
    </row>
    <row r="493" spans="2:74" x14ac:dyDescent="0.3">
      <c r="B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6"/>
      <c r="AG493" s="116"/>
      <c r="AH493" s="116"/>
      <c r="AI493" s="116"/>
      <c r="AJ493" s="116"/>
      <c r="AK493" s="116"/>
      <c r="AL493" s="116"/>
      <c r="AM493" s="116"/>
      <c r="AN493" s="116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16"/>
      <c r="BF493" s="116"/>
      <c r="BG493" s="116"/>
      <c r="BH493" s="116"/>
      <c r="BI493" s="116"/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116"/>
      <c r="BV493" s="116"/>
    </row>
    <row r="494" spans="2:74" x14ac:dyDescent="0.3">
      <c r="B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6"/>
      <c r="AG494" s="116"/>
      <c r="AH494" s="116"/>
      <c r="AI494" s="116"/>
      <c r="AJ494" s="116"/>
      <c r="AK494" s="116"/>
      <c r="AL494" s="116"/>
      <c r="AM494" s="116"/>
      <c r="AN494" s="116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  <c r="AZ494" s="116"/>
      <c r="BA494" s="116"/>
      <c r="BB494" s="116"/>
      <c r="BC494" s="116"/>
      <c r="BD494" s="116"/>
      <c r="BE494" s="116"/>
      <c r="BF494" s="116"/>
      <c r="BG494" s="116"/>
      <c r="BH494" s="116"/>
      <c r="BI494" s="116"/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116"/>
      <c r="BV494" s="116"/>
    </row>
    <row r="495" spans="2:74" x14ac:dyDescent="0.3">
      <c r="B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  <c r="AE495" s="116"/>
      <c r="AF495" s="116"/>
      <c r="AG495" s="116"/>
      <c r="AH495" s="116"/>
      <c r="AI495" s="116"/>
      <c r="AJ495" s="116"/>
      <c r="AK495" s="116"/>
      <c r="AL495" s="116"/>
      <c r="AM495" s="116"/>
      <c r="AN495" s="116"/>
      <c r="AO495" s="116"/>
      <c r="AP495" s="116"/>
      <c r="AQ495" s="116"/>
      <c r="AR495" s="116"/>
      <c r="AS495" s="116"/>
      <c r="AT495" s="116"/>
      <c r="AU495" s="116"/>
      <c r="AV495" s="116"/>
      <c r="AW495" s="116"/>
      <c r="AX495" s="116"/>
      <c r="AY495" s="116"/>
      <c r="AZ495" s="116"/>
      <c r="BA495" s="116"/>
      <c r="BB495" s="116"/>
      <c r="BC495" s="116"/>
      <c r="BD495" s="116"/>
      <c r="BE495" s="116"/>
      <c r="BF495" s="116"/>
      <c r="BG495" s="116"/>
      <c r="BH495" s="116"/>
      <c r="BI495" s="116"/>
      <c r="BJ495" s="116"/>
      <c r="BK495" s="116"/>
      <c r="BL495" s="116"/>
      <c r="BM495" s="116"/>
      <c r="BN495" s="116"/>
      <c r="BO495" s="116"/>
      <c r="BP495" s="116"/>
      <c r="BQ495" s="116"/>
      <c r="BR495" s="116"/>
      <c r="BS495" s="116"/>
      <c r="BT495" s="116"/>
      <c r="BU495" s="116"/>
      <c r="BV495" s="116"/>
    </row>
    <row r="496" spans="2:74" x14ac:dyDescent="0.3">
      <c r="B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  <c r="AE496" s="116"/>
      <c r="AF496" s="116"/>
      <c r="AG496" s="116"/>
      <c r="AH496" s="116"/>
      <c r="AI496" s="116"/>
      <c r="AJ496" s="116"/>
      <c r="AK496" s="116"/>
      <c r="AL496" s="116"/>
      <c r="AM496" s="116"/>
      <c r="AN496" s="116"/>
      <c r="AO496" s="116"/>
      <c r="AP496" s="116"/>
      <c r="AQ496" s="116"/>
      <c r="AR496" s="116"/>
      <c r="AS496" s="116"/>
      <c r="AT496" s="116"/>
      <c r="AU496" s="116"/>
      <c r="AV496" s="116"/>
      <c r="AW496" s="116"/>
      <c r="AX496" s="116"/>
      <c r="AY496" s="116"/>
      <c r="AZ496" s="116"/>
      <c r="BA496" s="116"/>
      <c r="BB496" s="116"/>
      <c r="BC496" s="116"/>
      <c r="BD496" s="116"/>
      <c r="BE496" s="116"/>
      <c r="BF496" s="116"/>
      <c r="BG496" s="116"/>
      <c r="BH496" s="116"/>
      <c r="BI496" s="116"/>
      <c r="BJ496" s="116"/>
      <c r="BK496" s="116"/>
      <c r="BL496" s="116"/>
      <c r="BM496" s="116"/>
      <c r="BN496" s="116"/>
      <c r="BO496" s="116"/>
      <c r="BP496" s="116"/>
      <c r="BQ496" s="116"/>
      <c r="BR496" s="116"/>
      <c r="BS496" s="116"/>
      <c r="BT496" s="116"/>
      <c r="BU496" s="116"/>
      <c r="BV496" s="116"/>
    </row>
    <row r="497" spans="2:74" x14ac:dyDescent="0.3">
      <c r="B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  <c r="AE497" s="116"/>
      <c r="AF497" s="116"/>
      <c r="AG497" s="116"/>
      <c r="AH497" s="116"/>
      <c r="AI497" s="116"/>
      <c r="AJ497" s="116"/>
      <c r="AK497" s="116"/>
      <c r="AL497" s="116"/>
      <c r="AM497" s="116"/>
      <c r="AN497" s="116"/>
      <c r="AO497" s="116"/>
      <c r="AP497" s="116"/>
      <c r="AQ497" s="116"/>
      <c r="AR497" s="116"/>
      <c r="AS497" s="116"/>
      <c r="AT497" s="116"/>
      <c r="AU497" s="116"/>
      <c r="AV497" s="116"/>
      <c r="AW497" s="116"/>
      <c r="AX497" s="116"/>
      <c r="AY497" s="116"/>
      <c r="AZ497" s="116"/>
      <c r="BA497" s="116"/>
      <c r="BB497" s="116"/>
      <c r="BC497" s="116"/>
      <c r="BD497" s="116"/>
      <c r="BE497" s="116"/>
      <c r="BF497" s="116"/>
      <c r="BG497" s="116"/>
      <c r="BH497" s="116"/>
      <c r="BI497" s="116"/>
      <c r="BJ497" s="116"/>
      <c r="BK497" s="116"/>
      <c r="BL497" s="116"/>
      <c r="BM497" s="116"/>
      <c r="BN497" s="116"/>
      <c r="BO497" s="116"/>
      <c r="BP497" s="116"/>
      <c r="BQ497" s="116"/>
      <c r="BR497" s="116"/>
      <c r="BS497" s="116"/>
      <c r="BT497" s="116"/>
      <c r="BU497" s="116"/>
      <c r="BV497" s="116"/>
    </row>
    <row r="498" spans="2:74" x14ac:dyDescent="0.3">
      <c r="B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  <c r="AE498" s="116"/>
      <c r="AF498" s="116"/>
      <c r="AG498" s="116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V498" s="116"/>
    </row>
    <row r="499" spans="2:74" x14ac:dyDescent="0.3">
      <c r="B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  <c r="AE499" s="116"/>
      <c r="AF499" s="116"/>
      <c r="AG499" s="116"/>
      <c r="AH499" s="116"/>
      <c r="AI499" s="116"/>
      <c r="AJ499" s="116"/>
      <c r="AK499" s="116"/>
      <c r="AL499" s="116"/>
      <c r="AM499" s="116"/>
      <c r="AN499" s="116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116"/>
      <c r="BC499" s="116"/>
      <c r="BD499" s="116"/>
      <c r="BE499" s="116"/>
      <c r="BF499" s="116"/>
      <c r="BG499" s="116"/>
      <c r="BH499" s="116"/>
      <c r="BI499" s="116"/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116"/>
      <c r="BV499" s="116"/>
    </row>
    <row r="500" spans="2:74" x14ac:dyDescent="0.3">
      <c r="B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  <c r="AE500" s="116"/>
      <c r="AF500" s="116"/>
      <c r="AG500" s="116"/>
      <c r="AH500" s="116"/>
      <c r="AI500" s="116"/>
      <c r="AJ500" s="116"/>
      <c r="AK500" s="116"/>
      <c r="AL500" s="116"/>
      <c r="AM500" s="116"/>
      <c r="AN500" s="116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  <c r="BF500" s="116"/>
      <c r="BG500" s="116"/>
      <c r="BH500" s="116"/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V500" s="116"/>
    </row>
    <row r="501" spans="2:74" x14ac:dyDescent="0.3">
      <c r="B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  <c r="AE501" s="116"/>
      <c r="AF501" s="116"/>
      <c r="AG501" s="116"/>
      <c r="AH501" s="116"/>
      <c r="AI501" s="116"/>
      <c r="AJ501" s="116"/>
      <c r="AK501" s="116"/>
      <c r="AL501" s="116"/>
      <c r="AM501" s="116"/>
      <c r="AN501" s="116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  <c r="AZ501" s="116"/>
      <c r="BA501" s="116"/>
      <c r="BB501" s="116"/>
      <c r="BC501" s="116"/>
      <c r="BD501" s="116"/>
      <c r="BE501" s="116"/>
      <c r="BF501" s="116"/>
      <c r="BG501" s="116"/>
      <c r="BH501" s="116"/>
      <c r="BI501" s="116"/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116"/>
      <c r="BV501" s="116"/>
    </row>
    <row r="502" spans="2:74" x14ac:dyDescent="0.3">
      <c r="B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16"/>
      <c r="AN502" s="116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  <c r="AZ502" s="116"/>
      <c r="BA502" s="116"/>
      <c r="BB502" s="116"/>
      <c r="BC502" s="116"/>
      <c r="BD502" s="116"/>
      <c r="BE502" s="116"/>
      <c r="BF502" s="116"/>
      <c r="BG502" s="116"/>
      <c r="BH502" s="116"/>
      <c r="BI502" s="116"/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T502" s="116"/>
      <c r="BU502" s="116"/>
      <c r="BV502" s="116"/>
    </row>
    <row r="503" spans="2:74" x14ac:dyDescent="0.3">
      <c r="B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  <c r="AE503" s="116"/>
      <c r="AF503" s="116"/>
      <c r="AG503" s="116"/>
      <c r="AH503" s="116"/>
      <c r="AI503" s="116"/>
      <c r="AJ503" s="116"/>
      <c r="AK503" s="116"/>
      <c r="AL503" s="116"/>
      <c r="AM503" s="116"/>
      <c r="AN503" s="116"/>
      <c r="AO503" s="116"/>
      <c r="AP503" s="116"/>
      <c r="AQ503" s="116"/>
      <c r="AR503" s="116"/>
      <c r="AS503" s="116"/>
      <c r="AT503" s="116"/>
      <c r="AU503" s="116"/>
      <c r="AV503" s="116"/>
      <c r="AW503" s="116"/>
      <c r="AX503" s="116"/>
      <c r="AY503" s="116"/>
      <c r="AZ503" s="116"/>
      <c r="BA503" s="116"/>
      <c r="BB503" s="116"/>
      <c r="BC503" s="116"/>
      <c r="BD503" s="116"/>
      <c r="BE503" s="116"/>
      <c r="BF503" s="116"/>
      <c r="BG503" s="116"/>
      <c r="BH503" s="116"/>
      <c r="BI503" s="116"/>
      <c r="BJ503" s="116"/>
      <c r="BK503" s="116"/>
      <c r="BL503" s="116"/>
      <c r="BM503" s="116"/>
      <c r="BN503" s="116"/>
      <c r="BO503" s="116"/>
      <c r="BP503" s="116"/>
      <c r="BQ503" s="116"/>
      <c r="BR503" s="116"/>
      <c r="BS503" s="116"/>
      <c r="BT503" s="116"/>
      <c r="BU503" s="116"/>
      <c r="BV503" s="116"/>
    </row>
    <row r="504" spans="2:74" x14ac:dyDescent="0.3">
      <c r="B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16"/>
      <c r="AN504" s="116"/>
      <c r="AO504" s="116"/>
      <c r="AP504" s="116"/>
      <c r="AQ504" s="116"/>
      <c r="AR504" s="116"/>
      <c r="AS504" s="116"/>
      <c r="AT504" s="116"/>
      <c r="AU504" s="116"/>
      <c r="AV504" s="116"/>
      <c r="AW504" s="116"/>
      <c r="AX504" s="116"/>
      <c r="AY504" s="116"/>
      <c r="AZ504" s="116"/>
      <c r="BA504" s="116"/>
      <c r="BB504" s="116"/>
      <c r="BC504" s="116"/>
      <c r="BD504" s="116"/>
      <c r="BE504" s="116"/>
      <c r="BF504" s="116"/>
      <c r="BG504" s="116"/>
      <c r="BH504" s="116"/>
      <c r="BI504" s="116"/>
      <c r="BJ504" s="116"/>
      <c r="BK504" s="116"/>
      <c r="BL504" s="116"/>
      <c r="BM504" s="116"/>
      <c r="BN504" s="116"/>
      <c r="BO504" s="116"/>
      <c r="BP504" s="116"/>
      <c r="BQ504" s="116"/>
      <c r="BR504" s="116"/>
      <c r="BS504" s="116"/>
      <c r="BT504" s="116"/>
      <c r="BU504" s="116"/>
      <c r="BV504" s="116"/>
    </row>
    <row r="505" spans="2:74" x14ac:dyDescent="0.3">
      <c r="B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  <c r="AE505" s="116"/>
      <c r="AF505" s="116"/>
      <c r="AG505" s="116"/>
      <c r="AH505" s="116"/>
      <c r="AI505" s="116"/>
      <c r="AJ505" s="116"/>
      <c r="AK505" s="116"/>
      <c r="AL505" s="116"/>
      <c r="AM505" s="116"/>
      <c r="AN505" s="116"/>
      <c r="AO505" s="116"/>
      <c r="AP505" s="116"/>
      <c r="AQ505" s="116"/>
      <c r="AR505" s="116"/>
      <c r="AS505" s="116"/>
      <c r="AT505" s="116"/>
      <c r="AU505" s="116"/>
      <c r="AV505" s="116"/>
      <c r="AW505" s="116"/>
      <c r="AX505" s="116"/>
      <c r="AY505" s="116"/>
      <c r="AZ505" s="116"/>
      <c r="BA505" s="116"/>
      <c r="BB505" s="116"/>
      <c r="BC505" s="116"/>
      <c r="BD505" s="116"/>
      <c r="BE505" s="116"/>
      <c r="BF505" s="116"/>
      <c r="BG505" s="116"/>
      <c r="BH505" s="116"/>
      <c r="BI505" s="116"/>
      <c r="BJ505" s="116"/>
      <c r="BK505" s="116"/>
      <c r="BL505" s="116"/>
      <c r="BM505" s="116"/>
      <c r="BN505" s="116"/>
      <c r="BO505" s="116"/>
      <c r="BP505" s="116"/>
      <c r="BQ505" s="116"/>
      <c r="BR505" s="116"/>
      <c r="BS505" s="116"/>
      <c r="BT505" s="116"/>
      <c r="BU505" s="116"/>
      <c r="BV505" s="116"/>
    </row>
    <row r="506" spans="2:74" x14ac:dyDescent="0.3">
      <c r="B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  <c r="AE506" s="116"/>
      <c r="AF506" s="116"/>
      <c r="AG506" s="116"/>
      <c r="AH506" s="116"/>
      <c r="AI506" s="116"/>
      <c r="AJ506" s="116"/>
      <c r="AK506" s="116"/>
      <c r="AL506" s="116"/>
      <c r="AM506" s="116"/>
      <c r="AN506" s="116"/>
      <c r="AO506" s="116"/>
      <c r="AP506" s="116"/>
      <c r="AQ506" s="116"/>
      <c r="AR506" s="116"/>
      <c r="AS506" s="116"/>
      <c r="AT506" s="116"/>
      <c r="AU506" s="116"/>
      <c r="AV506" s="116"/>
      <c r="AW506" s="116"/>
      <c r="AX506" s="116"/>
      <c r="AY506" s="116"/>
      <c r="AZ506" s="116"/>
      <c r="BA506" s="116"/>
      <c r="BB506" s="116"/>
      <c r="BC506" s="116"/>
      <c r="BD506" s="116"/>
      <c r="BE506" s="116"/>
      <c r="BF506" s="116"/>
      <c r="BG506" s="116"/>
      <c r="BH506" s="116"/>
      <c r="BI506" s="116"/>
      <c r="BJ506" s="116"/>
      <c r="BK506" s="116"/>
      <c r="BL506" s="116"/>
      <c r="BM506" s="116"/>
      <c r="BN506" s="116"/>
      <c r="BO506" s="116"/>
      <c r="BP506" s="116"/>
      <c r="BQ506" s="116"/>
      <c r="BR506" s="116"/>
      <c r="BS506" s="116"/>
      <c r="BT506" s="116"/>
      <c r="BU506" s="116"/>
      <c r="BV506" s="116"/>
    </row>
    <row r="507" spans="2:74" x14ac:dyDescent="0.3">
      <c r="B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  <c r="AE507" s="116"/>
      <c r="AF507" s="116"/>
      <c r="AG507" s="116"/>
      <c r="AH507" s="116"/>
      <c r="AI507" s="116"/>
      <c r="AJ507" s="116"/>
      <c r="AK507" s="116"/>
      <c r="AL507" s="116"/>
      <c r="AM507" s="116"/>
      <c r="AN507" s="116"/>
      <c r="AO507" s="116"/>
      <c r="AP507" s="116"/>
      <c r="AQ507" s="116"/>
      <c r="AR507" s="116"/>
      <c r="AS507" s="116"/>
      <c r="AT507" s="116"/>
      <c r="AU507" s="116"/>
      <c r="AV507" s="116"/>
      <c r="AW507" s="116"/>
      <c r="AX507" s="116"/>
      <c r="AY507" s="116"/>
      <c r="AZ507" s="116"/>
      <c r="BA507" s="116"/>
      <c r="BB507" s="116"/>
      <c r="BC507" s="116"/>
      <c r="BD507" s="116"/>
      <c r="BE507" s="116"/>
      <c r="BF507" s="116"/>
      <c r="BG507" s="116"/>
      <c r="BH507" s="116"/>
      <c r="BI507" s="116"/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116"/>
      <c r="BV507" s="116"/>
    </row>
    <row r="508" spans="2:74" x14ac:dyDescent="0.3">
      <c r="B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  <c r="AE508" s="116"/>
      <c r="AF508" s="116"/>
      <c r="AG508" s="116"/>
      <c r="AH508" s="116"/>
      <c r="AI508" s="116"/>
      <c r="AJ508" s="116"/>
      <c r="AK508" s="116"/>
      <c r="AL508" s="116"/>
      <c r="AM508" s="116"/>
      <c r="AN508" s="116"/>
      <c r="AO508" s="116"/>
      <c r="AP508" s="116"/>
      <c r="AQ508" s="116"/>
      <c r="AR508" s="116"/>
      <c r="AS508" s="116"/>
      <c r="AT508" s="116"/>
      <c r="AU508" s="116"/>
      <c r="AV508" s="116"/>
      <c r="AW508" s="116"/>
      <c r="AX508" s="116"/>
      <c r="AY508" s="116"/>
      <c r="AZ508" s="116"/>
      <c r="BA508" s="116"/>
      <c r="BB508" s="116"/>
      <c r="BC508" s="116"/>
      <c r="BD508" s="116"/>
      <c r="BE508" s="116"/>
      <c r="BF508" s="116"/>
      <c r="BG508" s="116"/>
      <c r="BH508" s="116"/>
      <c r="BI508" s="116"/>
      <c r="BJ508" s="116"/>
      <c r="BK508" s="116"/>
      <c r="BL508" s="116"/>
      <c r="BM508" s="116"/>
      <c r="BN508" s="116"/>
      <c r="BO508" s="116"/>
      <c r="BP508" s="116"/>
      <c r="BQ508" s="116"/>
      <c r="BR508" s="116"/>
      <c r="BS508" s="116"/>
      <c r="BT508" s="116"/>
      <c r="BU508" s="116"/>
      <c r="BV508" s="116"/>
    </row>
    <row r="509" spans="2:74" x14ac:dyDescent="0.3">
      <c r="B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  <c r="AE509" s="116"/>
      <c r="AF509" s="116"/>
      <c r="AG509" s="116"/>
      <c r="AH509" s="116"/>
      <c r="AI509" s="116"/>
      <c r="AJ509" s="116"/>
      <c r="AK509" s="116"/>
      <c r="AL509" s="116"/>
      <c r="AM509" s="116"/>
      <c r="AN509" s="116"/>
      <c r="AO509" s="116"/>
      <c r="AP509" s="116"/>
      <c r="AQ509" s="116"/>
      <c r="AR509" s="116"/>
      <c r="AS509" s="116"/>
      <c r="AT509" s="116"/>
      <c r="AU509" s="116"/>
      <c r="AV509" s="116"/>
      <c r="AW509" s="116"/>
      <c r="AX509" s="116"/>
      <c r="AY509" s="116"/>
      <c r="AZ509" s="116"/>
      <c r="BA509" s="116"/>
      <c r="BB509" s="116"/>
      <c r="BC509" s="116"/>
      <c r="BD509" s="116"/>
      <c r="BE509" s="116"/>
      <c r="BF509" s="116"/>
      <c r="BG509" s="116"/>
      <c r="BH509" s="116"/>
      <c r="BI509" s="116"/>
      <c r="BJ509" s="116"/>
      <c r="BK509" s="116"/>
      <c r="BL509" s="116"/>
      <c r="BM509" s="116"/>
      <c r="BN509" s="116"/>
      <c r="BO509" s="116"/>
      <c r="BP509" s="116"/>
      <c r="BQ509" s="116"/>
      <c r="BR509" s="116"/>
      <c r="BS509" s="116"/>
      <c r="BT509" s="116"/>
      <c r="BU509" s="116"/>
      <c r="BV509" s="116"/>
    </row>
    <row r="510" spans="2:74" x14ac:dyDescent="0.3">
      <c r="B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  <c r="AE510" s="116"/>
      <c r="AF510" s="116"/>
      <c r="AG510" s="116"/>
      <c r="AH510" s="116"/>
      <c r="AI510" s="116"/>
      <c r="AJ510" s="116"/>
      <c r="AK510" s="116"/>
      <c r="AL510" s="116"/>
      <c r="AM510" s="116"/>
      <c r="AN510" s="116"/>
      <c r="AO510" s="116"/>
      <c r="AP510" s="116"/>
      <c r="AQ510" s="116"/>
      <c r="AR510" s="116"/>
      <c r="AS510" s="116"/>
      <c r="AT510" s="116"/>
      <c r="AU510" s="116"/>
      <c r="AV510" s="116"/>
      <c r="AW510" s="116"/>
      <c r="AX510" s="116"/>
      <c r="AY510" s="116"/>
      <c r="AZ510" s="116"/>
      <c r="BA510" s="116"/>
      <c r="BB510" s="116"/>
      <c r="BC510" s="116"/>
      <c r="BD510" s="116"/>
      <c r="BE510" s="116"/>
      <c r="BF510" s="116"/>
      <c r="BG510" s="116"/>
      <c r="BH510" s="116"/>
      <c r="BI510" s="116"/>
      <c r="BJ510" s="116"/>
      <c r="BK510" s="116"/>
      <c r="BL510" s="116"/>
      <c r="BM510" s="116"/>
      <c r="BN510" s="116"/>
      <c r="BO510" s="116"/>
      <c r="BP510" s="116"/>
      <c r="BQ510" s="116"/>
      <c r="BR510" s="116"/>
      <c r="BS510" s="116"/>
      <c r="BT510" s="116"/>
      <c r="BU510" s="116"/>
      <c r="BV510" s="116"/>
    </row>
    <row r="511" spans="2:74" x14ac:dyDescent="0.3">
      <c r="B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  <c r="AE511" s="116"/>
      <c r="AF511" s="116"/>
      <c r="AG511" s="116"/>
      <c r="AH511" s="116"/>
      <c r="AI511" s="116"/>
      <c r="AJ511" s="116"/>
      <c r="AK511" s="116"/>
      <c r="AL511" s="116"/>
      <c r="AM511" s="116"/>
      <c r="AN511" s="116"/>
      <c r="AO511" s="116"/>
      <c r="AP511" s="116"/>
      <c r="AQ511" s="116"/>
      <c r="AR511" s="116"/>
      <c r="AS511" s="116"/>
      <c r="AT511" s="116"/>
      <c r="AU511" s="116"/>
      <c r="AV511" s="116"/>
      <c r="AW511" s="116"/>
      <c r="AX511" s="116"/>
      <c r="AY511" s="116"/>
      <c r="AZ511" s="116"/>
      <c r="BA511" s="116"/>
      <c r="BB511" s="116"/>
      <c r="BC511" s="116"/>
      <c r="BD511" s="116"/>
      <c r="BE511" s="116"/>
      <c r="BF511" s="116"/>
      <c r="BG511" s="116"/>
      <c r="BH511" s="116"/>
      <c r="BI511" s="116"/>
      <c r="BJ511" s="116"/>
      <c r="BK511" s="116"/>
      <c r="BL511" s="116"/>
      <c r="BM511" s="116"/>
      <c r="BN511" s="116"/>
      <c r="BO511" s="116"/>
      <c r="BP511" s="116"/>
      <c r="BQ511" s="116"/>
      <c r="BR511" s="116"/>
      <c r="BS511" s="116"/>
      <c r="BT511" s="116"/>
      <c r="BU511" s="116"/>
      <c r="BV511" s="116"/>
    </row>
    <row r="512" spans="2:74" x14ac:dyDescent="0.3">
      <c r="B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  <c r="AE512" s="116"/>
      <c r="AF512" s="116"/>
      <c r="AG512" s="116"/>
      <c r="AH512" s="116"/>
      <c r="AI512" s="116"/>
      <c r="AJ512" s="116"/>
      <c r="AK512" s="116"/>
      <c r="AL512" s="116"/>
      <c r="AM512" s="116"/>
      <c r="AN512" s="116"/>
      <c r="AO512" s="116"/>
      <c r="AP512" s="116"/>
      <c r="AQ512" s="116"/>
      <c r="AR512" s="116"/>
      <c r="AS512" s="116"/>
      <c r="AT512" s="116"/>
      <c r="AU512" s="116"/>
      <c r="AV512" s="116"/>
      <c r="AW512" s="116"/>
      <c r="AX512" s="116"/>
      <c r="AY512" s="116"/>
      <c r="AZ512" s="116"/>
      <c r="BA512" s="116"/>
      <c r="BB512" s="116"/>
      <c r="BC512" s="116"/>
      <c r="BD512" s="116"/>
      <c r="BE512" s="116"/>
      <c r="BF512" s="116"/>
      <c r="BG512" s="116"/>
      <c r="BH512" s="116"/>
      <c r="BI512" s="116"/>
      <c r="BJ512" s="116"/>
      <c r="BK512" s="116"/>
      <c r="BL512" s="116"/>
      <c r="BM512" s="116"/>
      <c r="BN512" s="116"/>
      <c r="BO512" s="116"/>
      <c r="BP512" s="116"/>
      <c r="BQ512" s="116"/>
      <c r="BR512" s="116"/>
      <c r="BS512" s="116"/>
      <c r="BT512" s="116"/>
      <c r="BU512" s="116"/>
      <c r="BV512" s="116"/>
    </row>
    <row r="513" spans="2:74" x14ac:dyDescent="0.3">
      <c r="B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  <c r="AE513" s="116"/>
      <c r="AF513" s="116"/>
      <c r="AG513" s="116"/>
      <c r="AH513" s="116"/>
      <c r="AI513" s="116"/>
      <c r="AJ513" s="116"/>
      <c r="AK513" s="116"/>
      <c r="AL513" s="116"/>
      <c r="AM513" s="116"/>
      <c r="AN513" s="116"/>
      <c r="AO513" s="116"/>
      <c r="AP513" s="116"/>
      <c r="AQ513" s="116"/>
      <c r="AR513" s="116"/>
      <c r="AS513" s="116"/>
      <c r="AT513" s="116"/>
      <c r="AU513" s="116"/>
      <c r="AV513" s="116"/>
      <c r="AW513" s="116"/>
      <c r="AX513" s="116"/>
      <c r="AY513" s="116"/>
      <c r="AZ513" s="116"/>
      <c r="BA513" s="116"/>
      <c r="BB513" s="116"/>
      <c r="BC513" s="116"/>
      <c r="BD513" s="116"/>
      <c r="BE513" s="116"/>
      <c r="BF513" s="116"/>
      <c r="BG513" s="116"/>
      <c r="BH513" s="116"/>
      <c r="BI513" s="116"/>
      <c r="BJ513" s="116"/>
      <c r="BK513" s="116"/>
      <c r="BL513" s="116"/>
      <c r="BM513" s="116"/>
      <c r="BN513" s="116"/>
      <c r="BO513" s="116"/>
      <c r="BP513" s="116"/>
      <c r="BQ513" s="116"/>
      <c r="BR513" s="116"/>
      <c r="BS513" s="116"/>
      <c r="BT513" s="116"/>
      <c r="BU513" s="116"/>
      <c r="BV513" s="116"/>
    </row>
    <row r="514" spans="2:74" x14ac:dyDescent="0.3">
      <c r="B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  <c r="AE514" s="116"/>
      <c r="AF514" s="116"/>
      <c r="AG514" s="116"/>
      <c r="AH514" s="116"/>
      <c r="AI514" s="116"/>
      <c r="AJ514" s="116"/>
      <c r="AK514" s="116"/>
      <c r="AL514" s="116"/>
      <c r="AM514" s="116"/>
      <c r="AN514" s="116"/>
      <c r="AO514" s="116"/>
      <c r="AP514" s="116"/>
      <c r="AQ514" s="116"/>
      <c r="AR514" s="116"/>
      <c r="AS514" s="116"/>
      <c r="AT514" s="116"/>
      <c r="AU514" s="116"/>
      <c r="AV514" s="116"/>
      <c r="AW514" s="116"/>
      <c r="AX514" s="116"/>
      <c r="AY514" s="116"/>
      <c r="AZ514" s="116"/>
      <c r="BA514" s="116"/>
      <c r="BB514" s="116"/>
      <c r="BC514" s="116"/>
      <c r="BD514" s="116"/>
      <c r="BE514" s="116"/>
      <c r="BF514" s="116"/>
      <c r="BG514" s="116"/>
      <c r="BH514" s="116"/>
      <c r="BI514" s="116"/>
      <c r="BJ514" s="116"/>
      <c r="BK514" s="116"/>
      <c r="BL514" s="116"/>
      <c r="BM514" s="116"/>
      <c r="BN514" s="116"/>
      <c r="BO514" s="116"/>
      <c r="BP514" s="116"/>
      <c r="BQ514" s="116"/>
      <c r="BR514" s="116"/>
      <c r="BS514" s="116"/>
      <c r="BT514" s="116"/>
      <c r="BU514" s="116"/>
      <c r="BV514" s="116"/>
    </row>
    <row r="515" spans="2:74" x14ac:dyDescent="0.3">
      <c r="B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  <c r="AE515" s="116"/>
      <c r="AF515" s="116"/>
      <c r="AG515" s="116"/>
      <c r="AH515" s="116"/>
      <c r="AI515" s="116"/>
      <c r="AJ515" s="116"/>
      <c r="AK515" s="116"/>
      <c r="AL515" s="116"/>
      <c r="AM515" s="116"/>
      <c r="AN515" s="116"/>
      <c r="AO515" s="116"/>
      <c r="AP515" s="116"/>
      <c r="AQ515" s="116"/>
      <c r="AR515" s="116"/>
      <c r="AS515" s="116"/>
      <c r="AT515" s="116"/>
      <c r="AU515" s="116"/>
      <c r="AV515" s="116"/>
      <c r="AW515" s="116"/>
      <c r="AX515" s="116"/>
      <c r="AY515" s="116"/>
      <c r="AZ515" s="116"/>
      <c r="BA515" s="116"/>
      <c r="BB515" s="116"/>
      <c r="BC515" s="116"/>
      <c r="BD515" s="116"/>
      <c r="BE515" s="116"/>
      <c r="BF515" s="116"/>
      <c r="BG515" s="116"/>
      <c r="BH515" s="116"/>
      <c r="BI515" s="116"/>
      <c r="BJ515" s="116"/>
      <c r="BK515" s="116"/>
      <c r="BL515" s="116"/>
      <c r="BM515" s="116"/>
      <c r="BN515" s="116"/>
      <c r="BO515" s="116"/>
      <c r="BP515" s="116"/>
      <c r="BQ515" s="116"/>
      <c r="BR515" s="116"/>
      <c r="BS515" s="116"/>
      <c r="BT515" s="116"/>
      <c r="BU515" s="116"/>
      <c r="BV515" s="116"/>
    </row>
    <row r="516" spans="2:74" x14ac:dyDescent="0.3">
      <c r="B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  <c r="AE516" s="116"/>
      <c r="AF516" s="116"/>
      <c r="AG516" s="116"/>
      <c r="AH516" s="116"/>
      <c r="AI516" s="116"/>
      <c r="AJ516" s="116"/>
      <c r="AK516" s="116"/>
      <c r="AL516" s="116"/>
      <c r="AM516" s="116"/>
      <c r="AN516" s="116"/>
      <c r="AO516" s="116"/>
      <c r="AP516" s="116"/>
      <c r="AQ516" s="116"/>
      <c r="AR516" s="116"/>
      <c r="AS516" s="116"/>
      <c r="AT516" s="116"/>
      <c r="AU516" s="116"/>
      <c r="AV516" s="116"/>
      <c r="AW516" s="116"/>
      <c r="AX516" s="116"/>
      <c r="AY516" s="116"/>
      <c r="AZ516" s="116"/>
      <c r="BA516" s="116"/>
      <c r="BB516" s="116"/>
      <c r="BC516" s="116"/>
      <c r="BD516" s="116"/>
      <c r="BE516" s="116"/>
      <c r="BF516" s="116"/>
      <c r="BG516" s="116"/>
      <c r="BH516" s="116"/>
      <c r="BI516" s="116"/>
      <c r="BJ516" s="116"/>
      <c r="BK516" s="116"/>
      <c r="BL516" s="116"/>
      <c r="BM516" s="116"/>
      <c r="BN516" s="116"/>
      <c r="BO516" s="116"/>
      <c r="BP516" s="116"/>
      <c r="BQ516" s="116"/>
      <c r="BR516" s="116"/>
      <c r="BS516" s="116"/>
      <c r="BT516" s="116"/>
      <c r="BU516" s="116"/>
      <c r="BV516" s="116"/>
    </row>
    <row r="517" spans="2:74" x14ac:dyDescent="0.3">
      <c r="B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  <c r="AE517" s="116"/>
      <c r="AF517" s="116"/>
      <c r="AG517" s="116"/>
      <c r="AH517" s="116"/>
      <c r="AI517" s="116"/>
      <c r="AJ517" s="116"/>
      <c r="AK517" s="116"/>
      <c r="AL517" s="116"/>
      <c r="AM517" s="116"/>
      <c r="AN517" s="116"/>
      <c r="AO517" s="116"/>
      <c r="AP517" s="116"/>
      <c r="AQ517" s="116"/>
      <c r="AR517" s="116"/>
      <c r="AS517" s="116"/>
      <c r="AT517" s="116"/>
      <c r="AU517" s="116"/>
      <c r="AV517" s="116"/>
      <c r="AW517" s="116"/>
      <c r="AX517" s="116"/>
      <c r="AY517" s="116"/>
      <c r="AZ517" s="116"/>
      <c r="BA517" s="116"/>
      <c r="BB517" s="116"/>
      <c r="BC517" s="116"/>
      <c r="BD517" s="116"/>
      <c r="BE517" s="116"/>
      <c r="BF517" s="116"/>
      <c r="BG517" s="116"/>
      <c r="BH517" s="116"/>
      <c r="BI517" s="116"/>
      <c r="BJ517" s="116"/>
      <c r="BK517" s="116"/>
      <c r="BL517" s="116"/>
      <c r="BM517" s="116"/>
      <c r="BN517" s="116"/>
      <c r="BO517" s="116"/>
      <c r="BP517" s="116"/>
      <c r="BQ517" s="116"/>
      <c r="BR517" s="116"/>
      <c r="BS517" s="116"/>
      <c r="BT517" s="116"/>
      <c r="BU517" s="116"/>
      <c r="BV517" s="116"/>
    </row>
    <row r="518" spans="2:74" x14ac:dyDescent="0.3">
      <c r="B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  <c r="AE518" s="116"/>
      <c r="AF518" s="116"/>
      <c r="AG518" s="116"/>
      <c r="AH518" s="116"/>
      <c r="AI518" s="116"/>
      <c r="AJ518" s="116"/>
      <c r="AK518" s="116"/>
      <c r="AL518" s="116"/>
      <c r="AM518" s="116"/>
      <c r="AN518" s="116"/>
      <c r="AO518" s="116"/>
      <c r="AP518" s="116"/>
      <c r="AQ518" s="116"/>
      <c r="AR518" s="116"/>
      <c r="AS518" s="116"/>
      <c r="AT518" s="116"/>
      <c r="AU518" s="116"/>
      <c r="AV518" s="116"/>
      <c r="AW518" s="116"/>
      <c r="AX518" s="116"/>
      <c r="AY518" s="116"/>
      <c r="AZ518" s="116"/>
      <c r="BA518" s="116"/>
      <c r="BB518" s="116"/>
      <c r="BC518" s="116"/>
      <c r="BD518" s="116"/>
      <c r="BE518" s="116"/>
      <c r="BF518" s="116"/>
      <c r="BG518" s="116"/>
      <c r="BH518" s="116"/>
      <c r="BI518" s="116"/>
      <c r="BJ518" s="116"/>
      <c r="BK518" s="116"/>
      <c r="BL518" s="116"/>
      <c r="BM518" s="116"/>
      <c r="BN518" s="116"/>
      <c r="BO518" s="116"/>
      <c r="BP518" s="116"/>
      <c r="BQ518" s="116"/>
      <c r="BR518" s="116"/>
      <c r="BS518" s="116"/>
      <c r="BT518" s="116"/>
      <c r="BU518" s="116"/>
      <c r="BV518" s="116"/>
    </row>
    <row r="519" spans="2:74" x14ac:dyDescent="0.3">
      <c r="B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  <c r="AE519" s="116"/>
      <c r="AF519" s="116"/>
      <c r="AG519" s="116"/>
      <c r="AH519" s="116"/>
      <c r="AI519" s="116"/>
      <c r="AJ519" s="116"/>
      <c r="AK519" s="116"/>
      <c r="AL519" s="116"/>
      <c r="AM519" s="116"/>
      <c r="AN519" s="116"/>
      <c r="AO519" s="116"/>
      <c r="AP519" s="116"/>
      <c r="AQ519" s="116"/>
      <c r="AR519" s="116"/>
      <c r="AS519" s="116"/>
      <c r="AT519" s="116"/>
      <c r="AU519" s="116"/>
      <c r="AV519" s="116"/>
      <c r="AW519" s="116"/>
      <c r="AX519" s="116"/>
      <c r="AY519" s="116"/>
      <c r="AZ519" s="116"/>
      <c r="BA519" s="116"/>
      <c r="BB519" s="116"/>
      <c r="BC519" s="116"/>
      <c r="BD519" s="116"/>
      <c r="BE519" s="116"/>
      <c r="BF519" s="116"/>
      <c r="BG519" s="116"/>
      <c r="BH519" s="116"/>
      <c r="BI519" s="116"/>
      <c r="BJ519" s="116"/>
      <c r="BK519" s="116"/>
      <c r="BL519" s="116"/>
      <c r="BM519" s="116"/>
      <c r="BN519" s="116"/>
      <c r="BO519" s="116"/>
      <c r="BP519" s="116"/>
      <c r="BQ519" s="116"/>
      <c r="BR519" s="116"/>
      <c r="BS519" s="116"/>
      <c r="BT519" s="116"/>
      <c r="BU519" s="116"/>
      <c r="BV519" s="116"/>
    </row>
    <row r="520" spans="2:74" x14ac:dyDescent="0.3">
      <c r="B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  <c r="AE520" s="116"/>
      <c r="AF520" s="116"/>
      <c r="AG520" s="116"/>
      <c r="AH520" s="116"/>
      <c r="AI520" s="116"/>
      <c r="AJ520" s="116"/>
      <c r="AK520" s="116"/>
      <c r="AL520" s="116"/>
      <c r="AM520" s="116"/>
      <c r="AN520" s="116"/>
      <c r="AO520" s="116"/>
      <c r="AP520" s="116"/>
      <c r="AQ520" s="116"/>
      <c r="AR520" s="116"/>
      <c r="AS520" s="116"/>
      <c r="AT520" s="116"/>
      <c r="AU520" s="116"/>
      <c r="AV520" s="116"/>
      <c r="AW520" s="116"/>
      <c r="AX520" s="116"/>
      <c r="AY520" s="116"/>
      <c r="AZ520" s="116"/>
      <c r="BA520" s="116"/>
      <c r="BB520" s="116"/>
      <c r="BC520" s="116"/>
      <c r="BD520" s="116"/>
      <c r="BE520" s="116"/>
      <c r="BF520" s="116"/>
      <c r="BG520" s="116"/>
      <c r="BH520" s="116"/>
      <c r="BI520" s="116"/>
      <c r="BJ520" s="116"/>
      <c r="BK520" s="116"/>
      <c r="BL520" s="116"/>
      <c r="BM520" s="116"/>
      <c r="BN520" s="116"/>
      <c r="BO520" s="116"/>
      <c r="BP520" s="116"/>
      <c r="BQ520" s="116"/>
      <c r="BR520" s="116"/>
      <c r="BS520" s="116"/>
      <c r="BT520" s="116"/>
      <c r="BU520" s="116"/>
      <c r="BV520" s="116"/>
    </row>
    <row r="521" spans="2:74" x14ac:dyDescent="0.3">
      <c r="B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  <c r="AE521" s="116"/>
      <c r="AF521" s="116"/>
      <c r="AG521" s="116"/>
      <c r="AH521" s="116"/>
      <c r="AI521" s="116"/>
      <c r="AJ521" s="116"/>
      <c r="AK521" s="116"/>
      <c r="AL521" s="116"/>
      <c r="AM521" s="116"/>
      <c r="AN521" s="116"/>
      <c r="AO521" s="116"/>
      <c r="AP521" s="116"/>
      <c r="AQ521" s="116"/>
      <c r="AR521" s="116"/>
      <c r="AS521" s="116"/>
      <c r="AT521" s="116"/>
      <c r="AU521" s="116"/>
      <c r="AV521" s="116"/>
      <c r="AW521" s="116"/>
      <c r="AX521" s="116"/>
      <c r="AY521" s="116"/>
      <c r="AZ521" s="116"/>
      <c r="BA521" s="116"/>
      <c r="BB521" s="116"/>
      <c r="BC521" s="116"/>
      <c r="BD521" s="116"/>
      <c r="BE521" s="116"/>
      <c r="BF521" s="116"/>
      <c r="BG521" s="116"/>
      <c r="BH521" s="116"/>
      <c r="BI521" s="116"/>
      <c r="BJ521" s="116"/>
      <c r="BK521" s="116"/>
      <c r="BL521" s="116"/>
      <c r="BM521" s="116"/>
      <c r="BN521" s="116"/>
      <c r="BO521" s="116"/>
      <c r="BP521" s="116"/>
      <c r="BQ521" s="116"/>
      <c r="BR521" s="116"/>
      <c r="BS521" s="116"/>
      <c r="BT521" s="116"/>
      <c r="BU521" s="116"/>
      <c r="BV521" s="116"/>
    </row>
    <row r="522" spans="2:74" x14ac:dyDescent="0.3">
      <c r="B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  <c r="AE522" s="116"/>
      <c r="AF522" s="116"/>
      <c r="AG522" s="116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  <c r="BF522" s="116"/>
      <c r="BG522" s="116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T522" s="116"/>
      <c r="BU522" s="116"/>
      <c r="BV522" s="116"/>
    </row>
    <row r="523" spans="2:74" x14ac:dyDescent="0.3">
      <c r="B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  <c r="AE523" s="116"/>
      <c r="AF523" s="116"/>
      <c r="AG523" s="116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  <c r="BF523" s="116"/>
      <c r="BG523" s="116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116"/>
      <c r="BV523" s="116"/>
    </row>
    <row r="524" spans="2:74" x14ac:dyDescent="0.3">
      <c r="B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  <c r="AE524" s="116"/>
      <c r="AF524" s="116"/>
      <c r="AG524" s="116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116"/>
      <c r="BV524" s="116"/>
    </row>
    <row r="525" spans="2:74" x14ac:dyDescent="0.3">
      <c r="B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  <c r="AE525" s="116"/>
      <c r="AF525" s="116"/>
      <c r="AG525" s="116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116"/>
      <c r="BV525" s="116"/>
    </row>
    <row r="526" spans="2:74" x14ac:dyDescent="0.3">
      <c r="B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  <c r="AE526" s="116"/>
      <c r="AF526" s="116"/>
      <c r="AG526" s="116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116"/>
      <c r="BV526" s="116"/>
    </row>
    <row r="527" spans="2:74" x14ac:dyDescent="0.3">
      <c r="B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  <c r="AE527" s="116"/>
      <c r="AF527" s="116"/>
      <c r="AG527" s="116"/>
      <c r="AH527" s="116"/>
      <c r="AI527" s="116"/>
      <c r="AJ527" s="116"/>
      <c r="AK527" s="116"/>
      <c r="AL527" s="116"/>
      <c r="AM527" s="116"/>
      <c r="AN527" s="116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  <c r="AZ527" s="116"/>
      <c r="BA527" s="116"/>
      <c r="BB527" s="116"/>
      <c r="BC527" s="116"/>
      <c r="BD527" s="116"/>
      <c r="BE527" s="116"/>
      <c r="BF527" s="116"/>
      <c r="BG527" s="116"/>
      <c r="BH527" s="116"/>
      <c r="BI527" s="116"/>
      <c r="BJ527" s="116"/>
      <c r="BK527" s="116"/>
      <c r="BL527" s="116"/>
      <c r="BM527" s="116"/>
      <c r="BN527" s="116"/>
      <c r="BO527" s="116"/>
      <c r="BP527" s="116"/>
      <c r="BQ527" s="116"/>
      <c r="BR527" s="116"/>
      <c r="BS527" s="116"/>
      <c r="BT527" s="116"/>
      <c r="BU527" s="116"/>
      <c r="BV527" s="116"/>
    </row>
    <row r="528" spans="2:74" x14ac:dyDescent="0.3">
      <c r="B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  <c r="AE528" s="116"/>
      <c r="AF528" s="116"/>
      <c r="AG528" s="116"/>
      <c r="AH528" s="116"/>
      <c r="AI528" s="116"/>
      <c r="AJ528" s="116"/>
      <c r="AK528" s="116"/>
      <c r="AL528" s="116"/>
      <c r="AM528" s="116"/>
      <c r="AN528" s="116"/>
      <c r="AO528" s="116"/>
      <c r="AP528" s="116"/>
      <c r="AQ528" s="116"/>
      <c r="AR528" s="116"/>
      <c r="AS528" s="116"/>
      <c r="AT528" s="116"/>
      <c r="AU528" s="116"/>
      <c r="AV528" s="116"/>
      <c r="AW528" s="116"/>
      <c r="AX528" s="116"/>
      <c r="AY528" s="116"/>
      <c r="AZ528" s="116"/>
      <c r="BA528" s="116"/>
      <c r="BB528" s="116"/>
      <c r="BC528" s="116"/>
      <c r="BD528" s="116"/>
      <c r="BE528" s="116"/>
      <c r="BF528" s="116"/>
      <c r="BG528" s="116"/>
      <c r="BH528" s="116"/>
      <c r="BI528" s="116"/>
      <c r="BJ528" s="116"/>
      <c r="BK528" s="116"/>
      <c r="BL528" s="116"/>
      <c r="BM528" s="116"/>
      <c r="BN528" s="116"/>
      <c r="BO528" s="116"/>
      <c r="BP528" s="116"/>
      <c r="BQ528" s="116"/>
      <c r="BR528" s="116"/>
      <c r="BS528" s="116"/>
      <c r="BT528" s="116"/>
      <c r="BU528" s="116"/>
      <c r="BV528" s="116"/>
    </row>
    <row r="529" spans="2:74" x14ac:dyDescent="0.3">
      <c r="B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  <c r="AE529" s="116"/>
      <c r="AF529" s="116"/>
      <c r="AG529" s="116"/>
      <c r="AH529" s="116"/>
      <c r="AI529" s="116"/>
      <c r="AJ529" s="116"/>
      <c r="AK529" s="116"/>
      <c r="AL529" s="116"/>
      <c r="AM529" s="116"/>
      <c r="AN529" s="116"/>
      <c r="AO529" s="116"/>
      <c r="AP529" s="116"/>
      <c r="AQ529" s="116"/>
      <c r="AR529" s="116"/>
      <c r="AS529" s="116"/>
      <c r="AT529" s="116"/>
      <c r="AU529" s="116"/>
      <c r="AV529" s="116"/>
      <c r="AW529" s="116"/>
      <c r="AX529" s="116"/>
      <c r="AY529" s="116"/>
      <c r="AZ529" s="116"/>
      <c r="BA529" s="116"/>
      <c r="BB529" s="116"/>
      <c r="BC529" s="116"/>
      <c r="BD529" s="116"/>
      <c r="BE529" s="116"/>
      <c r="BF529" s="116"/>
      <c r="BG529" s="116"/>
      <c r="BH529" s="116"/>
      <c r="BI529" s="116"/>
      <c r="BJ529" s="116"/>
      <c r="BK529" s="116"/>
      <c r="BL529" s="116"/>
      <c r="BM529" s="116"/>
      <c r="BN529" s="116"/>
      <c r="BO529" s="116"/>
      <c r="BP529" s="116"/>
      <c r="BQ529" s="116"/>
      <c r="BR529" s="116"/>
      <c r="BS529" s="116"/>
      <c r="BT529" s="116"/>
      <c r="BU529" s="116"/>
      <c r="BV529" s="116"/>
    </row>
    <row r="530" spans="2:74" x14ac:dyDescent="0.3">
      <c r="B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  <c r="AE530" s="116"/>
      <c r="AF530" s="116"/>
      <c r="AG530" s="116"/>
      <c r="AH530" s="116"/>
      <c r="AI530" s="116"/>
      <c r="AJ530" s="116"/>
      <c r="AK530" s="116"/>
      <c r="AL530" s="116"/>
      <c r="AM530" s="116"/>
      <c r="AN530" s="116"/>
      <c r="AO530" s="116"/>
      <c r="AP530" s="116"/>
      <c r="AQ530" s="116"/>
      <c r="AR530" s="116"/>
      <c r="AS530" s="116"/>
      <c r="AT530" s="116"/>
      <c r="AU530" s="116"/>
      <c r="AV530" s="116"/>
      <c r="AW530" s="116"/>
      <c r="AX530" s="116"/>
      <c r="AY530" s="116"/>
      <c r="AZ530" s="116"/>
      <c r="BA530" s="116"/>
      <c r="BB530" s="116"/>
      <c r="BC530" s="116"/>
      <c r="BD530" s="116"/>
      <c r="BE530" s="116"/>
      <c r="BF530" s="116"/>
      <c r="BG530" s="116"/>
      <c r="BH530" s="116"/>
      <c r="BI530" s="116"/>
      <c r="BJ530" s="116"/>
      <c r="BK530" s="116"/>
      <c r="BL530" s="116"/>
      <c r="BM530" s="116"/>
      <c r="BN530" s="116"/>
      <c r="BO530" s="116"/>
      <c r="BP530" s="116"/>
      <c r="BQ530" s="116"/>
      <c r="BR530" s="116"/>
      <c r="BS530" s="116"/>
      <c r="BT530" s="116"/>
      <c r="BU530" s="116"/>
      <c r="BV530" s="116"/>
    </row>
    <row r="531" spans="2:74" x14ac:dyDescent="0.3">
      <c r="B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  <c r="AE531" s="116"/>
      <c r="AF531" s="116"/>
      <c r="AG531" s="116"/>
      <c r="AH531" s="116"/>
      <c r="AI531" s="116"/>
      <c r="AJ531" s="116"/>
      <c r="AK531" s="116"/>
      <c r="AL531" s="116"/>
      <c r="AM531" s="116"/>
      <c r="AN531" s="116"/>
      <c r="AO531" s="116"/>
      <c r="AP531" s="116"/>
      <c r="AQ531" s="116"/>
      <c r="AR531" s="116"/>
      <c r="AS531" s="116"/>
      <c r="AT531" s="116"/>
      <c r="AU531" s="116"/>
      <c r="AV531" s="116"/>
      <c r="AW531" s="116"/>
      <c r="AX531" s="116"/>
      <c r="AY531" s="116"/>
      <c r="AZ531" s="116"/>
      <c r="BA531" s="116"/>
      <c r="BB531" s="116"/>
      <c r="BC531" s="116"/>
      <c r="BD531" s="116"/>
      <c r="BE531" s="116"/>
      <c r="BF531" s="116"/>
      <c r="BG531" s="116"/>
      <c r="BH531" s="116"/>
      <c r="BI531" s="116"/>
      <c r="BJ531" s="116"/>
      <c r="BK531" s="116"/>
      <c r="BL531" s="116"/>
      <c r="BM531" s="116"/>
      <c r="BN531" s="116"/>
      <c r="BO531" s="116"/>
      <c r="BP531" s="116"/>
      <c r="BQ531" s="116"/>
      <c r="BR531" s="116"/>
      <c r="BS531" s="116"/>
      <c r="BT531" s="116"/>
      <c r="BU531" s="116"/>
      <c r="BV531" s="116"/>
    </row>
    <row r="532" spans="2:74" x14ac:dyDescent="0.3">
      <c r="B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  <c r="AE532" s="116"/>
      <c r="AF532" s="116"/>
      <c r="AG532" s="116"/>
      <c r="AH532" s="116"/>
      <c r="AI532" s="116"/>
      <c r="AJ532" s="116"/>
      <c r="AK532" s="116"/>
      <c r="AL532" s="116"/>
      <c r="AM532" s="116"/>
      <c r="AN532" s="116"/>
      <c r="AO532" s="116"/>
      <c r="AP532" s="116"/>
      <c r="AQ532" s="116"/>
      <c r="AR532" s="116"/>
      <c r="AS532" s="116"/>
      <c r="AT532" s="116"/>
      <c r="AU532" s="116"/>
      <c r="AV532" s="116"/>
      <c r="AW532" s="116"/>
      <c r="AX532" s="116"/>
      <c r="AY532" s="116"/>
      <c r="AZ532" s="116"/>
      <c r="BA532" s="116"/>
      <c r="BB532" s="116"/>
      <c r="BC532" s="116"/>
      <c r="BD532" s="116"/>
      <c r="BE532" s="116"/>
      <c r="BF532" s="116"/>
      <c r="BG532" s="116"/>
      <c r="BH532" s="116"/>
      <c r="BI532" s="116"/>
      <c r="BJ532" s="116"/>
      <c r="BK532" s="116"/>
      <c r="BL532" s="116"/>
      <c r="BM532" s="116"/>
      <c r="BN532" s="116"/>
      <c r="BO532" s="116"/>
      <c r="BP532" s="116"/>
      <c r="BQ532" s="116"/>
      <c r="BR532" s="116"/>
      <c r="BS532" s="116"/>
      <c r="BT532" s="116"/>
      <c r="BU532" s="116"/>
      <c r="BV532" s="116"/>
    </row>
    <row r="533" spans="2:74" x14ac:dyDescent="0.3">
      <c r="B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16"/>
      <c r="AY533" s="116"/>
      <c r="AZ533" s="116"/>
      <c r="BA533" s="116"/>
      <c r="BB533" s="116"/>
      <c r="BC533" s="116"/>
      <c r="BD533" s="116"/>
      <c r="BE533" s="116"/>
      <c r="BF533" s="116"/>
      <c r="BG533" s="116"/>
      <c r="BH533" s="116"/>
      <c r="BI533" s="116"/>
      <c r="BJ533" s="116"/>
      <c r="BK533" s="116"/>
      <c r="BL533" s="116"/>
      <c r="BM533" s="116"/>
      <c r="BN533" s="116"/>
      <c r="BO533" s="116"/>
      <c r="BP533" s="116"/>
      <c r="BQ533" s="116"/>
      <c r="BR533" s="116"/>
      <c r="BS533" s="116"/>
      <c r="BT533" s="116"/>
      <c r="BU533" s="116"/>
      <c r="BV533" s="116"/>
    </row>
    <row r="534" spans="2:74" x14ac:dyDescent="0.3">
      <c r="B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  <c r="AE534" s="116"/>
      <c r="AF534" s="116"/>
      <c r="AG534" s="116"/>
      <c r="AH534" s="116"/>
      <c r="AI534" s="116"/>
      <c r="AJ534" s="116"/>
      <c r="AK534" s="116"/>
      <c r="AL534" s="116"/>
      <c r="AM534" s="116"/>
      <c r="AN534" s="116"/>
      <c r="AO534" s="116"/>
      <c r="AP534" s="116"/>
      <c r="AQ534" s="116"/>
      <c r="AR534" s="116"/>
      <c r="AS534" s="116"/>
      <c r="AT534" s="116"/>
      <c r="AU534" s="116"/>
      <c r="AV534" s="116"/>
      <c r="AW534" s="116"/>
      <c r="AX534" s="116"/>
      <c r="AY534" s="116"/>
      <c r="AZ534" s="116"/>
      <c r="BA534" s="116"/>
      <c r="BB534" s="116"/>
      <c r="BC534" s="116"/>
      <c r="BD534" s="116"/>
      <c r="BE534" s="116"/>
      <c r="BF534" s="116"/>
      <c r="BG534" s="116"/>
      <c r="BH534" s="116"/>
      <c r="BI534" s="116"/>
      <c r="BJ534" s="116"/>
      <c r="BK534" s="116"/>
      <c r="BL534" s="116"/>
      <c r="BM534" s="116"/>
      <c r="BN534" s="116"/>
      <c r="BO534" s="116"/>
      <c r="BP534" s="116"/>
      <c r="BQ534" s="116"/>
      <c r="BR534" s="116"/>
      <c r="BS534" s="116"/>
      <c r="BT534" s="116"/>
      <c r="BU534" s="116"/>
      <c r="BV534" s="116"/>
    </row>
    <row r="535" spans="2:74" x14ac:dyDescent="0.3">
      <c r="B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  <c r="AE535" s="116"/>
      <c r="AF535" s="116"/>
      <c r="AG535" s="116"/>
      <c r="AH535" s="116"/>
      <c r="AI535" s="116"/>
      <c r="AJ535" s="116"/>
      <c r="AK535" s="116"/>
      <c r="AL535" s="116"/>
      <c r="AM535" s="116"/>
      <c r="AN535" s="116"/>
      <c r="AO535" s="116"/>
      <c r="AP535" s="116"/>
      <c r="AQ535" s="116"/>
      <c r="AR535" s="116"/>
      <c r="AS535" s="116"/>
      <c r="AT535" s="116"/>
      <c r="AU535" s="116"/>
      <c r="AV535" s="116"/>
      <c r="AW535" s="116"/>
      <c r="AX535" s="116"/>
      <c r="AY535" s="116"/>
      <c r="AZ535" s="116"/>
      <c r="BA535" s="116"/>
      <c r="BB535" s="116"/>
      <c r="BC535" s="116"/>
      <c r="BD535" s="116"/>
      <c r="BE535" s="116"/>
      <c r="BF535" s="116"/>
      <c r="BG535" s="116"/>
      <c r="BH535" s="116"/>
      <c r="BI535" s="116"/>
      <c r="BJ535" s="116"/>
      <c r="BK535" s="116"/>
      <c r="BL535" s="116"/>
      <c r="BM535" s="116"/>
      <c r="BN535" s="116"/>
      <c r="BO535" s="116"/>
      <c r="BP535" s="116"/>
      <c r="BQ535" s="116"/>
      <c r="BR535" s="116"/>
      <c r="BS535" s="116"/>
      <c r="BT535" s="116"/>
      <c r="BU535" s="116"/>
      <c r="BV535" s="116"/>
    </row>
    <row r="536" spans="2:74" x14ac:dyDescent="0.3">
      <c r="B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  <c r="AE536" s="116"/>
      <c r="AF536" s="116"/>
      <c r="AG536" s="116"/>
      <c r="AH536" s="116"/>
      <c r="AI536" s="116"/>
      <c r="AJ536" s="116"/>
      <c r="AK536" s="116"/>
      <c r="AL536" s="116"/>
      <c r="AM536" s="116"/>
      <c r="AN536" s="116"/>
      <c r="AO536" s="116"/>
      <c r="AP536" s="116"/>
      <c r="AQ536" s="116"/>
      <c r="AR536" s="116"/>
      <c r="AS536" s="116"/>
      <c r="AT536" s="116"/>
      <c r="AU536" s="116"/>
      <c r="AV536" s="116"/>
      <c r="AW536" s="116"/>
      <c r="AX536" s="116"/>
      <c r="AY536" s="116"/>
      <c r="AZ536" s="116"/>
      <c r="BA536" s="116"/>
      <c r="BB536" s="116"/>
      <c r="BC536" s="116"/>
      <c r="BD536" s="116"/>
      <c r="BE536" s="116"/>
      <c r="BF536" s="116"/>
      <c r="BG536" s="116"/>
      <c r="BH536" s="116"/>
      <c r="BI536" s="116"/>
      <c r="BJ536" s="116"/>
      <c r="BK536" s="116"/>
      <c r="BL536" s="116"/>
      <c r="BM536" s="116"/>
      <c r="BN536" s="116"/>
      <c r="BO536" s="116"/>
      <c r="BP536" s="116"/>
      <c r="BQ536" s="116"/>
      <c r="BR536" s="116"/>
      <c r="BS536" s="116"/>
      <c r="BT536" s="116"/>
      <c r="BU536" s="116"/>
      <c r="BV536" s="116"/>
    </row>
    <row r="537" spans="2:74" x14ac:dyDescent="0.3">
      <c r="B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  <c r="AE537" s="116"/>
      <c r="AF537" s="116"/>
      <c r="AG537" s="116"/>
      <c r="AH537" s="116"/>
      <c r="AI537" s="116"/>
      <c r="AJ537" s="116"/>
      <c r="AK537" s="116"/>
      <c r="AL537" s="116"/>
      <c r="AM537" s="116"/>
      <c r="AN537" s="116"/>
      <c r="AO537" s="116"/>
      <c r="AP537" s="116"/>
      <c r="AQ537" s="116"/>
      <c r="AR537" s="116"/>
      <c r="AS537" s="116"/>
      <c r="AT537" s="116"/>
      <c r="AU537" s="116"/>
      <c r="AV537" s="116"/>
      <c r="AW537" s="116"/>
      <c r="AX537" s="116"/>
      <c r="AY537" s="116"/>
      <c r="AZ537" s="116"/>
      <c r="BA537" s="116"/>
      <c r="BB537" s="116"/>
      <c r="BC537" s="116"/>
      <c r="BD537" s="116"/>
      <c r="BE537" s="116"/>
      <c r="BF537" s="116"/>
      <c r="BG537" s="116"/>
      <c r="BH537" s="116"/>
      <c r="BI537" s="116"/>
      <c r="BJ537" s="116"/>
      <c r="BK537" s="116"/>
      <c r="BL537" s="116"/>
      <c r="BM537" s="116"/>
      <c r="BN537" s="116"/>
      <c r="BO537" s="116"/>
      <c r="BP537" s="116"/>
      <c r="BQ537" s="116"/>
      <c r="BR537" s="116"/>
      <c r="BS537" s="116"/>
      <c r="BT537" s="116"/>
      <c r="BU537" s="116"/>
      <c r="BV537" s="116"/>
    </row>
    <row r="538" spans="2:74" x14ac:dyDescent="0.3">
      <c r="B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  <c r="AE538" s="116"/>
      <c r="AF538" s="116"/>
      <c r="AG538" s="116"/>
      <c r="AH538" s="116"/>
      <c r="AI538" s="116"/>
      <c r="AJ538" s="116"/>
      <c r="AK538" s="116"/>
      <c r="AL538" s="116"/>
      <c r="AM538" s="116"/>
      <c r="AN538" s="116"/>
      <c r="AO538" s="116"/>
      <c r="AP538" s="116"/>
      <c r="AQ538" s="116"/>
      <c r="AR538" s="116"/>
      <c r="AS538" s="116"/>
      <c r="AT538" s="116"/>
      <c r="AU538" s="116"/>
      <c r="AV538" s="116"/>
      <c r="AW538" s="116"/>
      <c r="AX538" s="116"/>
      <c r="AY538" s="116"/>
      <c r="AZ538" s="116"/>
      <c r="BA538" s="116"/>
      <c r="BB538" s="116"/>
      <c r="BC538" s="116"/>
      <c r="BD538" s="116"/>
      <c r="BE538" s="116"/>
      <c r="BF538" s="116"/>
      <c r="BG538" s="116"/>
      <c r="BH538" s="116"/>
      <c r="BI538" s="116"/>
      <c r="BJ538" s="116"/>
      <c r="BK538" s="116"/>
      <c r="BL538" s="116"/>
      <c r="BM538" s="116"/>
      <c r="BN538" s="116"/>
      <c r="BO538" s="116"/>
      <c r="BP538" s="116"/>
      <c r="BQ538" s="116"/>
      <c r="BR538" s="116"/>
      <c r="BS538" s="116"/>
      <c r="BT538" s="116"/>
      <c r="BU538" s="116"/>
      <c r="BV538" s="116"/>
    </row>
    <row r="539" spans="2:74" x14ac:dyDescent="0.3">
      <c r="B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AX539" s="116"/>
      <c r="AY539" s="116"/>
      <c r="AZ539" s="116"/>
      <c r="BA539" s="116"/>
      <c r="BB539" s="116"/>
      <c r="BC539" s="116"/>
      <c r="BD539" s="116"/>
      <c r="BE539" s="116"/>
      <c r="BF539" s="116"/>
      <c r="BG539" s="116"/>
      <c r="BH539" s="116"/>
      <c r="BI539" s="116"/>
      <c r="BJ539" s="116"/>
      <c r="BK539" s="116"/>
      <c r="BL539" s="116"/>
      <c r="BM539" s="116"/>
      <c r="BN539" s="116"/>
      <c r="BO539" s="116"/>
      <c r="BP539" s="116"/>
      <c r="BQ539" s="116"/>
      <c r="BR539" s="116"/>
      <c r="BS539" s="116"/>
      <c r="BT539" s="116"/>
      <c r="BU539" s="116"/>
      <c r="BV539" s="116"/>
    </row>
    <row r="540" spans="2:74" x14ac:dyDescent="0.3">
      <c r="B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AX540" s="116"/>
      <c r="AY540" s="116"/>
      <c r="AZ540" s="116"/>
      <c r="BA540" s="116"/>
      <c r="BB540" s="116"/>
      <c r="BC540" s="116"/>
      <c r="BD540" s="116"/>
      <c r="BE540" s="116"/>
      <c r="BF540" s="116"/>
      <c r="BG540" s="116"/>
      <c r="BH540" s="116"/>
      <c r="BI540" s="116"/>
      <c r="BJ540" s="116"/>
      <c r="BK540" s="116"/>
      <c r="BL540" s="116"/>
      <c r="BM540" s="116"/>
      <c r="BN540" s="116"/>
      <c r="BO540" s="116"/>
      <c r="BP540" s="116"/>
      <c r="BQ540" s="116"/>
      <c r="BR540" s="116"/>
      <c r="BS540" s="116"/>
      <c r="BT540" s="116"/>
      <c r="BU540" s="116"/>
      <c r="BV540" s="116"/>
    </row>
    <row r="541" spans="2:74" x14ac:dyDescent="0.3">
      <c r="B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  <c r="AE541" s="116"/>
      <c r="AF541" s="116"/>
      <c r="AG541" s="116"/>
      <c r="AH541" s="116"/>
      <c r="AI541" s="116"/>
      <c r="AJ541" s="116"/>
      <c r="AK541" s="116"/>
      <c r="AL541" s="116"/>
      <c r="AM541" s="116"/>
      <c r="AN541" s="116"/>
      <c r="AO541" s="116"/>
      <c r="AP541" s="116"/>
      <c r="AQ541" s="116"/>
      <c r="AR541" s="116"/>
      <c r="AS541" s="116"/>
      <c r="AT541" s="116"/>
      <c r="AU541" s="116"/>
      <c r="AV541" s="116"/>
      <c r="AW541" s="116"/>
      <c r="AX541" s="116"/>
      <c r="AY541" s="116"/>
      <c r="AZ541" s="116"/>
      <c r="BA541" s="116"/>
      <c r="BB541" s="116"/>
      <c r="BC541" s="116"/>
      <c r="BD541" s="116"/>
      <c r="BE541" s="116"/>
      <c r="BF541" s="116"/>
      <c r="BG541" s="116"/>
      <c r="BH541" s="116"/>
      <c r="BI541" s="116"/>
      <c r="BJ541" s="116"/>
      <c r="BK541" s="116"/>
      <c r="BL541" s="116"/>
      <c r="BM541" s="116"/>
      <c r="BN541" s="116"/>
      <c r="BO541" s="116"/>
      <c r="BP541" s="116"/>
      <c r="BQ541" s="116"/>
      <c r="BR541" s="116"/>
      <c r="BS541" s="116"/>
      <c r="BT541" s="116"/>
      <c r="BU541" s="116"/>
      <c r="BV541" s="116"/>
    </row>
    <row r="542" spans="2:74" x14ac:dyDescent="0.3">
      <c r="B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  <c r="AE542" s="116"/>
      <c r="AF542" s="116"/>
      <c r="AG542" s="116"/>
      <c r="AH542" s="116"/>
      <c r="AI542" s="116"/>
      <c r="AJ542" s="116"/>
      <c r="AK542" s="116"/>
      <c r="AL542" s="116"/>
      <c r="AM542" s="116"/>
      <c r="AN542" s="116"/>
      <c r="AO542" s="116"/>
      <c r="AP542" s="116"/>
      <c r="AQ542" s="116"/>
      <c r="AR542" s="116"/>
      <c r="AS542" s="116"/>
      <c r="AT542" s="116"/>
      <c r="AU542" s="116"/>
      <c r="AV542" s="116"/>
      <c r="AW542" s="116"/>
      <c r="AX542" s="116"/>
      <c r="AY542" s="116"/>
      <c r="AZ542" s="116"/>
      <c r="BA542" s="116"/>
      <c r="BB542" s="116"/>
      <c r="BC542" s="116"/>
      <c r="BD542" s="116"/>
      <c r="BE542" s="116"/>
      <c r="BF542" s="116"/>
      <c r="BG542" s="116"/>
      <c r="BH542" s="116"/>
      <c r="BI542" s="116"/>
      <c r="BJ542" s="116"/>
      <c r="BK542" s="116"/>
      <c r="BL542" s="116"/>
      <c r="BM542" s="116"/>
      <c r="BN542" s="116"/>
      <c r="BO542" s="116"/>
      <c r="BP542" s="116"/>
      <c r="BQ542" s="116"/>
      <c r="BR542" s="116"/>
      <c r="BS542" s="116"/>
      <c r="BT542" s="116"/>
      <c r="BU542" s="116"/>
      <c r="BV542" s="116"/>
    </row>
    <row r="543" spans="2:74" x14ac:dyDescent="0.3">
      <c r="B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  <c r="AE543" s="116"/>
      <c r="AF543" s="116"/>
      <c r="AG543" s="116"/>
      <c r="AH543" s="116"/>
      <c r="AI543" s="116"/>
      <c r="AJ543" s="116"/>
      <c r="AK543" s="116"/>
      <c r="AL543" s="116"/>
      <c r="AM543" s="116"/>
      <c r="AN543" s="116"/>
      <c r="AO543" s="116"/>
      <c r="AP543" s="116"/>
      <c r="AQ543" s="116"/>
      <c r="AR543" s="116"/>
      <c r="AS543" s="116"/>
      <c r="AT543" s="116"/>
      <c r="AU543" s="116"/>
      <c r="AV543" s="116"/>
      <c r="AW543" s="116"/>
      <c r="AX543" s="116"/>
      <c r="AY543" s="116"/>
      <c r="AZ543" s="116"/>
      <c r="BA543" s="116"/>
      <c r="BB543" s="116"/>
      <c r="BC543" s="116"/>
      <c r="BD543" s="116"/>
      <c r="BE543" s="116"/>
      <c r="BF543" s="116"/>
      <c r="BG543" s="116"/>
      <c r="BH543" s="116"/>
      <c r="BI543" s="116"/>
      <c r="BJ543" s="116"/>
      <c r="BK543" s="116"/>
      <c r="BL543" s="116"/>
      <c r="BM543" s="116"/>
      <c r="BN543" s="116"/>
      <c r="BO543" s="116"/>
      <c r="BP543" s="116"/>
      <c r="BQ543" s="116"/>
      <c r="BR543" s="116"/>
      <c r="BS543" s="116"/>
      <c r="BT543" s="116"/>
      <c r="BU543" s="116"/>
      <c r="BV543" s="116"/>
    </row>
    <row r="544" spans="2:74" x14ac:dyDescent="0.3">
      <c r="B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  <c r="AE544" s="116"/>
      <c r="AF544" s="116"/>
      <c r="AG544" s="116"/>
      <c r="AH544" s="116"/>
      <c r="AI544" s="116"/>
      <c r="AJ544" s="116"/>
      <c r="AK544" s="116"/>
      <c r="AL544" s="116"/>
      <c r="AM544" s="116"/>
      <c r="AN544" s="116"/>
      <c r="AO544" s="116"/>
      <c r="AP544" s="116"/>
      <c r="AQ544" s="116"/>
      <c r="AR544" s="116"/>
      <c r="AS544" s="116"/>
      <c r="AT544" s="116"/>
      <c r="AU544" s="116"/>
      <c r="AV544" s="116"/>
      <c r="AW544" s="116"/>
      <c r="AX544" s="116"/>
      <c r="AY544" s="116"/>
      <c r="AZ544" s="116"/>
      <c r="BA544" s="116"/>
      <c r="BB544" s="116"/>
      <c r="BC544" s="116"/>
      <c r="BD544" s="116"/>
      <c r="BE544" s="116"/>
      <c r="BF544" s="116"/>
      <c r="BG544" s="116"/>
      <c r="BH544" s="116"/>
      <c r="BI544" s="116"/>
      <c r="BJ544" s="116"/>
      <c r="BK544" s="116"/>
      <c r="BL544" s="116"/>
      <c r="BM544" s="116"/>
      <c r="BN544" s="116"/>
      <c r="BO544" s="116"/>
      <c r="BP544" s="116"/>
      <c r="BQ544" s="116"/>
      <c r="BR544" s="116"/>
      <c r="BS544" s="116"/>
      <c r="BT544" s="116"/>
      <c r="BU544" s="116"/>
      <c r="BV544" s="116"/>
    </row>
    <row r="545" spans="2:74" x14ac:dyDescent="0.3">
      <c r="B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  <c r="AE545" s="116"/>
      <c r="AF545" s="116"/>
      <c r="AG545" s="116"/>
      <c r="AH545" s="116"/>
      <c r="AI545" s="116"/>
      <c r="AJ545" s="116"/>
      <c r="AK545" s="116"/>
      <c r="AL545" s="116"/>
      <c r="AM545" s="116"/>
      <c r="AN545" s="116"/>
      <c r="AO545" s="116"/>
      <c r="AP545" s="116"/>
      <c r="AQ545" s="116"/>
      <c r="AR545" s="116"/>
      <c r="AS545" s="116"/>
      <c r="AT545" s="116"/>
      <c r="AU545" s="116"/>
      <c r="AV545" s="116"/>
      <c r="AW545" s="116"/>
      <c r="AX545" s="116"/>
      <c r="AY545" s="116"/>
      <c r="AZ545" s="116"/>
      <c r="BA545" s="116"/>
      <c r="BB545" s="116"/>
      <c r="BC545" s="116"/>
      <c r="BD545" s="116"/>
      <c r="BE545" s="116"/>
      <c r="BF545" s="116"/>
      <c r="BG545" s="116"/>
      <c r="BH545" s="116"/>
      <c r="BI545" s="116"/>
      <c r="BJ545" s="116"/>
      <c r="BK545" s="116"/>
      <c r="BL545" s="116"/>
      <c r="BM545" s="116"/>
      <c r="BN545" s="116"/>
      <c r="BO545" s="116"/>
      <c r="BP545" s="116"/>
      <c r="BQ545" s="116"/>
      <c r="BR545" s="116"/>
      <c r="BS545" s="116"/>
      <c r="BT545" s="116"/>
      <c r="BU545" s="116"/>
      <c r="BV545" s="116"/>
    </row>
    <row r="546" spans="2:74" x14ac:dyDescent="0.3">
      <c r="B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  <c r="AE546" s="116"/>
      <c r="AF546" s="116"/>
      <c r="AG546" s="116"/>
      <c r="AH546" s="116"/>
      <c r="AI546" s="116"/>
      <c r="AJ546" s="116"/>
      <c r="AK546" s="116"/>
      <c r="AL546" s="116"/>
      <c r="AM546" s="116"/>
      <c r="AN546" s="116"/>
      <c r="AO546" s="116"/>
      <c r="AP546" s="116"/>
      <c r="AQ546" s="116"/>
      <c r="AR546" s="116"/>
      <c r="AS546" s="116"/>
      <c r="AT546" s="116"/>
      <c r="AU546" s="116"/>
      <c r="AV546" s="116"/>
      <c r="AW546" s="116"/>
      <c r="AX546" s="116"/>
      <c r="AY546" s="116"/>
      <c r="AZ546" s="116"/>
      <c r="BA546" s="116"/>
      <c r="BB546" s="116"/>
      <c r="BC546" s="116"/>
      <c r="BD546" s="116"/>
      <c r="BE546" s="116"/>
      <c r="BF546" s="116"/>
      <c r="BG546" s="116"/>
      <c r="BH546" s="116"/>
      <c r="BI546" s="116"/>
      <c r="BJ546" s="116"/>
      <c r="BK546" s="116"/>
      <c r="BL546" s="116"/>
      <c r="BM546" s="116"/>
      <c r="BN546" s="116"/>
      <c r="BO546" s="116"/>
      <c r="BP546" s="116"/>
      <c r="BQ546" s="116"/>
      <c r="BR546" s="116"/>
      <c r="BS546" s="116"/>
      <c r="BT546" s="116"/>
      <c r="BU546" s="116"/>
      <c r="BV546" s="116"/>
    </row>
    <row r="547" spans="2:74" x14ac:dyDescent="0.3">
      <c r="B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  <c r="AE547" s="116"/>
      <c r="AF547" s="116"/>
      <c r="AG547" s="116"/>
      <c r="AH547" s="116"/>
      <c r="AI547" s="116"/>
      <c r="AJ547" s="116"/>
      <c r="AK547" s="116"/>
      <c r="AL547" s="116"/>
      <c r="AM547" s="116"/>
      <c r="AN547" s="116"/>
      <c r="AO547" s="116"/>
      <c r="AP547" s="116"/>
      <c r="AQ547" s="116"/>
      <c r="AR547" s="116"/>
      <c r="AS547" s="116"/>
      <c r="AT547" s="116"/>
      <c r="AU547" s="116"/>
      <c r="AV547" s="116"/>
      <c r="AW547" s="116"/>
      <c r="AX547" s="116"/>
      <c r="AY547" s="116"/>
      <c r="AZ547" s="116"/>
      <c r="BA547" s="116"/>
      <c r="BB547" s="116"/>
      <c r="BC547" s="116"/>
      <c r="BD547" s="116"/>
      <c r="BE547" s="116"/>
      <c r="BF547" s="116"/>
      <c r="BG547" s="116"/>
      <c r="BH547" s="116"/>
      <c r="BI547" s="116"/>
      <c r="BJ547" s="116"/>
      <c r="BK547" s="116"/>
      <c r="BL547" s="116"/>
      <c r="BM547" s="116"/>
      <c r="BN547" s="116"/>
      <c r="BO547" s="116"/>
      <c r="BP547" s="116"/>
      <c r="BQ547" s="116"/>
      <c r="BR547" s="116"/>
      <c r="BS547" s="116"/>
      <c r="BT547" s="116"/>
      <c r="BU547" s="116"/>
      <c r="BV547" s="116"/>
    </row>
    <row r="548" spans="2:74" x14ac:dyDescent="0.3">
      <c r="B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  <c r="AE548" s="116"/>
      <c r="AF548" s="116"/>
      <c r="AG548" s="116"/>
      <c r="AH548" s="116"/>
      <c r="AI548" s="116"/>
      <c r="AJ548" s="116"/>
      <c r="AK548" s="116"/>
      <c r="AL548" s="116"/>
      <c r="AM548" s="116"/>
      <c r="AN548" s="116"/>
      <c r="AO548" s="116"/>
      <c r="AP548" s="116"/>
      <c r="AQ548" s="116"/>
      <c r="AR548" s="116"/>
      <c r="AS548" s="116"/>
      <c r="AT548" s="116"/>
      <c r="AU548" s="116"/>
      <c r="AV548" s="116"/>
      <c r="AW548" s="116"/>
      <c r="AX548" s="116"/>
      <c r="AY548" s="116"/>
      <c r="AZ548" s="116"/>
      <c r="BA548" s="116"/>
      <c r="BB548" s="116"/>
      <c r="BC548" s="116"/>
      <c r="BD548" s="116"/>
      <c r="BE548" s="116"/>
      <c r="BF548" s="116"/>
      <c r="BG548" s="116"/>
      <c r="BH548" s="116"/>
      <c r="BI548" s="116"/>
      <c r="BJ548" s="116"/>
      <c r="BK548" s="116"/>
      <c r="BL548" s="116"/>
      <c r="BM548" s="116"/>
      <c r="BN548" s="116"/>
      <c r="BO548" s="116"/>
      <c r="BP548" s="116"/>
      <c r="BQ548" s="116"/>
      <c r="BR548" s="116"/>
      <c r="BS548" s="116"/>
      <c r="BT548" s="116"/>
      <c r="BU548" s="116"/>
      <c r="BV548" s="116"/>
    </row>
    <row r="549" spans="2:74" x14ac:dyDescent="0.3">
      <c r="B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  <c r="AE549" s="116"/>
      <c r="AF549" s="116"/>
      <c r="AG549" s="116"/>
      <c r="AH549" s="116"/>
      <c r="AI549" s="116"/>
      <c r="AJ549" s="116"/>
      <c r="AK549" s="116"/>
      <c r="AL549" s="116"/>
      <c r="AM549" s="116"/>
      <c r="AN549" s="116"/>
      <c r="AO549" s="116"/>
      <c r="AP549" s="116"/>
      <c r="AQ549" s="116"/>
      <c r="AR549" s="116"/>
      <c r="AS549" s="116"/>
      <c r="AT549" s="116"/>
      <c r="AU549" s="116"/>
      <c r="AV549" s="116"/>
      <c r="AW549" s="116"/>
      <c r="AX549" s="116"/>
      <c r="AY549" s="116"/>
      <c r="AZ549" s="116"/>
      <c r="BA549" s="116"/>
      <c r="BB549" s="116"/>
      <c r="BC549" s="116"/>
      <c r="BD549" s="116"/>
      <c r="BE549" s="116"/>
      <c r="BF549" s="116"/>
      <c r="BG549" s="116"/>
      <c r="BH549" s="116"/>
      <c r="BI549" s="116"/>
      <c r="BJ549" s="116"/>
      <c r="BK549" s="116"/>
      <c r="BL549" s="116"/>
      <c r="BM549" s="116"/>
      <c r="BN549" s="116"/>
      <c r="BO549" s="116"/>
      <c r="BP549" s="116"/>
      <c r="BQ549" s="116"/>
      <c r="BR549" s="116"/>
      <c r="BS549" s="116"/>
      <c r="BT549" s="116"/>
      <c r="BU549" s="116"/>
      <c r="BV549" s="116"/>
    </row>
    <row r="550" spans="2:74" x14ac:dyDescent="0.3">
      <c r="B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  <c r="AE550" s="116"/>
      <c r="AF550" s="116"/>
      <c r="AG550" s="116"/>
      <c r="AH550" s="116"/>
      <c r="AI550" s="116"/>
      <c r="AJ550" s="116"/>
      <c r="AK550" s="116"/>
      <c r="AL550" s="116"/>
      <c r="AM550" s="116"/>
      <c r="AN550" s="116"/>
      <c r="AO550" s="116"/>
      <c r="AP550" s="116"/>
      <c r="AQ550" s="116"/>
      <c r="AR550" s="116"/>
      <c r="AS550" s="116"/>
      <c r="AT550" s="116"/>
      <c r="AU550" s="116"/>
      <c r="AV550" s="116"/>
      <c r="AW550" s="116"/>
      <c r="AX550" s="116"/>
      <c r="AY550" s="116"/>
      <c r="AZ550" s="116"/>
      <c r="BA550" s="116"/>
      <c r="BB550" s="116"/>
      <c r="BC550" s="116"/>
      <c r="BD550" s="116"/>
      <c r="BE550" s="116"/>
      <c r="BF550" s="116"/>
      <c r="BG550" s="116"/>
      <c r="BH550" s="116"/>
      <c r="BI550" s="116"/>
      <c r="BJ550" s="116"/>
      <c r="BK550" s="116"/>
      <c r="BL550" s="116"/>
      <c r="BM550" s="116"/>
      <c r="BN550" s="116"/>
      <c r="BO550" s="116"/>
      <c r="BP550" s="116"/>
      <c r="BQ550" s="116"/>
      <c r="BR550" s="116"/>
      <c r="BS550" s="116"/>
      <c r="BT550" s="116"/>
      <c r="BU550" s="116"/>
      <c r="BV550" s="116"/>
    </row>
    <row r="551" spans="2:74" x14ac:dyDescent="0.3">
      <c r="B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  <c r="AE551" s="116"/>
      <c r="AF551" s="116"/>
      <c r="AG551" s="116"/>
      <c r="AH551" s="116"/>
      <c r="AI551" s="116"/>
      <c r="AJ551" s="116"/>
      <c r="AK551" s="116"/>
      <c r="AL551" s="116"/>
      <c r="AM551" s="116"/>
      <c r="AN551" s="116"/>
      <c r="AO551" s="116"/>
      <c r="AP551" s="116"/>
      <c r="AQ551" s="116"/>
      <c r="AR551" s="116"/>
      <c r="AS551" s="116"/>
      <c r="AT551" s="116"/>
      <c r="AU551" s="116"/>
      <c r="AV551" s="116"/>
      <c r="AW551" s="116"/>
      <c r="AX551" s="116"/>
      <c r="AY551" s="116"/>
      <c r="AZ551" s="116"/>
      <c r="BA551" s="116"/>
      <c r="BB551" s="116"/>
      <c r="BC551" s="116"/>
      <c r="BD551" s="116"/>
      <c r="BE551" s="116"/>
      <c r="BF551" s="116"/>
      <c r="BG551" s="116"/>
      <c r="BH551" s="116"/>
      <c r="BI551" s="116"/>
      <c r="BJ551" s="116"/>
      <c r="BK551" s="116"/>
      <c r="BL551" s="116"/>
      <c r="BM551" s="116"/>
      <c r="BN551" s="116"/>
      <c r="BO551" s="116"/>
      <c r="BP551" s="116"/>
      <c r="BQ551" s="116"/>
      <c r="BR551" s="116"/>
      <c r="BS551" s="116"/>
      <c r="BT551" s="116"/>
      <c r="BU551" s="116"/>
      <c r="BV551" s="116"/>
    </row>
    <row r="552" spans="2:74" x14ac:dyDescent="0.3">
      <c r="B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  <c r="AE552" s="116"/>
      <c r="AF552" s="116"/>
      <c r="AG552" s="116"/>
      <c r="AH552" s="116"/>
      <c r="AI552" s="116"/>
      <c r="AJ552" s="116"/>
      <c r="AK552" s="116"/>
      <c r="AL552" s="116"/>
      <c r="AM552" s="116"/>
      <c r="AN552" s="116"/>
      <c r="AO552" s="116"/>
      <c r="AP552" s="116"/>
      <c r="AQ552" s="116"/>
      <c r="AR552" s="116"/>
      <c r="AS552" s="116"/>
      <c r="AT552" s="116"/>
      <c r="AU552" s="116"/>
      <c r="AV552" s="116"/>
      <c r="AW552" s="116"/>
      <c r="AX552" s="116"/>
      <c r="AY552" s="116"/>
      <c r="AZ552" s="116"/>
      <c r="BA552" s="116"/>
      <c r="BB552" s="116"/>
      <c r="BC552" s="116"/>
      <c r="BD552" s="116"/>
      <c r="BE552" s="116"/>
      <c r="BF552" s="116"/>
      <c r="BG552" s="116"/>
      <c r="BH552" s="116"/>
      <c r="BI552" s="116"/>
      <c r="BJ552" s="116"/>
      <c r="BK552" s="116"/>
      <c r="BL552" s="116"/>
      <c r="BM552" s="116"/>
      <c r="BN552" s="116"/>
      <c r="BO552" s="116"/>
      <c r="BP552" s="116"/>
      <c r="BQ552" s="116"/>
      <c r="BR552" s="116"/>
      <c r="BS552" s="116"/>
      <c r="BT552" s="116"/>
      <c r="BU552" s="116"/>
      <c r="BV552" s="116"/>
    </row>
    <row r="553" spans="2:74" x14ac:dyDescent="0.3">
      <c r="B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  <c r="AE553" s="116"/>
      <c r="AF553" s="116"/>
      <c r="AG553" s="116"/>
      <c r="AH553" s="116"/>
      <c r="AI553" s="116"/>
      <c r="AJ553" s="116"/>
      <c r="AK553" s="116"/>
      <c r="AL553" s="116"/>
      <c r="AM553" s="116"/>
      <c r="AN553" s="116"/>
      <c r="AO553" s="116"/>
      <c r="AP553" s="116"/>
      <c r="AQ553" s="116"/>
      <c r="AR553" s="116"/>
      <c r="AS553" s="116"/>
      <c r="AT553" s="116"/>
      <c r="AU553" s="116"/>
      <c r="AV553" s="116"/>
      <c r="AW553" s="116"/>
      <c r="AX553" s="116"/>
      <c r="AY553" s="116"/>
      <c r="AZ553" s="116"/>
      <c r="BA553" s="116"/>
      <c r="BB553" s="116"/>
      <c r="BC553" s="116"/>
      <c r="BD553" s="116"/>
      <c r="BE553" s="116"/>
      <c r="BF553" s="116"/>
      <c r="BG553" s="116"/>
      <c r="BH553" s="116"/>
      <c r="BI553" s="116"/>
      <c r="BJ553" s="116"/>
      <c r="BK553" s="116"/>
      <c r="BL553" s="116"/>
      <c r="BM553" s="116"/>
      <c r="BN553" s="116"/>
      <c r="BO553" s="116"/>
      <c r="BP553" s="116"/>
      <c r="BQ553" s="116"/>
      <c r="BR553" s="116"/>
      <c r="BS553" s="116"/>
      <c r="BT553" s="116"/>
      <c r="BU553" s="116"/>
      <c r="BV553" s="116"/>
    </row>
    <row r="554" spans="2:74" x14ac:dyDescent="0.3">
      <c r="B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  <c r="AE554" s="116"/>
      <c r="AF554" s="116"/>
      <c r="AG554" s="116"/>
      <c r="AH554" s="116"/>
      <c r="AI554" s="116"/>
      <c r="AJ554" s="116"/>
      <c r="AK554" s="116"/>
      <c r="AL554" s="116"/>
      <c r="AM554" s="116"/>
      <c r="AN554" s="116"/>
      <c r="AO554" s="116"/>
      <c r="AP554" s="116"/>
      <c r="AQ554" s="116"/>
      <c r="AR554" s="116"/>
      <c r="AS554" s="116"/>
      <c r="AT554" s="116"/>
      <c r="AU554" s="116"/>
      <c r="AV554" s="116"/>
      <c r="AW554" s="116"/>
      <c r="AX554" s="116"/>
      <c r="AY554" s="116"/>
      <c r="AZ554" s="116"/>
      <c r="BA554" s="116"/>
      <c r="BB554" s="116"/>
      <c r="BC554" s="116"/>
      <c r="BD554" s="116"/>
      <c r="BE554" s="116"/>
      <c r="BF554" s="116"/>
      <c r="BG554" s="116"/>
      <c r="BH554" s="116"/>
      <c r="BI554" s="116"/>
      <c r="BJ554" s="116"/>
      <c r="BK554" s="116"/>
      <c r="BL554" s="116"/>
      <c r="BM554" s="116"/>
      <c r="BN554" s="116"/>
      <c r="BO554" s="116"/>
      <c r="BP554" s="116"/>
      <c r="BQ554" s="116"/>
      <c r="BR554" s="116"/>
      <c r="BS554" s="116"/>
      <c r="BT554" s="116"/>
      <c r="BU554" s="116"/>
      <c r="BV554" s="116"/>
    </row>
    <row r="555" spans="2:74" x14ac:dyDescent="0.3">
      <c r="B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  <c r="AE555" s="116"/>
      <c r="AF555" s="116"/>
      <c r="AG555" s="116"/>
      <c r="AH555" s="116"/>
      <c r="AI555" s="116"/>
      <c r="AJ555" s="116"/>
      <c r="AK555" s="116"/>
      <c r="AL555" s="116"/>
      <c r="AM555" s="116"/>
      <c r="AN555" s="116"/>
      <c r="AO555" s="116"/>
      <c r="AP555" s="116"/>
      <c r="AQ555" s="116"/>
      <c r="AR555" s="116"/>
      <c r="AS555" s="116"/>
      <c r="AT555" s="116"/>
      <c r="AU555" s="116"/>
      <c r="AV555" s="116"/>
      <c r="AW555" s="116"/>
      <c r="AX555" s="116"/>
      <c r="AY555" s="116"/>
      <c r="AZ555" s="116"/>
      <c r="BA555" s="116"/>
      <c r="BB555" s="116"/>
      <c r="BC555" s="116"/>
      <c r="BD555" s="116"/>
      <c r="BE555" s="116"/>
      <c r="BF555" s="116"/>
      <c r="BG555" s="116"/>
      <c r="BH555" s="116"/>
      <c r="BI555" s="116"/>
      <c r="BJ555" s="116"/>
      <c r="BK555" s="116"/>
      <c r="BL555" s="116"/>
      <c r="BM555" s="116"/>
      <c r="BN555" s="116"/>
      <c r="BO555" s="116"/>
      <c r="BP555" s="116"/>
      <c r="BQ555" s="116"/>
      <c r="BR555" s="116"/>
      <c r="BS555" s="116"/>
      <c r="BT555" s="116"/>
      <c r="BU555" s="116"/>
      <c r="BV555" s="116"/>
    </row>
    <row r="556" spans="2:74" x14ac:dyDescent="0.3">
      <c r="B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  <c r="AE556" s="116"/>
      <c r="AF556" s="116"/>
      <c r="AG556" s="116"/>
      <c r="AH556" s="116"/>
      <c r="AI556" s="116"/>
      <c r="AJ556" s="116"/>
      <c r="AK556" s="116"/>
      <c r="AL556" s="116"/>
      <c r="AM556" s="116"/>
      <c r="AN556" s="116"/>
      <c r="AO556" s="116"/>
      <c r="AP556" s="116"/>
      <c r="AQ556" s="116"/>
      <c r="AR556" s="116"/>
      <c r="AS556" s="116"/>
      <c r="AT556" s="116"/>
      <c r="AU556" s="116"/>
      <c r="AV556" s="116"/>
      <c r="AW556" s="116"/>
      <c r="AX556" s="116"/>
      <c r="AY556" s="116"/>
      <c r="AZ556" s="116"/>
      <c r="BA556" s="116"/>
      <c r="BB556" s="116"/>
      <c r="BC556" s="116"/>
      <c r="BD556" s="116"/>
      <c r="BE556" s="116"/>
      <c r="BF556" s="116"/>
      <c r="BG556" s="116"/>
      <c r="BH556" s="116"/>
      <c r="BI556" s="116"/>
      <c r="BJ556" s="116"/>
      <c r="BK556" s="116"/>
      <c r="BL556" s="116"/>
      <c r="BM556" s="116"/>
      <c r="BN556" s="116"/>
      <c r="BO556" s="116"/>
      <c r="BP556" s="116"/>
      <c r="BQ556" s="116"/>
      <c r="BR556" s="116"/>
      <c r="BS556" s="116"/>
      <c r="BT556" s="116"/>
      <c r="BU556" s="116"/>
      <c r="BV556" s="116"/>
    </row>
    <row r="557" spans="2:74" x14ac:dyDescent="0.3">
      <c r="B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  <c r="AE557" s="116"/>
      <c r="AF557" s="116"/>
      <c r="AG557" s="116"/>
      <c r="AH557" s="116"/>
      <c r="AI557" s="116"/>
      <c r="AJ557" s="116"/>
      <c r="AK557" s="116"/>
      <c r="AL557" s="116"/>
      <c r="AM557" s="116"/>
      <c r="AN557" s="116"/>
      <c r="AO557" s="116"/>
      <c r="AP557" s="116"/>
      <c r="AQ557" s="116"/>
      <c r="AR557" s="116"/>
      <c r="AS557" s="116"/>
      <c r="AT557" s="116"/>
      <c r="AU557" s="116"/>
      <c r="AV557" s="116"/>
      <c r="AW557" s="116"/>
      <c r="AX557" s="116"/>
      <c r="AY557" s="116"/>
      <c r="AZ557" s="116"/>
      <c r="BA557" s="116"/>
      <c r="BB557" s="116"/>
      <c r="BC557" s="116"/>
      <c r="BD557" s="116"/>
      <c r="BE557" s="116"/>
      <c r="BF557" s="116"/>
      <c r="BG557" s="116"/>
      <c r="BH557" s="116"/>
      <c r="BI557" s="116"/>
      <c r="BJ557" s="116"/>
      <c r="BK557" s="116"/>
      <c r="BL557" s="116"/>
      <c r="BM557" s="116"/>
      <c r="BN557" s="116"/>
      <c r="BO557" s="116"/>
      <c r="BP557" s="116"/>
      <c r="BQ557" s="116"/>
      <c r="BR557" s="116"/>
      <c r="BS557" s="116"/>
      <c r="BT557" s="116"/>
      <c r="BU557" s="116"/>
      <c r="BV557" s="116"/>
    </row>
    <row r="558" spans="2:74" x14ac:dyDescent="0.3">
      <c r="B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  <c r="AE558" s="116"/>
      <c r="AF558" s="116"/>
      <c r="AG558" s="116"/>
      <c r="AH558" s="116"/>
      <c r="AI558" s="116"/>
      <c r="AJ558" s="116"/>
      <c r="AK558" s="116"/>
      <c r="AL558" s="116"/>
      <c r="AM558" s="116"/>
      <c r="AN558" s="116"/>
      <c r="AO558" s="116"/>
      <c r="AP558" s="116"/>
      <c r="AQ558" s="116"/>
      <c r="AR558" s="116"/>
      <c r="AS558" s="116"/>
      <c r="AT558" s="116"/>
      <c r="AU558" s="116"/>
      <c r="AV558" s="116"/>
      <c r="AW558" s="116"/>
      <c r="AX558" s="116"/>
      <c r="AY558" s="116"/>
      <c r="AZ558" s="116"/>
      <c r="BA558" s="116"/>
      <c r="BB558" s="116"/>
      <c r="BC558" s="116"/>
      <c r="BD558" s="116"/>
      <c r="BE558" s="116"/>
      <c r="BF558" s="116"/>
      <c r="BG558" s="116"/>
      <c r="BH558" s="116"/>
      <c r="BI558" s="116"/>
      <c r="BJ558" s="116"/>
      <c r="BK558" s="116"/>
      <c r="BL558" s="116"/>
      <c r="BM558" s="116"/>
      <c r="BN558" s="116"/>
      <c r="BO558" s="116"/>
      <c r="BP558" s="116"/>
      <c r="BQ558" s="116"/>
      <c r="BR558" s="116"/>
      <c r="BS558" s="116"/>
      <c r="BT558" s="116"/>
      <c r="BU558" s="116"/>
      <c r="BV558" s="116"/>
    </row>
    <row r="559" spans="2:74" x14ac:dyDescent="0.3">
      <c r="B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  <c r="AE559" s="116"/>
      <c r="AF559" s="116"/>
      <c r="AG559" s="116"/>
      <c r="AH559" s="116"/>
      <c r="AI559" s="116"/>
      <c r="AJ559" s="116"/>
      <c r="AK559" s="116"/>
      <c r="AL559" s="116"/>
      <c r="AM559" s="116"/>
      <c r="AN559" s="116"/>
      <c r="AO559" s="116"/>
      <c r="AP559" s="116"/>
      <c r="AQ559" s="116"/>
      <c r="AR559" s="116"/>
      <c r="AS559" s="116"/>
      <c r="AT559" s="116"/>
      <c r="AU559" s="116"/>
      <c r="AV559" s="116"/>
      <c r="AW559" s="116"/>
      <c r="AX559" s="116"/>
      <c r="AY559" s="116"/>
      <c r="AZ559" s="116"/>
      <c r="BA559" s="116"/>
      <c r="BB559" s="116"/>
      <c r="BC559" s="116"/>
      <c r="BD559" s="116"/>
      <c r="BE559" s="116"/>
      <c r="BF559" s="116"/>
      <c r="BG559" s="116"/>
      <c r="BH559" s="116"/>
      <c r="BI559" s="116"/>
      <c r="BJ559" s="116"/>
      <c r="BK559" s="116"/>
      <c r="BL559" s="116"/>
      <c r="BM559" s="116"/>
      <c r="BN559" s="116"/>
      <c r="BO559" s="116"/>
      <c r="BP559" s="116"/>
      <c r="BQ559" s="116"/>
      <c r="BR559" s="116"/>
      <c r="BS559" s="116"/>
      <c r="BT559" s="116"/>
      <c r="BU559" s="116"/>
      <c r="BV559" s="116"/>
    </row>
    <row r="560" spans="2:74" x14ac:dyDescent="0.3">
      <c r="B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  <c r="AE560" s="116"/>
      <c r="AF560" s="116"/>
      <c r="AG560" s="116"/>
      <c r="AH560" s="116"/>
      <c r="AI560" s="116"/>
      <c r="AJ560" s="116"/>
      <c r="AK560" s="116"/>
      <c r="AL560" s="116"/>
      <c r="AM560" s="116"/>
      <c r="AN560" s="116"/>
      <c r="AO560" s="116"/>
      <c r="AP560" s="116"/>
      <c r="AQ560" s="116"/>
      <c r="AR560" s="116"/>
      <c r="AS560" s="116"/>
      <c r="AT560" s="116"/>
      <c r="AU560" s="116"/>
      <c r="AV560" s="116"/>
      <c r="AW560" s="116"/>
      <c r="AX560" s="116"/>
      <c r="AY560" s="116"/>
      <c r="AZ560" s="116"/>
      <c r="BA560" s="116"/>
      <c r="BB560" s="116"/>
      <c r="BC560" s="116"/>
      <c r="BD560" s="116"/>
      <c r="BE560" s="116"/>
      <c r="BF560" s="116"/>
      <c r="BG560" s="116"/>
      <c r="BH560" s="116"/>
      <c r="BI560" s="116"/>
      <c r="BJ560" s="116"/>
      <c r="BK560" s="116"/>
      <c r="BL560" s="116"/>
      <c r="BM560" s="116"/>
      <c r="BN560" s="116"/>
      <c r="BO560" s="116"/>
      <c r="BP560" s="116"/>
      <c r="BQ560" s="116"/>
      <c r="BR560" s="116"/>
      <c r="BS560" s="116"/>
      <c r="BT560" s="116"/>
      <c r="BU560" s="116"/>
      <c r="BV560" s="116"/>
    </row>
    <row r="561" spans="2:74" x14ac:dyDescent="0.3">
      <c r="B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  <c r="AE561" s="116"/>
      <c r="AF561" s="116"/>
      <c r="AG561" s="116"/>
      <c r="AH561" s="116"/>
      <c r="AI561" s="116"/>
      <c r="AJ561" s="116"/>
      <c r="AK561" s="116"/>
      <c r="AL561" s="116"/>
      <c r="AM561" s="116"/>
      <c r="AN561" s="116"/>
      <c r="AO561" s="116"/>
      <c r="AP561" s="116"/>
      <c r="AQ561" s="116"/>
      <c r="AR561" s="116"/>
      <c r="AS561" s="116"/>
      <c r="AT561" s="116"/>
      <c r="AU561" s="116"/>
      <c r="AV561" s="116"/>
      <c r="AW561" s="116"/>
      <c r="AX561" s="116"/>
      <c r="AY561" s="116"/>
      <c r="AZ561" s="116"/>
      <c r="BA561" s="116"/>
      <c r="BB561" s="116"/>
      <c r="BC561" s="116"/>
      <c r="BD561" s="116"/>
      <c r="BE561" s="116"/>
      <c r="BF561" s="116"/>
      <c r="BG561" s="116"/>
      <c r="BH561" s="116"/>
      <c r="BI561" s="116"/>
      <c r="BJ561" s="116"/>
      <c r="BK561" s="116"/>
      <c r="BL561" s="116"/>
      <c r="BM561" s="116"/>
      <c r="BN561" s="116"/>
      <c r="BO561" s="116"/>
      <c r="BP561" s="116"/>
      <c r="BQ561" s="116"/>
      <c r="BR561" s="116"/>
      <c r="BS561" s="116"/>
      <c r="BT561" s="116"/>
      <c r="BU561" s="116"/>
      <c r="BV561" s="116"/>
    </row>
    <row r="562" spans="2:74" x14ac:dyDescent="0.3">
      <c r="B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  <c r="AE562" s="116"/>
      <c r="AF562" s="116"/>
      <c r="AG562" s="116"/>
      <c r="AH562" s="116"/>
      <c r="AI562" s="116"/>
      <c r="AJ562" s="116"/>
      <c r="AK562" s="116"/>
      <c r="AL562" s="116"/>
      <c r="AM562" s="116"/>
      <c r="AN562" s="116"/>
      <c r="AO562" s="116"/>
      <c r="AP562" s="116"/>
      <c r="AQ562" s="116"/>
      <c r="AR562" s="116"/>
      <c r="AS562" s="116"/>
      <c r="AT562" s="116"/>
      <c r="AU562" s="116"/>
      <c r="AV562" s="116"/>
      <c r="AW562" s="116"/>
      <c r="AX562" s="116"/>
      <c r="AY562" s="116"/>
      <c r="AZ562" s="116"/>
      <c r="BA562" s="116"/>
      <c r="BB562" s="116"/>
      <c r="BC562" s="116"/>
      <c r="BD562" s="116"/>
      <c r="BE562" s="116"/>
      <c r="BF562" s="116"/>
      <c r="BG562" s="116"/>
      <c r="BH562" s="116"/>
      <c r="BI562" s="116"/>
      <c r="BJ562" s="116"/>
      <c r="BK562" s="116"/>
      <c r="BL562" s="116"/>
      <c r="BM562" s="116"/>
      <c r="BN562" s="116"/>
      <c r="BO562" s="116"/>
      <c r="BP562" s="116"/>
      <c r="BQ562" s="116"/>
      <c r="BR562" s="116"/>
      <c r="BS562" s="116"/>
      <c r="BT562" s="116"/>
      <c r="BU562" s="116"/>
      <c r="BV562" s="116"/>
    </row>
    <row r="563" spans="2:74" x14ac:dyDescent="0.3">
      <c r="B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  <c r="AE563" s="116"/>
      <c r="AF563" s="116"/>
      <c r="AG563" s="116"/>
      <c r="AH563" s="116"/>
      <c r="AI563" s="116"/>
      <c r="AJ563" s="116"/>
      <c r="AK563" s="116"/>
      <c r="AL563" s="116"/>
      <c r="AM563" s="116"/>
      <c r="AN563" s="116"/>
      <c r="AO563" s="116"/>
      <c r="AP563" s="116"/>
      <c r="AQ563" s="116"/>
      <c r="AR563" s="116"/>
      <c r="AS563" s="116"/>
      <c r="AT563" s="116"/>
      <c r="AU563" s="116"/>
      <c r="AV563" s="116"/>
      <c r="AW563" s="116"/>
      <c r="AX563" s="116"/>
      <c r="AY563" s="116"/>
      <c r="AZ563" s="116"/>
      <c r="BA563" s="116"/>
      <c r="BB563" s="116"/>
      <c r="BC563" s="116"/>
      <c r="BD563" s="116"/>
      <c r="BE563" s="116"/>
      <c r="BF563" s="116"/>
      <c r="BG563" s="116"/>
      <c r="BH563" s="116"/>
      <c r="BI563" s="116"/>
      <c r="BJ563" s="116"/>
      <c r="BK563" s="116"/>
      <c r="BL563" s="116"/>
      <c r="BM563" s="116"/>
      <c r="BN563" s="116"/>
      <c r="BO563" s="116"/>
      <c r="BP563" s="116"/>
      <c r="BQ563" s="116"/>
      <c r="BR563" s="116"/>
      <c r="BS563" s="116"/>
      <c r="BT563" s="116"/>
      <c r="BU563" s="116"/>
      <c r="BV563" s="116"/>
    </row>
    <row r="564" spans="2:74" x14ac:dyDescent="0.3">
      <c r="B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  <c r="AE564" s="116"/>
      <c r="AF564" s="116"/>
      <c r="AG564" s="116"/>
      <c r="AH564" s="116"/>
      <c r="AI564" s="116"/>
      <c r="AJ564" s="116"/>
      <c r="AK564" s="116"/>
      <c r="AL564" s="116"/>
      <c r="AM564" s="116"/>
      <c r="AN564" s="116"/>
      <c r="AO564" s="116"/>
      <c r="AP564" s="116"/>
      <c r="AQ564" s="116"/>
      <c r="AR564" s="116"/>
      <c r="AS564" s="116"/>
      <c r="AT564" s="116"/>
      <c r="AU564" s="116"/>
      <c r="AV564" s="116"/>
      <c r="AW564" s="116"/>
      <c r="AX564" s="116"/>
      <c r="AY564" s="116"/>
      <c r="AZ564" s="116"/>
      <c r="BA564" s="116"/>
      <c r="BB564" s="116"/>
      <c r="BC564" s="116"/>
      <c r="BD564" s="116"/>
      <c r="BE564" s="116"/>
      <c r="BF564" s="116"/>
      <c r="BG564" s="116"/>
      <c r="BH564" s="116"/>
      <c r="BI564" s="116"/>
      <c r="BJ564" s="116"/>
      <c r="BK564" s="116"/>
      <c r="BL564" s="116"/>
      <c r="BM564" s="116"/>
      <c r="BN564" s="116"/>
      <c r="BO564" s="116"/>
      <c r="BP564" s="116"/>
      <c r="BQ564" s="116"/>
      <c r="BR564" s="116"/>
      <c r="BS564" s="116"/>
      <c r="BT564" s="116"/>
      <c r="BU564" s="116"/>
      <c r="BV564" s="116"/>
    </row>
    <row r="565" spans="2:74" x14ac:dyDescent="0.3">
      <c r="B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  <c r="AE565" s="116"/>
      <c r="AF565" s="116"/>
      <c r="AG565" s="116"/>
      <c r="AH565" s="116"/>
      <c r="AI565" s="116"/>
      <c r="AJ565" s="116"/>
      <c r="AK565" s="116"/>
      <c r="AL565" s="116"/>
      <c r="AM565" s="116"/>
      <c r="AN565" s="116"/>
      <c r="AO565" s="116"/>
      <c r="AP565" s="116"/>
      <c r="AQ565" s="116"/>
      <c r="AR565" s="116"/>
      <c r="AS565" s="116"/>
      <c r="AT565" s="116"/>
      <c r="AU565" s="116"/>
      <c r="AV565" s="116"/>
      <c r="AW565" s="116"/>
      <c r="AX565" s="116"/>
      <c r="AY565" s="116"/>
      <c r="AZ565" s="116"/>
      <c r="BA565" s="116"/>
      <c r="BB565" s="116"/>
      <c r="BC565" s="116"/>
      <c r="BD565" s="116"/>
      <c r="BE565" s="116"/>
      <c r="BF565" s="116"/>
      <c r="BG565" s="116"/>
      <c r="BH565" s="116"/>
      <c r="BI565" s="116"/>
      <c r="BJ565" s="116"/>
      <c r="BK565" s="116"/>
      <c r="BL565" s="116"/>
      <c r="BM565" s="116"/>
      <c r="BN565" s="116"/>
      <c r="BO565" s="116"/>
      <c r="BP565" s="116"/>
      <c r="BQ565" s="116"/>
      <c r="BR565" s="116"/>
      <c r="BS565" s="116"/>
      <c r="BT565" s="116"/>
      <c r="BU565" s="116"/>
      <c r="BV565" s="116"/>
    </row>
    <row r="566" spans="2:74" x14ac:dyDescent="0.3">
      <c r="B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  <c r="AE566" s="116"/>
      <c r="AF566" s="116"/>
      <c r="AG566" s="116"/>
      <c r="AH566" s="116"/>
      <c r="AI566" s="116"/>
      <c r="AJ566" s="116"/>
      <c r="AK566" s="116"/>
      <c r="AL566" s="116"/>
      <c r="AM566" s="116"/>
      <c r="AN566" s="116"/>
      <c r="AO566" s="116"/>
      <c r="AP566" s="116"/>
      <c r="AQ566" s="116"/>
      <c r="AR566" s="116"/>
      <c r="AS566" s="116"/>
      <c r="AT566" s="116"/>
      <c r="AU566" s="116"/>
      <c r="AV566" s="116"/>
      <c r="AW566" s="116"/>
      <c r="AX566" s="116"/>
      <c r="AY566" s="116"/>
      <c r="AZ566" s="116"/>
      <c r="BA566" s="116"/>
      <c r="BB566" s="116"/>
      <c r="BC566" s="116"/>
      <c r="BD566" s="116"/>
      <c r="BE566" s="116"/>
      <c r="BF566" s="116"/>
      <c r="BG566" s="116"/>
      <c r="BH566" s="116"/>
      <c r="BI566" s="116"/>
      <c r="BJ566" s="116"/>
      <c r="BK566" s="116"/>
      <c r="BL566" s="116"/>
      <c r="BM566" s="116"/>
      <c r="BN566" s="116"/>
      <c r="BO566" s="116"/>
      <c r="BP566" s="116"/>
      <c r="BQ566" s="116"/>
      <c r="BR566" s="116"/>
      <c r="BS566" s="116"/>
      <c r="BT566" s="116"/>
      <c r="BU566" s="116"/>
      <c r="BV566" s="116"/>
    </row>
    <row r="567" spans="2:74" x14ac:dyDescent="0.3">
      <c r="B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  <c r="AE567" s="116"/>
      <c r="AF567" s="116"/>
      <c r="AG567" s="116"/>
      <c r="AH567" s="116"/>
      <c r="AI567" s="116"/>
      <c r="AJ567" s="116"/>
      <c r="AK567" s="116"/>
      <c r="AL567" s="116"/>
      <c r="AM567" s="116"/>
      <c r="AN567" s="116"/>
      <c r="AO567" s="116"/>
      <c r="AP567" s="116"/>
      <c r="AQ567" s="116"/>
      <c r="AR567" s="116"/>
      <c r="AS567" s="116"/>
      <c r="AT567" s="116"/>
      <c r="AU567" s="116"/>
      <c r="AV567" s="116"/>
      <c r="AW567" s="116"/>
      <c r="AX567" s="116"/>
      <c r="AY567" s="116"/>
      <c r="AZ567" s="116"/>
      <c r="BA567" s="116"/>
      <c r="BB567" s="116"/>
      <c r="BC567" s="116"/>
      <c r="BD567" s="116"/>
      <c r="BE567" s="116"/>
      <c r="BF567" s="116"/>
      <c r="BG567" s="116"/>
      <c r="BH567" s="116"/>
      <c r="BI567" s="116"/>
      <c r="BJ567" s="116"/>
      <c r="BK567" s="116"/>
      <c r="BL567" s="116"/>
      <c r="BM567" s="116"/>
      <c r="BN567" s="116"/>
      <c r="BO567" s="116"/>
      <c r="BP567" s="116"/>
      <c r="BQ567" s="116"/>
      <c r="BR567" s="116"/>
      <c r="BS567" s="116"/>
      <c r="BT567" s="116"/>
      <c r="BU567" s="116"/>
      <c r="BV567" s="116"/>
    </row>
    <row r="568" spans="2:74" x14ac:dyDescent="0.3">
      <c r="B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  <c r="AE568" s="116"/>
      <c r="AF568" s="116"/>
      <c r="AG568" s="116"/>
      <c r="AH568" s="116"/>
      <c r="AI568" s="116"/>
      <c r="AJ568" s="116"/>
      <c r="AK568" s="116"/>
      <c r="AL568" s="116"/>
      <c r="AM568" s="116"/>
      <c r="AN568" s="116"/>
      <c r="AO568" s="116"/>
      <c r="AP568" s="116"/>
      <c r="AQ568" s="116"/>
      <c r="AR568" s="116"/>
      <c r="AS568" s="116"/>
      <c r="AT568" s="116"/>
      <c r="AU568" s="116"/>
      <c r="AV568" s="116"/>
      <c r="AW568" s="116"/>
      <c r="AX568" s="116"/>
      <c r="AY568" s="116"/>
      <c r="AZ568" s="116"/>
      <c r="BA568" s="116"/>
      <c r="BB568" s="116"/>
      <c r="BC568" s="116"/>
      <c r="BD568" s="116"/>
      <c r="BE568" s="116"/>
      <c r="BF568" s="116"/>
      <c r="BG568" s="116"/>
      <c r="BH568" s="116"/>
      <c r="BI568" s="116"/>
      <c r="BJ568" s="116"/>
      <c r="BK568" s="116"/>
      <c r="BL568" s="116"/>
      <c r="BM568" s="116"/>
      <c r="BN568" s="116"/>
      <c r="BO568" s="116"/>
      <c r="BP568" s="116"/>
      <c r="BQ568" s="116"/>
      <c r="BR568" s="116"/>
      <c r="BS568" s="116"/>
      <c r="BT568" s="116"/>
      <c r="BU568" s="116"/>
      <c r="BV568" s="116"/>
    </row>
    <row r="569" spans="2:74" x14ac:dyDescent="0.3">
      <c r="B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  <c r="AE569" s="116"/>
      <c r="AF569" s="116"/>
      <c r="AG569" s="116"/>
      <c r="AH569" s="116"/>
      <c r="AI569" s="116"/>
      <c r="AJ569" s="116"/>
      <c r="AK569" s="116"/>
      <c r="AL569" s="116"/>
      <c r="AM569" s="116"/>
      <c r="AN569" s="116"/>
      <c r="AO569" s="116"/>
      <c r="AP569" s="116"/>
      <c r="AQ569" s="116"/>
      <c r="AR569" s="116"/>
      <c r="AS569" s="116"/>
      <c r="AT569" s="116"/>
      <c r="AU569" s="116"/>
      <c r="AV569" s="116"/>
      <c r="AW569" s="116"/>
      <c r="AX569" s="116"/>
      <c r="AY569" s="116"/>
      <c r="AZ569" s="116"/>
      <c r="BA569" s="116"/>
      <c r="BB569" s="116"/>
      <c r="BC569" s="116"/>
      <c r="BD569" s="116"/>
      <c r="BE569" s="116"/>
      <c r="BF569" s="116"/>
      <c r="BG569" s="116"/>
      <c r="BH569" s="116"/>
      <c r="BI569" s="116"/>
      <c r="BJ569" s="116"/>
      <c r="BK569" s="116"/>
      <c r="BL569" s="116"/>
      <c r="BM569" s="116"/>
      <c r="BN569" s="116"/>
      <c r="BO569" s="116"/>
      <c r="BP569" s="116"/>
      <c r="BQ569" s="116"/>
      <c r="BR569" s="116"/>
      <c r="BS569" s="116"/>
      <c r="BT569" s="116"/>
      <c r="BU569" s="116"/>
      <c r="BV569" s="116"/>
    </row>
    <row r="570" spans="2:74" x14ac:dyDescent="0.3">
      <c r="B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  <c r="AE570" s="116"/>
      <c r="AF570" s="116"/>
      <c r="AG570" s="116"/>
      <c r="AH570" s="116"/>
      <c r="AI570" s="116"/>
      <c r="AJ570" s="116"/>
      <c r="AK570" s="116"/>
      <c r="AL570" s="116"/>
      <c r="AM570" s="116"/>
      <c r="AN570" s="116"/>
      <c r="AO570" s="116"/>
      <c r="AP570" s="116"/>
      <c r="AQ570" s="116"/>
      <c r="AR570" s="116"/>
      <c r="AS570" s="116"/>
      <c r="AT570" s="116"/>
      <c r="AU570" s="116"/>
      <c r="AV570" s="116"/>
      <c r="AW570" s="116"/>
      <c r="AX570" s="116"/>
      <c r="AY570" s="116"/>
      <c r="AZ570" s="116"/>
      <c r="BA570" s="116"/>
      <c r="BB570" s="116"/>
      <c r="BC570" s="116"/>
      <c r="BD570" s="116"/>
      <c r="BE570" s="116"/>
      <c r="BF570" s="116"/>
      <c r="BG570" s="116"/>
      <c r="BH570" s="116"/>
      <c r="BI570" s="116"/>
      <c r="BJ570" s="116"/>
      <c r="BK570" s="116"/>
      <c r="BL570" s="116"/>
      <c r="BM570" s="116"/>
      <c r="BN570" s="116"/>
      <c r="BO570" s="116"/>
      <c r="BP570" s="116"/>
      <c r="BQ570" s="116"/>
      <c r="BR570" s="116"/>
      <c r="BS570" s="116"/>
      <c r="BT570" s="116"/>
      <c r="BU570" s="116"/>
      <c r="BV570" s="116"/>
    </row>
    <row r="571" spans="2:74" x14ac:dyDescent="0.3">
      <c r="B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  <c r="AE571" s="116"/>
      <c r="AF571" s="116"/>
      <c r="AG571" s="116"/>
      <c r="AH571" s="116"/>
      <c r="AI571" s="116"/>
      <c r="AJ571" s="116"/>
      <c r="AK571" s="116"/>
      <c r="AL571" s="116"/>
      <c r="AM571" s="116"/>
      <c r="AN571" s="116"/>
      <c r="AO571" s="116"/>
      <c r="AP571" s="116"/>
      <c r="AQ571" s="116"/>
      <c r="AR571" s="116"/>
      <c r="AS571" s="116"/>
      <c r="AT571" s="116"/>
      <c r="AU571" s="116"/>
      <c r="AV571" s="116"/>
      <c r="AW571" s="116"/>
      <c r="AX571" s="116"/>
      <c r="AY571" s="116"/>
      <c r="AZ571" s="116"/>
      <c r="BA571" s="116"/>
      <c r="BB571" s="116"/>
      <c r="BC571" s="116"/>
      <c r="BD571" s="116"/>
      <c r="BE571" s="116"/>
      <c r="BF571" s="116"/>
      <c r="BG571" s="116"/>
      <c r="BH571" s="116"/>
      <c r="BI571" s="116"/>
      <c r="BJ571" s="116"/>
      <c r="BK571" s="116"/>
      <c r="BL571" s="116"/>
      <c r="BM571" s="116"/>
      <c r="BN571" s="116"/>
      <c r="BO571" s="116"/>
      <c r="BP571" s="116"/>
      <c r="BQ571" s="116"/>
      <c r="BR571" s="116"/>
      <c r="BS571" s="116"/>
      <c r="BT571" s="116"/>
      <c r="BU571" s="116"/>
      <c r="BV571" s="116"/>
    </row>
    <row r="572" spans="2:74" x14ac:dyDescent="0.3">
      <c r="B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  <c r="AE572" s="116"/>
      <c r="AF572" s="116"/>
      <c r="AG572" s="116"/>
      <c r="AH572" s="116"/>
      <c r="AI572" s="116"/>
      <c r="AJ572" s="116"/>
      <c r="AK572" s="116"/>
      <c r="AL572" s="116"/>
      <c r="AM572" s="116"/>
      <c r="AN572" s="116"/>
      <c r="AO572" s="116"/>
      <c r="AP572" s="116"/>
      <c r="AQ572" s="116"/>
      <c r="AR572" s="116"/>
      <c r="AS572" s="116"/>
      <c r="AT572" s="116"/>
      <c r="AU572" s="116"/>
      <c r="AV572" s="116"/>
      <c r="AW572" s="116"/>
      <c r="AX572" s="116"/>
      <c r="AY572" s="116"/>
      <c r="AZ572" s="116"/>
      <c r="BA572" s="116"/>
      <c r="BB572" s="116"/>
      <c r="BC572" s="116"/>
      <c r="BD572" s="116"/>
      <c r="BE572" s="116"/>
      <c r="BF572" s="116"/>
      <c r="BG572" s="116"/>
      <c r="BH572" s="116"/>
      <c r="BI572" s="116"/>
      <c r="BJ572" s="116"/>
      <c r="BK572" s="116"/>
      <c r="BL572" s="116"/>
      <c r="BM572" s="116"/>
      <c r="BN572" s="116"/>
      <c r="BO572" s="116"/>
      <c r="BP572" s="116"/>
      <c r="BQ572" s="116"/>
      <c r="BR572" s="116"/>
      <c r="BS572" s="116"/>
      <c r="BT572" s="116"/>
      <c r="BU572" s="116"/>
      <c r="BV572" s="116"/>
    </row>
    <row r="573" spans="2:74" x14ac:dyDescent="0.3">
      <c r="B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  <c r="AE573" s="116"/>
      <c r="AF573" s="116"/>
      <c r="AG573" s="116"/>
      <c r="AH573" s="116"/>
      <c r="AI573" s="116"/>
      <c r="AJ573" s="116"/>
      <c r="AK573" s="116"/>
      <c r="AL573" s="116"/>
      <c r="AM573" s="116"/>
      <c r="AN573" s="116"/>
      <c r="AO573" s="116"/>
      <c r="AP573" s="116"/>
      <c r="AQ573" s="116"/>
      <c r="AR573" s="116"/>
      <c r="AS573" s="116"/>
      <c r="AT573" s="116"/>
      <c r="AU573" s="116"/>
      <c r="AV573" s="116"/>
      <c r="AW573" s="116"/>
      <c r="AX573" s="116"/>
      <c r="AY573" s="116"/>
      <c r="AZ573" s="116"/>
      <c r="BA573" s="116"/>
      <c r="BB573" s="116"/>
      <c r="BC573" s="116"/>
      <c r="BD573" s="116"/>
      <c r="BE573" s="116"/>
      <c r="BF573" s="116"/>
      <c r="BG573" s="116"/>
      <c r="BH573" s="116"/>
      <c r="BI573" s="116"/>
      <c r="BJ573" s="116"/>
      <c r="BK573" s="116"/>
      <c r="BL573" s="116"/>
      <c r="BM573" s="116"/>
      <c r="BN573" s="116"/>
      <c r="BO573" s="116"/>
      <c r="BP573" s="116"/>
      <c r="BQ573" s="116"/>
      <c r="BR573" s="116"/>
      <c r="BS573" s="116"/>
      <c r="BT573" s="116"/>
      <c r="BU573" s="116"/>
      <c r="BV573" s="116"/>
    </row>
    <row r="574" spans="2:74" x14ac:dyDescent="0.3">
      <c r="B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  <c r="AE574" s="116"/>
      <c r="AF574" s="116"/>
      <c r="AG574" s="116"/>
      <c r="AH574" s="116"/>
      <c r="AI574" s="116"/>
      <c r="AJ574" s="116"/>
      <c r="AK574" s="116"/>
      <c r="AL574" s="116"/>
      <c r="AM574" s="116"/>
      <c r="AN574" s="116"/>
      <c r="AO574" s="116"/>
      <c r="AP574" s="116"/>
      <c r="AQ574" s="116"/>
      <c r="AR574" s="116"/>
      <c r="AS574" s="116"/>
      <c r="AT574" s="116"/>
      <c r="AU574" s="116"/>
      <c r="AV574" s="116"/>
      <c r="AW574" s="116"/>
      <c r="AX574" s="116"/>
      <c r="AY574" s="116"/>
      <c r="AZ574" s="116"/>
      <c r="BA574" s="116"/>
      <c r="BB574" s="116"/>
      <c r="BC574" s="116"/>
      <c r="BD574" s="116"/>
      <c r="BE574" s="116"/>
      <c r="BF574" s="116"/>
      <c r="BG574" s="116"/>
      <c r="BH574" s="116"/>
      <c r="BI574" s="116"/>
      <c r="BJ574" s="116"/>
      <c r="BK574" s="116"/>
      <c r="BL574" s="116"/>
      <c r="BM574" s="116"/>
      <c r="BN574" s="116"/>
      <c r="BO574" s="116"/>
      <c r="BP574" s="116"/>
      <c r="BQ574" s="116"/>
      <c r="BR574" s="116"/>
      <c r="BS574" s="116"/>
      <c r="BT574" s="116"/>
      <c r="BU574" s="116"/>
      <c r="BV574" s="116"/>
    </row>
    <row r="575" spans="2:74" x14ac:dyDescent="0.3">
      <c r="B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  <c r="AE575" s="116"/>
      <c r="AF575" s="116"/>
      <c r="AG575" s="116"/>
      <c r="AH575" s="116"/>
      <c r="AI575" s="116"/>
      <c r="AJ575" s="116"/>
      <c r="AK575" s="116"/>
      <c r="AL575" s="116"/>
      <c r="AM575" s="116"/>
      <c r="AN575" s="116"/>
      <c r="AO575" s="116"/>
      <c r="AP575" s="116"/>
      <c r="AQ575" s="116"/>
      <c r="AR575" s="116"/>
      <c r="AS575" s="116"/>
      <c r="AT575" s="116"/>
      <c r="AU575" s="116"/>
      <c r="AV575" s="116"/>
      <c r="AW575" s="116"/>
      <c r="AX575" s="116"/>
      <c r="AY575" s="116"/>
      <c r="AZ575" s="116"/>
      <c r="BA575" s="116"/>
      <c r="BB575" s="116"/>
      <c r="BC575" s="116"/>
      <c r="BD575" s="116"/>
      <c r="BE575" s="116"/>
      <c r="BF575" s="116"/>
      <c r="BG575" s="116"/>
      <c r="BH575" s="116"/>
      <c r="BI575" s="116"/>
      <c r="BJ575" s="116"/>
      <c r="BK575" s="116"/>
      <c r="BL575" s="116"/>
      <c r="BM575" s="116"/>
      <c r="BN575" s="116"/>
      <c r="BO575" s="116"/>
      <c r="BP575" s="116"/>
      <c r="BQ575" s="116"/>
      <c r="BR575" s="116"/>
      <c r="BS575" s="116"/>
      <c r="BT575" s="116"/>
      <c r="BU575" s="116"/>
      <c r="BV575" s="116"/>
    </row>
    <row r="576" spans="2:74" x14ac:dyDescent="0.3">
      <c r="B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  <c r="AE576" s="116"/>
      <c r="AF576" s="116"/>
      <c r="AG576" s="116"/>
      <c r="AH576" s="116"/>
      <c r="AI576" s="116"/>
      <c r="AJ576" s="116"/>
      <c r="AK576" s="116"/>
      <c r="AL576" s="116"/>
      <c r="AM576" s="116"/>
      <c r="AN576" s="116"/>
      <c r="AO576" s="116"/>
      <c r="AP576" s="116"/>
      <c r="AQ576" s="116"/>
      <c r="AR576" s="116"/>
      <c r="AS576" s="116"/>
      <c r="AT576" s="116"/>
      <c r="AU576" s="116"/>
      <c r="AV576" s="116"/>
      <c r="AW576" s="116"/>
      <c r="AX576" s="116"/>
      <c r="AY576" s="116"/>
      <c r="AZ576" s="116"/>
      <c r="BA576" s="116"/>
      <c r="BB576" s="116"/>
      <c r="BC576" s="116"/>
      <c r="BD576" s="116"/>
      <c r="BE576" s="116"/>
      <c r="BF576" s="116"/>
      <c r="BG576" s="116"/>
      <c r="BH576" s="116"/>
      <c r="BI576" s="116"/>
      <c r="BJ576" s="116"/>
      <c r="BK576" s="116"/>
      <c r="BL576" s="116"/>
      <c r="BM576" s="116"/>
      <c r="BN576" s="116"/>
      <c r="BO576" s="116"/>
      <c r="BP576" s="116"/>
      <c r="BQ576" s="116"/>
      <c r="BR576" s="116"/>
      <c r="BS576" s="116"/>
      <c r="BT576" s="116"/>
      <c r="BU576" s="116"/>
      <c r="BV576" s="116"/>
    </row>
    <row r="577" spans="2:74" x14ac:dyDescent="0.3">
      <c r="B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  <c r="AE577" s="116"/>
      <c r="AF577" s="116"/>
      <c r="AG577" s="116"/>
      <c r="AH577" s="116"/>
      <c r="AI577" s="116"/>
      <c r="AJ577" s="116"/>
      <c r="AK577" s="116"/>
      <c r="AL577" s="116"/>
      <c r="AM577" s="116"/>
      <c r="AN577" s="116"/>
      <c r="AO577" s="116"/>
      <c r="AP577" s="116"/>
      <c r="AQ577" s="116"/>
      <c r="AR577" s="116"/>
      <c r="AS577" s="116"/>
      <c r="AT577" s="116"/>
      <c r="AU577" s="116"/>
      <c r="AV577" s="116"/>
      <c r="AW577" s="116"/>
      <c r="AX577" s="116"/>
      <c r="AY577" s="116"/>
      <c r="AZ577" s="116"/>
      <c r="BA577" s="116"/>
      <c r="BB577" s="116"/>
      <c r="BC577" s="116"/>
      <c r="BD577" s="116"/>
      <c r="BE577" s="116"/>
      <c r="BF577" s="116"/>
      <c r="BG577" s="116"/>
      <c r="BH577" s="116"/>
      <c r="BI577" s="116"/>
      <c r="BJ577" s="116"/>
      <c r="BK577" s="116"/>
      <c r="BL577" s="116"/>
      <c r="BM577" s="116"/>
      <c r="BN577" s="116"/>
      <c r="BO577" s="116"/>
      <c r="BP577" s="116"/>
      <c r="BQ577" s="116"/>
      <c r="BR577" s="116"/>
      <c r="BS577" s="116"/>
      <c r="BT577" s="116"/>
      <c r="BU577" s="116"/>
      <c r="BV577" s="116"/>
    </row>
    <row r="578" spans="2:74" x14ac:dyDescent="0.3">
      <c r="B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  <c r="AE578" s="116"/>
      <c r="AF578" s="116"/>
      <c r="AG578" s="116"/>
      <c r="AH578" s="116"/>
      <c r="AI578" s="116"/>
      <c r="AJ578" s="116"/>
      <c r="AK578" s="116"/>
      <c r="AL578" s="116"/>
      <c r="AM578" s="116"/>
      <c r="AN578" s="116"/>
      <c r="AO578" s="116"/>
      <c r="AP578" s="116"/>
      <c r="AQ578" s="116"/>
      <c r="AR578" s="116"/>
      <c r="AS578" s="116"/>
      <c r="AT578" s="116"/>
      <c r="AU578" s="116"/>
      <c r="AV578" s="116"/>
      <c r="AW578" s="116"/>
      <c r="AX578" s="116"/>
      <c r="AY578" s="116"/>
      <c r="AZ578" s="116"/>
      <c r="BA578" s="116"/>
      <c r="BB578" s="116"/>
      <c r="BC578" s="116"/>
      <c r="BD578" s="116"/>
      <c r="BE578" s="116"/>
      <c r="BF578" s="116"/>
      <c r="BG578" s="116"/>
      <c r="BH578" s="116"/>
      <c r="BI578" s="116"/>
      <c r="BJ578" s="116"/>
      <c r="BK578" s="116"/>
      <c r="BL578" s="116"/>
      <c r="BM578" s="116"/>
      <c r="BN578" s="116"/>
      <c r="BO578" s="116"/>
      <c r="BP578" s="116"/>
      <c r="BQ578" s="116"/>
      <c r="BR578" s="116"/>
      <c r="BS578" s="116"/>
      <c r="BT578" s="116"/>
      <c r="BU578" s="116"/>
      <c r="BV578" s="116"/>
    </row>
    <row r="579" spans="2:74" x14ac:dyDescent="0.3">
      <c r="B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  <c r="AE579" s="116"/>
      <c r="AF579" s="116"/>
      <c r="AG579" s="116"/>
      <c r="AH579" s="116"/>
      <c r="AI579" s="116"/>
      <c r="AJ579" s="116"/>
      <c r="AK579" s="116"/>
      <c r="AL579" s="116"/>
      <c r="AM579" s="116"/>
      <c r="AN579" s="116"/>
      <c r="AO579" s="116"/>
      <c r="AP579" s="116"/>
      <c r="AQ579" s="116"/>
      <c r="AR579" s="116"/>
      <c r="AS579" s="116"/>
      <c r="AT579" s="116"/>
      <c r="AU579" s="116"/>
      <c r="AV579" s="116"/>
      <c r="AW579" s="116"/>
      <c r="AX579" s="116"/>
      <c r="AY579" s="116"/>
      <c r="AZ579" s="116"/>
      <c r="BA579" s="116"/>
      <c r="BB579" s="116"/>
      <c r="BC579" s="116"/>
      <c r="BD579" s="116"/>
      <c r="BE579" s="116"/>
      <c r="BF579" s="116"/>
      <c r="BG579" s="116"/>
      <c r="BH579" s="116"/>
      <c r="BI579" s="116"/>
      <c r="BJ579" s="116"/>
      <c r="BK579" s="116"/>
      <c r="BL579" s="116"/>
      <c r="BM579" s="116"/>
      <c r="BN579" s="116"/>
      <c r="BO579" s="116"/>
      <c r="BP579" s="116"/>
      <c r="BQ579" s="116"/>
      <c r="BR579" s="116"/>
      <c r="BS579" s="116"/>
      <c r="BT579" s="116"/>
      <c r="BU579" s="116"/>
      <c r="BV579" s="116"/>
    </row>
    <row r="580" spans="2:74" x14ac:dyDescent="0.3">
      <c r="B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  <c r="AE580" s="116"/>
      <c r="AF580" s="116"/>
      <c r="AG580" s="116"/>
      <c r="AH580" s="116"/>
      <c r="AI580" s="116"/>
      <c r="AJ580" s="116"/>
      <c r="AK580" s="116"/>
      <c r="AL580" s="116"/>
      <c r="AM580" s="116"/>
      <c r="AN580" s="116"/>
      <c r="AO580" s="116"/>
      <c r="AP580" s="116"/>
      <c r="AQ580" s="116"/>
      <c r="AR580" s="116"/>
      <c r="AS580" s="116"/>
      <c r="AT580" s="116"/>
      <c r="AU580" s="116"/>
      <c r="AV580" s="116"/>
      <c r="AW580" s="116"/>
      <c r="AX580" s="116"/>
      <c r="AY580" s="116"/>
      <c r="AZ580" s="116"/>
      <c r="BA580" s="116"/>
      <c r="BB580" s="116"/>
      <c r="BC580" s="116"/>
      <c r="BD580" s="116"/>
      <c r="BE580" s="116"/>
      <c r="BF580" s="116"/>
      <c r="BG580" s="116"/>
      <c r="BH580" s="116"/>
      <c r="BI580" s="116"/>
      <c r="BJ580" s="116"/>
      <c r="BK580" s="116"/>
      <c r="BL580" s="116"/>
      <c r="BM580" s="116"/>
      <c r="BN580" s="116"/>
      <c r="BO580" s="116"/>
      <c r="BP580" s="116"/>
      <c r="BQ580" s="116"/>
      <c r="BR580" s="116"/>
      <c r="BS580" s="116"/>
      <c r="BT580" s="116"/>
      <c r="BU580" s="116"/>
      <c r="BV580" s="116"/>
    </row>
    <row r="581" spans="2:74" x14ac:dyDescent="0.3">
      <c r="B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  <c r="AE581" s="116"/>
      <c r="AF581" s="116"/>
      <c r="AG581" s="116"/>
      <c r="AH581" s="116"/>
      <c r="AI581" s="116"/>
      <c r="AJ581" s="116"/>
      <c r="AK581" s="116"/>
      <c r="AL581" s="116"/>
      <c r="AM581" s="116"/>
      <c r="AN581" s="116"/>
      <c r="AO581" s="116"/>
      <c r="AP581" s="116"/>
      <c r="AQ581" s="116"/>
      <c r="AR581" s="116"/>
      <c r="AS581" s="116"/>
      <c r="AT581" s="116"/>
      <c r="AU581" s="116"/>
      <c r="AV581" s="116"/>
      <c r="AW581" s="116"/>
      <c r="AX581" s="116"/>
      <c r="AY581" s="116"/>
      <c r="AZ581" s="116"/>
      <c r="BA581" s="116"/>
      <c r="BB581" s="116"/>
      <c r="BC581" s="116"/>
      <c r="BD581" s="116"/>
      <c r="BE581" s="116"/>
      <c r="BF581" s="116"/>
      <c r="BG581" s="116"/>
      <c r="BH581" s="116"/>
      <c r="BI581" s="116"/>
      <c r="BJ581" s="116"/>
      <c r="BK581" s="116"/>
      <c r="BL581" s="116"/>
      <c r="BM581" s="116"/>
      <c r="BN581" s="116"/>
      <c r="BO581" s="116"/>
      <c r="BP581" s="116"/>
      <c r="BQ581" s="116"/>
      <c r="BR581" s="116"/>
      <c r="BS581" s="116"/>
      <c r="BT581" s="116"/>
      <c r="BU581" s="116"/>
      <c r="BV581" s="116"/>
    </row>
    <row r="582" spans="2:74" x14ac:dyDescent="0.3">
      <c r="B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  <c r="AE582" s="116"/>
      <c r="AF582" s="116"/>
      <c r="AG582" s="116"/>
      <c r="AH582" s="116"/>
      <c r="AI582" s="116"/>
      <c r="AJ582" s="116"/>
      <c r="AK582" s="116"/>
      <c r="AL582" s="116"/>
      <c r="AM582" s="116"/>
      <c r="AN582" s="116"/>
      <c r="AO582" s="116"/>
      <c r="AP582" s="116"/>
      <c r="AQ582" s="116"/>
      <c r="AR582" s="116"/>
      <c r="AS582" s="116"/>
      <c r="AT582" s="116"/>
      <c r="AU582" s="116"/>
      <c r="AV582" s="116"/>
      <c r="AW582" s="116"/>
      <c r="AX582" s="116"/>
      <c r="AY582" s="116"/>
      <c r="AZ582" s="116"/>
      <c r="BA582" s="116"/>
      <c r="BB582" s="116"/>
      <c r="BC582" s="116"/>
      <c r="BD582" s="116"/>
      <c r="BE582" s="116"/>
      <c r="BF582" s="116"/>
      <c r="BG582" s="116"/>
      <c r="BH582" s="116"/>
      <c r="BI582" s="116"/>
      <c r="BJ582" s="116"/>
      <c r="BK582" s="116"/>
      <c r="BL582" s="116"/>
      <c r="BM582" s="116"/>
      <c r="BN582" s="116"/>
      <c r="BO582" s="116"/>
      <c r="BP582" s="116"/>
      <c r="BQ582" s="116"/>
      <c r="BR582" s="116"/>
      <c r="BS582" s="116"/>
      <c r="BT582" s="116"/>
      <c r="BU582" s="116"/>
      <c r="BV582" s="116"/>
    </row>
    <row r="583" spans="2:74" x14ac:dyDescent="0.3">
      <c r="B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  <c r="AE583" s="116"/>
      <c r="AF583" s="116"/>
      <c r="AG583" s="116"/>
      <c r="AH583" s="116"/>
      <c r="AI583" s="116"/>
      <c r="AJ583" s="116"/>
      <c r="AK583" s="116"/>
      <c r="AL583" s="116"/>
      <c r="AM583" s="116"/>
      <c r="AN583" s="116"/>
      <c r="AO583" s="116"/>
      <c r="AP583" s="116"/>
      <c r="AQ583" s="116"/>
      <c r="AR583" s="116"/>
      <c r="AS583" s="116"/>
      <c r="AT583" s="116"/>
      <c r="AU583" s="116"/>
      <c r="AV583" s="116"/>
      <c r="AW583" s="116"/>
      <c r="AX583" s="116"/>
      <c r="AY583" s="116"/>
      <c r="AZ583" s="116"/>
      <c r="BA583" s="116"/>
      <c r="BB583" s="116"/>
      <c r="BC583" s="116"/>
      <c r="BD583" s="116"/>
      <c r="BE583" s="116"/>
      <c r="BF583" s="116"/>
      <c r="BG583" s="116"/>
      <c r="BH583" s="116"/>
      <c r="BI583" s="116"/>
      <c r="BJ583" s="116"/>
      <c r="BK583" s="116"/>
      <c r="BL583" s="116"/>
      <c r="BM583" s="116"/>
      <c r="BN583" s="116"/>
      <c r="BO583" s="116"/>
      <c r="BP583" s="116"/>
      <c r="BQ583" s="116"/>
      <c r="BR583" s="116"/>
      <c r="BS583" s="116"/>
      <c r="BT583" s="116"/>
      <c r="BU583" s="116"/>
      <c r="BV583" s="116"/>
    </row>
    <row r="584" spans="2:74" x14ac:dyDescent="0.3">
      <c r="B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  <c r="AE584" s="116"/>
      <c r="AF584" s="116"/>
      <c r="AG584" s="116"/>
      <c r="AH584" s="116"/>
      <c r="AI584" s="116"/>
      <c r="AJ584" s="116"/>
      <c r="AK584" s="116"/>
      <c r="AL584" s="116"/>
      <c r="AM584" s="116"/>
      <c r="AN584" s="116"/>
      <c r="AO584" s="116"/>
      <c r="AP584" s="116"/>
      <c r="AQ584" s="116"/>
      <c r="AR584" s="116"/>
      <c r="AS584" s="116"/>
      <c r="AT584" s="116"/>
      <c r="AU584" s="116"/>
      <c r="AV584" s="116"/>
      <c r="AW584" s="116"/>
      <c r="AX584" s="116"/>
      <c r="AY584" s="116"/>
      <c r="AZ584" s="116"/>
      <c r="BA584" s="116"/>
      <c r="BB584" s="116"/>
      <c r="BC584" s="116"/>
      <c r="BD584" s="116"/>
      <c r="BE584" s="116"/>
      <c r="BF584" s="116"/>
      <c r="BG584" s="116"/>
      <c r="BH584" s="116"/>
      <c r="BI584" s="116"/>
      <c r="BJ584" s="116"/>
      <c r="BK584" s="116"/>
      <c r="BL584" s="116"/>
      <c r="BM584" s="116"/>
      <c r="BN584" s="116"/>
      <c r="BO584" s="116"/>
      <c r="BP584" s="116"/>
      <c r="BQ584" s="116"/>
      <c r="BR584" s="116"/>
      <c r="BS584" s="116"/>
      <c r="BT584" s="116"/>
      <c r="BU584" s="116"/>
      <c r="BV584" s="116"/>
    </row>
    <row r="585" spans="2:74" x14ac:dyDescent="0.3">
      <c r="B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  <c r="AE585" s="116"/>
      <c r="AF585" s="116"/>
      <c r="AG585" s="116"/>
      <c r="AH585" s="116"/>
      <c r="AI585" s="116"/>
      <c r="AJ585" s="116"/>
      <c r="AK585" s="116"/>
      <c r="AL585" s="116"/>
      <c r="AM585" s="116"/>
      <c r="AN585" s="116"/>
      <c r="AO585" s="116"/>
      <c r="AP585" s="116"/>
      <c r="AQ585" s="116"/>
      <c r="AR585" s="116"/>
      <c r="AS585" s="116"/>
      <c r="AT585" s="116"/>
      <c r="AU585" s="116"/>
      <c r="AV585" s="116"/>
      <c r="AW585" s="116"/>
      <c r="AX585" s="116"/>
      <c r="AY585" s="116"/>
      <c r="AZ585" s="116"/>
      <c r="BA585" s="116"/>
      <c r="BB585" s="116"/>
      <c r="BC585" s="116"/>
      <c r="BD585" s="116"/>
      <c r="BE585" s="116"/>
      <c r="BF585" s="116"/>
      <c r="BG585" s="116"/>
      <c r="BH585" s="116"/>
      <c r="BI585" s="116"/>
      <c r="BJ585" s="116"/>
      <c r="BK585" s="116"/>
      <c r="BL585" s="116"/>
      <c r="BM585" s="116"/>
      <c r="BN585" s="116"/>
      <c r="BO585" s="116"/>
      <c r="BP585" s="116"/>
      <c r="BQ585" s="116"/>
      <c r="BR585" s="116"/>
      <c r="BS585" s="116"/>
      <c r="BT585" s="116"/>
      <c r="BU585" s="116"/>
      <c r="BV585" s="116"/>
    </row>
    <row r="586" spans="2:74" x14ac:dyDescent="0.3">
      <c r="B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  <c r="AE586" s="116"/>
      <c r="AF586" s="116"/>
      <c r="AG586" s="116"/>
      <c r="AH586" s="116"/>
      <c r="AI586" s="116"/>
      <c r="AJ586" s="116"/>
      <c r="AK586" s="116"/>
      <c r="AL586" s="116"/>
      <c r="AM586" s="116"/>
      <c r="AN586" s="116"/>
      <c r="AO586" s="116"/>
      <c r="AP586" s="116"/>
      <c r="AQ586" s="116"/>
      <c r="AR586" s="116"/>
      <c r="AS586" s="116"/>
      <c r="AT586" s="116"/>
      <c r="AU586" s="116"/>
      <c r="AV586" s="116"/>
      <c r="AW586" s="116"/>
      <c r="AX586" s="116"/>
      <c r="AY586" s="116"/>
      <c r="AZ586" s="116"/>
      <c r="BA586" s="116"/>
      <c r="BB586" s="116"/>
      <c r="BC586" s="116"/>
      <c r="BD586" s="116"/>
      <c r="BE586" s="116"/>
      <c r="BF586" s="116"/>
      <c r="BG586" s="116"/>
      <c r="BH586" s="116"/>
      <c r="BI586" s="116"/>
      <c r="BJ586" s="116"/>
      <c r="BK586" s="116"/>
      <c r="BL586" s="116"/>
      <c r="BM586" s="116"/>
      <c r="BN586" s="116"/>
      <c r="BO586" s="116"/>
      <c r="BP586" s="116"/>
      <c r="BQ586" s="116"/>
      <c r="BR586" s="116"/>
      <c r="BS586" s="116"/>
      <c r="BT586" s="116"/>
      <c r="BU586" s="116"/>
      <c r="BV586" s="116"/>
    </row>
    <row r="587" spans="2:74" x14ac:dyDescent="0.3">
      <c r="B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  <c r="AE587" s="116"/>
      <c r="AF587" s="116"/>
      <c r="AG587" s="116"/>
      <c r="AH587" s="116"/>
      <c r="AI587" s="116"/>
      <c r="AJ587" s="116"/>
      <c r="AK587" s="116"/>
      <c r="AL587" s="116"/>
      <c r="AM587" s="116"/>
      <c r="AN587" s="116"/>
      <c r="AO587" s="116"/>
      <c r="AP587" s="116"/>
      <c r="AQ587" s="116"/>
      <c r="AR587" s="116"/>
      <c r="AS587" s="116"/>
      <c r="AT587" s="116"/>
      <c r="AU587" s="116"/>
      <c r="AV587" s="116"/>
      <c r="AW587" s="116"/>
      <c r="AX587" s="116"/>
      <c r="AY587" s="116"/>
      <c r="AZ587" s="116"/>
      <c r="BA587" s="116"/>
      <c r="BB587" s="116"/>
      <c r="BC587" s="116"/>
      <c r="BD587" s="116"/>
      <c r="BE587" s="116"/>
      <c r="BF587" s="116"/>
      <c r="BG587" s="116"/>
      <c r="BH587" s="116"/>
      <c r="BI587" s="116"/>
      <c r="BJ587" s="116"/>
      <c r="BK587" s="116"/>
      <c r="BL587" s="116"/>
      <c r="BM587" s="116"/>
      <c r="BN587" s="116"/>
      <c r="BO587" s="116"/>
      <c r="BP587" s="116"/>
      <c r="BQ587" s="116"/>
      <c r="BR587" s="116"/>
      <c r="BS587" s="116"/>
      <c r="BT587" s="116"/>
      <c r="BU587" s="116"/>
      <c r="BV587" s="116"/>
    </row>
    <row r="588" spans="2:74" x14ac:dyDescent="0.3">
      <c r="B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  <c r="AE588" s="116"/>
      <c r="AF588" s="116"/>
      <c r="AG588" s="116"/>
      <c r="AH588" s="116"/>
      <c r="AI588" s="116"/>
      <c r="AJ588" s="116"/>
      <c r="AK588" s="116"/>
      <c r="AL588" s="116"/>
      <c r="AM588" s="116"/>
      <c r="AN588" s="116"/>
      <c r="AO588" s="116"/>
      <c r="AP588" s="116"/>
      <c r="AQ588" s="116"/>
      <c r="AR588" s="116"/>
      <c r="AS588" s="116"/>
      <c r="AT588" s="116"/>
      <c r="AU588" s="116"/>
      <c r="AV588" s="116"/>
      <c r="AW588" s="116"/>
      <c r="AX588" s="116"/>
      <c r="AY588" s="116"/>
      <c r="AZ588" s="116"/>
      <c r="BA588" s="116"/>
      <c r="BB588" s="116"/>
      <c r="BC588" s="116"/>
      <c r="BD588" s="116"/>
      <c r="BE588" s="116"/>
      <c r="BF588" s="116"/>
      <c r="BG588" s="116"/>
      <c r="BH588" s="116"/>
      <c r="BI588" s="116"/>
      <c r="BJ588" s="116"/>
      <c r="BK588" s="116"/>
      <c r="BL588" s="116"/>
      <c r="BM588" s="116"/>
      <c r="BN588" s="116"/>
      <c r="BO588" s="116"/>
      <c r="BP588" s="116"/>
      <c r="BQ588" s="116"/>
      <c r="BR588" s="116"/>
      <c r="BS588" s="116"/>
      <c r="BT588" s="116"/>
      <c r="BU588" s="116"/>
      <c r="BV588" s="116"/>
    </row>
    <row r="589" spans="2:74" x14ac:dyDescent="0.3">
      <c r="B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  <c r="AE589" s="116"/>
      <c r="AF589" s="116"/>
      <c r="AG589" s="116"/>
      <c r="AH589" s="116"/>
      <c r="AI589" s="116"/>
      <c r="AJ589" s="116"/>
      <c r="AK589" s="116"/>
      <c r="AL589" s="116"/>
      <c r="AM589" s="116"/>
      <c r="AN589" s="116"/>
      <c r="AO589" s="116"/>
      <c r="AP589" s="116"/>
      <c r="AQ589" s="116"/>
      <c r="AR589" s="116"/>
      <c r="AS589" s="116"/>
      <c r="AT589" s="116"/>
      <c r="AU589" s="116"/>
      <c r="AV589" s="116"/>
      <c r="AW589" s="116"/>
      <c r="AX589" s="116"/>
      <c r="AY589" s="116"/>
      <c r="AZ589" s="116"/>
      <c r="BA589" s="116"/>
      <c r="BB589" s="116"/>
      <c r="BC589" s="116"/>
      <c r="BD589" s="116"/>
      <c r="BE589" s="116"/>
      <c r="BF589" s="116"/>
      <c r="BG589" s="116"/>
      <c r="BH589" s="116"/>
      <c r="BI589" s="116"/>
      <c r="BJ589" s="116"/>
      <c r="BK589" s="116"/>
      <c r="BL589" s="116"/>
      <c r="BM589" s="116"/>
      <c r="BN589" s="116"/>
      <c r="BO589" s="116"/>
      <c r="BP589" s="116"/>
      <c r="BQ589" s="116"/>
      <c r="BR589" s="116"/>
      <c r="BS589" s="116"/>
      <c r="BT589" s="116"/>
      <c r="BU589" s="116"/>
      <c r="BV589" s="116"/>
    </row>
    <row r="590" spans="2:74" x14ac:dyDescent="0.3">
      <c r="B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  <c r="AE590" s="116"/>
      <c r="AF590" s="116"/>
      <c r="AG590" s="116"/>
      <c r="AH590" s="116"/>
      <c r="AI590" s="116"/>
      <c r="AJ590" s="116"/>
      <c r="AK590" s="116"/>
      <c r="AL590" s="116"/>
      <c r="AM590" s="116"/>
      <c r="AN590" s="116"/>
      <c r="AO590" s="116"/>
      <c r="AP590" s="116"/>
      <c r="AQ590" s="116"/>
      <c r="AR590" s="116"/>
      <c r="AS590" s="116"/>
      <c r="AT590" s="116"/>
      <c r="AU590" s="116"/>
      <c r="AV590" s="116"/>
      <c r="AW590" s="116"/>
      <c r="AX590" s="116"/>
      <c r="AY590" s="116"/>
      <c r="AZ590" s="116"/>
      <c r="BA590" s="116"/>
      <c r="BB590" s="116"/>
      <c r="BC590" s="116"/>
      <c r="BD590" s="116"/>
      <c r="BE590" s="116"/>
      <c r="BF590" s="116"/>
      <c r="BG590" s="116"/>
      <c r="BH590" s="116"/>
      <c r="BI590" s="116"/>
      <c r="BJ590" s="116"/>
      <c r="BK590" s="116"/>
      <c r="BL590" s="116"/>
      <c r="BM590" s="116"/>
      <c r="BN590" s="116"/>
      <c r="BO590" s="116"/>
      <c r="BP590" s="116"/>
      <c r="BQ590" s="116"/>
      <c r="BR590" s="116"/>
      <c r="BS590" s="116"/>
      <c r="BT590" s="116"/>
      <c r="BU590" s="116"/>
      <c r="BV590" s="116"/>
    </row>
    <row r="591" spans="2:74" x14ac:dyDescent="0.3">
      <c r="B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  <c r="AE591" s="116"/>
      <c r="AF591" s="116"/>
      <c r="AG591" s="116"/>
      <c r="AH591" s="116"/>
      <c r="AI591" s="116"/>
      <c r="AJ591" s="116"/>
      <c r="AK591" s="116"/>
      <c r="AL591" s="116"/>
      <c r="AM591" s="116"/>
      <c r="AN591" s="116"/>
      <c r="AO591" s="116"/>
      <c r="AP591" s="116"/>
      <c r="AQ591" s="116"/>
      <c r="AR591" s="116"/>
      <c r="AS591" s="116"/>
      <c r="AT591" s="116"/>
      <c r="AU591" s="116"/>
      <c r="AV591" s="116"/>
      <c r="AW591" s="116"/>
      <c r="AX591" s="116"/>
      <c r="AY591" s="116"/>
      <c r="AZ591" s="116"/>
      <c r="BA591" s="116"/>
      <c r="BB591" s="116"/>
      <c r="BC591" s="116"/>
      <c r="BD591" s="116"/>
      <c r="BE591" s="116"/>
      <c r="BF591" s="116"/>
      <c r="BG591" s="116"/>
      <c r="BH591" s="116"/>
      <c r="BI591" s="116"/>
      <c r="BJ591" s="116"/>
      <c r="BK591" s="116"/>
      <c r="BL591" s="116"/>
      <c r="BM591" s="116"/>
      <c r="BN591" s="116"/>
      <c r="BO591" s="116"/>
      <c r="BP591" s="116"/>
      <c r="BQ591" s="116"/>
      <c r="BR591" s="116"/>
      <c r="BS591" s="116"/>
      <c r="BT591" s="116"/>
      <c r="BU591" s="116"/>
      <c r="BV591" s="116"/>
    </row>
    <row r="592" spans="2:74" x14ac:dyDescent="0.3">
      <c r="B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  <c r="AE592" s="116"/>
      <c r="AF592" s="116"/>
      <c r="AG592" s="116"/>
      <c r="AH592" s="116"/>
      <c r="AI592" s="116"/>
      <c r="AJ592" s="116"/>
      <c r="AK592" s="116"/>
      <c r="AL592" s="116"/>
      <c r="AM592" s="116"/>
      <c r="AN592" s="116"/>
      <c r="AO592" s="116"/>
      <c r="AP592" s="116"/>
      <c r="AQ592" s="116"/>
      <c r="AR592" s="116"/>
      <c r="AS592" s="116"/>
      <c r="AT592" s="116"/>
      <c r="AU592" s="116"/>
      <c r="AV592" s="116"/>
      <c r="AW592" s="116"/>
      <c r="AX592" s="116"/>
      <c r="AY592" s="116"/>
      <c r="AZ592" s="116"/>
      <c r="BA592" s="116"/>
      <c r="BB592" s="116"/>
      <c r="BC592" s="116"/>
      <c r="BD592" s="116"/>
      <c r="BE592" s="116"/>
      <c r="BF592" s="116"/>
      <c r="BG592" s="116"/>
      <c r="BH592" s="116"/>
      <c r="BI592" s="116"/>
      <c r="BJ592" s="116"/>
      <c r="BK592" s="116"/>
      <c r="BL592" s="116"/>
      <c r="BM592" s="116"/>
      <c r="BN592" s="116"/>
      <c r="BO592" s="116"/>
      <c r="BP592" s="116"/>
      <c r="BQ592" s="116"/>
      <c r="BR592" s="116"/>
      <c r="BS592" s="116"/>
      <c r="BT592" s="116"/>
      <c r="BU592" s="116"/>
      <c r="BV592" s="116"/>
    </row>
    <row r="593" spans="2:74" x14ac:dyDescent="0.3">
      <c r="B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  <c r="AE593" s="116"/>
      <c r="AF593" s="116"/>
      <c r="AG593" s="116"/>
      <c r="AH593" s="116"/>
      <c r="AI593" s="116"/>
      <c r="AJ593" s="116"/>
      <c r="AK593" s="116"/>
      <c r="AL593" s="116"/>
      <c r="AM593" s="116"/>
      <c r="AN593" s="116"/>
      <c r="AO593" s="116"/>
      <c r="AP593" s="116"/>
      <c r="AQ593" s="116"/>
      <c r="AR593" s="116"/>
      <c r="AS593" s="116"/>
      <c r="AT593" s="116"/>
      <c r="AU593" s="116"/>
      <c r="AV593" s="116"/>
      <c r="AW593" s="116"/>
      <c r="AX593" s="116"/>
      <c r="AY593" s="116"/>
      <c r="AZ593" s="116"/>
      <c r="BA593" s="116"/>
      <c r="BB593" s="116"/>
      <c r="BC593" s="116"/>
      <c r="BD593" s="116"/>
      <c r="BE593" s="116"/>
      <c r="BF593" s="116"/>
      <c r="BG593" s="116"/>
      <c r="BH593" s="116"/>
      <c r="BI593" s="116"/>
      <c r="BJ593" s="116"/>
      <c r="BK593" s="116"/>
      <c r="BL593" s="116"/>
      <c r="BM593" s="116"/>
      <c r="BN593" s="116"/>
      <c r="BO593" s="116"/>
      <c r="BP593" s="116"/>
      <c r="BQ593" s="116"/>
      <c r="BR593" s="116"/>
      <c r="BS593" s="116"/>
      <c r="BT593" s="116"/>
      <c r="BU593" s="116"/>
      <c r="BV593" s="116"/>
    </row>
    <row r="594" spans="2:74" x14ac:dyDescent="0.3">
      <c r="B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  <c r="AE594" s="116"/>
      <c r="AF594" s="116"/>
      <c r="AG594" s="116"/>
      <c r="AH594" s="116"/>
      <c r="AI594" s="116"/>
      <c r="AJ594" s="116"/>
      <c r="AK594" s="116"/>
      <c r="AL594" s="116"/>
      <c r="AM594" s="116"/>
      <c r="AN594" s="116"/>
      <c r="AO594" s="116"/>
      <c r="AP594" s="116"/>
      <c r="AQ594" s="116"/>
      <c r="AR594" s="116"/>
      <c r="AS594" s="116"/>
      <c r="AT594" s="116"/>
      <c r="AU594" s="116"/>
      <c r="AV594" s="116"/>
      <c r="AW594" s="116"/>
      <c r="AX594" s="116"/>
      <c r="AY594" s="116"/>
      <c r="AZ594" s="116"/>
      <c r="BA594" s="116"/>
      <c r="BB594" s="116"/>
      <c r="BC594" s="116"/>
      <c r="BD594" s="116"/>
      <c r="BE594" s="116"/>
      <c r="BF594" s="116"/>
      <c r="BG594" s="116"/>
      <c r="BH594" s="116"/>
      <c r="BI594" s="116"/>
      <c r="BJ594" s="116"/>
      <c r="BK594" s="116"/>
      <c r="BL594" s="116"/>
      <c r="BM594" s="116"/>
      <c r="BN594" s="116"/>
      <c r="BO594" s="116"/>
      <c r="BP594" s="116"/>
      <c r="BQ594" s="116"/>
      <c r="BR594" s="116"/>
      <c r="BS594" s="116"/>
      <c r="BT594" s="116"/>
      <c r="BU594" s="116"/>
      <c r="BV594" s="116"/>
    </row>
    <row r="595" spans="2:74" x14ac:dyDescent="0.3">
      <c r="B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  <c r="AE595" s="116"/>
      <c r="AF595" s="116"/>
      <c r="AG595" s="116"/>
      <c r="AH595" s="116"/>
      <c r="AI595" s="116"/>
      <c r="AJ595" s="116"/>
      <c r="AK595" s="116"/>
      <c r="AL595" s="116"/>
      <c r="AM595" s="116"/>
      <c r="AN595" s="116"/>
      <c r="AO595" s="116"/>
      <c r="AP595" s="116"/>
      <c r="AQ595" s="116"/>
      <c r="AR595" s="116"/>
      <c r="AS595" s="116"/>
      <c r="AT595" s="116"/>
      <c r="AU595" s="116"/>
      <c r="AV595" s="116"/>
      <c r="AW595" s="116"/>
      <c r="AX595" s="116"/>
      <c r="AY595" s="116"/>
      <c r="AZ595" s="116"/>
      <c r="BA595" s="116"/>
      <c r="BB595" s="116"/>
      <c r="BC595" s="116"/>
      <c r="BD595" s="116"/>
      <c r="BE595" s="116"/>
      <c r="BF595" s="116"/>
      <c r="BG595" s="116"/>
      <c r="BH595" s="116"/>
      <c r="BI595" s="116"/>
      <c r="BJ595" s="116"/>
      <c r="BK595" s="116"/>
      <c r="BL595" s="116"/>
      <c r="BM595" s="116"/>
      <c r="BN595" s="116"/>
      <c r="BO595" s="116"/>
      <c r="BP595" s="116"/>
      <c r="BQ595" s="116"/>
      <c r="BR595" s="116"/>
      <c r="BS595" s="116"/>
      <c r="BT595" s="116"/>
      <c r="BU595" s="116"/>
      <c r="BV595" s="116"/>
    </row>
    <row r="596" spans="2:74" x14ac:dyDescent="0.3">
      <c r="B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  <c r="AE596" s="116"/>
      <c r="AF596" s="116"/>
      <c r="AG596" s="116"/>
      <c r="AH596" s="116"/>
      <c r="AI596" s="116"/>
      <c r="AJ596" s="116"/>
      <c r="AK596" s="116"/>
      <c r="AL596" s="116"/>
      <c r="AM596" s="116"/>
      <c r="AN596" s="116"/>
      <c r="AO596" s="116"/>
      <c r="AP596" s="116"/>
      <c r="AQ596" s="116"/>
      <c r="AR596" s="116"/>
      <c r="AS596" s="116"/>
      <c r="AT596" s="116"/>
      <c r="AU596" s="116"/>
      <c r="AV596" s="116"/>
      <c r="AW596" s="116"/>
      <c r="AX596" s="116"/>
      <c r="AY596" s="116"/>
      <c r="AZ596" s="116"/>
      <c r="BA596" s="116"/>
      <c r="BB596" s="116"/>
      <c r="BC596" s="116"/>
      <c r="BD596" s="116"/>
      <c r="BE596" s="116"/>
      <c r="BF596" s="116"/>
      <c r="BG596" s="116"/>
      <c r="BH596" s="116"/>
      <c r="BI596" s="116"/>
      <c r="BJ596" s="116"/>
      <c r="BK596" s="116"/>
      <c r="BL596" s="116"/>
      <c r="BM596" s="116"/>
      <c r="BN596" s="116"/>
      <c r="BO596" s="116"/>
      <c r="BP596" s="116"/>
      <c r="BQ596" s="116"/>
      <c r="BR596" s="116"/>
      <c r="BS596" s="116"/>
      <c r="BT596" s="116"/>
      <c r="BU596" s="116"/>
      <c r="BV596" s="116"/>
    </row>
    <row r="597" spans="2:74" x14ac:dyDescent="0.3">
      <c r="B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  <c r="AE597" s="116"/>
      <c r="AF597" s="116"/>
      <c r="AG597" s="116"/>
      <c r="AH597" s="116"/>
      <c r="AI597" s="116"/>
      <c r="AJ597" s="116"/>
      <c r="AK597" s="116"/>
      <c r="AL597" s="116"/>
      <c r="AM597" s="116"/>
      <c r="AN597" s="116"/>
      <c r="AO597" s="116"/>
      <c r="AP597" s="116"/>
      <c r="AQ597" s="116"/>
      <c r="AR597" s="116"/>
      <c r="AS597" s="116"/>
      <c r="AT597" s="116"/>
      <c r="AU597" s="116"/>
      <c r="AV597" s="116"/>
      <c r="AW597" s="116"/>
      <c r="AX597" s="116"/>
      <c r="AY597" s="116"/>
      <c r="AZ597" s="116"/>
      <c r="BA597" s="116"/>
      <c r="BB597" s="116"/>
      <c r="BC597" s="116"/>
      <c r="BD597" s="116"/>
      <c r="BE597" s="116"/>
      <c r="BF597" s="116"/>
      <c r="BG597" s="116"/>
      <c r="BH597" s="116"/>
      <c r="BI597" s="116"/>
      <c r="BJ597" s="116"/>
      <c r="BK597" s="116"/>
      <c r="BL597" s="116"/>
      <c r="BM597" s="116"/>
      <c r="BN597" s="116"/>
      <c r="BO597" s="116"/>
      <c r="BP597" s="116"/>
      <c r="BQ597" s="116"/>
      <c r="BR597" s="116"/>
      <c r="BS597" s="116"/>
      <c r="BT597" s="116"/>
      <c r="BU597" s="116"/>
      <c r="BV597" s="116"/>
    </row>
    <row r="598" spans="2:74" x14ac:dyDescent="0.3">
      <c r="B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  <c r="AE598" s="116"/>
      <c r="AF598" s="116"/>
      <c r="AG598" s="116"/>
      <c r="AH598" s="116"/>
      <c r="AI598" s="116"/>
      <c r="AJ598" s="116"/>
      <c r="AK598" s="116"/>
      <c r="AL598" s="116"/>
      <c r="AM598" s="116"/>
      <c r="AN598" s="116"/>
      <c r="AO598" s="116"/>
      <c r="AP598" s="116"/>
      <c r="AQ598" s="116"/>
      <c r="AR598" s="116"/>
      <c r="AS598" s="116"/>
      <c r="AT598" s="116"/>
      <c r="AU598" s="116"/>
      <c r="AV598" s="116"/>
      <c r="AW598" s="116"/>
      <c r="AX598" s="116"/>
      <c r="AY598" s="116"/>
      <c r="AZ598" s="116"/>
      <c r="BA598" s="116"/>
      <c r="BB598" s="116"/>
      <c r="BC598" s="116"/>
      <c r="BD598" s="116"/>
      <c r="BE598" s="116"/>
      <c r="BF598" s="116"/>
      <c r="BG598" s="116"/>
      <c r="BH598" s="116"/>
      <c r="BI598" s="116"/>
      <c r="BJ598" s="116"/>
      <c r="BK598" s="116"/>
      <c r="BL598" s="116"/>
      <c r="BM598" s="116"/>
      <c r="BN598" s="116"/>
      <c r="BO598" s="116"/>
      <c r="BP598" s="116"/>
      <c r="BQ598" s="116"/>
      <c r="BR598" s="116"/>
      <c r="BS598" s="116"/>
      <c r="BT598" s="116"/>
      <c r="BU598" s="116"/>
      <c r="BV598" s="116"/>
    </row>
    <row r="599" spans="2:74" x14ac:dyDescent="0.3">
      <c r="B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  <c r="AE599" s="116"/>
      <c r="AF599" s="116"/>
      <c r="AG599" s="116"/>
      <c r="AH599" s="116"/>
      <c r="AI599" s="116"/>
      <c r="AJ599" s="116"/>
      <c r="AK599" s="116"/>
      <c r="AL599" s="116"/>
      <c r="AM599" s="116"/>
      <c r="AN599" s="116"/>
      <c r="AO599" s="116"/>
      <c r="AP599" s="116"/>
      <c r="AQ599" s="116"/>
      <c r="AR599" s="116"/>
      <c r="AS599" s="116"/>
      <c r="AT599" s="116"/>
      <c r="AU599" s="116"/>
      <c r="AV599" s="116"/>
      <c r="AW599" s="116"/>
      <c r="AX599" s="116"/>
      <c r="AY599" s="116"/>
      <c r="AZ599" s="116"/>
      <c r="BA599" s="116"/>
      <c r="BB599" s="116"/>
      <c r="BC599" s="116"/>
      <c r="BD599" s="116"/>
      <c r="BE599" s="116"/>
      <c r="BF599" s="116"/>
      <c r="BG599" s="116"/>
      <c r="BH599" s="116"/>
      <c r="BI599" s="116"/>
      <c r="BJ599" s="116"/>
      <c r="BK599" s="116"/>
      <c r="BL599" s="116"/>
      <c r="BM599" s="116"/>
      <c r="BN599" s="116"/>
      <c r="BO599" s="116"/>
      <c r="BP599" s="116"/>
      <c r="BQ599" s="116"/>
      <c r="BR599" s="116"/>
      <c r="BS599" s="116"/>
      <c r="BT599" s="116"/>
      <c r="BU599" s="116"/>
      <c r="BV599" s="116"/>
    </row>
    <row r="600" spans="2:74" x14ac:dyDescent="0.3">
      <c r="B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  <c r="AE600" s="116"/>
      <c r="AF600" s="116"/>
      <c r="AG600" s="116"/>
      <c r="AH600" s="116"/>
      <c r="AI600" s="116"/>
      <c r="AJ600" s="116"/>
      <c r="AK600" s="116"/>
      <c r="AL600" s="116"/>
      <c r="AM600" s="116"/>
      <c r="AN600" s="116"/>
      <c r="AO600" s="116"/>
      <c r="AP600" s="116"/>
      <c r="AQ600" s="116"/>
      <c r="AR600" s="116"/>
      <c r="AS600" s="116"/>
      <c r="AT600" s="116"/>
      <c r="AU600" s="116"/>
      <c r="AV600" s="116"/>
      <c r="AW600" s="116"/>
      <c r="AX600" s="116"/>
      <c r="AY600" s="116"/>
      <c r="AZ600" s="116"/>
      <c r="BA600" s="116"/>
      <c r="BB600" s="116"/>
      <c r="BC600" s="116"/>
      <c r="BD600" s="116"/>
      <c r="BE600" s="116"/>
      <c r="BF600" s="116"/>
      <c r="BG600" s="116"/>
      <c r="BH600" s="116"/>
      <c r="BI600" s="116"/>
      <c r="BJ600" s="116"/>
      <c r="BK600" s="116"/>
      <c r="BL600" s="116"/>
      <c r="BM600" s="116"/>
      <c r="BN600" s="116"/>
      <c r="BO600" s="116"/>
      <c r="BP600" s="116"/>
      <c r="BQ600" s="116"/>
      <c r="BR600" s="116"/>
      <c r="BS600" s="116"/>
      <c r="BT600" s="116"/>
      <c r="BU600" s="116"/>
      <c r="BV600" s="116"/>
    </row>
    <row r="601" spans="2:74" x14ac:dyDescent="0.3">
      <c r="B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  <c r="AE601" s="116"/>
      <c r="AF601" s="116"/>
      <c r="AG601" s="116"/>
      <c r="AH601" s="116"/>
      <c r="AI601" s="116"/>
      <c r="AJ601" s="116"/>
      <c r="AK601" s="116"/>
      <c r="AL601" s="116"/>
      <c r="AM601" s="116"/>
      <c r="AN601" s="116"/>
      <c r="AO601" s="116"/>
      <c r="AP601" s="116"/>
      <c r="AQ601" s="116"/>
      <c r="AR601" s="116"/>
      <c r="AS601" s="116"/>
      <c r="AT601" s="116"/>
      <c r="AU601" s="116"/>
      <c r="AV601" s="116"/>
      <c r="AW601" s="116"/>
      <c r="AX601" s="116"/>
      <c r="AY601" s="116"/>
      <c r="AZ601" s="116"/>
      <c r="BA601" s="116"/>
      <c r="BB601" s="116"/>
      <c r="BC601" s="116"/>
      <c r="BD601" s="116"/>
      <c r="BE601" s="116"/>
      <c r="BF601" s="116"/>
      <c r="BG601" s="116"/>
      <c r="BH601" s="116"/>
      <c r="BI601" s="116"/>
      <c r="BJ601" s="116"/>
      <c r="BK601" s="116"/>
      <c r="BL601" s="116"/>
      <c r="BM601" s="116"/>
      <c r="BN601" s="116"/>
      <c r="BO601" s="116"/>
      <c r="BP601" s="116"/>
      <c r="BQ601" s="116"/>
      <c r="BR601" s="116"/>
      <c r="BS601" s="116"/>
      <c r="BT601" s="116"/>
      <c r="BU601" s="116"/>
      <c r="BV601" s="116"/>
    </row>
    <row r="602" spans="2:74" x14ac:dyDescent="0.3">
      <c r="B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  <c r="AE602" s="116"/>
      <c r="AF602" s="116"/>
      <c r="AG602" s="116"/>
      <c r="AH602" s="116"/>
      <c r="AI602" s="116"/>
      <c r="AJ602" s="116"/>
      <c r="AK602" s="116"/>
      <c r="AL602" s="116"/>
      <c r="AM602" s="116"/>
      <c r="AN602" s="116"/>
      <c r="AO602" s="116"/>
      <c r="AP602" s="116"/>
      <c r="AQ602" s="116"/>
      <c r="AR602" s="116"/>
      <c r="AS602" s="116"/>
      <c r="AT602" s="116"/>
      <c r="AU602" s="116"/>
      <c r="AV602" s="116"/>
      <c r="AW602" s="116"/>
      <c r="AX602" s="116"/>
      <c r="AY602" s="116"/>
      <c r="AZ602" s="116"/>
      <c r="BA602" s="116"/>
      <c r="BB602" s="116"/>
      <c r="BC602" s="116"/>
      <c r="BD602" s="116"/>
      <c r="BE602" s="116"/>
      <c r="BF602" s="116"/>
      <c r="BG602" s="116"/>
      <c r="BH602" s="116"/>
      <c r="BI602" s="116"/>
      <c r="BJ602" s="116"/>
      <c r="BK602" s="116"/>
      <c r="BL602" s="116"/>
      <c r="BM602" s="116"/>
      <c r="BN602" s="116"/>
      <c r="BO602" s="116"/>
      <c r="BP602" s="116"/>
      <c r="BQ602" s="116"/>
      <c r="BR602" s="116"/>
      <c r="BS602" s="116"/>
      <c r="BT602" s="116"/>
      <c r="BU602" s="116"/>
      <c r="BV602" s="116"/>
    </row>
    <row r="603" spans="2:74" x14ac:dyDescent="0.3">
      <c r="B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  <c r="AE603" s="116"/>
      <c r="AF603" s="116"/>
      <c r="AG603" s="116"/>
      <c r="AH603" s="116"/>
      <c r="AI603" s="116"/>
      <c r="AJ603" s="116"/>
      <c r="AK603" s="116"/>
      <c r="AL603" s="116"/>
      <c r="AM603" s="116"/>
      <c r="AN603" s="116"/>
      <c r="AO603" s="116"/>
      <c r="AP603" s="116"/>
      <c r="AQ603" s="116"/>
      <c r="AR603" s="116"/>
      <c r="AS603" s="116"/>
      <c r="AT603" s="116"/>
      <c r="AU603" s="116"/>
      <c r="AV603" s="116"/>
      <c r="AW603" s="116"/>
      <c r="AX603" s="116"/>
      <c r="AY603" s="116"/>
      <c r="AZ603" s="116"/>
      <c r="BA603" s="116"/>
      <c r="BB603" s="116"/>
      <c r="BC603" s="116"/>
      <c r="BD603" s="116"/>
      <c r="BE603" s="116"/>
      <c r="BF603" s="116"/>
      <c r="BG603" s="116"/>
      <c r="BH603" s="116"/>
      <c r="BI603" s="116"/>
      <c r="BJ603" s="116"/>
      <c r="BK603" s="116"/>
      <c r="BL603" s="116"/>
      <c r="BM603" s="116"/>
      <c r="BN603" s="116"/>
      <c r="BO603" s="116"/>
      <c r="BP603" s="116"/>
      <c r="BQ603" s="116"/>
      <c r="BR603" s="116"/>
      <c r="BS603" s="116"/>
      <c r="BT603" s="116"/>
      <c r="BU603" s="116"/>
      <c r="BV603" s="116"/>
    </row>
    <row r="604" spans="2:74" x14ac:dyDescent="0.3">
      <c r="B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  <c r="AE604" s="116"/>
      <c r="AF604" s="116"/>
      <c r="AG604" s="116"/>
      <c r="AH604" s="116"/>
      <c r="AI604" s="116"/>
      <c r="AJ604" s="116"/>
      <c r="AK604" s="116"/>
      <c r="AL604" s="116"/>
      <c r="AM604" s="116"/>
      <c r="AN604" s="116"/>
      <c r="AO604" s="116"/>
      <c r="AP604" s="116"/>
      <c r="AQ604" s="116"/>
      <c r="AR604" s="116"/>
      <c r="AS604" s="116"/>
      <c r="AT604" s="116"/>
      <c r="AU604" s="116"/>
      <c r="AV604" s="116"/>
      <c r="AW604" s="116"/>
      <c r="AX604" s="116"/>
      <c r="AY604" s="116"/>
      <c r="AZ604" s="116"/>
      <c r="BA604" s="116"/>
      <c r="BB604" s="116"/>
      <c r="BC604" s="116"/>
      <c r="BD604" s="116"/>
      <c r="BE604" s="116"/>
      <c r="BF604" s="116"/>
      <c r="BG604" s="116"/>
      <c r="BH604" s="116"/>
      <c r="BI604" s="116"/>
      <c r="BJ604" s="116"/>
      <c r="BK604" s="116"/>
      <c r="BL604" s="116"/>
      <c r="BM604" s="116"/>
      <c r="BN604" s="116"/>
      <c r="BO604" s="116"/>
      <c r="BP604" s="116"/>
      <c r="BQ604" s="116"/>
      <c r="BR604" s="116"/>
      <c r="BS604" s="116"/>
      <c r="BT604" s="116"/>
      <c r="BU604" s="116"/>
      <c r="BV604" s="116"/>
    </row>
    <row r="605" spans="2:74" x14ac:dyDescent="0.3">
      <c r="B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  <c r="AE605" s="116"/>
      <c r="AF605" s="116"/>
      <c r="AG605" s="116"/>
      <c r="AH605" s="116"/>
      <c r="AI605" s="116"/>
      <c r="AJ605" s="116"/>
      <c r="AK605" s="116"/>
      <c r="AL605" s="116"/>
      <c r="AM605" s="116"/>
      <c r="AN605" s="116"/>
      <c r="AO605" s="116"/>
      <c r="AP605" s="116"/>
      <c r="AQ605" s="116"/>
      <c r="AR605" s="116"/>
      <c r="AS605" s="116"/>
      <c r="AT605" s="116"/>
      <c r="AU605" s="116"/>
      <c r="AV605" s="116"/>
      <c r="AW605" s="116"/>
      <c r="AX605" s="116"/>
      <c r="AY605" s="116"/>
      <c r="AZ605" s="116"/>
      <c r="BA605" s="116"/>
      <c r="BB605" s="116"/>
      <c r="BC605" s="116"/>
      <c r="BD605" s="116"/>
      <c r="BE605" s="116"/>
      <c r="BF605" s="116"/>
      <c r="BG605" s="116"/>
      <c r="BH605" s="116"/>
      <c r="BI605" s="116"/>
      <c r="BJ605" s="116"/>
      <c r="BK605" s="116"/>
      <c r="BL605" s="116"/>
      <c r="BM605" s="116"/>
      <c r="BN605" s="116"/>
      <c r="BO605" s="116"/>
      <c r="BP605" s="116"/>
      <c r="BQ605" s="116"/>
      <c r="BR605" s="116"/>
      <c r="BS605" s="116"/>
      <c r="BT605" s="116"/>
      <c r="BU605" s="116"/>
      <c r="BV605" s="116"/>
    </row>
    <row r="606" spans="2:74" x14ac:dyDescent="0.3">
      <c r="B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  <c r="AE606" s="116"/>
      <c r="AF606" s="116"/>
      <c r="AG606" s="116"/>
      <c r="AH606" s="116"/>
      <c r="AI606" s="116"/>
      <c r="AJ606" s="116"/>
      <c r="AK606" s="116"/>
      <c r="AL606" s="116"/>
      <c r="AM606" s="116"/>
      <c r="AN606" s="116"/>
      <c r="AO606" s="116"/>
      <c r="AP606" s="116"/>
      <c r="AQ606" s="116"/>
      <c r="AR606" s="116"/>
      <c r="AS606" s="116"/>
      <c r="AT606" s="116"/>
      <c r="AU606" s="116"/>
      <c r="AV606" s="116"/>
      <c r="AW606" s="116"/>
      <c r="AX606" s="116"/>
      <c r="AY606" s="116"/>
      <c r="AZ606" s="116"/>
      <c r="BA606" s="116"/>
      <c r="BB606" s="116"/>
      <c r="BC606" s="116"/>
      <c r="BD606" s="116"/>
      <c r="BE606" s="116"/>
      <c r="BF606" s="116"/>
      <c r="BG606" s="116"/>
      <c r="BH606" s="116"/>
      <c r="BI606" s="116"/>
      <c r="BJ606" s="116"/>
      <c r="BK606" s="116"/>
      <c r="BL606" s="116"/>
      <c r="BM606" s="116"/>
      <c r="BN606" s="116"/>
      <c r="BO606" s="116"/>
      <c r="BP606" s="116"/>
      <c r="BQ606" s="116"/>
      <c r="BR606" s="116"/>
      <c r="BS606" s="116"/>
      <c r="BT606" s="116"/>
      <c r="BU606" s="116"/>
      <c r="BV606" s="116"/>
    </row>
    <row r="607" spans="2:74" x14ac:dyDescent="0.3">
      <c r="B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  <c r="AE607" s="116"/>
      <c r="AF607" s="116"/>
      <c r="AG607" s="116"/>
      <c r="AH607" s="116"/>
      <c r="AI607" s="116"/>
      <c r="AJ607" s="116"/>
      <c r="AK607" s="116"/>
      <c r="AL607" s="116"/>
      <c r="AM607" s="116"/>
      <c r="AN607" s="116"/>
      <c r="AO607" s="116"/>
      <c r="AP607" s="116"/>
      <c r="AQ607" s="116"/>
      <c r="AR607" s="116"/>
      <c r="AS607" s="116"/>
      <c r="AT607" s="116"/>
      <c r="AU607" s="116"/>
      <c r="AV607" s="116"/>
      <c r="AW607" s="116"/>
      <c r="AX607" s="116"/>
      <c r="AY607" s="116"/>
      <c r="AZ607" s="116"/>
      <c r="BA607" s="116"/>
      <c r="BB607" s="116"/>
      <c r="BC607" s="116"/>
      <c r="BD607" s="116"/>
      <c r="BE607" s="116"/>
      <c r="BF607" s="116"/>
      <c r="BG607" s="116"/>
      <c r="BH607" s="116"/>
      <c r="BI607" s="116"/>
      <c r="BJ607" s="116"/>
      <c r="BK607" s="116"/>
      <c r="BL607" s="116"/>
      <c r="BM607" s="116"/>
      <c r="BN607" s="116"/>
      <c r="BO607" s="116"/>
      <c r="BP607" s="116"/>
      <c r="BQ607" s="116"/>
      <c r="BR607" s="116"/>
      <c r="BS607" s="116"/>
      <c r="BT607" s="116"/>
      <c r="BU607" s="116"/>
      <c r="BV607" s="116"/>
    </row>
    <row r="608" spans="2:74" x14ac:dyDescent="0.3">
      <c r="B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  <c r="AE608" s="116"/>
      <c r="AF608" s="116"/>
      <c r="AG608" s="116"/>
      <c r="AH608" s="116"/>
      <c r="AI608" s="116"/>
      <c r="AJ608" s="116"/>
      <c r="AK608" s="116"/>
      <c r="AL608" s="116"/>
      <c r="AM608" s="116"/>
      <c r="AN608" s="116"/>
      <c r="AO608" s="116"/>
      <c r="AP608" s="116"/>
      <c r="AQ608" s="116"/>
      <c r="AR608" s="116"/>
      <c r="AS608" s="116"/>
      <c r="AT608" s="116"/>
      <c r="AU608" s="116"/>
      <c r="AV608" s="116"/>
      <c r="AW608" s="116"/>
      <c r="AX608" s="116"/>
      <c r="AY608" s="116"/>
      <c r="AZ608" s="116"/>
      <c r="BA608" s="116"/>
      <c r="BB608" s="116"/>
      <c r="BC608" s="116"/>
      <c r="BD608" s="116"/>
      <c r="BE608" s="116"/>
      <c r="BF608" s="116"/>
      <c r="BG608" s="116"/>
      <c r="BH608" s="116"/>
      <c r="BI608" s="116"/>
      <c r="BJ608" s="116"/>
      <c r="BK608" s="116"/>
      <c r="BL608" s="116"/>
      <c r="BM608" s="116"/>
      <c r="BN608" s="116"/>
      <c r="BO608" s="116"/>
      <c r="BP608" s="116"/>
      <c r="BQ608" s="116"/>
      <c r="BR608" s="116"/>
      <c r="BS608" s="116"/>
      <c r="BT608" s="116"/>
      <c r="BU608" s="116"/>
      <c r="BV608" s="116"/>
    </row>
    <row r="609" spans="2:74" x14ac:dyDescent="0.3">
      <c r="B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  <c r="AE609" s="116"/>
      <c r="AF609" s="116"/>
      <c r="AG609" s="116"/>
      <c r="AH609" s="116"/>
      <c r="AI609" s="116"/>
      <c r="AJ609" s="116"/>
      <c r="AK609" s="116"/>
      <c r="AL609" s="116"/>
      <c r="AM609" s="116"/>
      <c r="AN609" s="116"/>
      <c r="AO609" s="116"/>
      <c r="AP609" s="116"/>
      <c r="AQ609" s="116"/>
      <c r="AR609" s="116"/>
      <c r="AS609" s="116"/>
      <c r="AT609" s="116"/>
      <c r="AU609" s="116"/>
      <c r="AV609" s="116"/>
      <c r="AW609" s="116"/>
      <c r="AX609" s="116"/>
      <c r="AY609" s="116"/>
      <c r="AZ609" s="116"/>
      <c r="BA609" s="116"/>
      <c r="BB609" s="116"/>
      <c r="BC609" s="116"/>
      <c r="BD609" s="116"/>
      <c r="BE609" s="116"/>
      <c r="BF609" s="116"/>
      <c r="BG609" s="116"/>
      <c r="BH609" s="116"/>
      <c r="BI609" s="116"/>
      <c r="BJ609" s="116"/>
      <c r="BK609" s="116"/>
      <c r="BL609" s="116"/>
      <c r="BM609" s="116"/>
      <c r="BN609" s="116"/>
      <c r="BO609" s="116"/>
      <c r="BP609" s="116"/>
      <c r="BQ609" s="116"/>
      <c r="BR609" s="116"/>
      <c r="BS609" s="116"/>
      <c r="BT609" s="116"/>
      <c r="BU609" s="116"/>
      <c r="BV609" s="116"/>
    </row>
    <row r="610" spans="2:74" x14ac:dyDescent="0.3">
      <c r="B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  <c r="AE610" s="116"/>
      <c r="AF610" s="116"/>
      <c r="AG610" s="116"/>
      <c r="AH610" s="116"/>
      <c r="AI610" s="116"/>
      <c r="AJ610" s="116"/>
      <c r="AK610" s="116"/>
      <c r="AL610" s="116"/>
      <c r="AM610" s="116"/>
      <c r="AN610" s="116"/>
      <c r="AO610" s="116"/>
      <c r="AP610" s="116"/>
      <c r="AQ610" s="116"/>
      <c r="AR610" s="116"/>
      <c r="AS610" s="116"/>
      <c r="AT610" s="116"/>
      <c r="AU610" s="116"/>
      <c r="AV610" s="116"/>
      <c r="AW610" s="116"/>
      <c r="AX610" s="116"/>
      <c r="AY610" s="116"/>
      <c r="AZ610" s="116"/>
      <c r="BA610" s="116"/>
      <c r="BB610" s="116"/>
      <c r="BC610" s="116"/>
      <c r="BD610" s="116"/>
      <c r="BE610" s="116"/>
      <c r="BF610" s="116"/>
      <c r="BG610" s="116"/>
      <c r="BH610" s="116"/>
      <c r="BI610" s="116"/>
      <c r="BJ610" s="116"/>
      <c r="BK610" s="116"/>
      <c r="BL610" s="116"/>
      <c r="BM610" s="116"/>
      <c r="BN610" s="116"/>
      <c r="BO610" s="116"/>
      <c r="BP610" s="116"/>
      <c r="BQ610" s="116"/>
      <c r="BR610" s="116"/>
      <c r="BS610" s="116"/>
      <c r="BT610" s="116"/>
      <c r="BU610" s="116"/>
      <c r="BV610" s="116"/>
    </row>
    <row r="611" spans="2:74" x14ac:dyDescent="0.3">
      <c r="B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  <c r="AH611" s="116"/>
      <c r="AI611" s="116"/>
      <c r="AJ611" s="116"/>
      <c r="AK611" s="116"/>
      <c r="AL611" s="116"/>
      <c r="AM611" s="116"/>
      <c r="AN611" s="116"/>
      <c r="AO611" s="116"/>
      <c r="AP611" s="116"/>
      <c r="AQ611" s="116"/>
      <c r="AR611" s="116"/>
      <c r="AS611" s="116"/>
      <c r="AT611" s="116"/>
      <c r="AU611" s="116"/>
      <c r="AV611" s="116"/>
      <c r="AW611" s="116"/>
      <c r="AX611" s="116"/>
      <c r="AY611" s="116"/>
      <c r="AZ611" s="116"/>
      <c r="BA611" s="116"/>
      <c r="BB611" s="116"/>
      <c r="BC611" s="116"/>
      <c r="BD611" s="116"/>
      <c r="BE611" s="116"/>
      <c r="BF611" s="116"/>
      <c r="BG611" s="116"/>
      <c r="BH611" s="116"/>
      <c r="BI611" s="116"/>
      <c r="BJ611" s="116"/>
      <c r="BK611" s="116"/>
      <c r="BL611" s="116"/>
      <c r="BM611" s="116"/>
      <c r="BN611" s="116"/>
      <c r="BO611" s="116"/>
      <c r="BP611" s="116"/>
      <c r="BQ611" s="116"/>
      <c r="BR611" s="116"/>
      <c r="BS611" s="116"/>
      <c r="BT611" s="116"/>
      <c r="BU611" s="116"/>
      <c r="BV611" s="116"/>
    </row>
    <row r="612" spans="2:74" x14ac:dyDescent="0.3">
      <c r="B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  <c r="AE612" s="116"/>
      <c r="AF612" s="116"/>
      <c r="AG612" s="116"/>
      <c r="AH612" s="116"/>
      <c r="AI612" s="116"/>
      <c r="AJ612" s="116"/>
      <c r="AK612" s="116"/>
      <c r="AL612" s="116"/>
      <c r="AM612" s="116"/>
      <c r="AN612" s="116"/>
      <c r="AO612" s="116"/>
      <c r="AP612" s="116"/>
      <c r="AQ612" s="116"/>
      <c r="AR612" s="116"/>
      <c r="AS612" s="116"/>
      <c r="AT612" s="116"/>
      <c r="AU612" s="116"/>
      <c r="AV612" s="116"/>
      <c r="AW612" s="116"/>
      <c r="AX612" s="116"/>
      <c r="AY612" s="116"/>
      <c r="AZ612" s="116"/>
      <c r="BA612" s="116"/>
      <c r="BB612" s="116"/>
      <c r="BC612" s="116"/>
      <c r="BD612" s="116"/>
      <c r="BE612" s="116"/>
      <c r="BF612" s="116"/>
      <c r="BG612" s="116"/>
      <c r="BH612" s="116"/>
      <c r="BI612" s="116"/>
      <c r="BJ612" s="116"/>
      <c r="BK612" s="116"/>
      <c r="BL612" s="116"/>
      <c r="BM612" s="116"/>
      <c r="BN612" s="116"/>
      <c r="BO612" s="116"/>
      <c r="BP612" s="116"/>
      <c r="BQ612" s="116"/>
      <c r="BR612" s="116"/>
      <c r="BS612" s="116"/>
      <c r="BT612" s="116"/>
      <c r="BU612" s="116"/>
      <c r="BV612" s="116"/>
    </row>
    <row r="613" spans="2:74" x14ac:dyDescent="0.3">
      <c r="B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  <c r="AE613" s="116"/>
      <c r="AF613" s="116"/>
      <c r="AG613" s="116"/>
      <c r="AH613" s="116"/>
      <c r="AI613" s="116"/>
      <c r="AJ613" s="116"/>
      <c r="AK613" s="116"/>
      <c r="AL613" s="116"/>
      <c r="AM613" s="116"/>
      <c r="AN613" s="116"/>
      <c r="AO613" s="116"/>
      <c r="AP613" s="116"/>
      <c r="AQ613" s="116"/>
      <c r="AR613" s="116"/>
      <c r="AS613" s="116"/>
      <c r="AT613" s="116"/>
      <c r="AU613" s="116"/>
      <c r="AV613" s="116"/>
      <c r="AW613" s="116"/>
      <c r="AX613" s="116"/>
      <c r="AY613" s="116"/>
      <c r="AZ613" s="116"/>
      <c r="BA613" s="116"/>
      <c r="BB613" s="116"/>
      <c r="BC613" s="116"/>
      <c r="BD613" s="116"/>
      <c r="BE613" s="116"/>
      <c r="BF613" s="116"/>
      <c r="BG613" s="116"/>
      <c r="BH613" s="116"/>
      <c r="BI613" s="116"/>
      <c r="BJ613" s="116"/>
      <c r="BK613" s="116"/>
      <c r="BL613" s="116"/>
      <c r="BM613" s="116"/>
      <c r="BN613" s="116"/>
      <c r="BO613" s="116"/>
      <c r="BP613" s="116"/>
      <c r="BQ613" s="116"/>
      <c r="BR613" s="116"/>
      <c r="BS613" s="116"/>
      <c r="BT613" s="116"/>
      <c r="BU613" s="116"/>
      <c r="BV613" s="116"/>
    </row>
    <row r="614" spans="2:74" x14ac:dyDescent="0.3">
      <c r="B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  <c r="AE614" s="116"/>
      <c r="AF614" s="116"/>
      <c r="AG614" s="116"/>
      <c r="AH614" s="116"/>
      <c r="AI614" s="116"/>
      <c r="AJ614" s="116"/>
      <c r="AK614" s="116"/>
      <c r="AL614" s="116"/>
      <c r="AM614" s="116"/>
      <c r="AN614" s="116"/>
      <c r="AO614" s="116"/>
      <c r="AP614" s="116"/>
      <c r="AQ614" s="116"/>
      <c r="AR614" s="116"/>
      <c r="AS614" s="116"/>
      <c r="AT614" s="116"/>
      <c r="AU614" s="116"/>
      <c r="AV614" s="116"/>
      <c r="AW614" s="116"/>
      <c r="AX614" s="116"/>
      <c r="AY614" s="116"/>
      <c r="AZ614" s="116"/>
      <c r="BA614" s="116"/>
      <c r="BB614" s="116"/>
      <c r="BC614" s="116"/>
      <c r="BD614" s="116"/>
      <c r="BE614" s="116"/>
      <c r="BF614" s="116"/>
      <c r="BG614" s="116"/>
      <c r="BH614" s="116"/>
      <c r="BI614" s="116"/>
      <c r="BJ614" s="116"/>
      <c r="BK614" s="116"/>
      <c r="BL614" s="116"/>
      <c r="BM614" s="116"/>
      <c r="BN614" s="116"/>
      <c r="BO614" s="116"/>
      <c r="BP614" s="116"/>
      <c r="BQ614" s="116"/>
      <c r="BR614" s="116"/>
      <c r="BS614" s="116"/>
      <c r="BT614" s="116"/>
      <c r="BU614" s="116"/>
      <c r="BV614" s="116"/>
    </row>
    <row r="615" spans="2:74" x14ac:dyDescent="0.3">
      <c r="B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  <c r="AE615" s="116"/>
      <c r="AF615" s="116"/>
      <c r="AG615" s="116"/>
      <c r="AH615" s="116"/>
      <c r="AI615" s="116"/>
      <c r="AJ615" s="116"/>
      <c r="AK615" s="116"/>
      <c r="AL615" s="116"/>
      <c r="AM615" s="116"/>
      <c r="AN615" s="116"/>
      <c r="AO615" s="116"/>
      <c r="AP615" s="116"/>
      <c r="AQ615" s="116"/>
      <c r="AR615" s="116"/>
      <c r="AS615" s="116"/>
      <c r="AT615" s="116"/>
      <c r="AU615" s="116"/>
      <c r="AV615" s="116"/>
      <c r="AW615" s="116"/>
      <c r="AX615" s="116"/>
      <c r="AY615" s="116"/>
      <c r="AZ615" s="116"/>
      <c r="BA615" s="116"/>
      <c r="BB615" s="116"/>
      <c r="BC615" s="116"/>
      <c r="BD615" s="116"/>
      <c r="BE615" s="116"/>
      <c r="BF615" s="116"/>
      <c r="BG615" s="116"/>
      <c r="BH615" s="116"/>
      <c r="BI615" s="116"/>
      <c r="BJ615" s="116"/>
      <c r="BK615" s="116"/>
      <c r="BL615" s="116"/>
      <c r="BM615" s="116"/>
      <c r="BN615" s="116"/>
      <c r="BO615" s="116"/>
      <c r="BP615" s="116"/>
      <c r="BQ615" s="116"/>
      <c r="BR615" s="116"/>
      <c r="BS615" s="116"/>
      <c r="BT615" s="116"/>
      <c r="BU615" s="116"/>
      <c r="BV615" s="116"/>
    </row>
    <row r="616" spans="2:74" x14ac:dyDescent="0.3">
      <c r="B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  <c r="AE616" s="116"/>
      <c r="AF616" s="116"/>
      <c r="AG616" s="116"/>
      <c r="AH616" s="116"/>
      <c r="AI616" s="116"/>
      <c r="AJ616" s="116"/>
      <c r="AK616" s="116"/>
      <c r="AL616" s="116"/>
      <c r="AM616" s="116"/>
      <c r="AN616" s="116"/>
      <c r="AO616" s="116"/>
      <c r="AP616" s="116"/>
      <c r="AQ616" s="116"/>
      <c r="AR616" s="116"/>
      <c r="AS616" s="116"/>
      <c r="AT616" s="116"/>
      <c r="AU616" s="116"/>
      <c r="AV616" s="116"/>
      <c r="AW616" s="116"/>
      <c r="AX616" s="116"/>
      <c r="AY616" s="116"/>
      <c r="AZ616" s="116"/>
      <c r="BA616" s="116"/>
      <c r="BB616" s="116"/>
      <c r="BC616" s="116"/>
      <c r="BD616" s="116"/>
      <c r="BE616" s="116"/>
      <c r="BF616" s="116"/>
      <c r="BG616" s="116"/>
      <c r="BH616" s="116"/>
      <c r="BI616" s="116"/>
      <c r="BJ616" s="116"/>
      <c r="BK616" s="116"/>
      <c r="BL616" s="116"/>
      <c r="BM616" s="116"/>
      <c r="BN616" s="116"/>
      <c r="BO616" s="116"/>
      <c r="BP616" s="116"/>
      <c r="BQ616" s="116"/>
      <c r="BR616" s="116"/>
      <c r="BS616" s="116"/>
      <c r="BT616" s="116"/>
      <c r="BU616" s="116"/>
      <c r="BV616" s="116"/>
    </row>
    <row r="617" spans="2:74" x14ac:dyDescent="0.3">
      <c r="B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  <c r="AE617" s="116"/>
      <c r="AF617" s="116"/>
      <c r="AG617" s="116"/>
      <c r="AH617" s="116"/>
      <c r="AI617" s="116"/>
      <c r="AJ617" s="116"/>
      <c r="AK617" s="116"/>
      <c r="AL617" s="116"/>
      <c r="AM617" s="116"/>
      <c r="AN617" s="116"/>
      <c r="AO617" s="116"/>
      <c r="AP617" s="116"/>
      <c r="AQ617" s="116"/>
      <c r="AR617" s="116"/>
      <c r="AS617" s="116"/>
      <c r="AT617" s="116"/>
      <c r="AU617" s="116"/>
      <c r="AV617" s="116"/>
      <c r="AW617" s="116"/>
      <c r="AX617" s="116"/>
      <c r="AY617" s="116"/>
      <c r="AZ617" s="116"/>
      <c r="BA617" s="116"/>
      <c r="BB617" s="116"/>
      <c r="BC617" s="116"/>
      <c r="BD617" s="116"/>
      <c r="BE617" s="116"/>
      <c r="BF617" s="116"/>
      <c r="BG617" s="116"/>
      <c r="BH617" s="116"/>
      <c r="BI617" s="116"/>
      <c r="BJ617" s="116"/>
      <c r="BK617" s="116"/>
      <c r="BL617" s="116"/>
      <c r="BM617" s="116"/>
      <c r="BN617" s="116"/>
      <c r="BO617" s="116"/>
      <c r="BP617" s="116"/>
      <c r="BQ617" s="116"/>
      <c r="BR617" s="116"/>
      <c r="BS617" s="116"/>
      <c r="BT617" s="116"/>
      <c r="BU617" s="116"/>
      <c r="BV617" s="116"/>
    </row>
    <row r="618" spans="2:74" x14ac:dyDescent="0.3">
      <c r="B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  <c r="AE618" s="116"/>
      <c r="AF618" s="116"/>
      <c r="AG618" s="116"/>
      <c r="AH618" s="116"/>
      <c r="AI618" s="116"/>
      <c r="AJ618" s="116"/>
      <c r="AK618" s="116"/>
      <c r="AL618" s="116"/>
      <c r="AM618" s="116"/>
      <c r="AN618" s="116"/>
      <c r="AO618" s="116"/>
      <c r="AP618" s="116"/>
      <c r="AQ618" s="116"/>
      <c r="AR618" s="116"/>
      <c r="AS618" s="116"/>
      <c r="AT618" s="116"/>
      <c r="AU618" s="116"/>
      <c r="AV618" s="116"/>
      <c r="AW618" s="116"/>
      <c r="AX618" s="116"/>
      <c r="AY618" s="116"/>
      <c r="AZ618" s="116"/>
      <c r="BA618" s="116"/>
      <c r="BB618" s="116"/>
      <c r="BC618" s="116"/>
      <c r="BD618" s="116"/>
      <c r="BE618" s="116"/>
      <c r="BF618" s="116"/>
      <c r="BG618" s="116"/>
      <c r="BH618" s="116"/>
      <c r="BI618" s="116"/>
      <c r="BJ618" s="116"/>
      <c r="BK618" s="116"/>
      <c r="BL618" s="116"/>
      <c r="BM618" s="116"/>
      <c r="BN618" s="116"/>
      <c r="BO618" s="116"/>
      <c r="BP618" s="116"/>
      <c r="BQ618" s="116"/>
      <c r="BR618" s="116"/>
      <c r="BS618" s="116"/>
      <c r="BT618" s="116"/>
      <c r="BU618" s="116"/>
      <c r="BV618" s="116"/>
    </row>
    <row r="619" spans="2:74" x14ac:dyDescent="0.3">
      <c r="B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  <c r="AE619" s="116"/>
      <c r="AF619" s="116"/>
      <c r="AG619" s="116"/>
      <c r="AH619" s="116"/>
      <c r="AI619" s="116"/>
      <c r="AJ619" s="116"/>
      <c r="AK619" s="116"/>
      <c r="AL619" s="116"/>
      <c r="AM619" s="116"/>
      <c r="AN619" s="116"/>
      <c r="AO619" s="116"/>
      <c r="AP619" s="116"/>
      <c r="AQ619" s="116"/>
      <c r="AR619" s="116"/>
      <c r="AS619" s="116"/>
      <c r="AT619" s="116"/>
      <c r="AU619" s="116"/>
      <c r="AV619" s="116"/>
      <c r="AW619" s="116"/>
      <c r="AX619" s="116"/>
      <c r="AY619" s="116"/>
      <c r="AZ619" s="116"/>
      <c r="BA619" s="116"/>
      <c r="BB619" s="116"/>
      <c r="BC619" s="116"/>
      <c r="BD619" s="116"/>
      <c r="BE619" s="116"/>
      <c r="BF619" s="116"/>
      <c r="BG619" s="116"/>
      <c r="BH619" s="116"/>
      <c r="BI619" s="116"/>
      <c r="BJ619" s="116"/>
      <c r="BK619" s="116"/>
      <c r="BL619" s="116"/>
      <c r="BM619" s="116"/>
      <c r="BN619" s="116"/>
      <c r="BO619" s="116"/>
      <c r="BP619" s="116"/>
      <c r="BQ619" s="116"/>
      <c r="BR619" s="116"/>
      <c r="BS619" s="116"/>
      <c r="BT619" s="116"/>
      <c r="BU619" s="116"/>
      <c r="BV619" s="116"/>
    </row>
    <row r="620" spans="2:74" x14ac:dyDescent="0.3">
      <c r="B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  <c r="AE620" s="116"/>
      <c r="AF620" s="116"/>
      <c r="AG620" s="116"/>
      <c r="AH620" s="116"/>
      <c r="AI620" s="116"/>
      <c r="AJ620" s="116"/>
      <c r="AK620" s="116"/>
      <c r="AL620" s="116"/>
      <c r="AM620" s="116"/>
      <c r="AN620" s="116"/>
      <c r="AO620" s="116"/>
      <c r="AP620" s="116"/>
      <c r="AQ620" s="116"/>
      <c r="AR620" s="116"/>
      <c r="AS620" s="116"/>
      <c r="AT620" s="116"/>
      <c r="AU620" s="116"/>
      <c r="AV620" s="116"/>
      <c r="AW620" s="116"/>
      <c r="AX620" s="116"/>
      <c r="AY620" s="116"/>
      <c r="AZ620" s="116"/>
      <c r="BA620" s="116"/>
      <c r="BB620" s="116"/>
      <c r="BC620" s="116"/>
      <c r="BD620" s="116"/>
      <c r="BE620" s="116"/>
      <c r="BF620" s="116"/>
      <c r="BG620" s="116"/>
      <c r="BH620" s="116"/>
      <c r="BI620" s="116"/>
      <c r="BJ620" s="116"/>
      <c r="BK620" s="116"/>
      <c r="BL620" s="116"/>
      <c r="BM620" s="116"/>
      <c r="BN620" s="116"/>
      <c r="BO620" s="116"/>
      <c r="BP620" s="116"/>
      <c r="BQ620" s="116"/>
      <c r="BR620" s="116"/>
      <c r="BS620" s="116"/>
      <c r="BT620" s="116"/>
      <c r="BU620" s="116"/>
      <c r="BV620" s="116"/>
    </row>
    <row r="621" spans="2:74" x14ac:dyDescent="0.3">
      <c r="B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  <c r="AE621" s="116"/>
      <c r="AF621" s="116"/>
      <c r="AG621" s="116"/>
      <c r="AH621" s="116"/>
      <c r="AI621" s="116"/>
      <c r="AJ621" s="116"/>
      <c r="AK621" s="116"/>
      <c r="AL621" s="116"/>
      <c r="AM621" s="116"/>
      <c r="AN621" s="116"/>
      <c r="AO621" s="116"/>
      <c r="AP621" s="116"/>
      <c r="AQ621" s="116"/>
      <c r="AR621" s="116"/>
      <c r="AS621" s="116"/>
      <c r="AT621" s="116"/>
      <c r="AU621" s="116"/>
      <c r="AV621" s="116"/>
      <c r="AW621" s="116"/>
      <c r="AX621" s="116"/>
      <c r="AY621" s="116"/>
      <c r="AZ621" s="116"/>
      <c r="BA621" s="116"/>
      <c r="BB621" s="116"/>
      <c r="BC621" s="116"/>
      <c r="BD621" s="116"/>
      <c r="BE621" s="116"/>
      <c r="BF621" s="116"/>
      <c r="BG621" s="116"/>
      <c r="BH621" s="116"/>
      <c r="BI621" s="116"/>
      <c r="BJ621" s="116"/>
      <c r="BK621" s="116"/>
      <c r="BL621" s="116"/>
      <c r="BM621" s="116"/>
      <c r="BN621" s="116"/>
      <c r="BO621" s="116"/>
      <c r="BP621" s="116"/>
      <c r="BQ621" s="116"/>
      <c r="BR621" s="116"/>
      <c r="BS621" s="116"/>
      <c r="BT621" s="116"/>
      <c r="BU621" s="116"/>
      <c r="BV621" s="116"/>
    </row>
    <row r="622" spans="2:74" x14ac:dyDescent="0.3">
      <c r="B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  <c r="AE622" s="116"/>
      <c r="AF622" s="116"/>
      <c r="AG622" s="116"/>
      <c r="AH622" s="116"/>
      <c r="AI622" s="116"/>
      <c r="AJ622" s="116"/>
      <c r="AK622" s="116"/>
      <c r="AL622" s="116"/>
      <c r="AM622" s="116"/>
      <c r="AN622" s="116"/>
      <c r="AO622" s="116"/>
      <c r="AP622" s="116"/>
      <c r="AQ622" s="116"/>
      <c r="AR622" s="116"/>
      <c r="AS622" s="116"/>
      <c r="AT622" s="116"/>
      <c r="AU622" s="116"/>
      <c r="AV622" s="116"/>
      <c r="AW622" s="116"/>
      <c r="AX622" s="116"/>
      <c r="AY622" s="116"/>
      <c r="AZ622" s="116"/>
      <c r="BA622" s="116"/>
      <c r="BB622" s="116"/>
      <c r="BC622" s="116"/>
      <c r="BD622" s="116"/>
      <c r="BE622" s="116"/>
      <c r="BF622" s="116"/>
      <c r="BG622" s="116"/>
      <c r="BH622" s="116"/>
      <c r="BI622" s="116"/>
      <c r="BJ622" s="116"/>
      <c r="BK622" s="116"/>
      <c r="BL622" s="116"/>
      <c r="BM622" s="116"/>
      <c r="BN622" s="116"/>
      <c r="BO622" s="116"/>
      <c r="BP622" s="116"/>
      <c r="BQ622" s="116"/>
      <c r="BR622" s="116"/>
      <c r="BS622" s="116"/>
      <c r="BT622" s="116"/>
      <c r="BU622" s="116"/>
      <c r="BV622" s="116"/>
    </row>
    <row r="623" spans="2:74" x14ac:dyDescent="0.3">
      <c r="B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  <c r="AE623" s="116"/>
      <c r="AF623" s="116"/>
      <c r="AG623" s="116"/>
      <c r="AH623" s="116"/>
      <c r="AI623" s="116"/>
      <c r="AJ623" s="116"/>
      <c r="AK623" s="116"/>
      <c r="AL623" s="116"/>
      <c r="AM623" s="116"/>
      <c r="AN623" s="116"/>
      <c r="AO623" s="116"/>
      <c r="AP623" s="116"/>
      <c r="AQ623" s="116"/>
      <c r="AR623" s="116"/>
      <c r="AS623" s="116"/>
      <c r="AT623" s="116"/>
      <c r="AU623" s="116"/>
      <c r="AV623" s="116"/>
      <c r="AW623" s="116"/>
      <c r="AX623" s="116"/>
      <c r="AY623" s="116"/>
      <c r="AZ623" s="116"/>
      <c r="BA623" s="116"/>
      <c r="BB623" s="116"/>
      <c r="BC623" s="116"/>
      <c r="BD623" s="116"/>
      <c r="BE623" s="116"/>
      <c r="BF623" s="116"/>
      <c r="BG623" s="116"/>
      <c r="BH623" s="116"/>
      <c r="BI623" s="116"/>
      <c r="BJ623" s="116"/>
      <c r="BK623" s="116"/>
      <c r="BL623" s="116"/>
      <c r="BM623" s="116"/>
      <c r="BN623" s="116"/>
      <c r="BO623" s="116"/>
      <c r="BP623" s="116"/>
      <c r="BQ623" s="116"/>
      <c r="BR623" s="116"/>
      <c r="BS623" s="116"/>
      <c r="BT623" s="116"/>
      <c r="BU623" s="116"/>
      <c r="BV623" s="116"/>
    </row>
    <row r="624" spans="2:74" x14ac:dyDescent="0.3">
      <c r="B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  <c r="AE624" s="116"/>
      <c r="AF624" s="116"/>
      <c r="AG624" s="116"/>
      <c r="AH624" s="116"/>
      <c r="AI624" s="116"/>
      <c r="AJ624" s="116"/>
      <c r="AK624" s="116"/>
      <c r="AL624" s="116"/>
      <c r="AM624" s="116"/>
      <c r="AN624" s="116"/>
      <c r="AO624" s="116"/>
      <c r="AP624" s="116"/>
      <c r="AQ624" s="116"/>
      <c r="AR624" s="116"/>
      <c r="AS624" s="116"/>
      <c r="AT624" s="116"/>
      <c r="AU624" s="116"/>
      <c r="AV624" s="116"/>
      <c r="AW624" s="116"/>
      <c r="AX624" s="116"/>
      <c r="AY624" s="116"/>
      <c r="AZ624" s="116"/>
      <c r="BA624" s="116"/>
      <c r="BB624" s="116"/>
      <c r="BC624" s="116"/>
      <c r="BD624" s="116"/>
      <c r="BE624" s="116"/>
      <c r="BF624" s="116"/>
      <c r="BG624" s="116"/>
      <c r="BH624" s="116"/>
      <c r="BI624" s="116"/>
      <c r="BJ624" s="116"/>
      <c r="BK624" s="116"/>
      <c r="BL624" s="116"/>
      <c r="BM624" s="116"/>
      <c r="BN624" s="116"/>
      <c r="BO624" s="116"/>
      <c r="BP624" s="116"/>
      <c r="BQ624" s="116"/>
      <c r="BR624" s="116"/>
      <c r="BS624" s="116"/>
      <c r="BT624" s="116"/>
      <c r="BU624" s="116"/>
      <c r="BV624" s="116"/>
    </row>
    <row r="625" spans="2:74" x14ac:dyDescent="0.3">
      <c r="B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  <c r="AE625" s="116"/>
      <c r="AF625" s="116"/>
      <c r="AG625" s="116"/>
      <c r="AH625" s="116"/>
      <c r="AI625" s="116"/>
      <c r="AJ625" s="116"/>
      <c r="AK625" s="116"/>
      <c r="AL625" s="116"/>
      <c r="AM625" s="116"/>
      <c r="AN625" s="116"/>
      <c r="AO625" s="116"/>
      <c r="AP625" s="116"/>
      <c r="AQ625" s="116"/>
      <c r="AR625" s="116"/>
      <c r="AS625" s="116"/>
      <c r="AT625" s="116"/>
      <c r="AU625" s="116"/>
      <c r="AV625" s="116"/>
      <c r="AW625" s="116"/>
      <c r="AX625" s="116"/>
      <c r="AY625" s="116"/>
      <c r="AZ625" s="116"/>
      <c r="BA625" s="116"/>
      <c r="BB625" s="116"/>
      <c r="BC625" s="116"/>
      <c r="BD625" s="116"/>
      <c r="BE625" s="116"/>
      <c r="BF625" s="116"/>
      <c r="BG625" s="116"/>
      <c r="BH625" s="116"/>
      <c r="BI625" s="116"/>
      <c r="BJ625" s="116"/>
      <c r="BK625" s="116"/>
      <c r="BL625" s="116"/>
      <c r="BM625" s="116"/>
      <c r="BN625" s="116"/>
      <c r="BO625" s="116"/>
      <c r="BP625" s="116"/>
      <c r="BQ625" s="116"/>
      <c r="BR625" s="116"/>
      <c r="BS625" s="116"/>
      <c r="BT625" s="116"/>
      <c r="BU625" s="116"/>
      <c r="BV625" s="116"/>
    </row>
    <row r="626" spans="2:74" x14ac:dyDescent="0.3">
      <c r="B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  <c r="AE626" s="116"/>
      <c r="AF626" s="116"/>
      <c r="AG626" s="116"/>
      <c r="AH626" s="116"/>
      <c r="AI626" s="116"/>
      <c r="AJ626" s="116"/>
      <c r="AK626" s="116"/>
      <c r="AL626" s="116"/>
      <c r="AM626" s="116"/>
      <c r="AN626" s="116"/>
      <c r="AO626" s="116"/>
      <c r="AP626" s="116"/>
      <c r="AQ626" s="116"/>
      <c r="AR626" s="116"/>
      <c r="AS626" s="116"/>
      <c r="AT626" s="116"/>
      <c r="AU626" s="116"/>
      <c r="AV626" s="116"/>
      <c r="AW626" s="116"/>
      <c r="AX626" s="116"/>
      <c r="AY626" s="116"/>
      <c r="AZ626" s="116"/>
      <c r="BA626" s="116"/>
      <c r="BB626" s="116"/>
      <c r="BC626" s="116"/>
      <c r="BD626" s="116"/>
      <c r="BE626" s="116"/>
      <c r="BF626" s="116"/>
      <c r="BG626" s="116"/>
      <c r="BH626" s="116"/>
      <c r="BI626" s="116"/>
      <c r="BJ626" s="116"/>
      <c r="BK626" s="116"/>
      <c r="BL626" s="116"/>
      <c r="BM626" s="116"/>
      <c r="BN626" s="116"/>
      <c r="BO626" s="116"/>
      <c r="BP626" s="116"/>
      <c r="BQ626" s="116"/>
      <c r="BR626" s="116"/>
      <c r="BS626" s="116"/>
      <c r="BT626" s="116"/>
      <c r="BU626" s="116"/>
      <c r="BV626" s="116"/>
    </row>
    <row r="627" spans="2:74" x14ac:dyDescent="0.3">
      <c r="B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  <c r="AE627" s="116"/>
      <c r="AF627" s="116"/>
      <c r="AG627" s="116"/>
      <c r="AH627" s="116"/>
      <c r="AI627" s="116"/>
      <c r="AJ627" s="116"/>
      <c r="AK627" s="116"/>
      <c r="AL627" s="116"/>
      <c r="AM627" s="116"/>
      <c r="AN627" s="116"/>
      <c r="AO627" s="116"/>
      <c r="AP627" s="116"/>
      <c r="AQ627" s="116"/>
      <c r="AR627" s="116"/>
      <c r="AS627" s="116"/>
      <c r="AT627" s="116"/>
      <c r="AU627" s="116"/>
      <c r="AV627" s="116"/>
      <c r="AW627" s="116"/>
      <c r="AX627" s="116"/>
      <c r="AY627" s="116"/>
      <c r="AZ627" s="116"/>
      <c r="BA627" s="116"/>
      <c r="BB627" s="116"/>
      <c r="BC627" s="116"/>
      <c r="BD627" s="116"/>
      <c r="BE627" s="116"/>
      <c r="BF627" s="116"/>
      <c r="BG627" s="116"/>
      <c r="BH627" s="116"/>
      <c r="BI627" s="116"/>
      <c r="BJ627" s="116"/>
      <c r="BK627" s="116"/>
      <c r="BL627" s="116"/>
      <c r="BM627" s="116"/>
      <c r="BN627" s="116"/>
      <c r="BO627" s="116"/>
      <c r="BP627" s="116"/>
      <c r="BQ627" s="116"/>
      <c r="BR627" s="116"/>
      <c r="BS627" s="116"/>
      <c r="BT627" s="116"/>
      <c r="BU627" s="116"/>
      <c r="BV627" s="116"/>
    </row>
    <row r="628" spans="2:74" x14ac:dyDescent="0.3">
      <c r="B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  <c r="AE628" s="116"/>
      <c r="AF628" s="116"/>
      <c r="AG628" s="116"/>
      <c r="AH628" s="116"/>
      <c r="AI628" s="116"/>
      <c r="AJ628" s="116"/>
      <c r="AK628" s="116"/>
      <c r="AL628" s="116"/>
      <c r="AM628" s="116"/>
      <c r="AN628" s="116"/>
      <c r="AO628" s="116"/>
      <c r="AP628" s="116"/>
      <c r="AQ628" s="116"/>
      <c r="AR628" s="116"/>
      <c r="AS628" s="116"/>
      <c r="AT628" s="116"/>
      <c r="AU628" s="116"/>
      <c r="AV628" s="116"/>
      <c r="AW628" s="116"/>
      <c r="AX628" s="116"/>
      <c r="AY628" s="116"/>
      <c r="AZ628" s="116"/>
      <c r="BA628" s="116"/>
      <c r="BB628" s="116"/>
      <c r="BC628" s="116"/>
      <c r="BD628" s="116"/>
      <c r="BE628" s="116"/>
      <c r="BF628" s="116"/>
      <c r="BG628" s="116"/>
      <c r="BH628" s="116"/>
      <c r="BI628" s="116"/>
      <c r="BJ628" s="116"/>
      <c r="BK628" s="116"/>
      <c r="BL628" s="116"/>
      <c r="BM628" s="116"/>
      <c r="BN628" s="116"/>
      <c r="BO628" s="116"/>
      <c r="BP628" s="116"/>
      <c r="BQ628" s="116"/>
      <c r="BR628" s="116"/>
      <c r="BS628" s="116"/>
      <c r="BT628" s="116"/>
      <c r="BU628" s="116"/>
      <c r="BV628" s="116"/>
    </row>
    <row r="629" spans="2:74" x14ac:dyDescent="0.3">
      <c r="B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  <c r="AE629" s="116"/>
      <c r="AF629" s="116"/>
      <c r="AG629" s="116"/>
      <c r="AH629" s="116"/>
      <c r="AI629" s="116"/>
      <c r="AJ629" s="116"/>
      <c r="AK629" s="116"/>
      <c r="AL629" s="116"/>
      <c r="AM629" s="116"/>
      <c r="AN629" s="116"/>
      <c r="AO629" s="116"/>
      <c r="AP629" s="116"/>
      <c r="AQ629" s="116"/>
      <c r="AR629" s="116"/>
      <c r="AS629" s="116"/>
      <c r="AT629" s="116"/>
      <c r="AU629" s="116"/>
      <c r="AV629" s="116"/>
      <c r="AW629" s="116"/>
      <c r="AX629" s="116"/>
      <c r="AY629" s="116"/>
      <c r="AZ629" s="116"/>
      <c r="BA629" s="116"/>
      <c r="BB629" s="116"/>
      <c r="BC629" s="116"/>
      <c r="BD629" s="116"/>
      <c r="BE629" s="116"/>
      <c r="BF629" s="116"/>
      <c r="BG629" s="116"/>
      <c r="BH629" s="116"/>
      <c r="BI629" s="116"/>
      <c r="BJ629" s="116"/>
      <c r="BK629" s="116"/>
      <c r="BL629" s="116"/>
      <c r="BM629" s="116"/>
      <c r="BN629" s="116"/>
      <c r="BO629" s="116"/>
      <c r="BP629" s="116"/>
      <c r="BQ629" s="116"/>
      <c r="BR629" s="116"/>
      <c r="BS629" s="116"/>
      <c r="BT629" s="116"/>
      <c r="BU629" s="116"/>
      <c r="BV629" s="116"/>
    </row>
    <row r="630" spans="2:74" x14ac:dyDescent="0.3">
      <c r="B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  <c r="AE630" s="116"/>
      <c r="AF630" s="116"/>
      <c r="AG630" s="116"/>
      <c r="AH630" s="116"/>
      <c r="AI630" s="116"/>
      <c r="AJ630" s="116"/>
      <c r="AK630" s="116"/>
      <c r="AL630" s="116"/>
      <c r="AM630" s="116"/>
      <c r="AN630" s="116"/>
      <c r="AO630" s="116"/>
      <c r="AP630" s="116"/>
      <c r="AQ630" s="116"/>
      <c r="AR630" s="116"/>
      <c r="AS630" s="116"/>
      <c r="AT630" s="116"/>
      <c r="AU630" s="116"/>
      <c r="AV630" s="116"/>
      <c r="AW630" s="116"/>
      <c r="AX630" s="116"/>
      <c r="AY630" s="116"/>
      <c r="AZ630" s="116"/>
      <c r="BA630" s="116"/>
      <c r="BB630" s="116"/>
      <c r="BC630" s="116"/>
      <c r="BD630" s="116"/>
      <c r="BE630" s="116"/>
      <c r="BF630" s="116"/>
      <c r="BG630" s="116"/>
      <c r="BH630" s="116"/>
      <c r="BI630" s="116"/>
      <c r="BJ630" s="116"/>
      <c r="BK630" s="116"/>
      <c r="BL630" s="116"/>
      <c r="BM630" s="116"/>
      <c r="BN630" s="116"/>
      <c r="BO630" s="116"/>
      <c r="BP630" s="116"/>
      <c r="BQ630" s="116"/>
      <c r="BR630" s="116"/>
      <c r="BS630" s="116"/>
      <c r="BT630" s="116"/>
      <c r="BU630" s="116"/>
      <c r="BV630" s="116"/>
    </row>
    <row r="631" spans="2:74" x14ac:dyDescent="0.3">
      <c r="B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  <c r="AE631" s="116"/>
      <c r="AF631" s="116"/>
      <c r="AG631" s="116"/>
      <c r="AH631" s="116"/>
      <c r="AI631" s="116"/>
      <c r="AJ631" s="116"/>
      <c r="AK631" s="116"/>
      <c r="AL631" s="116"/>
      <c r="AM631" s="116"/>
      <c r="AN631" s="116"/>
      <c r="AO631" s="116"/>
      <c r="AP631" s="116"/>
      <c r="AQ631" s="116"/>
      <c r="AR631" s="116"/>
      <c r="AS631" s="116"/>
      <c r="AT631" s="116"/>
      <c r="AU631" s="116"/>
      <c r="AV631" s="116"/>
      <c r="AW631" s="116"/>
      <c r="AX631" s="116"/>
      <c r="AY631" s="116"/>
      <c r="AZ631" s="116"/>
      <c r="BA631" s="116"/>
      <c r="BB631" s="116"/>
      <c r="BC631" s="116"/>
      <c r="BD631" s="116"/>
      <c r="BE631" s="116"/>
      <c r="BF631" s="116"/>
      <c r="BG631" s="116"/>
      <c r="BH631" s="116"/>
      <c r="BI631" s="116"/>
      <c r="BJ631" s="116"/>
      <c r="BK631" s="116"/>
      <c r="BL631" s="116"/>
      <c r="BM631" s="116"/>
      <c r="BN631" s="116"/>
      <c r="BO631" s="116"/>
      <c r="BP631" s="116"/>
      <c r="BQ631" s="116"/>
      <c r="BR631" s="116"/>
      <c r="BS631" s="116"/>
      <c r="BT631" s="116"/>
      <c r="BU631" s="116"/>
      <c r="BV631" s="116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T99"/>
  <sheetViews>
    <sheetView view="pageBreakPreview" topLeftCell="F35" zoomScaleNormal="100" zoomScaleSheetLayoutView="100" workbookViewId="0">
      <selection activeCell="G351" sqref="G351"/>
    </sheetView>
  </sheetViews>
  <sheetFormatPr defaultColWidth="10" defaultRowHeight="12.75" x14ac:dyDescent="0.2"/>
  <cols>
    <col min="1" max="1" width="1.5703125" style="315" customWidth="1"/>
    <col min="2" max="2" width="1.42578125" style="315" customWidth="1"/>
    <col min="3" max="3" width="57.5703125" style="315" customWidth="1"/>
    <col min="4" max="4" width="2.7109375" style="315" customWidth="1"/>
    <col min="5" max="5" width="8.7109375" style="315" hidden="1" customWidth="1"/>
    <col min="6" max="7" width="1" style="315" customWidth="1"/>
    <col min="8" max="8" width="17.85546875" style="315" customWidth="1"/>
    <col min="9" max="10" width="1" style="315" customWidth="1"/>
    <col min="11" max="11" width="2" style="315" customWidth="1"/>
    <col min="12" max="12" width="1" style="315" customWidth="1"/>
    <col min="13" max="13" width="17.85546875" style="315" customWidth="1"/>
    <col min="14" max="17" width="1" style="315" customWidth="1"/>
    <col min="18" max="18" width="17.85546875" style="315" customWidth="1"/>
    <col min="19" max="22" width="1" style="315" customWidth="1"/>
    <col min="23" max="23" width="17.85546875" style="315" customWidth="1"/>
    <col min="24" max="27" width="1" style="315" customWidth="1"/>
    <col min="28" max="28" width="17.85546875" style="315" customWidth="1"/>
    <col min="29" max="32" width="1" style="315" customWidth="1"/>
    <col min="33" max="33" width="17.85546875" style="315" customWidth="1"/>
    <col min="34" max="37" width="1" style="315" customWidth="1"/>
    <col min="38" max="38" width="17.85546875" style="315" customWidth="1"/>
    <col min="39" max="42" width="1" style="315" customWidth="1"/>
    <col min="43" max="43" width="17.85546875" style="315" customWidth="1"/>
    <col min="44" max="45" width="1" style="315" customWidth="1"/>
    <col min="46" max="47" width="1" style="315" hidden="1" customWidth="1"/>
    <col min="48" max="48" width="17.85546875" style="315" hidden="1" customWidth="1"/>
    <col min="49" max="52" width="1" style="315" hidden="1" customWidth="1"/>
    <col min="53" max="53" width="17.85546875" style="315" hidden="1" customWidth="1"/>
    <col min="54" max="57" width="1" style="315" hidden="1" customWidth="1"/>
    <col min="58" max="58" width="17.85546875" style="315" hidden="1" customWidth="1"/>
    <col min="59" max="62" width="1" style="315" hidden="1" customWidth="1"/>
    <col min="63" max="63" width="17.85546875" style="315" hidden="1" customWidth="1"/>
    <col min="64" max="67" width="1" style="315" hidden="1" customWidth="1"/>
    <col min="68" max="68" width="17.85546875" style="315" hidden="1" customWidth="1"/>
    <col min="69" max="70" width="1" style="315" hidden="1" customWidth="1"/>
    <col min="71" max="72" width="1" style="315" customWidth="1"/>
    <col min="73" max="73" width="17.85546875" style="315" customWidth="1"/>
    <col min="74" max="74" width="1" style="315" customWidth="1"/>
    <col min="75" max="76" width="1" style="315" hidden="1" customWidth="1"/>
    <col min="77" max="77" width="17.85546875" style="315" hidden="1" customWidth="1"/>
    <col min="78" max="79" width="1" style="315" hidden="1" customWidth="1"/>
    <col min="80" max="80" width="1.28515625" style="315" hidden="1" customWidth="1"/>
    <col min="81" max="81" width="1" style="315" hidden="1" customWidth="1"/>
    <col min="82" max="82" width="17.85546875" style="315" hidden="1" customWidth="1"/>
    <col min="83" max="86" width="1" style="315" hidden="1" customWidth="1"/>
    <col min="87" max="87" width="17.85546875" style="315" hidden="1" customWidth="1"/>
    <col min="88" max="91" width="1" style="315" hidden="1" customWidth="1"/>
    <col min="92" max="92" width="17.85546875" style="315" hidden="1" customWidth="1"/>
    <col min="93" max="96" width="1" style="315" hidden="1" customWidth="1"/>
    <col min="97" max="97" width="17.85546875" style="315" hidden="1" customWidth="1"/>
    <col min="98" max="101" width="1" style="315" hidden="1" customWidth="1"/>
    <col min="102" max="102" width="17.85546875" style="315" hidden="1" customWidth="1"/>
    <col min="103" max="106" width="1" style="315" hidden="1" customWidth="1"/>
    <col min="107" max="107" width="17.85546875" style="315" hidden="1" customWidth="1"/>
    <col min="108" max="111" width="1" style="315" hidden="1" customWidth="1"/>
    <col min="112" max="112" width="17.85546875" style="315" hidden="1" customWidth="1"/>
    <col min="113" max="116" width="1" style="315" hidden="1" customWidth="1"/>
    <col min="117" max="117" width="17.85546875" style="315" hidden="1" customWidth="1"/>
    <col min="118" max="121" width="1" style="315" hidden="1" customWidth="1"/>
    <col min="122" max="122" width="17.85546875" style="315" hidden="1" customWidth="1"/>
    <col min="123" max="126" width="1" style="315" hidden="1" customWidth="1"/>
    <col min="127" max="127" width="17.85546875" style="315" hidden="1" customWidth="1"/>
    <col min="128" max="131" width="1" style="315" hidden="1" customWidth="1"/>
    <col min="132" max="132" width="17.85546875" style="315" hidden="1" customWidth="1"/>
    <col min="133" max="136" width="1" style="315" hidden="1" customWidth="1"/>
    <col min="137" max="137" width="17.85546875" style="315" hidden="1" customWidth="1"/>
    <col min="138" max="141" width="1" style="315" hidden="1" customWidth="1"/>
    <col min="142" max="142" width="17.85546875" style="315" hidden="1" customWidth="1"/>
    <col min="143" max="144" width="1" style="315" hidden="1" customWidth="1"/>
    <col min="145" max="145" width="1.5703125" style="315" customWidth="1"/>
    <col min="146" max="146" width="0.7109375" style="317" customWidth="1"/>
    <col min="147" max="147" width="1.85546875" style="315" customWidth="1"/>
    <col min="148" max="148" width="10.7109375" style="315" customWidth="1"/>
    <col min="149" max="149" width="13" style="315" customWidth="1"/>
    <col min="150" max="150" width="11.28515625" style="315" customWidth="1"/>
    <col min="151" max="16384" width="10" style="315"/>
  </cols>
  <sheetData>
    <row r="1" spans="1:150" x14ac:dyDescent="0.2">
      <c r="EO1" s="317"/>
      <c r="EP1" s="315"/>
    </row>
    <row r="2" spans="1:150" ht="5.25" customHeight="1" x14ac:dyDescent="0.2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</row>
    <row r="3" spans="1:150" x14ac:dyDescent="0.2">
      <c r="A3" s="317"/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W3" s="317"/>
      <c r="AX3" s="317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  <c r="BJ3" s="317"/>
      <c r="BK3" s="317"/>
      <c r="BL3" s="317"/>
      <c r="BM3" s="317"/>
      <c r="BN3" s="317"/>
      <c r="BO3" s="317"/>
      <c r="BP3" s="317"/>
      <c r="BQ3" s="317"/>
      <c r="BR3" s="317"/>
      <c r="BS3" s="317"/>
      <c r="BT3" s="317"/>
      <c r="BU3" s="317"/>
      <c r="BV3" s="317"/>
      <c r="BW3" s="317"/>
      <c r="BX3" s="317"/>
      <c r="BY3" s="317"/>
      <c r="BZ3" s="317"/>
      <c r="CA3" s="317"/>
      <c r="CB3" s="317"/>
      <c r="CC3" s="317"/>
      <c r="CD3" s="317"/>
      <c r="CE3" s="317"/>
      <c r="CF3" s="317"/>
      <c r="CG3" s="317"/>
      <c r="CH3" s="317"/>
      <c r="CI3" s="317"/>
      <c r="CJ3" s="317"/>
      <c r="CK3" s="317"/>
      <c r="CL3" s="317"/>
      <c r="CM3" s="317"/>
      <c r="CN3" s="317"/>
      <c r="CO3" s="317"/>
      <c r="CP3" s="317"/>
      <c r="CQ3" s="317"/>
      <c r="CR3" s="317"/>
      <c r="CS3" s="317"/>
      <c r="CT3" s="317"/>
      <c r="CU3" s="317"/>
      <c r="CV3" s="317"/>
      <c r="CW3" s="317"/>
      <c r="CX3" s="317"/>
      <c r="CY3" s="317"/>
      <c r="CZ3" s="317"/>
      <c r="DA3" s="317"/>
      <c r="DB3" s="317"/>
      <c r="DC3" s="317"/>
      <c r="DD3" s="317"/>
      <c r="DE3" s="317"/>
      <c r="DF3" s="317"/>
      <c r="DG3" s="317"/>
      <c r="DH3" s="317"/>
      <c r="DI3" s="317"/>
      <c r="DJ3" s="317"/>
      <c r="DK3" s="317"/>
      <c r="DL3" s="317"/>
      <c r="DM3" s="317"/>
      <c r="DN3" s="317"/>
      <c r="DO3" s="317"/>
      <c r="DP3" s="317"/>
      <c r="DQ3" s="317"/>
      <c r="DR3" s="317"/>
      <c r="DS3" s="317"/>
      <c r="DT3" s="317"/>
      <c r="DU3" s="317"/>
      <c r="DV3" s="317"/>
      <c r="DW3" s="317"/>
      <c r="DX3" s="317"/>
      <c r="DY3" s="317"/>
      <c r="DZ3" s="317"/>
      <c r="EA3" s="317"/>
      <c r="EB3" s="317"/>
      <c r="EC3" s="317"/>
      <c r="ED3" s="317"/>
      <c r="EE3" s="317"/>
      <c r="EF3" s="317"/>
      <c r="EG3" s="317"/>
      <c r="EH3" s="317"/>
      <c r="EI3" s="317"/>
      <c r="EJ3" s="317"/>
      <c r="EK3" s="317"/>
      <c r="EL3" s="317"/>
      <c r="EM3" s="317"/>
      <c r="EN3" s="317"/>
      <c r="EO3" s="317"/>
    </row>
    <row r="4" spans="1:150" x14ac:dyDescent="0.2">
      <c r="A4" s="317"/>
      <c r="B4" s="317"/>
      <c r="C4" s="329"/>
      <c r="D4" s="329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7"/>
      <c r="AT4" s="317"/>
      <c r="AU4" s="317"/>
      <c r="AV4" s="317"/>
      <c r="AW4" s="317"/>
      <c r="AX4" s="317"/>
      <c r="AY4" s="317"/>
      <c r="AZ4" s="317"/>
      <c r="BA4" s="317"/>
      <c r="BB4" s="317"/>
      <c r="BC4" s="317"/>
      <c r="BD4" s="317"/>
      <c r="BE4" s="317"/>
      <c r="BF4" s="317"/>
      <c r="BG4" s="317"/>
      <c r="BH4" s="317"/>
      <c r="BI4" s="317"/>
      <c r="BJ4" s="317"/>
      <c r="BK4" s="317"/>
      <c r="BL4" s="317"/>
      <c r="BM4" s="317"/>
      <c r="BN4" s="317"/>
      <c r="BO4" s="317"/>
      <c r="BP4" s="317"/>
      <c r="BQ4" s="317"/>
      <c r="BR4" s="317"/>
      <c r="BS4" s="317"/>
      <c r="BT4" s="317"/>
      <c r="BU4" s="317"/>
      <c r="BV4" s="317"/>
      <c r="BW4" s="317"/>
      <c r="BX4" s="317"/>
      <c r="BY4" s="317"/>
      <c r="BZ4" s="317"/>
      <c r="CA4" s="317"/>
      <c r="CB4" s="317"/>
      <c r="CC4" s="317"/>
      <c r="CD4" s="317"/>
      <c r="CE4" s="317"/>
      <c r="CF4" s="317"/>
      <c r="CG4" s="317"/>
      <c r="CH4" s="317"/>
      <c r="CI4" s="317"/>
      <c r="CJ4" s="317"/>
      <c r="CK4" s="317"/>
      <c r="CL4" s="317"/>
      <c r="CM4" s="317"/>
      <c r="CN4" s="317"/>
      <c r="CO4" s="317"/>
      <c r="CP4" s="317"/>
      <c r="CQ4" s="317"/>
      <c r="CR4" s="317"/>
      <c r="CS4" s="317"/>
      <c r="CT4" s="317"/>
      <c r="CU4" s="317"/>
      <c r="CV4" s="317"/>
      <c r="CW4" s="317"/>
      <c r="CX4" s="317"/>
      <c r="CY4" s="317"/>
      <c r="CZ4" s="317"/>
      <c r="DA4" s="317"/>
      <c r="DB4" s="317"/>
      <c r="DC4" s="317"/>
      <c r="DD4" s="317"/>
      <c r="DE4" s="317"/>
      <c r="DF4" s="317"/>
      <c r="DG4" s="317"/>
      <c r="DH4" s="317"/>
      <c r="DI4" s="317"/>
      <c r="DJ4" s="317"/>
      <c r="DL4" s="317"/>
      <c r="DM4" s="317"/>
      <c r="DN4" s="317"/>
      <c r="DO4" s="317"/>
      <c r="DP4" s="317"/>
      <c r="DQ4" s="317"/>
      <c r="DR4" s="317"/>
      <c r="DS4" s="317"/>
      <c r="DT4" s="317"/>
      <c r="DU4" s="317"/>
      <c r="DV4" s="317"/>
      <c r="DW4" s="317"/>
      <c r="DX4" s="317"/>
      <c r="DY4" s="317"/>
      <c r="DZ4" s="317"/>
      <c r="EA4" s="317"/>
      <c r="EB4" s="317"/>
      <c r="EC4" s="317"/>
      <c r="ED4" s="317"/>
      <c r="EE4" s="317"/>
      <c r="EF4" s="317"/>
      <c r="EG4" s="317"/>
      <c r="EH4" s="317"/>
      <c r="EI4" s="317"/>
      <c r="EJ4" s="317"/>
      <c r="EK4" s="317"/>
      <c r="EL4" s="317"/>
      <c r="EM4" s="317"/>
      <c r="EN4" s="317"/>
      <c r="EO4" s="317"/>
    </row>
    <row r="5" spans="1:150" x14ac:dyDescent="0.2">
      <c r="A5" s="317"/>
      <c r="B5" s="317"/>
      <c r="D5" s="329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  <c r="BT5" s="317"/>
      <c r="BU5" s="317"/>
      <c r="BV5" s="317"/>
      <c r="BW5" s="317"/>
      <c r="BX5" s="317"/>
      <c r="BY5" s="317"/>
      <c r="BZ5" s="317"/>
      <c r="CA5" s="317"/>
      <c r="CB5" s="317"/>
      <c r="CC5" s="317"/>
      <c r="CD5" s="317"/>
      <c r="CE5" s="317"/>
      <c r="CF5" s="317"/>
      <c r="CG5" s="317"/>
      <c r="CH5" s="317"/>
      <c r="CI5" s="317"/>
      <c r="CJ5" s="317"/>
      <c r="CK5" s="317"/>
      <c r="CL5" s="317"/>
      <c r="CM5" s="317"/>
      <c r="CN5" s="317"/>
      <c r="CO5" s="317"/>
      <c r="CP5" s="317"/>
      <c r="CQ5" s="317"/>
      <c r="CR5" s="317"/>
      <c r="CS5" s="317"/>
      <c r="CT5" s="317"/>
      <c r="CU5" s="317"/>
      <c r="CV5" s="317"/>
      <c r="CW5" s="317"/>
      <c r="CX5" s="317"/>
      <c r="CY5" s="317"/>
      <c r="CZ5" s="317"/>
      <c r="DA5" s="317"/>
      <c r="DB5" s="317"/>
      <c r="DC5" s="317"/>
      <c r="DD5" s="317"/>
      <c r="DE5" s="317"/>
      <c r="DF5" s="317"/>
      <c r="DG5" s="317"/>
      <c r="DH5" s="317"/>
      <c r="DI5" s="317"/>
      <c r="DJ5" s="317"/>
      <c r="DK5" s="317"/>
      <c r="DL5" s="317"/>
      <c r="DM5" s="317"/>
      <c r="DN5" s="317"/>
      <c r="DO5" s="317"/>
      <c r="DP5" s="317"/>
      <c r="DQ5" s="317"/>
      <c r="DR5" s="317"/>
      <c r="DS5" s="317"/>
      <c r="DT5" s="317"/>
      <c r="DU5" s="317"/>
      <c r="DV5" s="317"/>
      <c r="DW5" s="317"/>
      <c r="DX5" s="317"/>
      <c r="DY5" s="317"/>
      <c r="DZ5" s="317"/>
      <c r="EA5" s="317"/>
      <c r="EB5" s="317"/>
      <c r="EC5" s="317"/>
      <c r="ED5" s="317"/>
      <c r="EE5" s="317"/>
      <c r="EF5" s="317"/>
      <c r="EG5" s="317"/>
      <c r="EH5" s="317"/>
      <c r="EI5" s="317"/>
      <c r="EJ5" s="317"/>
      <c r="EK5" s="317"/>
      <c r="EL5" s="317"/>
      <c r="EM5" s="317"/>
      <c r="EN5" s="317"/>
      <c r="EO5" s="317"/>
    </row>
    <row r="6" spans="1:150" x14ac:dyDescent="0.2">
      <c r="A6" s="317"/>
      <c r="B6" s="317"/>
      <c r="C6" s="317"/>
      <c r="D6" s="317"/>
      <c r="E6" s="317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  <c r="BL6" s="317"/>
      <c r="BM6" s="317"/>
      <c r="BN6" s="317"/>
      <c r="BO6" s="317"/>
      <c r="BP6" s="317"/>
      <c r="BQ6" s="317"/>
      <c r="BR6" s="317"/>
      <c r="BS6" s="317"/>
      <c r="BT6" s="317"/>
      <c r="BU6" s="317"/>
      <c r="BV6" s="317"/>
      <c r="BW6" s="317"/>
      <c r="BX6" s="317"/>
      <c r="BY6" s="317"/>
      <c r="BZ6" s="317"/>
      <c r="CA6" s="317"/>
      <c r="CB6" s="317"/>
      <c r="CC6" s="317"/>
      <c r="CD6" s="317"/>
      <c r="CE6" s="317"/>
      <c r="CF6" s="317"/>
      <c r="CG6" s="317"/>
      <c r="CH6" s="317"/>
      <c r="CI6" s="317"/>
      <c r="CJ6" s="317"/>
      <c r="CK6" s="317"/>
      <c r="CL6" s="317"/>
      <c r="CM6" s="317"/>
      <c r="CN6" s="317"/>
      <c r="CO6" s="317"/>
      <c r="CP6" s="317"/>
      <c r="CQ6" s="317"/>
      <c r="CR6" s="317"/>
      <c r="CS6" s="317"/>
      <c r="CT6" s="317"/>
      <c r="CU6" s="317"/>
      <c r="CV6" s="317"/>
      <c r="CW6" s="317"/>
      <c r="CX6" s="317"/>
      <c r="CY6" s="317"/>
      <c r="CZ6" s="317"/>
      <c r="DA6" s="317"/>
      <c r="DB6" s="317"/>
      <c r="DC6" s="317"/>
      <c r="DD6" s="317"/>
      <c r="DE6" s="317"/>
      <c r="DF6" s="317"/>
      <c r="DG6" s="317"/>
      <c r="DH6" s="317"/>
      <c r="DI6" s="317"/>
      <c r="DJ6" s="317"/>
      <c r="DK6" s="317"/>
      <c r="DL6" s="317"/>
      <c r="DM6" s="317"/>
      <c r="DN6" s="317"/>
      <c r="DO6" s="317"/>
      <c r="DP6" s="317"/>
      <c r="DQ6" s="317"/>
      <c r="DR6" s="317"/>
      <c r="DS6" s="317"/>
      <c r="DT6" s="317"/>
      <c r="DU6" s="317"/>
      <c r="DV6" s="317"/>
      <c r="DW6" s="317"/>
      <c r="DX6" s="317"/>
      <c r="DY6" s="317"/>
      <c r="DZ6" s="317"/>
      <c r="EA6" s="317"/>
      <c r="EB6" s="317"/>
      <c r="EC6" s="317"/>
      <c r="ED6" s="317"/>
      <c r="EE6" s="317"/>
      <c r="EF6" s="317"/>
      <c r="EG6" s="317"/>
      <c r="EH6" s="317"/>
      <c r="EI6" s="317"/>
      <c r="EJ6" s="317"/>
      <c r="EK6" s="317"/>
      <c r="EL6" s="317"/>
      <c r="EM6" s="317"/>
      <c r="EN6" s="317"/>
      <c r="EO6" s="317"/>
    </row>
    <row r="7" spans="1:150" ht="15" customHeight="1" x14ac:dyDescent="0.25">
      <c r="A7" s="317"/>
      <c r="B7" s="317"/>
      <c r="C7" s="330" t="s">
        <v>133</v>
      </c>
      <c r="D7" s="331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17"/>
      <c r="AY7" s="317"/>
      <c r="AZ7" s="317"/>
      <c r="BA7" s="317"/>
      <c r="BB7" s="317"/>
      <c r="BC7" s="317"/>
      <c r="BD7" s="317"/>
      <c r="BE7" s="317"/>
      <c r="BF7" s="317"/>
      <c r="BG7" s="317"/>
      <c r="BH7" s="317"/>
      <c r="BI7" s="317"/>
      <c r="BJ7" s="317"/>
      <c r="BK7" s="317"/>
      <c r="BL7" s="317"/>
      <c r="BM7" s="317"/>
      <c r="BN7" s="317"/>
      <c r="BO7" s="317"/>
      <c r="BP7" s="317"/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E7" s="317"/>
      <c r="EF7" s="317"/>
      <c r="EG7" s="317"/>
      <c r="EH7" s="317"/>
      <c r="EI7" s="317"/>
      <c r="EJ7" s="317"/>
      <c r="EK7" s="317"/>
      <c r="EL7" s="317"/>
      <c r="EM7" s="317"/>
      <c r="EN7" s="317"/>
      <c r="EO7" s="317"/>
    </row>
    <row r="8" spans="1:150" x14ac:dyDescent="0.2">
      <c r="A8" s="317"/>
      <c r="B8" s="317"/>
      <c r="C8" s="332"/>
      <c r="D8" s="317"/>
      <c r="E8" s="333"/>
      <c r="F8" s="334"/>
      <c r="G8" s="335"/>
      <c r="H8" s="675" t="s">
        <v>1</v>
      </c>
      <c r="I8" s="675"/>
      <c r="J8" s="675"/>
      <c r="K8" s="675"/>
      <c r="L8" s="675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6"/>
      <c r="Z8" s="706"/>
      <c r="AA8" s="706"/>
      <c r="AB8" s="706"/>
      <c r="AC8" s="706"/>
      <c r="AD8" s="706"/>
      <c r="AE8" s="706"/>
      <c r="AF8" s="706"/>
      <c r="AG8" s="706"/>
      <c r="AH8" s="706"/>
      <c r="AI8" s="706"/>
      <c r="AJ8" s="706"/>
      <c r="AK8" s="706"/>
      <c r="AL8" s="706"/>
      <c r="AM8" s="706"/>
      <c r="AN8" s="706"/>
      <c r="AO8" s="706"/>
      <c r="AP8" s="706"/>
      <c r="AQ8" s="706"/>
      <c r="AR8" s="706"/>
      <c r="AS8" s="706"/>
      <c r="AT8" s="706"/>
      <c r="AU8" s="706"/>
      <c r="AV8" s="706"/>
      <c r="AW8" s="706"/>
      <c r="AX8" s="706"/>
      <c r="AY8" s="706"/>
      <c r="AZ8" s="706"/>
      <c r="BA8" s="706"/>
      <c r="BB8" s="706"/>
      <c r="BC8" s="706"/>
      <c r="BD8" s="706"/>
      <c r="BE8" s="706"/>
      <c r="BF8" s="706"/>
      <c r="BG8" s="706"/>
      <c r="BH8" s="706"/>
      <c r="BI8" s="706"/>
      <c r="BJ8" s="706"/>
      <c r="BK8" s="706"/>
      <c r="BL8" s="706"/>
      <c r="BM8" s="706"/>
      <c r="BN8" s="706"/>
      <c r="BO8" s="706"/>
      <c r="BP8" s="706"/>
      <c r="BQ8" s="706"/>
      <c r="BR8" s="706"/>
      <c r="BS8" s="706"/>
      <c r="BT8" s="706"/>
      <c r="BU8" s="706"/>
      <c r="BV8" s="336"/>
      <c r="BW8" s="337"/>
      <c r="BX8" s="336"/>
      <c r="BY8" s="675" t="s">
        <v>2</v>
      </c>
      <c r="BZ8" s="675"/>
      <c r="CA8" s="675"/>
      <c r="CB8" s="675"/>
      <c r="CC8" s="675"/>
      <c r="CD8" s="675"/>
      <c r="CE8" s="675"/>
      <c r="CF8" s="675"/>
      <c r="CG8" s="675"/>
      <c r="CH8" s="675"/>
      <c r="CI8" s="675"/>
      <c r="CJ8" s="675"/>
      <c r="CK8" s="675"/>
      <c r="CL8" s="675"/>
      <c r="CM8" s="675"/>
      <c r="CN8" s="675"/>
      <c r="CO8" s="675"/>
      <c r="CP8" s="675"/>
      <c r="CQ8" s="675"/>
      <c r="CR8" s="675"/>
      <c r="CS8" s="675"/>
      <c r="CT8" s="675"/>
      <c r="CU8" s="675"/>
      <c r="CV8" s="675"/>
      <c r="CW8" s="675"/>
      <c r="CX8" s="675"/>
      <c r="CY8" s="675"/>
      <c r="CZ8" s="675"/>
      <c r="DA8" s="675"/>
      <c r="DB8" s="675"/>
      <c r="DC8" s="675"/>
      <c r="DD8" s="675"/>
      <c r="DE8" s="675"/>
      <c r="DF8" s="675"/>
      <c r="DG8" s="675"/>
      <c r="DH8" s="675"/>
      <c r="DI8" s="675"/>
      <c r="DJ8" s="675"/>
      <c r="DK8" s="675"/>
      <c r="DL8" s="675"/>
      <c r="DM8" s="675"/>
      <c r="DN8" s="675"/>
      <c r="DO8" s="675"/>
      <c r="DP8" s="675"/>
      <c r="DQ8" s="675"/>
      <c r="DR8" s="675"/>
      <c r="DS8" s="675"/>
      <c r="DT8" s="675"/>
      <c r="DU8" s="675"/>
      <c r="DV8" s="675"/>
      <c r="DW8" s="675"/>
      <c r="DX8" s="675"/>
      <c r="DY8" s="675"/>
      <c r="DZ8" s="675"/>
      <c r="EA8" s="675"/>
      <c r="EB8" s="675"/>
      <c r="EC8" s="675"/>
      <c r="ED8" s="675"/>
      <c r="EE8" s="675"/>
      <c r="EF8" s="675"/>
      <c r="EG8" s="675"/>
      <c r="EH8" s="675"/>
      <c r="EI8" s="675"/>
      <c r="EJ8" s="675"/>
      <c r="EK8" s="675"/>
      <c r="EL8" s="675"/>
      <c r="EM8" s="338"/>
      <c r="EN8" s="339"/>
      <c r="EO8" s="340"/>
    </row>
    <row r="9" spans="1:150" ht="18" customHeight="1" x14ac:dyDescent="0.2">
      <c r="A9" s="317"/>
      <c r="B9" s="317"/>
      <c r="C9" s="340"/>
      <c r="D9" s="317"/>
      <c r="E9" s="201" t="s">
        <v>18</v>
      </c>
      <c r="F9" s="268"/>
      <c r="G9" s="44"/>
      <c r="H9" s="44" t="s">
        <v>3</v>
      </c>
      <c r="I9" s="44"/>
      <c r="J9" s="44"/>
      <c r="K9" s="268"/>
      <c r="L9" s="44"/>
      <c r="M9" s="44" t="s">
        <v>4</v>
      </c>
      <c r="N9" s="44"/>
      <c r="O9" s="44"/>
      <c r="P9" s="268"/>
      <c r="Q9" s="44"/>
      <c r="R9" s="44" t="s">
        <v>5</v>
      </c>
      <c r="S9" s="44"/>
      <c r="T9" s="44"/>
      <c r="U9" s="268"/>
      <c r="V9" s="44"/>
      <c r="W9" s="44" t="s">
        <v>6</v>
      </c>
      <c r="X9" s="44"/>
      <c r="Y9" s="44"/>
      <c r="Z9" s="268"/>
      <c r="AA9" s="44"/>
      <c r="AB9" s="44" t="s">
        <v>7</v>
      </c>
      <c r="AC9" s="44"/>
      <c r="AD9" s="44"/>
      <c r="AE9" s="268"/>
      <c r="AF9" s="44"/>
      <c r="AG9" s="44" t="s">
        <v>8</v>
      </c>
      <c r="AH9" s="44"/>
      <c r="AI9" s="44"/>
      <c r="AJ9" s="268"/>
      <c r="AK9" s="44"/>
      <c r="AL9" s="44" t="s">
        <v>9</v>
      </c>
      <c r="AM9" s="44"/>
      <c r="AN9" s="44"/>
      <c r="AO9" s="268"/>
      <c r="AP9" s="44"/>
      <c r="AQ9" s="44" t="s">
        <v>10</v>
      </c>
      <c r="AR9" s="44"/>
      <c r="AS9" s="44"/>
      <c r="AT9" s="268"/>
      <c r="AU9" s="44"/>
      <c r="AV9" s="44" t="s">
        <v>11</v>
      </c>
      <c r="AW9" s="44"/>
      <c r="AX9" s="44"/>
      <c r="AY9" s="268"/>
      <c r="AZ9" s="44"/>
      <c r="BA9" s="44" t="s">
        <v>12</v>
      </c>
      <c r="BB9" s="44"/>
      <c r="BC9" s="44"/>
      <c r="BD9" s="268"/>
      <c r="BE9" s="44"/>
      <c r="BF9" s="44" t="s">
        <v>13</v>
      </c>
      <c r="BG9" s="44"/>
      <c r="BH9" s="44"/>
      <c r="BI9" s="268"/>
      <c r="BJ9" s="44"/>
      <c r="BK9" s="44" t="s">
        <v>14</v>
      </c>
      <c r="BL9" s="44"/>
      <c r="BM9" s="44"/>
      <c r="BN9" s="268"/>
      <c r="BO9" s="44"/>
      <c r="BP9" s="44" t="s">
        <v>15</v>
      </c>
      <c r="BQ9" s="44"/>
      <c r="BR9" s="44"/>
      <c r="BS9" s="268"/>
      <c r="BT9" s="44"/>
      <c r="BU9" s="44" t="s">
        <v>16</v>
      </c>
      <c r="BV9" s="44"/>
      <c r="BW9" s="202"/>
      <c r="BX9" s="44"/>
      <c r="BY9" s="44" t="s">
        <v>134</v>
      </c>
      <c r="BZ9" s="44"/>
      <c r="CA9" s="44"/>
      <c r="CB9" s="268"/>
      <c r="CC9" s="44"/>
      <c r="CD9" s="44" t="s">
        <v>4</v>
      </c>
      <c r="CE9" s="44"/>
      <c r="CF9" s="44"/>
      <c r="CG9" s="268"/>
      <c r="CH9" s="44"/>
      <c r="CI9" s="44" t="s">
        <v>5</v>
      </c>
      <c r="CJ9" s="44"/>
      <c r="CK9" s="44"/>
      <c r="CL9" s="268"/>
      <c r="CM9" s="44"/>
      <c r="CN9" s="44" t="s">
        <v>6</v>
      </c>
      <c r="CO9" s="44"/>
      <c r="CP9" s="44"/>
      <c r="CQ9" s="268"/>
      <c r="CR9" s="44"/>
      <c r="CS9" s="44" t="s">
        <v>7</v>
      </c>
      <c r="CT9" s="44"/>
      <c r="CU9" s="44"/>
      <c r="CV9" s="268"/>
      <c r="CW9" s="44"/>
      <c r="CX9" s="44" t="s">
        <v>8</v>
      </c>
      <c r="CY9" s="44"/>
      <c r="CZ9" s="44"/>
      <c r="DA9" s="268"/>
      <c r="DB9" s="44"/>
      <c r="DC9" s="44" t="s">
        <v>9</v>
      </c>
      <c r="DD9" s="44"/>
      <c r="DE9" s="44"/>
      <c r="DF9" s="268"/>
      <c r="DG9" s="44"/>
      <c r="DH9" s="44" t="s">
        <v>10</v>
      </c>
      <c r="DI9" s="44"/>
      <c r="DJ9" s="44"/>
      <c r="DK9" s="268"/>
      <c r="DL9" s="44"/>
      <c r="DM9" s="44" t="s">
        <v>11</v>
      </c>
      <c r="DN9" s="44"/>
      <c r="DO9" s="44"/>
      <c r="DP9" s="268"/>
      <c r="DQ9" s="44"/>
      <c r="DR9" s="44" t="s">
        <v>12</v>
      </c>
      <c r="DS9" s="44"/>
      <c r="DT9" s="44"/>
      <c r="DU9" s="268"/>
      <c r="DV9" s="44"/>
      <c r="DW9" s="44" t="s">
        <v>13</v>
      </c>
      <c r="DX9" s="44"/>
      <c r="DY9" s="44"/>
      <c r="DZ9" s="268"/>
      <c r="EA9" s="44"/>
      <c r="EB9" s="44" t="s">
        <v>14</v>
      </c>
      <c r="EC9" s="44"/>
      <c r="ED9" s="44"/>
      <c r="EE9" s="268"/>
      <c r="EF9" s="44"/>
      <c r="EG9" s="44" t="s">
        <v>15</v>
      </c>
      <c r="EH9" s="44"/>
      <c r="EI9" s="44"/>
      <c r="EJ9" s="268"/>
      <c r="EK9" s="44"/>
      <c r="EL9" s="44" t="s">
        <v>16</v>
      </c>
      <c r="EM9" s="44"/>
      <c r="EN9" s="44"/>
      <c r="EO9" s="340"/>
    </row>
    <row r="10" spans="1:150" ht="14.25" customHeight="1" x14ac:dyDescent="0.2">
      <c r="A10" s="317"/>
      <c r="B10" s="317"/>
      <c r="C10" s="341" t="s">
        <v>17</v>
      </c>
      <c r="D10" s="342"/>
      <c r="E10" s="286"/>
      <c r="F10" s="343"/>
      <c r="G10" s="344"/>
      <c r="H10" s="344" t="s">
        <v>19</v>
      </c>
      <c r="I10" s="344"/>
      <c r="J10" s="344"/>
      <c r="K10" s="343"/>
      <c r="L10" s="344"/>
      <c r="M10" s="344"/>
      <c r="N10" s="344"/>
      <c r="O10" s="344"/>
      <c r="P10" s="343"/>
      <c r="Q10" s="344"/>
      <c r="R10" s="344"/>
      <c r="S10" s="344"/>
      <c r="T10" s="344"/>
      <c r="U10" s="343"/>
      <c r="V10" s="344"/>
      <c r="W10" s="344"/>
      <c r="X10" s="344"/>
      <c r="Y10" s="344"/>
      <c r="Z10" s="343"/>
      <c r="AA10" s="344"/>
      <c r="AB10" s="344"/>
      <c r="AC10" s="344"/>
      <c r="AD10" s="344"/>
      <c r="AE10" s="343"/>
      <c r="AF10" s="344"/>
      <c r="AG10" s="344"/>
      <c r="AH10" s="344"/>
      <c r="AI10" s="344"/>
      <c r="AJ10" s="343"/>
      <c r="AK10" s="344"/>
      <c r="AL10" s="344"/>
      <c r="AM10" s="344"/>
      <c r="AN10" s="344"/>
      <c r="AO10" s="343"/>
      <c r="AP10" s="344"/>
      <c r="AQ10" s="344"/>
      <c r="AR10" s="344"/>
      <c r="AS10" s="344"/>
      <c r="AT10" s="343"/>
      <c r="AU10" s="344"/>
      <c r="AV10" s="344"/>
      <c r="AW10" s="344"/>
      <c r="AX10" s="344"/>
      <c r="AY10" s="343"/>
      <c r="AZ10" s="344"/>
      <c r="BA10" s="344"/>
      <c r="BB10" s="344"/>
      <c r="BC10" s="344"/>
      <c r="BD10" s="343"/>
      <c r="BE10" s="344"/>
      <c r="BF10" s="344"/>
      <c r="BG10" s="344"/>
      <c r="BH10" s="344"/>
      <c r="BI10" s="343"/>
      <c r="BJ10" s="344"/>
      <c r="BK10" s="344"/>
      <c r="BL10" s="344"/>
      <c r="BM10" s="344"/>
      <c r="BN10" s="343"/>
      <c r="BO10" s="344"/>
      <c r="BP10" s="344"/>
      <c r="BQ10" s="344"/>
      <c r="BR10" s="344"/>
      <c r="BS10" s="343"/>
      <c r="BT10" s="344"/>
      <c r="BU10" s="344"/>
      <c r="BV10" s="344"/>
      <c r="BW10" s="343"/>
      <c r="BX10" s="344"/>
      <c r="BY10" s="344" t="s">
        <v>44</v>
      </c>
      <c r="BZ10" s="344"/>
      <c r="CA10" s="344"/>
      <c r="CB10" s="343"/>
      <c r="CC10" s="344"/>
      <c r="CD10" s="344"/>
      <c r="CE10" s="344"/>
      <c r="CF10" s="344"/>
      <c r="CG10" s="343"/>
      <c r="CH10" s="344"/>
      <c r="CI10" s="344"/>
      <c r="CJ10" s="344"/>
      <c r="CK10" s="344"/>
      <c r="CL10" s="343"/>
      <c r="CM10" s="344"/>
      <c r="CN10" s="344"/>
      <c r="CO10" s="344"/>
      <c r="CP10" s="344"/>
      <c r="CQ10" s="343"/>
      <c r="CR10" s="344"/>
      <c r="CS10" s="344"/>
      <c r="CT10" s="344"/>
      <c r="CU10" s="344"/>
      <c r="CV10" s="343"/>
      <c r="CW10" s="344"/>
      <c r="CX10" s="344"/>
      <c r="CY10" s="344"/>
      <c r="CZ10" s="344"/>
      <c r="DA10" s="343"/>
      <c r="DB10" s="344"/>
      <c r="DC10" s="344"/>
      <c r="DD10" s="344"/>
      <c r="DE10" s="344"/>
      <c r="DF10" s="343"/>
      <c r="DG10" s="344"/>
      <c r="DH10" s="344"/>
      <c r="DI10" s="344"/>
      <c r="DJ10" s="344"/>
      <c r="DK10" s="343"/>
      <c r="DL10" s="344"/>
      <c r="DM10" s="344"/>
      <c r="DN10" s="344"/>
      <c r="DO10" s="344"/>
      <c r="DP10" s="343"/>
      <c r="DQ10" s="344"/>
      <c r="DR10" s="344"/>
      <c r="DS10" s="344"/>
      <c r="DT10" s="344"/>
      <c r="DU10" s="343"/>
      <c r="DV10" s="344"/>
      <c r="DW10" s="344"/>
      <c r="DX10" s="344"/>
      <c r="DY10" s="344"/>
      <c r="DZ10" s="343"/>
      <c r="EA10" s="344"/>
      <c r="EB10" s="344"/>
      <c r="EC10" s="344"/>
      <c r="ED10" s="344"/>
      <c r="EE10" s="343"/>
      <c r="EF10" s="344"/>
      <c r="EG10" s="344"/>
      <c r="EH10" s="344"/>
      <c r="EI10" s="344"/>
      <c r="EJ10" s="343"/>
      <c r="EK10" s="344"/>
      <c r="EL10" s="344"/>
      <c r="EM10" s="344"/>
      <c r="EN10" s="345"/>
      <c r="EO10" s="340"/>
      <c r="ET10" s="39"/>
    </row>
    <row r="11" spans="1:150" x14ac:dyDescent="0.2">
      <c r="A11" s="317"/>
      <c r="B11" s="317"/>
      <c r="C11" s="340"/>
      <c r="D11" s="317"/>
      <c r="E11" s="346"/>
      <c r="F11" s="347"/>
      <c r="G11" s="317"/>
      <c r="H11" s="317"/>
      <c r="I11" s="317"/>
      <c r="J11" s="317"/>
      <c r="K11" s="347"/>
      <c r="L11" s="317"/>
      <c r="M11" s="317"/>
      <c r="N11" s="317"/>
      <c r="O11" s="317"/>
      <c r="P11" s="347"/>
      <c r="Q11" s="317"/>
      <c r="R11" s="317"/>
      <c r="S11" s="317"/>
      <c r="T11" s="317"/>
      <c r="U11" s="347"/>
      <c r="V11" s="317"/>
      <c r="W11" s="317"/>
      <c r="X11" s="317"/>
      <c r="Y11" s="317"/>
      <c r="Z11" s="347"/>
      <c r="AA11" s="317"/>
      <c r="AB11" s="317"/>
      <c r="AC11" s="317"/>
      <c r="AD11" s="317"/>
      <c r="AE11" s="347"/>
      <c r="AF11" s="317"/>
      <c r="AG11" s="317"/>
      <c r="AH11" s="317"/>
      <c r="AI11" s="317"/>
      <c r="AJ11" s="347"/>
      <c r="AK11" s="317"/>
      <c r="AL11" s="317"/>
      <c r="AM11" s="317"/>
      <c r="AN11" s="317"/>
      <c r="AO11" s="347"/>
      <c r="AP11" s="317"/>
      <c r="AQ11" s="317"/>
      <c r="AR11" s="317"/>
      <c r="AS11" s="317"/>
      <c r="AT11" s="347"/>
      <c r="AU11" s="317"/>
      <c r="AV11" s="317"/>
      <c r="AW11" s="317"/>
      <c r="AX11" s="317"/>
      <c r="AY11" s="347"/>
      <c r="AZ11" s="317"/>
      <c r="BA11" s="317"/>
      <c r="BB11" s="317"/>
      <c r="BC11" s="317"/>
      <c r="BD11" s="347"/>
      <c r="BE11" s="317"/>
      <c r="BF11" s="317"/>
      <c r="BG11" s="317"/>
      <c r="BH11" s="317"/>
      <c r="BI11" s="347"/>
      <c r="BJ11" s="317"/>
      <c r="BK11" s="317"/>
      <c r="BL11" s="317"/>
      <c r="BM11" s="317"/>
      <c r="BN11" s="347"/>
      <c r="BO11" s="317"/>
      <c r="BP11" s="317"/>
      <c r="BQ11" s="317"/>
      <c r="BR11" s="317"/>
      <c r="BS11" s="347"/>
      <c r="BT11" s="317"/>
      <c r="BU11" s="317"/>
      <c r="BV11" s="317"/>
      <c r="BW11" s="347"/>
      <c r="BX11" s="317"/>
      <c r="BY11" s="317"/>
      <c r="BZ11" s="317"/>
      <c r="CA11" s="317"/>
      <c r="CB11" s="347"/>
      <c r="CC11" s="317"/>
      <c r="CD11" s="317"/>
      <c r="CE11" s="317"/>
      <c r="CF11" s="317"/>
      <c r="CG11" s="347"/>
      <c r="CH11" s="317"/>
      <c r="CI11" s="317"/>
      <c r="CJ11" s="317"/>
      <c r="CK11" s="317"/>
      <c r="CL11" s="347"/>
      <c r="CM11" s="317"/>
      <c r="CN11" s="317"/>
      <c r="CO11" s="317"/>
      <c r="CP11" s="317"/>
      <c r="CQ11" s="347"/>
      <c r="CR11" s="317"/>
      <c r="CS11" s="317"/>
      <c r="CT11" s="317"/>
      <c r="CU11" s="317"/>
      <c r="CV11" s="347"/>
      <c r="CW11" s="317"/>
      <c r="CX11" s="317"/>
      <c r="CY11" s="317"/>
      <c r="CZ11" s="317"/>
      <c r="DA11" s="347"/>
      <c r="DB11" s="317"/>
      <c r="DC11" s="317"/>
      <c r="DD11" s="317"/>
      <c r="DE11" s="317"/>
      <c r="DF11" s="347"/>
      <c r="DG11" s="317"/>
      <c r="DH11" s="317"/>
      <c r="DI11" s="317"/>
      <c r="DJ11" s="317"/>
      <c r="DK11" s="347"/>
      <c r="DL11" s="317"/>
      <c r="DM11" s="317"/>
      <c r="DN11" s="317"/>
      <c r="DO11" s="317"/>
      <c r="DP11" s="347"/>
      <c r="DQ11" s="317"/>
      <c r="DR11" s="317"/>
      <c r="DS11" s="317"/>
      <c r="DT11" s="317"/>
      <c r="DU11" s="347"/>
      <c r="DV11" s="317"/>
      <c r="DW11" s="317"/>
      <c r="DX11" s="317"/>
      <c r="DY11" s="317"/>
      <c r="DZ11" s="347"/>
      <c r="EA11" s="317"/>
      <c r="EB11" s="317"/>
      <c r="EC11" s="317"/>
      <c r="ED11" s="317"/>
      <c r="EE11" s="347"/>
      <c r="EF11" s="317"/>
      <c r="EG11" s="317"/>
      <c r="EH11" s="317"/>
      <c r="EI11" s="317"/>
      <c r="EJ11" s="347"/>
      <c r="EK11" s="317"/>
      <c r="EL11" s="317"/>
      <c r="EM11" s="317"/>
      <c r="EN11" s="317"/>
      <c r="EO11" s="340"/>
    </row>
    <row r="12" spans="1:150" x14ac:dyDescent="0.2">
      <c r="A12" s="317"/>
      <c r="B12" s="317"/>
      <c r="C12" s="340"/>
      <c r="D12" s="317"/>
      <c r="E12" s="346"/>
      <c r="F12" s="347"/>
      <c r="G12" s="317"/>
      <c r="H12" s="317"/>
      <c r="I12" s="317"/>
      <c r="J12" s="317"/>
      <c r="K12" s="347"/>
      <c r="L12" s="317"/>
      <c r="M12" s="317"/>
      <c r="N12" s="317"/>
      <c r="O12" s="317"/>
      <c r="P12" s="347"/>
      <c r="Q12" s="317"/>
      <c r="R12" s="317"/>
      <c r="S12" s="317"/>
      <c r="T12" s="317"/>
      <c r="U12" s="347"/>
      <c r="V12" s="317"/>
      <c r="W12" s="317"/>
      <c r="X12" s="317"/>
      <c r="Y12" s="317"/>
      <c r="Z12" s="347"/>
      <c r="AA12" s="317"/>
      <c r="AB12" s="317"/>
      <c r="AC12" s="317"/>
      <c r="AD12" s="317"/>
      <c r="AE12" s="347"/>
      <c r="AF12" s="317"/>
      <c r="AG12" s="317"/>
      <c r="AH12" s="317"/>
      <c r="AI12" s="317"/>
      <c r="AJ12" s="347"/>
      <c r="AK12" s="317"/>
      <c r="AL12" s="317"/>
      <c r="AM12" s="317"/>
      <c r="AN12" s="317"/>
      <c r="AO12" s="347"/>
      <c r="AP12" s="317"/>
      <c r="AQ12" s="317"/>
      <c r="AR12" s="317"/>
      <c r="AS12" s="317"/>
      <c r="AT12" s="347"/>
      <c r="AU12" s="317"/>
      <c r="AV12" s="317"/>
      <c r="AW12" s="317"/>
      <c r="AX12" s="317"/>
      <c r="AY12" s="347"/>
      <c r="AZ12" s="317"/>
      <c r="BA12" s="317"/>
      <c r="BB12" s="317"/>
      <c r="BC12" s="317"/>
      <c r="BD12" s="347"/>
      <c r="BE12" s="317"/>
      <c r="BF12" s="317"/>
      <c r="BG12" s="317"/>
      <c r="BH12" s="317"/>
      <c r="BI12" s="347"/>
      <c r="BJ12" s="317"/>
      <c r="BK12" s="317"/>
      <c r="BL12" s="317"/>
      <c r="BM12" s="317"/>
      <c r="BN12" s="347"/>
      <c r="BO12" s="317"/>
      <c r="BP12" s="317"/>
      <c r="BQ12" s="317"/>
      <c r="BR12" s="317"/>
      <c r="BS12" s="347"/>
      <c r="BT12" s="317"/>
      <c r="BU12" s="317"/>
      <c r="BV12" s="317"/>
      <c r="BW12" s="347"/>
      <c r="BX12" s="317"/>
      <c r="BY12" s="317"/>
      <c r="BZ12" s="317"/>
      <c r="CA12" s="317"/>
      <c r="CB12" s="347"/>
      <c r="CC12" s="317"/>
      <c r="CD12" s="317"/>
      <c r="CE12" s="317"/>
      <c r="CF12" s="317"/>
      <c r="CG12" s="347"/>
      <c r="CH12" s="317"/>
      <c r="CI12" s="317"/>
      <c r="CJ12" s="317"/>
      <c r="CK12" s="317"/>
      <c r="CL12" s="347"/>
      <c r="CM12" s="317"/>
      <c r="CN12" s="317"/>
      <c r="CO12" s="317"/>
      <c r="CP12" s="317"/>
      <c r="CQ12" s="347"/>
      <c r="CR12" s="317"/>
      <c r="CS12" s="317"/>
      <c r="CT12" s="317"/>
      <c r="CU12" s="317"/>
      <c r="CV12" s="347"/>
      <c r="CW12" s="317"/>
      <c r="CX12" s="317"/>
      <c r="CY12" s="317"/>
      <c r="CZ12" s="317"/>
      <c r="DA12" s="347"/>
      <c r="DB12" s="317"/>
      <c r="DC12" s="317"/>
      <c r="DD12" s="317"/>
      <c r="DE12" s="317"/>
      <c r="DF12" s="347"/>
      <c r="DG12" s="317"/>
      <c r="DH12" s="317"/>
      <c r="DI12" s="317"/>
      <c r="DJ12" s="317"/>
      <c r="DK12" s="347"/>
      <c r="DL12" s="317"/>
      <c r="DM12" s="317"/>
      <c r="DN12" s="317"/>
      <c r="DO12" s="317"/>
      <c r="DP12" s="347"/>
      <c r="DQ12" s="317"/>
      <c r="DR12" s="317"/>
      <c r="DS12" s="317"/>
      <c r="DT12" s="317"/>
      <c r="DU12" s="347"/>
      <c r="DV12" s="317"/>
      <c r="DW12" s="317"/>
      <c r="DX12" s="317"/>
      <c r="DY12" s="317"/>
      <c r="DZ12" s="347"/>
      <c r="EA12" s="317"/>
      <c r="EB12" s="317"/>
      <c r="EC12" s="317"/>
      <c r="ED12" s="317"/>
      <c r="EE12" s="347"/>
      <c r="EF12" s="317"/>
      <c r="EG12" s="317"/>
      <c r="EH12" s="317"/>
      <c r="EI12" s="317"/>
      <c r="EJ12" s="347"/>
      <c r="EK12" s="317"/>
      <c r="EL12" s="317"/>
      <c r="EM12" s="317"/>
      <c r="EN12" s="317"/>
      <c r="EO12" s="340"/>
    </row>
    <row r="13" spans="1:150" s="39" customFormat="1" x14ac:dyDescent="0.2">
      <c r="A13" s="329"/>
      <c r="B13" s="329"/>
      <c r="C13" s="348" t="s">
        <v>36</v>
      </c>
      <c r="D13" s="329"/>
      <c r="E13" s="349"/>
      <c r="F13" s="350"/>
      <c r="G13" s="329"/>
      <c r="H13" s="329">
        <v>-3400000</v>
      </c>
      <c r="I13" s="329"/>
      <c r="J13" s="329"/>
      <c r="K13" s="350"/>
      <c r="L13" s="329"/>
      <c r="M13" s="351">
        <v>1030450</v>
      </c>
      <c r="N13" s="329"/>
      <c r="O13" s="329"/>
      <c r="P13" s="350"/>
      <c r="Q13" s="329"/>
      <c r="R13" s="351">
        <v>-592737</v>
      </c>
      <c r="S13" s="329"/>
      <c r="T13" s="329"/>
      <c r="U13" s="350"/>
      <c r="V13" s="329"/>
      <c r="W13" s="351">
        <v>3367677</v>
      </c>
      <c r="X13" s="329"/>
      <c r="Y13" s="329"/>
      <c r="Z13" s="350"/>
      <c r="AA13" s="329"/>
      <c r="AB13" s="351">
        <v>2072474</v>
      </c>
      <c r="AC13" s="329"/>
      <c r="AD13" s="329"/>
      <c r="AE13" s="350"/>
      <c r="AF13" s="329"/>
      <c r="AG13" s="351">
        <v>-3444064</v>
      </c>
      <c r="AH13" s="329"/>
      <c r="AI13" s="329"/>
      <c r="AJ13" s="350"/>
      <c r="AK13" s="329"/>
      <c r="AL13" s="351">
        <v>-6180235</v>
      </c>
      <c r="AM13" s="329"/>
      <c r="AN13" s="329"/>
      <c r="AO13" s="350"/>
      <c r="AP13" s="329"/>
      <c r="AQ13" s="351">
        <v>-7686538</v>
      </c>
      <c r="AR13" s="329"/>
      <c r="AS13" s="329"/>
      <c r="AT13" s="350"/>
      <c r="AU13" s="329"/>
      <c r="AV13" s="351">
        <v>0</v>
      </c>
      <c r="AW13" s="329"/>
      <c r="AX13" s="329"/>
      <c r="AY13" s="350"/>
      <c r="AZ13" s="329"/>
      <c r="BA13" s="351">
        <v>0</v>
      </c>
      <c r="BB13" s="329"/>
      <c r="BC13" s="329"/>
      <c r="BD13" s="350"/>
      <c r="BE13" s="329"/>
      <c r="BF13" s="351">
        <v>0</v>
      </c>
      <c r="BG13" s="329"/>
      <c r="BH13" s="329"/>
      <c r="BI13" s="350"/>
      <c r="BJ13" s="329"/>
      <c r="BK13" s="351">
        <v>0</v>
      </c>
      <c r="BL13" s="351"/>
      <c r="BM13" s="351"/>
      <c r="BN13" s="352"/>
      <c r="BO13" s="351"/>
      <c r="BP13" s="351">
        <v>0</v>
      </c>
      <c r="BQ13" s="329"/>
      <c r="BR13" s="329"/>
      <c r="BS13" s="350"/>
      <c r="BT13" s="329"/>
      <c r="BU13" s="329">
        <v>-11432973</v>
      </c>
      <c r="BV13" s="329"/>
      <c r="BW13" s="350"/>
      <c r="BX13" s="329"/>
      <c r="BY13" s="353">
        <v>-7954770</v>
      </c>
      <c r="BZ13" s="329"/>
      <c r="CA13" s="329"/>
      <c r="CB13" s="350"/>
      <c r="CC13" s="329"/>
      <c r="CD13" s="351">
        <v>9415800</v>
      </c>
      <c r="CE13" s="329"/>
      <c r="CF13" s="329"/>
      <c r="CG13" s="350"/>
      <c r="CH13" s="329"/>
      <c r="CI13" s="351">
        <v>-6660753</v>
      </c>
      <c r="CJ13" s="329"/>
      <c r="CK13" s="329"/>
      <c r="CL13" s="350"/>
      <c r="CM13" s="329"/>
      <c r="CN13" s="351">
        <v>5151867</v>
      </c>
      <c r="CO13" s="329"/>
      <c r="CP13" s="329"/>
      <c r="CQ13" s="350"/>
      <c r="CR13" s="329"/>
      <c r="CS13" s="351">
        <v>-7112395</v>
      </c>
      <c r="CT13" s="329"/>
      <c r="CU13" s="329"/>
      <c r="CV13" s="350"/>
      <c r="CW13" s="329"/>
      <c r="CX13" s="351">
        <v>-2312355</v>
      </c>
      <c r="CY13" s="329"/>
      <c r="CZ13" s="329"/>
      <c r="DA13" s="350"/>
      <c r="DB13" s="329"/>
      <c r="DC13" s="351">
        <v>2272137</v>
      </c>
      <c r="DD13" s="329"/>
      <c r="DE13" s="329"/>
      <c r="DF13" s="350"/>
      <c r="DG13" s="329"/>
      <c r="DH13" s="351">
        <v>-3832432</v>
      </c>
      <c r="DI13" s="329"/>
      <c r="DJ13" s="329"/>
      <c r="DK13" s="350"/>
      <c r="DL13" s="329"/>
      <c r="DM13" s="351">
        <v>-3742209</v>
      </c>
      <c r="DN13" s="329"/>
      <c r="DO13" s="329"/>
      <c r="DP13" s="350"/>
      <c r="DQ13" s="329"/>
      <c r="DR13" s="351">
        <v>-1384946</v>
      </c>
      <c r="DS13" s="329"/>
      <c r="DT13" s="329"/>
      <c r="DU13" s="350"/>
      <c r="DV13" s="329"/>
      <c r="DW13" s="351">
        <v>429685</v>
      </c>
      <c r="DX13" s="329"/>
      <c r="DY13" s="329"/>
      <c r="DZ13" s="350"/>
      <c r="EA13" s="329"/>
      <c r="EB13" s="351">
        <v>2124947</v>
      </c>
      <c r="EC13" s="351"/>
      <c r="ED13" s="351"/>
      <c r="EE13" s="352"/>
      <c r="EF13" s="351"/>
      <c r="EG13" s="351">
        <v>-2304116</v>
      </c>
      <c r="EH13" s="329"/>
      <c r="EI13" s="329"/>
      <c r="EJ13" s="350"/>
      <c r="EK13" s="329"/>
      <c r="EL13" s="329">
        <v>-3078131</v>
      </c>
      <c r="EM13" s="329"/>
      <c r="EN13" s="329"/>
      <c r="EO13" s="348"/>
      <c r="EP13" s="329"/>
    </row>
    <row r="14" spans="1:150" x14ac:dyDescent="0.2">
      <c r="A14" s="317"/>
      <c r="B14" s="317"/>
      <c r="C14" s="340" t="s">
        <v>135</v>
      </c>
      <c r="D14" s="317"/>
      <c r="E14" s="346"/>
      <c r="F14" s="347"/>
      <c r="G14" s="354"/>
      <c r="H14" s="355">
        <v>-3400000</v>
      </c>
      <c r="I14" s="356"/>
      <c r="J14" s="317"/>
      <c r="K14" s="347"/>
      <c r="L14" s="354"/>
      <c r="M14" s="357">
        <v>991750</v>
      </c>
      <c r="N14" s="356"/>
      <c r="O14" s="317"/>
      <c r="P14" s="347"/>
      <c r="Q14" s="354"/>
      <c r="R14" s="357">
        <v>-782200</v>
      </c>
      <c r="S14" s="356"/>
      <c r="T14" s="317"/>
      <c r="U14" s="347"/>
      <c r="V14" s="354"/>
      <c r="W14" s="357">
        <v>3595840</v>
      </c>
      <c r="X14" s="356"/>
      <c r="Y14" s="317"/>
      <c r="Z14" s="347"/>
      <c r="AA14" s="354"/>
      <c r="AB14" s="357">
        <v>1356310</v>
      </c>
      <c r="AC14" s="356"/>
      <c r="AD14" s="317"/>
      <c r="AE14" s="347"/>
      <c r="AF14" s="354"/>
      <c r="AG14" s="357">
        <v>-2727900</v>
      </c>
      <c r="AH14" s="356"/>
      <c r="AI14" s="317"/>
      <c r="AJ14" s="347"/>
      <c r="AK14" s="354"/>
      <c r="AL14" s="357">
        <v>-6274210</v>
      </c>
      <c r="AM14" s="356"/>
      <c r="AN14" s="317"/>
      <c r="AO14" s="347"/>
      <c r="AP14" s="354"/>
      <c r="AQ14" s="357">
        <v>-7656310</v>
      </c>
      <c r="AR14" s="356"/>
      <c r="AS14" s="317"/>
      <c r="AT14" s="347"/>
      <c r="AU14" s="354"/>
      <c r="AV14" s="357">
        <v>0</v>
      </c>
      <c r="AW14" s="356"/>
      <c r="AX14" s="317"/>
      <c r="AY14" s="347"/>
      <c r="AZ14" s="354"/>
      <c r="BA14" s="357">
        <v>0</v>
      </c>
      <c r="BB14" s="356"/>
      <c r="BC14" s="317"/>
      <c r="BD14" s="347"/>
      <c r="BE14" s="354"/>
      <c r="BF14" s="357">
        <v>0</v>
      </c>
      <c r="BG14" s="356"/>
      <c r="BH14" s="317"/>
      <c r="BI14" s="347"/>
      <c r="BJ14" s="354"/>
      <c r="BK14" s="357">
        <v>0</v>
      </c>
      <c r="BL14" s="356"/>
      <c r="BM14" s="317"/>
      <c r="BN14" s="347"/>
      <c r="BO14" s="354"/>
      <c r="BP14" s="358">
        <v>0</v>
      </c>
      <c r="BQ14" s="356"/>
      <c r="BR14" s="317"/>
      <c r="BS14" s="347"/>
      <c r="BT14" s="354"/>
      <c r="BU14" s="355">
        <v>-11496720</v>
      </c>
      <c r="BV14" s="355"/>
      <c r="BW14" s="347"/>
      <c r="BX14" s="354"/>
      <c r="BY14" s="359">
        <v>-8007020</v>
      </c>
      <c r="BZ14" s="356"/>
      <c r="CA14" s="317"/>
      <c r="CB14" s="347"/>
      <c r="CC14" s="354"/>
      <c r="CD14" s="357">
        <v>2663300</v>
      </c>
      <c r="CE14" s="356"/>
      <c r="CF14" s="317"/>
      <c r="CG14" s="347"/>
      <c r="CH14" s="354"/>
      <c r="CI14" s="357">
        <v>83680</v>
      </c>
      <c r="CJ14" s="356"/>
      <c r="CK14" s="317"/>
      <c r="CL14" s="347"/>
      <c r="CM14" s="354"/>
      <c r="CN14" s="357">
        <v>5155820</v>
      </c>
      <c r="CO14" s="356"/>
      <c r="CP14" s="317"/>
      <c r="CQ14" s="347"/>
      <c r="CR14" s="354"/>
      <c r="CS14" s="357">
        <v>-6892610</v>
      </c>
      <c r="CT14" s="356"/>
      <c r="CU14" s="317"/>
      <c r="CV14" s="347"/>
      <c r="CW14" s="354"/>
      <c r="CX14" s="357">
        <v>-2536130</v>
      </c>
      <c r="CY14" s="356"/>
      <c r="CZ14" s="317"/>
      <c r="DA14" s="347"/>
      <c r="DB14" s="354"/>
      <c r="DC14" s="357">
        <v>-329200</v>
      </c>
      <c r="DD14" s="356"/>
      <c r="DE14" s="317"/>
      <c r="DF14" s="347"/>
      <c r="DG14" s="354"/>
      <c r="DH14" s="357">
        <v>-3215700</v>
      </c>
      <c r="DI14" s="356"/>
      <c r="DJ14" s="317"/>
      <c r="DK14" s="347"/>
      <c r="DL14" s="354"/>
      <c r="DM14" s="357">
        <v>-1759060</v>
      </c>
      <c r="DN14" s="356"/>
      <c r="DO14" s="317"/>
      <c r="DP14" s="347"/>
      <c r="DQ14" s="354"/>
      <c r="DR14" s="357">
        <v>-1386320</v>
      </c>
      <c r="DS14" s="356"/>
      <c r="DT14" s="317"/>
      <c r="DU14" s="347"/>
      <c r="DV14" s="354"/>
      <c r="DW14" s="357">
        <v>459040</v>
      </c>
      <c r="DX14" s="356"/>
      <c r="DY14" s="317"/>
      <c r="DZ14" s="347"/>
      <c r="EA14" s="354"/>
      <c r="EB14" s="357">
        <v>1594210</v>
      </c>
      <c r="EC14" s="356"/>
      <c r="ED14" s="317"/>
      <c r="EE14" s="347"/>
      <c r="EF14" s="354"/>
      <c r="EG14" s="358">
        <v>-1844050</v>
      </c>
      <c r="EH14" s="356"/>
      <c r="EI14" s="317"/>
      <c r="EJ14" s="347"/>
      <c r="EK14" s="354"/>
      <c r="EL14" s="355">
        <v>-5070840</v>
      </c>
      <c r="EM14" s="356"/>
      <c r="EN14" s="317"/>
      <c r="EO14" s="340"/>
      <c r="ER14" s="39"/>
      <c r="ES14" s="39"/>
      <c r="ET14" s="39"/>
    </row>
    <row r="15" spans="1:150" hidden="1" x14ac:dyDescent="0.2">
      <c r="A15" s="317"/>
      <c r="B15" s="317"/>
      <c r="C15" s="360" t="s">
        <v>136</v>
      </c>
      <c r="D15" s="361"/>
      <c r="E15" s="346"/>
      <c r="F15" s="347"/>
      <c r="G15" s="347"/>
      <c r="H15" s="362">
        <v>0</v>
      </c>
      <c r="I15" s="363"/>
      <c r="J15" s="317"/>
      <c r="K15" s="347"/>
      <c r="L15" s="347"/>
      <c r="M15" s="364">
        <v>0</v>
      </c>
      <c r="N15" s="363"/>
      <c r="O15" s="317"/>
      <c r="P15" s="347"/>
      <c r="Q15" s="347"/>
      <c r="R15" s="364">
        <v>0</v>
      </c>
      <c r="S15" s="363"/>
      <c r="T15" s="317"/>
      <c r="U15" s="347"/>
      <c r="V15" s="347"/>
      <c r="W15" s="364">
        <v>0</v>
      </c>
      <c r="X15" s="363"/>
      <c r="Y15" s="317"/>
      <c r="Z15" s="347"/>
      <c r="AA15" s="347"/>
      <c r="AB15" s="364">
        <v>0</v>
      </c>
      <c r="AC15" s="363"/>
      <c r="AD15" s="317"/>
      <c r="AE15" s="347"/>
      <c r="AF15" s="347"/>
      <c r="AG15" s="364">
        <v>0</v>
      </c>
      <c r="AH15" s="363"/>
      <c r="AI15" s="317"/>
      <c r="AJ15" s="347"/>
      <c r="AK15" s="347"/>
      <c r="AL15" s="364">
        <v>0</v>
      </c>
      <c r="AM15" s="363"/>
      <c r="AN15" s="317"/>
      <c r="AO15" s="347"/>
      <c r="AP15" s="347"/>
      <c r="AQ15" s="364">
        <v>0</v>
      </c>
      <c r="AR15" s="363"/>
      <c r="AS15" s="317"/>
      <c r="AT15" s="347"/>
      <c r="AU15" s="347"/>
      <c r="AV15" s="364">
        <v>0</v>
      </c>
      <c r="AW15" s="363"/>
      <c r="AX15" s="317"/>
      <c r="AY15" s="347"/>
      <c r="AZ15" s="347"/>
      <c r="BA15" s="364">
        <v>0</v>
      </c>
      <c r="BB15" s="363"/>
      <c r="BC15" s="317"/>
      <c r="BD15" s="347"/>
      <c r="BE15" s="347"/>
      <c r="BF15" s="364">
        <v>0</v>
      </c>
      <c r="BG15" s="363"/>
      <c r="BH15" s="317"/>
      <c r="BI15" s="347"/>
      <c r="BJ15" s="347"/>
      <c r="BK15" s="364">
        <v>0</v>
      </c>
      <c r="BL15" s="363"/>
      <c r="BM15" s="317"/>
      <c r="BN15" s="347"/>
      <c r="BO15" s="347"/>
      <c r="BP15" s="364">
        <v>0</v>
      </c>
      <c r="BQ15" s="363"/>
      <c r="BR15" s="317"/>
      <c r="BS15" s="347"/>
      <c r="BT15" s="347"/>
      <c r="BU15" s="364">
        <v>0</v>
      </c>
      <c r="BV15" s="317"/>
      <c r="BW15" s="347"/>
      <c r="BX15" s="347"/>
      <c r="BY15" s="362">
        <v>0</v>
      </c>
      <c r="BZ15" s="363"/>
      <c r="CA15" s="317"/>
      <c r="CB15" s="347"/>
      <c r="CC15" s="347"/>
      <c r="CD15" s="364">
        <v>0</v>
      </c>
      <c r="CE15" s="363"/>
      <c r="CF15" s="317"/>
      <c r="CG15" s="347"/>
      <c r="CH15" s="347"/>
      <c r="CI15" s="364">
        <v>0</v>
      </c>
      <c r="CJ15" s="363"/>
      <c r="CK15" s="317"/>
      <c r="CL15" s="347"/>
      <c r="CM15" s="347"/>
      <c r="CN15" s="364">
        <v>0</v>
      </c>
      <c r="CO15" s="363"/>
      <c r="CP15" s="317"/>
      <c r="CQ15" s="347"/>
      <c r="CR15" s="347"/>
      <c r="CS15" s="364">
        <v>0</v>
      </c>
      <c r="CT15" s="363"/>
      <c r="CU15" s="317"/>
      <c r="CV15" s="347"/>
      <c r="CW15" s="347"/>
      <c r="CX15" s="364">
        <v>0</v>
      </c>
      <c r="CY15" s="363"/>
      <c r="CZ15" s="317"/>
      <c r="DA15" s="347"/>
      <c r="DB15" s="347"/>
      <c r="DC15" s="364">
        <v>0</v>
      </c>
      <c r="DD15" s="363"/>
      <c r="DE15" s="317"/>
      <c r="DF15" s="347"/>
      <c r="DG15" s="347"/>
      <c r="DH15" s="364">
        <v>0</v>
      </c>
      <c r="DI15" s="363"/>
      <c r="DJ15" s="317"/>
      <c r="DK15" s="347"/>
      <c r="DL15" s="347"/>
      <c r="DM15" s="364">
        <v>0</v>
      </c>
      <c r="DN15" s="363"/>
      <c r="DO15" s="317"/>
      <c r="DP15" s="347"/>
      <c r="DQ15" s="347"/>
      <c r="DR15" s="364">
        <v>0</v>
      </c>
      <c r="DS15" s="363"/>
      <c r="DT15" s="317"/>
      <c r="DU15" s="347"/>
      <c r="DV15" s="347"/>
      <c r="DW15" s="364">
        <v>0</v>
      </c>
      <c r="DX15" s="363"/>
      <c r="DY15" s="317"/>
      <c r="DZ15" s="347"/>
      <c r="EA15" s="347"/>
      <c r="EB15" s="364">
        <v>0</v>
      </c>
      <c r="EC15" s="363"/>
      <c r="ED15" s="317"/>
      <c r="EE15" s="347"/>
      <c r="EF15" s="347"/>
      <c r="EG15" s="364">
        <v>0</v>
      </c>
      <c r="EH15" s="363"/>
      <c r="EI15" s="317"/>
      <c r="EJ15" s="347"/>
      <c r="EK15" s="347"/>
      <c r="EL15" s="364">
        <v>0</v>
      </c>
      <c r="EM15" s="363"/>
      <c r="EN15" s="317"/>
      <c r="EO15" s="340"/>
      <c r="ER15" s="39"/>
      <c r="ES15" s="39"/>
      <c r="ET15" s="39"/>
    </row>
    <row r="16" spans="1:150" x14ac:dyDescent="0.2">
      <c r="A16" s="317"/>
      <c r="B16" s="317"/>
      <c r="C16" s="360" t="s">
        <v>137</v>
      </c>
      <c r="D16" s="361"/>
      <c r="E16" s="346"/>
      <c r="F16" s="347"/>
      <c r="G16" s="347"/>
      <c r="H16" s="362">
        <v>4315600</v>
      </c>
      <c r="I16" s="363"/>
      <c r="J16" s="317"/>
      <c r="K16" s="347"/>
      <c r="L16" s="347"/>
      <c r="M16" s="364">
        <v>116050</v>
      </c>
      <c r="N16" s="363"/>
      <c r="O16" s="317"/>
      <c r="P16" s="347"/>
      <c r="Q16" s="347"/>
      <c r="R16" s="364">
        <v>-87250</v>
      </c>
      <c r="S16" s="363"/>
      <c r="T16" s="317"/>
      <c r="U16" s="347"/>
      <c r="V16" s="347"/>
      <c r="W16" s="364">
        <v>-412150</v>
      </c>
      <c r="X16" s="363"/>
      <c r="Y16" s="317"/>
      <c r="Z16" s="347"/>
      <c r="AA16" s="347"/>
      <c r="AB16" s="364">
        <v>-273850</v>
      </c>
      <c r="AC16" s="363"/>
      <c r="AD16" s="317"/>
      <c r="AE16" s="347"/>
      <c r="AF16" s="347"/>
      <c r="AG16" s="364">
        <v>2237000</v>
      </c>
      <c r="AH16" s="363"/>
      <c r="AI16" s="317"/>
      <c r="AJ16" s="347"/>
      <c r="AK16" s="347"/>
      <c r="AL16" s="364">
        <v>-480000</v>
      </c>
      <c r="AM16" s="363"/>
      <c r="AN16" s="317"/>
      <c r="AO16" s="347"/>
      <c r="AP16" s="347"/>
      <c r="AQ16" s="364">
        <v>515800</v>
      </c>
      <c r="AR16" s="363"/>
      <c r="AS16" s="317"/>
      <c r="AT16" s="347"/>
      <c r="AU16" s="347"/>
      <c r="AV16" s="364">
        <v>0</v>
      </c>
      <c r="AW16" s="363"/>
      <c r="AX16" s="317"/>
      <c r="AY16" s="347"/>
      <c r="AZ16" s="347"/>
      <c r="BA16" s="364">
        <v>0</v>
      </c>
      <c r="BB16" s="363"/>
      <c r="BC16" s="317"/>
      <c r="BD16" s="365"/>
      <c r="BE16" s="347"/>
      <c r="BF16" s="364">
        <v>0</v>
      </c>
      <c r="BG16" s="363"/>
      <c r="BH16" s="317"/>
      <c r="BI16" s="347"/>
      <c r="BJ16" s="347"/>
      <c r="BK16" s="364">
        <v>0</v>
      </c>
      <c r="BL16" s="363"/>
      <c r="BM16" s="317"/>
      <c r="BN16" s="347"/>
      <c r="BO16" s="347"/>
      <c r="BP16" s="365">
        <v>0</v>
      </c>
      <c r="BQ16" s="363"/>
      <c r="BR16" s="317"/>
      <c r="BS16" s="347"/>
      <c r="BT16" s="347"/>
      <c r="BU16" s="364">
        <v>1615600</v>
      </c>
      <c r="BV16" s="317"/>
      <c r="BW16" s="347"/>
      <c r="BX16" s="347"/>
      <c r="BY16" s="362">
        <v>-6650500</v>
      </c>
      <c r="BZ16" s="363"/>
      <c r="CA16" s="317"/>
      <c r="CB16" s="347"/>
      <c r="CC16" s="347"/>
      <c r="CD16" s="364">
        <v>-656100</v>
      </c>
      <c r="CE16" s="363"/>
      <c r="CF16" s="317"/>
      <c r="CG16" s="347"/>
      <c r="CH16" s="347"/>
      <c r="CI16" s="364">
        <v>-2009690</v>
      </c>
      <c r="CJ16" s="363"/>
      <c r="CK16" s="317"/>
      <c r="CL16" s="347"/>
      <c r="CM16" s="347"/>
      <c r="CN16" s="364">
        <v>-85680</v>
      </c>
      <c r="CO16" s="363"/>
      <c r="CP16" s="317"/>
      <c r="CQ16" s="347"/>
      <c r="CR16" s="347"/>
      <c r="CS16" s="364">
        <v>-1117300</v>
      </c>
      <c r="CT16" s="363"/>
      <c r="CU16" s="317"/>
      <c r="CV16" s="347"/>
      <c r="CW16" s="347"/>
      <c r="CX16" s="364">
        <v>63870</v>
      </c>
      <c r="CY16" s="363"/>
      <c r="CZ16" s="317"/>
      <c r="DA16" s="347"/>
      <c r="DB16" s="347"/>
      <c r="DC16" s="364">
        <v>0</v>
      </c>
      <c r="DD16" s="363"/>
      <c r="DE16" s="317"/>
      <c r="DF16" s="347"/>
      <c r="DG16" s="347"/>
      <c r="DH16" s="364">
        <v>1327030</v>
      </c>
      <c r="DI16" s="363"/>
      <c r="DJ16" s="317"/>
      <c r="DK16" s="347"/>
      <c r="DL16" s="347"/>
      <c r="DM16" s="364">
        <v>34120</v>
      </c>
      <c r="DN16" s="363"/>
      <c r="DO16" s="317"/>
      <c r="DP16" s="347"/>
      <c r="DQ16" s="347"/>
      <c r="DR16" s="364">
        <v>-557000</v>
      </c>
      <c r="DS16" s="363"/>
      <c r="DT16" s="317"/>
      <c r="DU16" s="365"/>
      <c r="DV16" s="347"/>
      <c r="DW16" s="364">
        <v>-2215030</v>
      </c>
      <c r="DX16" s="363"/>
      <c r="DY16" s="317"/>
      <c r="DZ16" s="347"/>
      <c r="EA16" s="347"/>
      <c r="EB16" s="364">
        <v>-683870</v>
      </c>
      <c r="EC16" s="363"/>
      <c r="ED16" s="317"/>
      <c r="EE16" s="347"/>
      <c r="EF16" s="347"/>
      <c r="EG16" s="365">
        <v>-750850</v>
      </c>
      <c r="EH16" s="363"/>
      <c r="EI16" s="317"/>
      <c r="EJ16" s="347"/>
      <c r="EK16" s="347"/>
      <c r="EL16" s="364">
        <v>-2477870</v>
      </c>
      <c r="EM16" s="363"/>
      <c r="EN16" s="317"/>
      <c r="EO16" s="340"/>
      <c r="ER16" s="39"/>
      <c r="ES16" s="39"/>
      <c r="ET16" s="39"/>
    </row>
    <row r="17" spans="1:150" x14ac:dyDescent="0.2">
      <c r="A17" s="317"/>
      <c r="B17" s="317"/>
      <c r="C17" s="360" t="s">
        <v>138</v>
      </c>
      <c r="D17" s="361"/>
      <c r="E17" s="346"/>
      <c r="F17" s="347"/>
      <c r="G17" s="347"/>
      <c r="H17" s="366">
        <v>-3056380</v>
      </c>
      <c r="I17" s="363"/>
      <c r="J17" s="317"/>
      <c r="K17" s="347"/>
      <c r="L17" s="347"/>
      <c r="M17" s="365">
        <v>-235230</v>
      </c>
      <c r="N17" s="363"/>
      <c r="O17" s="317"/>
      <c r="P17" s="347"/>
      <c r="Q17" s="347"/>
      <c r="R17" s="365">
        <v>2089070</v>
      </c>
      <c r="S17" s="363"/>
      <c r="T17" s="317"/>
      <c r="U17" s="347"/>
      <c r="V17" s="347"/>
      <c r="W17" s="365">
        <v>-35840</v>
      </c>
      <c r="X17" s="363"/>
      <c r="Y17" s="317"/>
      <c r="Z17" s="347"/>
      <c r="AA17" s="347"/>
      <c r="AB17" s="365">
        <v>-1734900</v>
      </c>
      <c r="AC17" s="363"/>
      <c r="AD17" s="317"/>
      <c r="AE17" s="347"/>
      <c r="AF17" s="347"/>
      <c r="AG17" s="365">
        <v>-1755260</v>
      </c>
      <c r="AH17" s="363"/>
      <c r="AI17" s="317"/>
      <c r="AJ17" s="347"/>
      <c r="AK17" s="347"/>
      <c r="AL17" s="365">
        <v>-2644800</v>
      </c>
      <c r="AM17" s="363"/>
      <c r="AN17" s="317"/>
      <c r="AO17" s="347"/>
      <c r="AP17" s="347"/>
      <c r="AQ17" s="365">
        <v>-2098170</v>
      </c>
      <c r="AR17" s="363"/>
      <c r="AS17" s="317"/>
      <c r="AT17" s="347"/>
      <c r="AU17" s="347"/>
      <c r="AV17" s="365">
        <v>0</v>
      </c>
      <c r="AW17" s="363"/>
      <c r="AX17" s="317"/>
      <c r="AY17" s="347"/>
      <c r="AZ17" s="347"/>
      <c r="BA17" s="365">
        <v>0</v>
      </c>
      <c r="BB17" s="363"/>
      <c r="BC17" s="317"/>
      <c r="BD17" s="347"/>
      <c r="BE17" s="347"/>
      <c r="BF17" s="365">
        <v>0</v>
      </c>
      <c r="BG17" s="363"/>
      <c r="BH17" s="317"/>
      <c r="BI17" s="347"/>
      <c r="BJ17" s="347"/>
      <c r="BK17" s="365">
        <v>0</v>
      </c>
      <c r="BL17" s="363"/>
      <c r="BM17" s="317"/>
      <c r="BN17" s="347"/>
      <c r="BO17" s="347"/>
      <c r="BP17" s="365">
        <v>0</v>
      </c>
      <c r="BQ17" s="363"/>
      <c r="BR17" s="317"/>
      <c r="BS17" s="347"/>
      <c r="BT17" s="347"/>
      <c r="BU17" s="365">
        <v>-6415130</v>
      </c>
      <c r="BV17" s="317"/>
      <c r="BW17" s="347"/>
      <c r="BX17" s="347"/>
      <c r="BY17" s="366">
        <v>1826080</v>
      </c>
      <c r="BZ17" s="363"/>
      <c r="CA17" s="317"/>
      <c r="CB17" s="347"/>
      <c r="CC17" s="347"/>
      <c r="CD17" s="365">
        <v>90400</v>
      </c>
      <c r="CE17" s="363"/>
      <c r="CF17" s="317"/>
      <c r="CG17" s="347"/>
      <c r="CH17" s="347"/>
      <c r="CI17" s="365">
        <v>-535630</v>
      </c>
      <c r="CJ17" s="363"/>
      <c r="CK17" s="317"/>
      <c r="CL17" s="347"/>
      <c r="CM17" s="347"/>
      <c r="CN17" s="365">
        <v>7519560</v>
      </c>
      <c r="CO17" s="363"/>
      <c r="CP17" s="317"/>
      <c r="CQ17" s="347"/>
      <c r="CR17" s="347"/>
      <c r="CS17" s="365">
        <v>-2051100</v>
      </c>
      <c r="CT17" s="363"/>
      <c r="CU17" s="317"/>
      <c r="CV17" s="347"/>
      <c r="CW17" s="347"/>
      <c r="CX17" s="365">
        <v>-3139640</v>
      </c>
      <c r="CY17" s="363"/>
      <c r="CZ17" s="317"/>
      <c r="DA17" s="347"/>
      <c r="DB17" s="347"/>
      <c r="DC17" s="365">
        <v>-641700</v>
      </c>
      <c r="DD17" s="363"/>
      <c r="DE17" s="317"/>
      <c r="DF17" s="347"/>
      <c r="DG17" s="347"/>
      <c r="DH17" s="365">
        <v>173400</v>
      </c>
      <c r="DI17" s="363"/>
      <c r="DJ17" s="317"/>
      <c r="DK17" s="347"/>
      <c r="DL17" s="347"/>
      <c r="DM17" s="365">
        <v>-1391570</v>
      </c>
      <c r="DN17" s="363"/>
      <c r="DO17" s="317"/>
      <c r="DP17" s="347"/>
      <c r="DQ17" s="347"/>
      <c r="DR17" s="365">
        <v>-2287990</v>
      </c>
      <c r="DS17" s="363"/>
      <c r="DT17" s="317"/>
      <c r="DU17" s="347"/>
      <c r="DV17" s="347"/>
      <c r="DW17" s="365">
        <v>-469350</v>
      </c>
      <c r="DX17" s="363"/>
      <c r="DY17" s="317"/>
      <c r="DZ17" s="347"/>
      <c r="EA17" s="347"/>
      <c r="EB17" s="365">
        <v>1787880</v>
      </c>
      <c r="EC17" s="363"/>
      <c r="ED17" s="317"/>
      <c r="EE17" s="347"/>
      <c r="EF17" s="347"/>
      <c r="EG17" s="365">
        <v>2771820</v>
      </c>
      <c r="EH17" s="363"/>
      <c r="EI17" s="317"/>
      <c r="EJ17" s="347"/>
      <c r="EK17" s="347"/>
      <c r="EL17" s="365">
        <v>1415290</v>
      </c>
      <c r="EM17" s="363"/>
      <c r="EN17" s="317"/>
      <c r="EO17" s="340"/>
      <c r="ER17" s="39"/>
      <c r="ES17" s="39"/>
      <c r="ET17" s="39"/>
    </row>
    <row r="18" spans="1:150" x14ac:dyDescent="0.2">
      <c r="A18" s="317"/>
      <c r="B18" s="317"/>
      <c r="C18" s="360" t="s">
        <v>139</v>
      </c>
      <c r="D18" s="361"/>
      <c r="E18" s="346"/>
      <c r="F18" s="347"/>
      <c r="G18" s="347"/>
      <c r="H18" s="366">
        <v>-948160</v>
      </c>
      <c r="I18" s="363"/>
      <c r="J18" s="317"/>
      <c r="K18" s="347"/>
      <c r="L18" s="347"/>
      <c r="M18" s="365">
        <v>5265800</v>
      </c>
      <c r="N18" s="363"/>
      <c r="O18" s="317"/>
      <c r="P18" s="347"/>
      <c r="Q18" s="347"/>
      <c r="R18" s="365">
        <v>476980</v>
      </c>
      <c r="S18" s="363"/>
      <c r="T18" s="317"/>
      <c r="U18" s="347"/>
      <c r="V18" s="347"/>
      <c r="W18" s="365">
        <v>695270</v>
      </c>
      <c r="X18" s="363"/>
      <c r="Y18" s="317"/>
      <c r="Z18" s="347"/>
      <c r="AA18" s="347"/>
      <c r="AB18" s="365">
        <v>699650</v>
      </c>
      <c r="AC18" s="363"/>
      <c r="AD18" s="317"/>
      <c r="AE18" s="347"/>
      <c r="AF18" s="347"/>
      <c r="AG18" s="365">
        <v>-250000</v>
      </c>
      <c r="AH18" s="363"/>
      <c r="AI18" s="317"/>
      <c r="AJ18" s="347"/>
      <c r="AK18" s="347"/>
      <c r="AL18" s="365">
        <v>-1149410</v>
      </c>
      <c r="AM18" s="363"/>
      <c r="AN18" s="317"/>
      <c r="AO18" s="347"/>
      <c r="AP18" s="347"/>
      <c r="AQ18" s="365">
        <v>-4730970</v>
      </c>
      <c r="AR18" s="363"/>
      <c r="AS18" s="317"/>
      <c r="AT18" s="347"/>
      <c r="AU18" s="347"/>
      <c r="AV18" s="365">
        <v>0</v>
      </c>
      <c r="AW18" s="363"/>
      <c r="AX18" s="317"/>
      <c r="AY18" s="347"/>
      <c r="AZ18" s="347"/>
      <c r="BA18" s="365">
        <v>0</v>
      </c>
      <c r="BB18" s="363"/>
      <c r="BC18" s="317"/>
      <c r="BD18" s="347"/>
      <c r="BE18" s="347"/>
      <c r="BF18" s="365">
        <v>0</v>
      </c>
      <c r="BG18" s="363"/>
      <c r="BH18" s="317"/>
      <c r="BI18" s="347"/>
      <c r="BJ18" s="347"/>
      <c r="BK18" s="365">
        <v>0</v>
      </c>
      <c r="BL18" s="363"/>
      <c r="BM18" s="317"/>
      <c r="BN18" s="347"/>
      <c r="BO18" s="347"/>
      <c r="BP18" s="365">
        <v>0</v>
      </c>
      <c r="BQ18" s="363"/>
      <c r="BR18" s="317"/>
      <c r="BS18" s="347"/>
      <c r="BT18" s="347"/>
      <c r="BU18" s="365">
        <v>1007320</v>
      </c>
      <c r="BV18" s="317"/>
      <c r="BW18" s="347"/>
      <c r="BX18" s="347"/>
      <c r="BY18" s="366">
        <v>-4782480</v>
      </c>
      <c r="BZ18" s="363"/>
      <c r="CA18" s="317"/>
      <c r="CB18" s="347"/>
      <c r="CC18" s="347"/>
      <c r="CD18" s="365">
        <v>-200000</v>
      </c>
      <c r="CE18" s="363"/>
      <c r="CF18" s="317"/>
      <c r="CG18" s="347"/>
      <c r="CH18" s="347"/>
      <c r="CI18" s="365">
        <v>-580000</v>
      </c>
      <c r="CJ18" s="363"/>
      <c r="CK18" s="317"/>
      <c r="CL18" s="347"/>
      <c r="CM18" s="347"/>
      <c r="CN18" s="365">
        <v>-1200000</v>
      </c>
      <c r="CO18" s="363"/>
      <c r="CP18" s="317"/>
      <c r="CQ18" s="347"/>
      <c r="CR18" s="347"/>
      <c r="CS18" s="365">
        <v>-1531850</v>
      </c>
      <c r="CT18" s="363"/>
      <c r="CU18" s="317"/>
      <c r="CV18" s="347"/>
      <c r="CW18" s="347"/>
      <c r="CX18" s="365">
        <v>-960000</v>
      </c>
      <c r="CY18" s="363"/>
      <c r="CZ18" s="317"/>
      <c r="DA18" s="347"/>
      <c r="DB18" s="347"/>
      <c r="DC18" s="365">
        <v>1512500</v>
      </c>
      <c r="DD18" s="363"/>
      <c r="DE18" s="317"/>
      <c r="DF18" s="347"/>
      <c r="DG18" s="347"/>
      <c r="DH18" s="365">
        <v>-2093400</v>
      </c>
      <c r="DI18" s="363"/>
      <c r="DJ18" s="317"/>
      <c r="DK18" s="347"/>
      <c r="DL18" s="347"/>
      <c r="DM18" s="365">
        <v>-654690</v>
      </c>
      <c r="DN18" s="363"/>
      <c r="DO18" s="317"/>
      <c r="DP18" s="347"/>
      <c r="DQ18" s="347"/>
      <c r="DR18" s="365">
        <v>-1050590</v>
      </c>
      <c r="DS18" s="363"/>
      <c r="DT18" s="317"/>
      <c r="DU18" s="347"/>
      <c r="DV18" s="347"/>
      <c r="DW18" s="365">
        <v>2970970</v>
      </c>
      <c r="DX18" s="363"/>
      <c r="DY18" s="317"/>
      <c r="DZ18" s="347"/>
      <c r="EA18" s="347"/>
      <c r="EB18" s="365">
        <v>-328400</v>
      </c>
      <c r="EC18" s="363"/>
      <c r="ED18" s="317"/>
      <c r="EE18" s="347"/>
      <c r="EF18" s="347"/>
      <c r="EG18" s="365">
        <v>-667020</v>
      </c>
      <c r="EH18" s="363"/>
      <c r="EI18" s="317"/>
      <c r="EJ18" s="347"/>
      <c r="EK18" s="347"/>
      <c r="EL18" s="365">
        <v>-5052750</v>
      </c>
      <c r="EM18" s="363"/>
      <c r="EN18" s="317"/>
      <c r="EO18" s="340"/>
      <c r="ER18" s="39"/>
      <c r="ES18" s="39"/>
      <c r="ET18" s="39"/>
    </row>
    <row r="19" spans="1:150" x14ac:dyDescent="0.2">
      <c r="A19" s="317"/>
      <c r="B19" s="317"/>
      <c r="C19" s="360" t="s">
        <v>140</v>
      </c>
      <c r="D19" s="361"/>
      <c r="E19" s="346"/>
      <c r="F19" s="347"/>
      <c r="G19" s="347"/>
      <c r="H19" s="367">
        <v>-3711060</v>
      </c>
      <c r="I19" s="363"/>
      <c r="J19" s="317"/>
      <c r="K19" s="347"/>
      <c r="L19" s="347"/>
      <c r="M19" s="368">
        <v>-4154870</v>
      </c>
      <c r="N19" s="363"/>
      <c r="O19" s="317"/>
      <c r="P19" s="347"/>
      <c r="Q19" s="347"/>
      <c r="R19" s="368">
        <v>-3261000</v>
      </c>
      <c r="S19" s="363"/>
      <c r="T19" s="317"/>
      <c r="U19" s="347"/>
      <c r="V19" s="347"/>
      <c r="W19" s="368">
        <v>3348560</v>
      </c>
      <c r="X19" s="363"/>
      <c r="Y19" s="317"/>
      <c r="Z19" s="347"/>
      <c r="AA19" s="347"/>
      <c r="AB19" s="368">
        <v>2665410</v>
      </c>
      <c r="AC19" s="363"/>
      <c r="AD19" s="317"/>
      <c r="AE19" s="347"/>
      <c r="AF19" s="347"/>
      <c r="AG19" s="368">
        <v>-2959640</v>
      </c>
      <c r="AH19" s="363"/>
      <c r="AI19" s="317"/>
      <c r="AJ19" s="347"/>
      <c r="AK19" s="347"/>
      <c r="AL19" s="368">
        <v>-2000000</v>
      </c>
      <c r="AM19" s="363"/>
      <c r="AN19" s="317"/>
      <c r="AO19" s="347"/>
      <c r="AP19" s="347"/>
      <c r="AQ19" s="368">
        <v>-1342970</v>
      </c>
      <c r="AR19" s="363"/>
      <c r="AS19" s="317"/>
      <c r="AT19" s="347"/>
      <c r="AU19" s="347"/>
      <c r="AV19" s="368">
        <v>0</v>
      </c>
      <c r="AW19" s="363"/>
      <c r="AX19" s="317"/>
      <c r="AY19" s="347"/>
      <c r="AZ19" s="347"/>
      <c r="BA19" s="368">
        <v>0</v>
      </c>
      <c r="BB19" s="363"/>
      <c r="BC19" s="317"/>
      <c r="BD19" s="347"/>
      <c r="BE19" s="347"/>
      <c r="BF19" s="368">
        <v>0</v>
      </c>
      <c r="BG19" s="363"/>
      <c r="BH19" s="317"/>
      <c r="BI19" s="347"/>
      <c r="BJ19" s="347"/>
      <c r="BK19" s="368">
        <v>0</v>
      </c>
      <c r="BL19" s="363"/>
      <c r="BM19" s="317"/>
      <c r="BN19" s="347"/>
      <c r="BO19" s="347"/>
      <c r="BP19" s="368">
        <v>0</v>
      </c>
      <c r="BQ19" s="363"/>
      <c r="BR19" s="317"/>
      <c r="BS19" s="347"/>
      <c r="BT19" s="347"/>
      <c r="BU19" s="368">
        <v>-7704510</v>
      </c>
      <c r="BV19" s="317"/>
      <c r="BW19" s="347"/>
      <c r="BX19" s="347"/>
      <c r="BY19" s="367">
        <v>1599880</v>
      </c>
      <c r="BZ19" s="363"/>
      <c r="CA19" s="317"/>
      <c r="CB19" s="347"/>
      <c r="CC19" s="347"/>
      <c r="CD19" s="368">
        <v>3429000</v>
      </c>
      <c r="CE19" s="363"/>
      <c r="CF19" s="317"/>
      <c r="CG19" s="347"/>
      <c r="CH19" s="347"/>
      <c r="CI19" s="368">
        <v>3209000</v>
      </c>
      <c r="CJ19" s="363"/>
      <c r="CK19" s="317"/>
      <c r="CL19" s="347"/>
      <c r="CM19" s="347"/>
      <c r="CN19" s="368">
        <v>-1078060</v>
      </c>
      <c r="CO19" s="363"/>
      <c r="CP19" s="317"/>
      <c r="CQ19" s="347"/>
      <c r="CR19" s="347"/>
      <c r="CS19" s="368">
        <v>-2192360</v>
      </c>
      <c r="CT19" s="363"/>
      <c r="CU19" s="317"/>
      <c r="CV19" s="347"/>
      <c r="CW19" s="347"/>
      <c r="CX19" s="368">
        <v>1499640</v>
      </c>
      <c r="CY19" s="363"/>
      <c r="CZ19" s="317"/>
      <c r="DA19" s="347"/>
      <c r="DB19" s="347"/>
      <c r="DC19" s="368">
        <v>-1200000</v>
      </c>
      <c r="DD19" s="363"/>
      <c r="DE19" s="317"/>
      <c r="DF19" s="347"/>
      <c r="DG19" s="347"/>
      <c r="DH19" s="368">
        <v>-2622730</v>
      </c>
      <c r="DI19" s="363"/>
      <c r="DJ19" s="317"/>
      <c r="DK19" s="347"/>
      <c r="DL19" s="347"/>
      <c r="DM19" s="368">
        <v>253080</v>
      </c>
      <c r="DN19" s="363"/>
      <c r="DO19" s="317"/>
      <c r="DP19" s="347"/>
      <c r="DQ19" s="347"/>
      <c r="DR19" s="368">
        <v>2509260</v>
      </c>
      <c r="DS19" s="363"/>
      <c r="DT19" s="317"/>
      <c r="DU19" s="347"/>
      <c r="DV19" s="347"/>
      <c r="DW19" s="368">
        <v>172450</v>
      </c>
      <c r="DX19" s="363"/>
      <c r="DY19" s="317"/>
      <c r="DZ19" s="347"/>
      <c r="EA19" s="347"/>
      <c r="EB19" s="368">
        <v>818600</v>
      </c>
      <c r="EC19" s="363"/>
      <c r="ED19" s="317"/>
      <c r="EE19" s="347"/>
      <c r="EF19" s="347"/>
      <c r="EG19" s="368">
        <v>-3198000</v>
      </c>
      <c r="EH19" s="363"/>
      <c r="EI19" s="317"/>
      <c r="EJ19" s="347"/>
      <c r="EK19" s="347"/>
      <c r="EL19" s="368">
        <v>1044490</v>
      </c>
      <c r="EM19" s="363"/>
      <c r="EN19" s="317"/>
      <c r="EO19" s="340"/>
      <c r="ER19" s="39"/>
      <c r="ES19" s="39"/>
      <c r="ET19" s="39"/>
    </row>
    <row r="20" spans="1:150" x14ac:dyDescent="0.2">
      <c r="A20" s="317"/>
      <c r="B20" s="317"/>
      <c r="C20" s="340"/>
      <c r="D20" s="317"/>
      <c r="E20" s="346"/>
      <c r="F20" s="347"/>
      <c r="G20" s="347"/>
      <c r="H20" s="317"/>
      <c r="I20" s="363"/>
      <c r="J20" s="317"/>
      <c r="K20" s="347"/>
      <c r="L20" s="347"/>
      <c r="M20" s="317"/>
      <c r="N20" s="363"/>
      <c r="O20" s="317"/>
      <c r="P20" s="347"/>
      <c r="Q20" s="347"/>
      <c r="R20" s="317"/>
      <c r="S20" s="363"/>
      <c r="T20" s="317"/>
      <c r="U20" s="347"/>
      <c r="V20" s="347"/>
      <c r="W20" s="317"/>
      <c r="X20" s="363"/>
      <c r="Y20" s="317"/>
      <c r="Z20" s="347"/>
      <c r="AA20" s="347"/>
      <c r="AB20" s="317"/>
      <c r="AC20" s="363"/>
      <c r="AD20" s="317"/>
      <c r="AE20" s="347"/>
      <c r="AF20" s="347"/>
      <c r="AG20" s="317"/>
      <c r="AH20" s="363"/>
      <c r="AI20" s="317"/>
      <c r="AJ20" s="347"/>
      <c r="AK20" s="347"/>
      <c r="AL20" s="317"/>
      <c r="AM20" s="363"/>
      <c r="AN20" s="317"/>
      <c r="AO20" s="347"/>
      <c r="AP20" s="347"/>
      <c r="AQ20" s="317"/>
      <c r="AR20" s="363"/>
      <c r="AS20" s="317"/>
      <c r="AT20" s="347"/>
      <c r="AU20" s="347"/>
      <c r="AV20" s="317"/>
      <c r="AW20" s="363"/>
      <c r="AX20" s="317"/>
      <c r="AY20" s="347"/>
      <c r="AZ20" s="347"/>
      <c r="BA20" s="317"/>
      <c r="BB20" s="363"/>
      <c r="BC20" s="317"/>
      <c r="BD20" s="347"/>
      <c r="BE20" s="347"/>
      <c r="BF20" s="317"/>
      <c r="BG20" s="363"/>
      <c r="BH20" s="317"/>
      <c r="BI20" s="347"/>
      <c r="BJ20" s="347"/>
      <c r="BK20" s="317"/>
      <c r="BL20" s="363"/>
      <c r="BM20" s="317"/>
      <c r="BN20" s="347"/>
      <c r="BO20" s="347"/>
      <c r="BP20" s="317"/>
      <c r="BQ20" s="363"/>
      <c r="BR20" s="317"/>
      <c r="BS20" s="347"/>
      <c r="BT20" s="347"/>
      <c r="BU20" s="317"/>
      <c r="BV20" s="317"/>
      <c r="BW20" s="347"/>
      <c r="BX20" s="347"/>
      <c r="BY20" s="369"/>
      <c r="BZ20" s="363"/>
      <c r="CA20" s="317"/>
      <c r="CB20" s="347"/>
      <c r="CC20" s="347"/>
      <c r="CD20" s="317"/>
      <c r="CE20" s="363"/>
      <c r="CF20" s="317"/>
      <c r="CG20" s="347"/>
      <c r="CH20" s="347"/>
      <c r="CI20" s="317"/>
      <c r="CJ20" s="363"/>
      <c r="CK20" s="317"/>
      <c r="CL20" s="347"/>
      <c r="CM20" s="347"/>
      <c r="CN20" s="317"/>
      <c r="CO20" s="363"/>
      <c r="CP20" s="317"/>
      <c r="CQ20" s="347"/>
      <c r="CR20" s="347"/>
      <c r="CS20" s="317"/>
      <c r="CT20" s="363"/>
      <c r="CU20" s="317"/>
      <c r="CV20" s="347"/>
      <c r="CW20" s="347"/>
      <c r="CX20" s="317"/>
      <c r="CY20" s="363"/>
      <c r="CZ20" s="317"/>
      <c r="DA20" s="347"/>
      <c r="DB20" s="347"/>
      <c r="DC20" s="317"/>
      <c r="DD20" s="363"/>
      <c r="DE20" s="317"/>
      <c r="DF20" s="347"/>
      <c r="DG20" s="347"/>
      <c r="DH20" s="317"/>
      <c r="DI20" s="363"/>
      <c r="DJ20" s="317"/>
      <c r="DK20" s="347"/>
      <c r="DL20" s="347"/>
      <c r="DM20" s="317"/>
      <c r="DN20" s="363"/>
      <c r="DO20" s="317"/>
      <c r="DP20" s="347"/>
      <c r="DQ20" s="347"/>
      <c r="DR20" s="317"/>
      <c r="DS20" s="363"/>
      <c r="DT20" s="317"/>
      <c r="DU20" s="347"/>
      <c r="DV20" s="347"/>
      <c r="DW20" s="317"/>
      <c r="DX20" s="363"/>
      <c r="DY20" s="317"/>
      <c r="DZ20" s="347"/>
      <c r="EA20" s="347"/>
      <c r="EB20" s="317"/>
      <c r="EC20" s="363"/>
      <c r="ED20" s="317"/>
      <c r="EE20" s="347"/>
      <c r="EF20" s="347"/>
      <c r="EG20" s="317"/>
      <c r="EH20" s="363"/>
      <c r="EI20" s="317"/>
      <c r="EJ20" s="347"/>
      <c r="EK20" s="347"/>
      <c r="EL20" s="317"/>
      <c r="EM20" s="363"/>
      <c r="EN20" s="317"/>
      <c r="EO20" s="340"/>
      <c r="ER20" s="39"/>
      <c r="ES20" s="39"/>
      <c r="ET20" s="39"/>
    </row>
    <row r="21" spans="1:150" x14ac:dyDescent="0.2">
      <c r="A21" s="317"/>
      <c r="B21" s="317"/>
      <c r="C21" s="370" t="s">
        <v>141</v>
      </c>
      <c r="D21" s="361"/>
      <c r="E21" s="346"/>
      <c r="F21" s="347"/>
      <c r="G21" s="371"/>
      <c r="H21" s="372">
        <v>0</v>
      </c>
      <c r="I21" s="373"/>
      <c r="J21" s="317"/>
      <c r="K21" s="347"/>
      <c r="L21" s="371"/>
      <c r="M21" s="374">
        <v>38700</v>
      </c>
      <c r="N21" s="373"/>
      <c r="O21" s="317"/>
      <c r="P21" s="347"/>
      <c r="Q21" s="371"/>
      <c r="R21" s="374">
        <v>189463</v>
      </c>
      <c r="S21" s="373"/>
      <c r="T21" s="317"/>
      <c r="U21" s="347"/>
      <c r="V21" s="371"/>
      <c r="W21" s="374">
        <v>-228163</v>
      </c>
      <c r="X21" s="373"/>
      <c r="Y21" s="317"/>
      <c r="Z21" s="347"/>
      <c r="AA21" s="371"/>
      <c r="AB21" s="374">
        <v>716164</v>
      </c>
      <c r="AC21" s="373"/>
      <c r="AD21" s="317"/>
      <c r="AE21" s="347"/>
      <c r="AF21" s="371"/>
      <c r="AG21" s="374">
        <v>-716164</v>
      </c>
      <c r="AH21" s="373"/>
      <c r="AI21" s="317"/>
      <c r="AJ21" s="347"/>
      <c r="AK21" s="371"/>
      <c r="AL21" s="374">
        <v>93975</v>
      </c>
      <c r="AM21" s="373"/>
      <c r="AN21" s="317"/>
      <c r="AO21" s="347"/>
      <c r="AP21" s="371"/>
      <c r="AQ21" s="374">
        <v>-30228</v>
      </c>
      <c r="AR21" s="373"/>
      <c r="AS21" s="317"/>
      <c r="AT21" s="347"/>
      <c r="AU21" s="371"/>
      <c r="AV21" s="374">
        <v>0</v>
      </c>
      <c r="AW21" s="373"/>
      <c r="AX21" s="317"/>
      <c r="AY21" s="347"/>
      <c r="AZ21" s="371"/>
      <c r="BA21" s="374">
        <v>0</v>
      </c>
      <c r="BB21" s="373"/>
      <c r="BC21" s="317"/>
      <c r="BD21" s="347"/>
      <c r="BE21" s="371"/>
      <c r="BF21" s="374">
        <v>0</v>
      </c>
      <c r="BG21" s="373"/>
      <c r="BH21" s="317"/>
      <c r="BI21" s="347"/>
      <c r="BJ21" s="371"/>
      <c r="BK21" s="374">
        <v>0</v>
      </c>
      <c r="BL21" s="373"/>
      <c r="BM21" s="317"/>
      <c r="BN21" s="347"/>
      <c r="BO21" s="371"/>
      <c r="BP21" s="374">
        <v>0</v>
      </c>
      <c r="BQ21" s="373"/>
      <c r="BR21" s="317"/>
      <c r="BS21" s="347"/>
      <c r="BT21" s="371"/>
      <c r="BU21" s="374">
        <v>63747</v>
      </c>
      <c r="BV21" s="374"/>
      <c r="BW21" s="347"/>
      <c r="BX21" s="371"/>
      <c r="BY21" s="372">
        <v>52250</v>
      </c>
      <c r="BZ21" s="373"/>
      <c r="CA21" s="317"/>
      <c r="CB21" s="347"/>
      <c r="CC21" s="371"/>
      <c r="CD21" s="374">
        <v>6752500</v>
      </c>
      <c r="CE21" s="373"/>
      <c r="CF21" s="317"/>
      <c r="CG21" s="347"/>
      <c r="CH21" s="371"/>
      <c r="CI21" s="374">
        <v>-6744433</v>
      </c>
      <c r="CJ21" s="373"/>
      <c r="CK21" s="317"/>
      <c r="CL21" s="347"/>
      <c r="CM21" s="371"/>
      <c r="CN21" s="374">
        <v>-3953</v>
      </c>
      <c r="CO21" s="373"/>
      <c r="CP21" s="317"/>
      <c r="CQ21" s="347"/>
      <c r="CR21" s="371"/>
      <c r="CS21" s="374">
        <v>-219785</v>
      </c>
      <c r="CT21" s="373"/>
      <c r="CU21" s="317"/>
      <c r="CV21" s="347"/>
      <c r="CW21" s="371"/>
      <c r="CX21" s="374">
        <v>223775</v>
      </c>
      <c r="CY21" s="373"/>
      <c r="CZ21" s="317"/>
      <c r="DA21" s="347"/>
      <c r="DB21" s="371"/>
      <c r="DC21" s="374">
        <v>2601337</v>
      </c>
      <c r="DD21" s="373"/>
      <c r="DE21" s="317"/>
      <c r="DF21" s="347"/>
      <c r="DG21" s="371"/>
      <c r="DH21" s="374">
        <v>-616732</v>
      </c>
      <c r="DI21" s="373"/>
      <c r="DJ21" s="317"/>
      <c r="DK21" s="347"/>
      <c r="DL21" s="371"/>
      <c r="DM21" s="374">
        <v>-1983149</v>
      </c>
      <c r="DN21" s="373"/>
      <c r="DO21" s="317"/>
      <c r="DP21" s="347"/>
      <c r="DQ21" s="371"/>
      <c r="DR21" s="374">
        <v>1374</v>
      </c>
      <c r="DS21" s="373"/>
      <c r="DT21" s="317"/>
      <c r="DU21" s="347"/>
      <c r="DV21" s="371"/>
      <c r="DW21" s="374">
        <v>-29355</v>
      </c>
      <c r="DX21" s="373"/>
      <c r="DY21" s="317"/>
      <c r="DZ21" s="347"/>
      <c r="EA21" s="371"/>
      <c r="EB21" s="374">
        <v>530737</v>
      </c>
      <c r="EC21" s="373"/>
      <c r="ED21" s="317"/>
      <c r="EE21" s="347"/>
      <c r="EF21" s="371"/>
      <c r="EG21" s="374">
        <v>-460066</v>
      </c>
      <c r="EH21" s="373"/>
      <c r="EI21" s="317"/>
      <c r="EJ21" s="347"/>
      <c r="EK21" s="371"/>
      <c r="EL21" s="374">
        <v>1992709</v>
      </c>
      <c r="EM21" s="373"/>
      <c r="EN21" s="317"/>
      <c r="EO21" s="340"/>
      <c r="ER21" s="39"/>
      <c r="ES21" s="39"/>
      <c r="ET21" s="39"/>
    </row>
    <row r="22" spans="1:150" x14ac:dyDescent="0.2">
      <c r="A22" s="317"/>
      <c r="B22" s="317"/>
      <c r="C22" s="340"/>
      <c r="D22" s="317"/>
      <c r="E22" s="346"/>
      <c r="F22" s="375"/>
      <c r="G22" s="376"/>
      <c r="H22" s="317"/>
      <c r="I22" s="317"/>
      <c r="J22" s="317"/>
      <c r="K22" s="347"/>
      <c r="L22" s="317"/>
      <c r="M22" s="317"/>
      <c r="N22" s="317"/>
      <c r="O22" s="317"/>
      <c r="P22" s="347"/>
      <c r="Q22" s="317"/>
      <c r="R22" s="317"/>
      <c r="S22" s="317"/>
      <c r="T22" s="317"/>
      <c r="U22" s="347"/>
      <c r="V22" s="317"/>
      <c r="W22" s="317"/>
      <c r="X22" s="317"/>
      <c r="Y22" s="317"/>
      <c r="Z22" s="347"/>
      <c r="AA22" s="317"/>
      <c r="AB22" s="317"/>
      <c r="AC22" s="317"/>
      <c r="AD22" s="317"/>
      <c r="AE22" s="347"/>
      <c r="AF22" s="317"/>
      <c r="AG22" s="317"/>
      <c r="AH22" s="317"/>
      <c r="AI22" s="317"/>
      <c r="AJ22" s="347"/>
      <c r="AK22" s="317"/>
      <c r="AL22" s="317"/>
      <c r="AM22" s="317"/>
      <c r="AN22" s="317"/>
      <c r="AO22" s="347"/>
      <c r="AP22" s="317"/>
      <c r="AQ22" s="317"/>
      <c r="AR22" s="317"/>
      <c r="AS22" s="317"/>
      <c r="AT22" s="347"/>
      <c r="AU22" s="317"/>
      <c r="AV22" s="317"/>
      <c r="AW22" s="317"/>
      <c r="AX22" s="317"/>
      <c r="AY22" s="347"/>
      <c r="AZ22" s="317"/>
      <c r="BA22" s="317"/>
      <c r="BB22" s="317"/>
      <c r="BC22" s="317"/>
      <c r="BD22" s="347"/>
      <c r="BE22" s="317"/>
      <c r="BF22" s="317"/>
      <c r="BG22" s="317"/>
      <c r="BH22" s="317"/>
      <c r="BI22" s="347"/>
      <c r="BJ22" s="317"/>
      <c r="BK22" s="317"/>
      <c r="BL22" s="317"/>
      <c r="BM22" s="317"/>
      <c r="BN22" s="347"/>
      <c r="BO22" s="317"/>
      <c r="BP22" s="317"/>
      <c r="BQ22" s="317"/>
      <c r="BR22" s="317"/>
      <c r="BS22" s="347"/>
      <c r="BT22" s="317"/>
      <c r="BU22" s="317"/>
      <c r="BV22" s="317"/>
      <c r="BW22" s="347"/>
      <c r="BX22" s="317"/>
      <c r="BY22" s="369"/>
      <c r="BZ22" s="317"/>
      <c r="CA22" s="317"/>
      <c r="CB22" s="347"/>
      <c r="CC22" s="317"/>
      <c r="CD22" s="317"/>
      <c r="CE22" s="317"/>
      <c r="CF22" s="317"/>
      <c r="CG22" s="347"/>
      <c r="CH22" s="317"/>
      <c r="CI22" s="317"/>
      <c r="CJ22" s="317"/>
      <c r="CK22" s="317"/>
      <c r="CL22" s="347"/>
      <c r="CM22" s="317"/>
      <c r="CN22" s="317"/>
      <c r="CO22" s="317"/>
      <c r="CP22" s="317"/>
      <c r="CQ22" s="347"/>
      <c r="CR22" s="317"/>
      <c r="CS22" s="317"/>
      <c r="CT22" s="317"/>
      <c r="CU22" s="317"/>
      <c r="CV22" s="347"/>
      <c r="CW22" s="317"/>
      <c r="CX22" s="317"/>
      <c r="CY22" s="317"/>
      <c r="CZ22" s="317"/>
      <c r="DA22" s="347"/>
      <c r="DB22" s="317"/>
      <c r="DC22" s="317"/>
      <c r="DD22" s="317"/>
      <c r="DE22" s="317"/>
      <c r="DF22" s="347"/>
      <c r="DG22" s="317"/>
      <c r="DH22" s="317"/>
      <c r="DI22" s="317"/>
      <c r="DJ22" s="317"/>
      <c r="DK22" s="347"/>
      <c r="DL22" s="317"/>
      <c r="DM22" s="317"/>
      <c r="DN22" s="317"/>
      <c r="DO22" s="317"/>
      <c r="DP22" s="347"/>
      <c r="DQ22" s="317"/>
      <c r="DR22" s="317"/>
      <c r="DS22" s="317"/>
      <c r="DT22" s="317"/>
      <c r="DU22" s="347"/>
      <c r="DV22" s="317"/>
      <c r="DW22" s="317"/>
      <c r="DX22" s="317"/>
      <c r="DY22" s="317"/>
      <c r="DZ22" s="347"/>
      <c r="EA22" s="317"/>
      <c r="EB22" s="317"/>
      <c r="EC22" s="317"/>
      <c r="ED22" s="317"/>
      <c r="EE22" s="347"/>
      <c r="EF22" s="317"/>
      <c r="EG22" s="317"/>
      <c r="EH22" s="317"/>
      <c r="EI22" s="317"/>
      <c r="EJ22" s="347"/>
      <c r="EK22" s="317"/>
      <c r="EL22" s="317"/>
      <c r="EM22" s="317"/>
      <c r="EN22" s="317"/>
      <c r="EO22" s="340"/>
      <c r="ER22" s="39"/>
      <c r="ES22" s="39"/>
      <c r="ET22" s="39"/>
    </row>
    <row r="23" spans="1:150" s="39" customFormat="1" x14ac:dyDescent="0.2">
      <c r="A23" s="329"/>
      <c r="B23" s="329"/>
      <c r="C23" s="348" t="s">
        <v>37</v>
      </c>
      <c r="D23" s="329"/>
      <c r="E23" s="349"/>
      <c r="F23" s="377"/>
      <c r="G23" s="378"/>
      <c r="H23" s="329">
        <v>227774514</v>
      </c>
      <c r="I23" s="329"/>
      <c r="J23" s="329"/>
      <c r="K23" s="350"/>
      <c r="L23" s="329"/>
      <c r="M23" s="329">
        <v>20015505</v>
      </c>
      <c r="N23" s="329"/>
      <c r="O23" s="329"/>
      <c r="P23" s="350"/>
      <c r="Q23" s="329"/>
      <c r="R23" s="329">
        <v>25455403</v>
      </c>
      <c r="S23" s="329"/>
      <c r="T23" s="329"/>
      <c r="U23" s="350"/>
      <c r="V23" s="329"/>
      <c r="W23" s="329">
        <v>23742808</v>
      </c>
      <c r="X23" s="329"/>
      <c r="Y23" s="329"/>
      <c r="Z23" s="350"/>
      <c r="AA23" s="329"/>
      <c r="AB23" s="329">
        <v>45716848</v>
      </c>
      <c r="AC23" s="329"/>
      <c r="AD23" s="329"/>
      <c r="AE23" s="350"/>
      <c r="AF23" s="329"/>
      <c r="AG23" s="329">
        <v>29377866</v>
      </c>
      <c r="AH23" s="329"/>
      <c r="AI23" s="329"/>
      <c r="AJ23" s="350"/>
      <c r="AK23" s="329"/>
      <c r="AL23" s="329">
        <v>33075335</v>
      </c>
      <c r="AM23" s="329"/>
      <c r="AN23" s="329"/>
      <c r="AO23" s="350"/>
      <c r="AP23" s="329"/>
      <c r="AQ23" s="329">
        <v>28660775</v>
      </c>
      <c r="AR23" s="329"/>
      <c r="AS23" s="329"/>
      <c r="AT23" s="350"/>
      <c r="AU23" s="329"/>
      <c r="AV23" s="329">
        <v>0</v>
      </c>
      <c r="AW23" s="329"/>
      <c r="AX23" s="329"/>
      <c r="AY23" s="350"/>
      <c r="AZ23" s="329"/>
      <c r="BA23" s="329">
        <v>0</v>
      </c>
      <c r="BB23" s="329"/>
      <c r="BC23" s="329"/>
      <c r="BD23" s="350"/>
      <c r="BE23" s="329"/>
      <c r="BF23" s="329">
        <v>0</v>
      </c>
      <c r="BG23" s="329"/>
      <c r="BH23" s="329"/>
      <c r="BI23" s="350"/>
      <c r="BJ23" s="329"/>
      <c r="BK23" s="329">
        <v>0</v>
      </c>
      <c r="BL23" s="329"/>
      <c r="BM23" s="329"/>
      <c r="BN23" s="350"/>
      <c r="BO23" s="329"/>
      <c r="BP23" s="329">
        <v>0</v>
      </c>
      <c r="BQ23" s="329"/>
      <c r="BR23" s="329"/>
      <c r="BS23" s="350"/>
      <c r="BT23" s="329"/>
      <c r="BU23" s="329">
        <v>206044540</v>
      </c>
      <c r="BV23" s="329"/>
      <c r="BW23" s="350"/>
      <c r="BX23" s="329"/>
      <c r="BY23" s="353">
        <v>228921382</v>
      </c>
      <c r="BZ23" s="329"/>
      <c r="CA23" s="329"/>
      <c r="CB23" s="350"/>
      <c r="CC23" s="329"/>
      <c r="CD23" s="329">
        <v>26656371</v>
      </c>
      <c r="CE23" s="329"/>
      <c r="CF23" s="329"/>
      <c r="CG23" s="350"/>
      <c r="CH23" s="329"/>
      <c r="CI23" s="329">
        <v>26132793</v>
      </c>
      <c r="CJ23" s="329"/>
      <c r="CK23" s="329"/>
      <c r="CL23" s="350"/>
      <c r="CM23" s="329"/>
      <c r="CN23" s="329">
        <v>23736909</v>
      </c>
      <c r="CO23" s="329"/>
      <c r="CP23" s="329"/>
      <c r="CQ23" s="350"/>
      <c r="CR23" s="329"/>
      <c r="CS23" s="329">
        <v>28680625</v>
      </c>
      <c r="CT23" s="329"/>
      <c r="CU23" s="329"/>
      <c r="CV23" s="350"/>
      <c r="CW23" s="329"/>
      <c r="CX23" s="329">
        <v>23457599</v>
      </c>
      <c r="CY23" s="329"/>
      <c r="CZ23" s="329"/>
      <c r="DA23" s="350"/>
      <c r="DB23" s="329"/>
      <c r="DC23" s="329">
        <v>21280959</v>
      </c>
      <c r="DD23" s="329"/>
      <c r="DE23" s="329"/>
      <c r="DF23" s="350"/>
      <c r="DG23" s="329"/>
      <c r="DH23" s="329">
        <v>27957835</v>
      </c>
      <c r="DI23" s="329"/>
      <c r="DJ23" s="329"/>
      <c r="DK23" s="350"/>
      <c r="DL23" s="329"/>
      <c r="DM23" s="329">
        <v>19605231</v>
      </c>
      <c r="DN23" s="329"/>
      <c r="DO23" s="329"/>
      <c r="DP23" s="350"/>
      <c r="DQ23" s="329"/>
      <c r="DR23" s="329">
        <v>20296122</v>
      </c>
      <c r="DS23" s="329"/>
      <c r="DT23" s="329"/>
      <c r="DU23" s="350"/>
      <c r="DV23" s="329"/>
      <c r="DW23" s="329">
        <v>-39139018</v>
      </c>
      <c r="DX23" s="329"/>
      <c r="DY23" s="329"/>
      <c r="DZ23" s="350"/>
      <c r="EA23" s="329"/>
      <c r="EB23" s="329">
        <v>25287603</v>
      </c>
      <c r="EC23" s="329"/>
      <c r="ED23" s="329"/>
      <c r="EE23" s="350"/>
      <c r="EF23" s="329"/>
      <c r="EG23" s="329">
        <v>24968353</v>
      </c>
      <c r="EH23" s="329"/>
      <c r="EI23" s="329"/>
      <c r="EJ23" s="350"/>
      <c r="EK23" s="329"/>
      <c r="EL23" s="329">
        <v>177903091</v>
      </c>
      <c r="EM23" s="329"/>
      <c r="EN23" s="329"/>
      <c r="EO23" s="348"/>
      <c r="EP23" s="329"/>
    </row>
    <row r="24" spans="1:150" x14ac:dyDescent="0.2">
      <c r="A24" s="317"/>
      <c r="B24" s="317"/>
      <c r="C24" s="340" t="s">
        <v>142</v>
      </c>
      <c r="D24" s="317"/>
      <c r="E24" s="346"/>
      <c r="F24" s="375"/>
      <c r="G24" s="379"/>
      <c r="H24" s="355">
        <v>227688000</v>
      </c>
      <c r="I24" s="356"/>
      <c r="J24" s="317"/>
      <c r="K24" s="347"/>
      <c r="L24" s="354"/>
      <c r="M24" s="355">
        <v>19978246</v>
      </c>
      <c r="N24" s="356"/>
      <c r="O24" s="317"/>
      <c r="P24" s="347"/>
      <c r="Q24" s="354"/>
      <c r="R24" s="355">
        <v>25370100</v>
      </c>
      <c r="S24" s="356"/>
      <c r="T24" s="317"/>
      <c r="U24" s="347"/>
      <c r="V24" s="354"/>
      <c r="W24" s="355">
        <v>23778856</v>
      </c>
      <c r="X24" s="356"/>
      <c r="Y24" s="317"/>
      <c r="Z24" s="347"/>
      <c r="AA24" s="354"/>
      <c r="AB24" s="355">
        <v>45716848</v>
      </c>
      <c r="AC24" s="356"/>
      <c r="AD24" s="317"/>
      <c r="AE24" s="347"/>
      <c r="AF24" s="354"/>
      <c r="AG24" s="355">
        <v>29232670</v>
      </c>
      <c r="AH24" s="356"/>
      <c r="AI24" s="317"/>
      <c r="AJ24" s="347"/>
      <c r="AK24" s="354"/>
      <c r="AL24" s="355">
        <v>33220531</v>
      </c>
      <c r="AM24" s="356"/>
      <c r="AN24" s="317"/>
      <c r="AO24" s="347"/>
      <c r="AP24" s="354"/>
      <c r="AQ24" s="355">
        <v>28605582</v>
      </c>
      <c r="AR24" s="356"/>
      <c r="AS24" s="317"/>
      <c r="AT24" s="347"/>
      <c r="AU24" s="354"/>
      <c r="AV24" s="355">
        <v>0</v>
      </c>
      <c r="AW24" s="356"/>
      <c r="AX24" s="317"/>
      <c r="AY24" s="347"/>
      <c r="AZ24" s="354"/>
      <c r="BA24" s="355">
        <v>0</v>
      </c>
      <c r="BB24" s="356"/>
      <c r="BC24" s="317"/>
      <c r="BD24" s="347"/>
      <c r="BE24" s="354"/>
      <c r="BF24" s="355">
        <v>0</v>
      </c>
      <c r="BG24" s="356"/>
      <c r="BH24" s="317"/>
      <c r="BI24" s="347"/>
      <c r="BJ24" s="354"/>
      <c r="BK24" s="355">
        <v>0</v>
      </c>
      <c r="BL24" s="356"/>
      <c r="BM24" s="317"/>
      <c r="BN24" s="347"/>
      <c r="BO24" s="354"/>
      <c r="BP24" s="355">
        <v>0</v>
      </c>
      <c r="BQ24" s="356"/>
      <c r="BR24" s="317"/>
      <c r="BS24" s="347"/>
      <c r="BT24" s="354"/>
      <c r="BU24" s="355">
        <v>205902833</v>
      </c>
      <c r="BV24" s="355"/>
      <c r="BW24" s="347"/>
      <c r="BX24" s="354"/>
      <c r="BY24" s="359">
        <v>228559729</v>
      </c>
      <c r="BZ24" s="356"/>
      <c r="CA24" s="317"/>
      <c r="CB24" s="347"/>
      <c r="CC24" s="354"/>
      <c r="CD24" s="355">
        <v>26533639</v>
      </c>
      <c r="CE24" s="356"/>
      <c r="CF24" s="317"/>
      <c r="CG24" s="347"/>
      <c r="CH24" s="354"/>
      <c r="CI24" s="355">
        <v>26055503</v>
      </c>
      <c r="CJ24" s="356"/>
      <c r="CK24" s="317"/>
      <c r="CL24" s="347"/>
      <c r="CM24" s="354"/>
      <c r="CN24" s="355">
        <v>23681234</v>
      </c>
      <c r="CO24" s="356"/>
      <c r="CP24" s="317"/>
      <c r="CQ24" s="347"/>
      <c r="CR24" s="354"/>
      <c r="CS24" s="355">
        <v>28661100</v>
      </c>
      <c r="CT24" s="356"/>
      <c r="CU24" s="317"/>
      <c r="CV24" s="347"/>
      <c r="CW24" s="354"/>
      <c r="CX24" s="355">
        <v>23342406</v>
      </c>
      <c r="CY24" s="356"/>
      <c r="CZ24" s="317"/>
      <c r="DA24" s="347"/>
      <c r="DB24" s="354"/>
      <c r="DC24" s="355">
        <v>21441003</v>
      </c>
      <c r="DD24" s="356"/>
      <c r="DE24" s="317"/>
      <c r="DF24" s="347"/>
      <c r="DG24" s="354"/>
      <c r="DH24" s="355">
        <v>27882872</v>
      </c>
      <c r="DI24" s="356"/>
      <c r="DJ24" s="317"/>
      <c r="DK24" s="347"/>
      <c r="DL24" s="354"/>
      <c r="DM24" s="355">
        <v>19576600</v>
      </c>
      <c r="DN24" s="356"/>
      <c r="DO24" s="317"/>
      <c r="DP24" s="347"/>
      <c r="DQ24" s="354"/>
      <c r="DR24" s="355">
        <v>20282793</v>
      </c>
      <c r="DS24" s="356"/>
      <c r="DT24" s="317"/>
      <c r="DU24" s="347"/>
      <c r="DV24" s="354"/>
      <c r="DW24" s="355">
        <v>-39151262</v>
      </c>
      <c r="DX24" s="356"/>
      <c r="DY24" s="317"/>
      <c r="DZ24" s="347"/>
      <c r="EA24" s="354"/>
      <c r="EB24" s="355">
        <v>25073273</v>
      </c>
      <c r="EC24" s="356"/>
      <c r="ED24" s="317"/>
      <c r="EE24" s="347"/>
      <c r="EF24" s="354"/>
      <c r="EG24" s="355">
        <v>25180568</v>
      </c>
      <c r="EH24" s="356"/>
      <c r="EI24" s="317"/>
      <c r="EJ24" s="347"/>
      <c r="EK24" s="354"/>
      <c r="EL24" s="355">
        <v>177597757</v>
      </c>
      <c r="EM24" s="356"/>
      <c r="EN24" s="317"/>
      <c r="EO24" s="340"/>
      <c r="ER24" s="39"/>
      <c r="ES24" s="39"/>
      <c r="ET24" s="39"/>
    </row>
    <row r="25" spans="1:150" x14ac:dyDescent="0.2">
      <c r="A25" s="317"/>
      <c r="B25" s="317"/>
      <c r="C25" s="340" t="s">
        <v>143</v>
      </c>
      <c r="D25" s="317"/>
      <c r="E25" s="380" t="s">
        <v>144</v>
      </c>
      <c r="F25" s="381"/>
      <c r="G25" s="381"/>
      <c r="H25" s="364">
        <v>344012000</v>
      </c>
      <c r="I25" s="363"/>
      <c r="J25" s="317"/>
      <c r="K25" s="347"/>
      <c r="L25" s="347"/>
      <c r="M25" s="364">
        <v>23849866</v>
      </c>
      <c r="N25" s="363"/>
      <c r="O25" s="317"/>
      <c r="P25" s="347"/>
      <c r="Q25" s="347"/>
      <c r="R25" s="364">
        <v>30102790</v>
      </c>
      <c r="S25" s="363"/>
      <c r="T25" s="317"/>
      <c r="U25" s="347"/>
      <c r="V25" s="347"/>
      <c r="W25" s="364">
        <v>29395127</v>
      </c>
      <c r="X25" s="363"/>
      <c r="Y25" s="317"/>
      <c r="Z25" s="347"/>
      <c r="AA25" s="347"/>
      <c r="AB25" s="364">
        <v>52376510</v>
      </c>
      <c r="AC25" s="363"/>
      <c r="AD25" s="317"/>
      <c r="AE25" s="347"/>
      <c r="AF25" s="347"/>
      <c r="AG25" s="364">
        <v>35558950</v>
      </c>
      <c r="AH25" s="363"/>
      <c r="AI25" s="317"/>
      <c r="AJ25" s="347"/>
      <c r="AK25" s="347"/>
      <c r="AL25" s="364">
        <v>38933593</v>
      </c>
      <c r="AM25" s="363"/>
      <c r="AN25" s="317"/>
      <c r="AO25" s="347"/>
      <c r="AP25" s="347"/>
      <c r="AQ25" s="364">
        <v>34472211</v>
      </c>
      <c r="AR25" s="363"/>
      <c r="AS25" s="317"/>
      <c r="AT25" s="347"/>
      <c r="AU25" s="347"/>
      <c r="AV25" s="364">
        <v>0</v>
      </c>
      <c r="AW25" s="363"/>
      <c r="AX25" s="317"/>
      <c r="AY25" s="347"/>
      <c r="AZ25" s="347"/>
      <c r="BA25" s="364">
        <v>0</v>
      </c>
      <c r="BB25" s="363"/>
      <c r="BC25" s="317"/>
      <c r="BD25" s="347"/>
      <c r="BE25" s="347"/>
      <c r="BF25" s="364">
        <v>0</v>
      </c>
      <c r="BG25" s="363"/>
      <c r="BH25" s="317"/>
      <c r="BI25" s="347"/>
      <c r="BJ25" s="347"/>
      <c r="BK25" s="364">
        <v>0</v>
      </c>
      <c r="BL25" s="363"/>
      <c r="BM25" s="317"/>
      <c r="BN25" s="347"/>
      <c r="BO25" s="347"/>
      <c r="BP25" s="364">
        <v>0</v>
      </c>
      <c r="BQ25" s="363"/>
      <c r="BR25" s="317"/>
      <c r="BS25" s="347"/>
      <c r="BT25" s="347"/>
      <c r="BU25" s="364">
        <v>244689047</v>
      </c>
      <c r="BV25" s="317"/>
      <c r="BW25" s="347"/>
      <c r="BX25" s="347"/>
      <c r="BY25" s="362">
        <v>337762752</v>
      </c>
      <c r="BZ25" s="363"/>
      <c r="CA25" s="317"/>
      <c r="CB25" s="347"/>
      <c r="CC25" s="347"/>
      <c r="CD25" s="364">
        <v>32347333</v>
      </c>
      <c r="CE25" s="363"/>
      <c r="CF25" s="317"/>
      <c r="CG25" s="347"/>
      <c r="CH25" s="347"/>
      <c r="CI25" s="364">
        <v>30897412</v>
      </c>
      <c r="CJ25" s="363"/>
      <c r="CK25" s="317"/>
      <c r="CL25" s="347"/>
      <c r="CM25" s="347"/>
      <c r="CN25" s="364">
        <v>27576195</v>
      </c>
      <c r="CO25" s="363"/>
      <c r="CP25" s="317"/>
      <c r="CQ25" s="347"/>
      <c r="CR25" s="347"/>
      <c r="CS25" s="364">
        <v>32976789</v>
      </c>
      <c r="CT25" s="363"/>
      <c r="CU25" s="317"/>
      <c r="CV25" s="347"/>
      <c r="CW25" s="347"/>
      <c r="CX25" s="364">
        <v>27670253</v>
      </c>
      <c r="CY25" s="363"/>
      <c r="CZ25" s="317"/>
      <c r="DA25" s="347"/>
      <c r="DB25" s="347"/>
      <c r="DC25" s="364">
        <v>25324462</v>
      </c>
      <c r="DD25" s="363"/>
      <c r="DE25" s="317"/>
      <c r="DF25" s="347"/>
      <c r="DG25" s="347"/>
      <c r="DH25" s="364">
        <v>33828275</v>
      </c>
      <c r="DI25" s="363"/>
      <c r="DJ25" s="317"/>
      <c r="DK25" s="347"/>
      <c r="DL25" s="347"/>
      <c r="DM25" s="364">
        <v>23303905</v>
      </c>
      <c r="DN25" s="363"/>
      <c r="DO25" s="317"/>
      <c r="DP25" s="347"/>
      <c r="DQ25" s="347"/>
      <c r="DR25" s="364">
        <v>24962859</v>
      </c>
      <c r="DS25" s="363"/>
      <c r="DT25" s="317"/>
      <c r="DU25" s="347"/>
      <c r="DV25" s="347"/>
      <c r="DW25" s="364">
        <v>21654275</v>
      </c>
      <c r="DX25" s="363"/>
      <c r="DY25" s="317"/>
      <c r="DZ25" s="347"/>
      <c r="EA25" s="347"/>
      <c r="EB25" s="364">
        <v>28691924</v>
      </c>
      <c r="EC25" s="363"/>
      <c r="ED25" s="317"/>
      <c r="EE25" s="347"/>
      <c r="EF25" s="347"/>
      <c r="EG25" s="364">
        <v>28529070</v>
      </c>
      <c r="EH25" s="363"/>
      <c r="EI25" s="317"/>
      <c r="EJ25" s="347"/>
      <c r="EK25" s="347"/>
      <c r="EL25" s="364">
        <v>210620719</v>
      </c>
      <c r="EM25" s="363"/>
      <c r="EN25" s="317"/>
      <c r="EO25" s="340"/>
      <c r="ER25" s="39"/>
      <c r="ES25" s="39"/>
      <c r="ET25" s="39"/>
    </row>
    <row r="26" spans="1:150" x14ac:dyDescent="0.2">
      <c r="A26" s="317"/>
      <c r="B26" s="317"/>
      <c r="C26" s="340" t="s">
        <v>145</v>
      </c>
      <c r="D26" s="317"/>
      <c r="E26" s="380" t="s">
        <v>144</v>
      </c>
      <c r="F26" s="381"/>
      <c r="G26" s="381"/>
      <c r="H26" s="365">
        <v>-44612000</v>
      </c>
      <c r="I26" s="363"/>
      <c r="J26" s="317"/>
      <c r="K26" s="347"/>
      <c r="L26" s="347"/>
      <c r="M26" s="365">
        <v>-3357671</v>
      </c>
      <c r="N26" s="363"/>
      <c r="O26" s="317"/>
      <c r="P26" s="347"/>
      <c r="Q26" s="347"/>
      <c r="R26" s="365">
        <v>-4348042</v>
      </c>
      <c r="S26" s="363"/>
      <c r="T26" s="317"/>
      <c r="U26" s="347"/>
      <c r="V26" s="347"/>
      <c r="W26" s="365">
        <v>-5199615</v>
      </c>
      <c r="X26" s="363"/>
      <c r="Y26" s="317"/>
      <c r="Z26" s="347"/>
      <c r="AA26" s="347"/>
      <c r="AB26" s="365">
        <v>-6163152</v>
      </c>
      <c r="AC26" s="363"/>
      <c r="AD26" s="317"/>
      <c r="AE26" s="347"/>
      <c r="AF26" s="347"/>
      <c r="AG26" s="365">
        <v>-5523545</v>
      </c>
      <c r="AH26" s="363"/>
      <c r="AI26" s="317"/>
      <c r="AJ26" s="347"/>
      <c r="AK26" s="347"/>
      <c r="AL26" s="365">
        <v>-5238994</v>
      </c>
      <c r="AM26" s="363"/>
      <c r="AN26" s="317"/>
      <c r="AO26" s="347"/>
      <c r="AP26" s="347"/>
      <c r="AQ26" s="365">
        <v>-5173710</v>
      </c>
      <c r="AR26" s="363"/>
      <c r="AS26" s="317"/>
      <c r="AT26" s="347"/>
      <c r="AU26" s="347"/>
      <c r="AV26" s="365">
        <v>0</v>
      </c>
      <c r="AW26" s="363"/>
      <c r="AX26" s="317"/>
      <c r="AY26" s="347"/>
      <c r="AZ26" s="347"/>
      <c r="BA26" s="365">
        <v>0</v>
      </c>
      <c r="BB26" s="363"/>
      <c r="BC26" s="317"/>
      <c r="BD26" s="347"/>
      <c r="BE26" s="347"/>
      <c r="BF26" s="365">
        <v>0</v>
      </c>
      <c r="BG26" s="363"/>
      <c r="BH26" s="317"/>
      <c r="BI26" s="347"/>
      <c r="BJ26" s="347"/>
      <c r="BK26" s="365">
        <v>0</v>
      </c>
      <c r="BL26" s="363"/>
      <c r="BM26" s="317"/>
      <c r="BN26" s="347"/>
      <c r="BO26" s="347"/>
      <c r="BP26" s="365">
        <v>0</v>
      </c>
      <c r="BQ26" s="363"/>
      <c r="BR26" s="317"/>
      <c r="BS26" s="347"/>
      <c r="BT26" s="347"/>
      <c r="BU26" s="365">
        <v>-35004729</v>
      </c>
      <c r="BV26" s="317"/>
      <c r="BW26" s="347"/>
      <c r="BX26" s="347"/>
      <c r="BY26" s="366">
        <v>-47829626</v>
      </c>
      <c r="BZ26" s="363"/>
      <c r="CA26" s="317"/>
      <c r="CB26" s="347"/>
      <c r="CC26" s="347"/>
      <c r="CD26" s="365">
        <v>-5645039</v>
      </c>
      <c r="CE26" s="363"/>
      <c r="CF26" s="317"/>
      <c r="CG26" s="347"/>
      <c r="CH26" s="347"/>
      <c r="CI26" s="365">
        <v>-4477496</v>
      </c>
      <c r="CJ26" s="363"/>
      <c r="CK26" s="317"/>
      <c r="CL26" s="347"/>
      <c r="CM26" s="347"/>
      <c r="CN26" s="365">
        <v>-3697051</v>
      </c>
      <c r="CO26" s="363"/>
      <c r="CP26" s="317"/>
      <c r="CQ26" s="347"/>
      <c r="CR26" s="347"/>
      <c r="CS26" s="365">
        <v>-4028774</v>
      </c>
      <c r="CT26" s="363"/>
      <c r="CU26" s="317"/>
      <c r="CV26" s="347"/>
      <c r="CW26" s="347"/>
      <c r="CX26" s="365">
        <v>-4063950</v>
      </c>
      <c r="CY26" s="363"/>
      <c r="CZ26" s="317"/>
      <c r="DA26" s="347"/>
      <c r="DB26" s="347"/>
      <c r="DC26" s="365">
        <v>-3732222</v>
      </c>
      <c r="DD26" s="363"/>
      <c r="DE26" s="317"/>
      <c r="DF26" s="347"/>
      <c r="DG26" s="347"/>
      <c r="DH26" s="365">
        <v>-5478270</v>
      </c>
      <c r="DI26" s="363"/>
      <c r="DJ26" s="317"/>
      <c r="DK26" s="347"/>
      <c r="DL26" s="347"/>
      <c r="DM26" s="365">
        <v>-3339881</v>
      </c>
      <c r="DN26" s="363"/>
      <c r="DO26" s="317"/>
      <c r="DP26" s="347"/>
      <c r="DQ26" s="347"/>
      <c r="DR26" s="365">
        <v>-4186870</v>
      </c>
      <c r="DS26" s="363"/>
      <c r="DT26" s="317"/>
      <c r="DU26" s="347"/>
      <c r="DV26" s="347"/>
      <c r="DW26" s="365">
        <v>-2875651</v>
      </c>
      <c r="DX26" s="363"/>
      <c r="DY26" s="317"/>
      <c r="DZ26" s="347"/>
      <c r="EA26" s="347"/>
      <c r="EB26" s="365">
        <v>-3208682</v>
      </c>
      <c r="EC26" s="363"/>
      <c r="ED26" s="317"/>
      <c r="EE26" s="347"/>
      <c r="EF26" s="347"/>
      <c r="EG26" s="365">
        <v>-3095740</v>
      </c>
      <c r="EH26" s="363"/>
      <c r="EI26" s="317"/>
      <c r="EJ26" s="347"/>
      <c r="EK26" s="347"/>
      <c r="EL26" s="365">
        <v>-31122802</v>
      </c>
      <c r="EM26" s="363"/>
      <c r="EN26" s="317"/>
      <c r="EO26" s="340"/>
      <c r="ER26" s="39"/>
      <c r="ES26" s="39"/>
      <c r="ET26" s="39"/>
    </row>
    <row r="27" spans="1:150" x14ac:dyDescent="0.2">
      <c r="A27" s="317"/>
      <c r="B27" s="317"/>
      <c r="C27" s="340" t="s">
        <v>146</v>
      </c>
      <c r="D27" s="317"/>
      <c r="E27" s="380" t="s">
        <v>147</v>
      </c>
      <c r="F27" s="381"/>
      <c r="G27" s="381"/>
      <c r="H27" s="368">
        <v>-71712000</v>
      </c>
      <c r="I27" s="363"/>
      <c r="J27" s="317"/>
      <c r="K27" s="347"/>
      <c r="L27" s="347"/>
      <c r="M27" s="368">
        <v>-513949</v>
      </c>
      <c r="N27" s="363"/>
      <c r="O27" s="317"/>
      <c r="P27" s="347"/>
      <c r="Q27" s="347"/>
      <c r="R27" s="365">
        <v>-384648</v>
      </c>
      <c r="S27" s="363"/>
      <c r="T27" s="317"/>
      <c r="U27" s="347"/>
      <c r="V27" s="347"/>
      <c r="W27" s="365">
        <v>-416656</v>
      </c>
      <c r="X27" s="363"/>
      <c r="Y27" s="317"/>
      <c r="Z27" s="347"/>
      <c r="AA27" s="347"/>
      <c r="AB27" s="365">
        <v>-496510</v>
      </c>
      <c r="AC27" s="363"/>
      <c r="AD27" s="317"/>
      <c r="AE27" s="347"/>
      <c r="AF27" s="347"/>
      <c r="AG27" s="365">
        <v>-802735</v>
      </c>
      <c r="AH27" s="363"/>
      <c r="AI27" s="317"/>
      <c r="AJ27" s="347"/>
      <c r="AK27" s="347"/>
      <c r="AL27" s="368">
        <v>-474068</v>
      </c>
      <c r="AM27" s="363"/>
      <c r="AN27" s="317"/>
      <c r="AO27" s="347"/>
      <c r="AP27" s="347"/>
      <c r="AQ27" s="368">
        <v>-692919</v>
      </c>
      <c r="AR27" s="363"/>
      <c r="AS27" s="317"/>
      <c r="AT27" s="347"/>
      <c r="AU27" s="347"/>
      <c r="AV27" s="368">
        <v>0</v>
      </c>
      <c r="AW27" s="363"/>
      <c r="AX27" s="317"/>
      <c r="AY27" s="347"/>
      <c r="AZ27" s="347"/>
      <c r="BA27" s="368">
        <v>0</v>
      </c>
      <c r="BB27" s="363"/>
      <c r="BC27" s="317"/>
      <c r="BD27" s="347"/>
      <c r="BE27" s="347"/>
      <c r="BF27" s="368">
        <v>0</v>
      </c>
      <c r="BG27" s="363"/>
      <c r="BH27" s="317"/>
      <c r="BI27" s="347"/>
      <c r="BJ27" s="347"/>
      <c r="BK27" s="368">
        <v>0</v>
      </c>
      <c r="BL27" s="363"/>
      <c r="BM27" s="317"/>
      <c r="BN27" s="347"/>
      <c r="BO27" s="347"/>
      <c r="BP27" s="367">
        <v>0</v>
      </c>
      <c r="BQ27" s="363"/>
      <c r="BR27" s="317"/>
      <c r="BS27" s="347"/>
      <c r="BT27" s="347"/>
      <c r="BU27" s="368">
        <v>-3781485</v>
      </c>
      <c r="BV27" s="317"/>
      <c r="BW27" s="347"/>
      <c r="BX27" s="347"/>
      <c r="BY27" s="367">
        <v>-61373397</v>
      </c>
      <c r="BZ27" s="363"/>
      <c r="CA27" s="317"/>
      <c r="CB27" s="347"/>
      <c r="CC27" s="347"/>
      <c r="CD27" s="367">
        <v>-168655</v>
      </c>
      <c r="CE27" s="363"/>
      <c r="CF27" s="317"/>
      <c r="CG27" s="347"/>
      <c r="CH27" s="347"/>
      <c r="CI27" s="367">
        <v>-364413</v>
      </c>
      <c r="CJ27" s="363"/>
      <c r="CK27" s="317"/>
      <c r="CL27" s="347"/>
      <c r="CM27" s="347"/>
      <c r="CN27" s="365">
        <v>-197910</v>
      </c>
      <c r="CO27" s="363"/>
      <c r="CP27" s="317"/>
      <c r="CQ27" s="347"/>
      <c r="CR27" s="347"/>
      <c r="CS27" s="365">
        <v>-286915</v>
      </c>
      <c r="CT27" s="363"/>
      <c r="CU27" s="317"/>
      <c r="CV27" s="347"/>
      <c r="CW27" s="347"/>
      <c r="CX27" s="365">
        <v>-263897</v>
      </c>
      <c r="CY27" s="363"/>
      <c r="CZ27" s="317"/>
      <c r="DA27" s="347"/>
      <c r="DB27" s="347"/>
      <c r="DC27" s="368">
        <v>-151237</v>
      </c>
      <c r="DD27" s="363"/>
      <c r="DE27" s="317"/>
      <c r="DF27" s="347"/>
      <c r="DG27" s="347"/>
      <c r="DH27" s="368">
        <v>-467133</v>
      </c>
      <c r="DI27" s="363"/>
      <c r="DJ27" s="317"/>
      <c r="DK27" s="347"/>
      <c r="DL27" s="347"/>
      <c r="DM27" s="368">
        <v>-387424</v>
      </c>
      <c r="DN27" s="363"/>
      <c r="DO27" s="317"/>
      <c r="DP27" s="347"/>
      <c r="DQ27" s="347"/>
      <c r="DR27" s="367">
        <v>-493196</v>
      </c>
      <c r="DS27" s="363"/>
      <c r="DT27" s="317"/>
      <c r="DU27" s="347"/>
      <c r="DV27" s="347"/>
      <c r="DW27" s="368">
        <v>-57929886</v>
      </c>
      <c r="DX27" s="363"/>
      <c r="DY27" s="317"/>
      <c r="DZ27" s="347"/>
      <c r="EA27" s="347"/>
      <c r="EB27" s="367">
        <v>-409969</v>
      </c>
      <c r="EC27" s="363"/>
      <c r="ED27" s="317"/>
      <c r="EE27" s="347"/>
      <c r="EF27" s="347"/>
      <c r="EG27" s="367">
        <v>-252762</v>
      </c>
      <c r="EH27" s="363"/>
      <c r="EI27" s="317"/>
      <c r="EJ27" s="347"/>
      <c r="EK27" s="347"/>
      <c r="EL27" s="368">
        <v>-1900160</v>
      </c>
      <c r="EM27" s="363"/>
      <c r="EN27" s="317"/>
      <c r="EO27" s="340"/>
      <c r="ER27" s="39"/>
      <c r="ES27" s="39"/>
      <c r="ET27" s="39"/>
    </row>
    <row r="28" spans="1:150" hidden="1" x14ac:dyDescent="0.2">
      <c r="A28" s="317"/>
      <c r="B28" s="317"/>
      <c r="C28" s="340" t="s">
        <v>148</v>
      </c>
      <c r="D28" s="317"/>
      <c r="E28" s="380">
        <v>4.2</v>
      </c>
      <c r="F28" s="381"/>
      <c r="G28" s="381"/>
      <c r="H28" s="368">
        <v>0</v>
      </c>
      <c r="I28" s="363"/>
      <c r="J28" s="317"/>
      <c r="K28" s="347"/>
      <c r="L28" s="347"/>
      <c r="M28" s="368">
        <v>0</v>
      </c>
      <c r="N28" s="363"/>
      <c r="O28" s="317"/>
      <c r="P28" s="347"/>
      <c r="Q28" s="347"/>
      <c r="R28" s="368">
        <v>0</v>
      </c>
      <c r="S28" s="363"/>
      <c r="T28" s="317"/>
      <c r="U28" s="347"/>
      <c r="V28" s="347"/>
      <c r="W28" s="368">
        <v>0</v>
      </c>
      <c r="X28" s="363"/>
      <c r="Y28" s="317"/>
      <c r="Z28" s="347"/>
      <c r="AA28" s="347"/>
      <c r="AB28" s="368">
        <v>0</v>
      </c>
      <c r="AC28" s="363"/>
      <c r="AD28" s="317"/>
      <c r="AE28" s="347"/>
      <c r="AF28" s="347"/>
      <c r="AG28" s="368">
        <v>0</v>
      </c>
      <c r="AH28" s="363"/>
      <c r="AI28" s="317"/>
      <c r="AJ28" s="347"/>
      <c r="AK28" s="347"/>
      <c r="AL28" s="368">
        <v>0</v>
      </c>
      <c r="AM28" s="363"/>
      <c r="AN28" s="317"/>
      <c r="AO28" s="347"/>
      <c r="AP28" s="347"/>
      <c r="AQ28" s="368">
        <v>0</v>
      </c>
      <c r="AR28" s="363"/>
      <c r="AS28" s="317"/>
      <c r="AT28" s="347"/>
      <c r="AU28" s="347"/>
      <c r="AV28" s="368">
        <v>0</v>
      </c>
      <c r="AW28" s="363"/>
      <c r="AX28" s="317"/>
      <c r="AY28" s="347"/>
      <c r="AZ28" s="347"/>
      <c r="BA28" s="368">
        <v>0</v>
      </c>
      <c r="BB28" s="363"/>
      <c r="BC28" s="317"/>
      <c r="BD28" s="347"/>
      <c r="BE28" s="347"/>
      <c r="BF28" s="368">
        <v>0</v>
      </c>
      <c r="BG28" s="363"/>
      <c r="BH28" s="317"/>
      <c r="BI28" s="347"/>
      <c r="BJ28" s="347"/>
      <c r="BK28" s="368">
        <v>0</v>
      </c>
      <c r="BL28" s="363"/>
      <c r="BM28" s="317"/>
      <c r="BN28" s="347"/>
      <c r="BO28" s="347"/>
      <c r="BP28" s="368">
        <v>0</v>
      </c>
      <c r="BQ28" s="363"/>
      <c r="BR28" s="317"/>
      <c r="BS28" s="347"/>
      <c r="BT28" s="347"/>
      <c r="BU28" s="368">
        <v>0</v>
      </c>
      <c r="BV28" s="317"/>
      <c r="BW28" s="347"/>
      <c r="BX28" s="347"/>
      <c r="BY28" s="367">
        <v>0</v>
      </c>
      <c r="BZ28" s="363"/>
      <c r="CA28" s="317"/>
      <c r="CB28" s="347"/>
      <c r="CC28" s="347"/>
      <c r="CD28" s="368">
        <v>0</v>
      </c>
      <c r="CE28" s="363"/>
      <c r="CF28" s="317"/>
      <c r="CG28" s="347"/>
      <c r="CH28" s="347"/>
      <c r="CI28" s="368">
        <v>0</v>
      </c>
      <c r="CJ28" s="363"/>
      <c r="CK28" s="317"/>
      <c r="CL28" s="347"/>
      <c r="CM28" s="347"/>
      <c r="CN28" s="368">
        <v>0</v>
      </c>
      <c r="CO28" s="363"/>
      <c r="CP28" s="317"/>
      <c r="CQ28" s="347"/>
      <c r="CR28" s="347"/>
      <c r="CS28" s="368">
        <v>0</v>
      </c>
      <c r="CT28" s="363"/>
      <c r="CU28" s="317"/>
      <c r="CV28" s="347"/>
      <c r="CW28" s="347"/>
      <c r="CX28" s="368">
        <v>0</v>
      </c>
      <c r="CY28" s="363"/>
      <c r="CZ28" s="317"/>
      <c r="DA28" s="347"/>
      <c r="DB28" s="347"/>
      <c r="DC28" s="368">
        <v>0</v>
      </c>
      <c r="DD28" s="363"/>
      <c r="DE28" s="317"/>
      <c r="DF28" s="347"/>
      <c r="DG28" s="347"/>
      <c r="DH28" s="368">
        <v>0</v>
      </c>
      <c r="DI28" s="363"/>
      <c r="DJ28" s="317"/>
      <c r="DK28" s="347"/>
      <c r="DL28" s="347"/>
      <c r="DM28" s="368">
        <v>0</v>
      </c>
      <c r="DN28" s="363"/>
      <c r="DO28" s="317"/>
      <c r="DP28" s="347"/>
      <c r="DQ28" s="347"/>
      <c r="DR28" s="368">
        <v>0</v>
      </c>
      <c r="DS28" s="363"/>
      <c r="DT28" s="317"/>
      <c r="DU28" s="347"/>
      <c r="DV28" s="347"/>
      <c r="DW28" s="368">
        <v>0</v>
      </c>
      <c r="DX28" s="363"/>
      <c r="DY28" s="317"/>
      <c r="DZ28" s="347"/>
      <c r="EA28" s="347"/>
      <c r="EB28" s="368">
        <v>0</v>
      </c>
      <c r="EC28" s="363"/>
      <c r="ED28" s="317"/>
      <c r="EE28" s="347"/>
      <c r="EF28" s="347"/>
      <c r="EG28" s="368">
        <v>0</v>
      </c>
      <c r="EH28" s="363"/>
      <c r="EI28" s="317"/>
      <c r="EJ28" s="347"/>
      <c r="EK28" s="347"/>
      <c r="EL28" s="368">
        <v>0</v>
      </c>
      <c r="EM28" s="363"/>
      <c r="EN28" s="317"/>
      <c r="EO28" s="340"/>
      <c r="ER28" s="39"/>
      <c r="ES28" s="39"/>
      <c r="ET28" s="39"/>
    </row>
    <row r="29" spans="1:150" x14ac:dyDescent="0.2">
      <c r="A29" s="317"/>
      <c r="B29" s="317"/>
      <c r="C29" s="340"/>
      <c r="D29" s="317"/>
      <c r="E29" s="382"/>
      <c r="F29" s="383"/>
      <c r="G29" s="383"/>
      <c r="H29" s="317"/>
      <c r="I29" s="363"/>
      <c r="J29" s="317"/>
      <c r="K29" s="347"/>
      <c r="L29" s="347"/>
      <c r="M29" s="317"/>
      <c r="N29" s="363"/>
      <c r="O29" s="317"/>
      <c r="P29" s="347"/>
      <c r="Q29" s="347"/>
      <c r="R29" s="355"/>
      <c r="S29" s="363"/>
      <c r="T29" s="317"/>
      <c r="U29" s="347"/>
      <c r="V29" s="347"/>
      <c r="W29" s="355"/>
      <c r="X29" s="363"/>
      <c r="Y29" s="317"/>
      <c r="Z29" s="347"/>
      <c r="AA29" s="347"/>
      <c r="AB29" s="355"/>
      <c r="AC29" s="363"/>
      <c r="AD29" s="317"/>
      <c r="AE29" s="347"/>
      <c r="AF29" s="347"/>
      <c r="AG29" s="355"/>
      <c r="AH29" s="363"/>
      <c r="AI29" s="317"/>
      <c r="AJ29" s="347"/>
      <c r="AK29" s="347"/>
      <c r="AL29" s="317"/>
      <c r="AM29" s="363"/>
      <c r="AN29" s="317"/>
      <c r="AO29" s="347"/>
      <c r="AP29" s="347"/>
      <c r="AQ29" s="317"/>
      <c r="AR29" s="363"/>
      <c r="AS29" s="317"/>
      <c r="AT29" s="347"/>
      <c r="AU29" s="347"/>
      <c r="AV29" s="317"/>
      <c r="AW29" s="363"/>
      <c r="AX29" s="317"/>
      <c r="AY29" s="347"/>
      <c r="AZ29" s="347"/>
      <c r="BA29" s="317"/>
      <c r="BB29" s="363"/>
      <c r="BC29" s="317"/>
      <c r="BD29" s="347"/>
      <c r="BE29" s="347"/>
      <c r="BF29" s="317"/>
      <c r="BG29" s="363"/>
      <c r="BH29" s="317"/>
      <c r="BI29" s="347"/>
      <c r="BJ29" s="347"/>
      <c r="BK29" s="317"/>
      <c r="BL29" s="363"/>
      <c r="BM29" s="317"/>
      <c r="BN29" s="347"/>
      <c r="BO29" s="347"/>
      <c r="BP29" s="317"/>
      <c r="BQ29" s="363"/>
      <c r="BR29" s="317"/>
      <c r="BS29" s="347"/>
      <c r="BT29" s="347"/>
      <c r="BU29" s="317"/>
      <c r="BV29" s="317"/>
      <c r="BW29" s="347"/>
      <c r="BX29" s="347"/>
      <c r="BY29" s="369"/>
      <c r="BZ29" s="363"/>
      <c r="CA29" s="317"/>
      <c r="CB29" s="347"/>
      <c r="CC29" s="347"/>
      <c r="CD29" s="317"/>
      <c r="CE29" s="363"/>
      <c r="CF29" s="317"/>
      <c r="CG29" s="347"/>
      <c r="CH29" s="347"/>
      <c r="CI29" s="317"/>
      <c r="CJ29" s="363"/>
      <c r="CK29" s="317"/>
      <c r="CL29" s="347"/>
      <c r="CM29" s="347"/>
      <c r="CN29" s="355"/>
      <c r="CO29" s="363"/>
      <c r="CP29" s="317"/>
      <c r="CQ29" s="347"/>
      <c r="CR29" s="347"/>
      <c r="CS29" s="355"/>
      <c r="CT29" s="363"/>
      <c r="CU29" s="317"/>
      <c r="CV29" s="347"/>
      <c r="CW29" s="347"/>
      <c r="CX29" s="355"/>
      <c r="CY29" s="363"/>
      <c r="CZ29" s="317"/>
      <c r="DA29" s="347"/>
      <c r="DB29" s="347"/>
      <c r="DC29" s="317"/>
      <c r="DD29" s="363"/>
      <c r="DE29" s="317"/>
      <c r="DF29" s="347"/>
      <c r="DG29" s="347"/>
      <c r="DH29" s="317"/>
      <c r="DI29" s="363"/>
      <c r="DJ29" s="317"/>
      <c r="DK29" s="347"/>
      <c r="DL29" s="347"/>
      <c r="DM29" s="317"/>
      <c r="DN29" s="363"/>
      <c r="DO29" s="317"/>
      <c r="DP29" s="347"/>
      <c r="DQ29" s="347"/>
      <c r="DR29" s="317"/>
      <c r="DS29" s="363"/>
      <c r="DT29" s="317"/>
      <c r="DU29" s="347"/>
      <c r="DV29" s="347"/>
      <c r="DW29" s="317"/>
      <c r="DX29" s="363"/>
      <c r="DY29" s="317"/>
      <c r="DZ29" s="347"/>
      <c r="EA29" s="347"/>
      <c r="EB29" s="317"/>
      <c r="EC29" s="363"/>
      <c r="ED29" s="317"/>
      <c r="EE29" s="347"/>
      <c r="EF29" s="347"/>
      <c r="EG29" s="317"/>
      <c r="EH29" s="363"/>
      <c r="EI29" s="317"/>
      <c r="EJ29" s="347"/>
      <c r="EK29" s="347"/>
      <c r="EL29" s="317"/>
      <c r="EM29" s="363"/>
      <c r="EN29" s="317"/>
      <c r="EO29" s="340"/>
      <c r="ER29" s="39"/>
      <c r="ES29" s="39"/>
      <c r="ET29" s="39"/>
    </row>
    <row r="30" spans="1:150" x14ac:dyDescent="0.2">
      <c r="A30" s="317"/>
      <c r="B30" s="317"/>
      <c r="C30" s="340" t="s">
        <v>149</v>
      </c>
      <c r="D30" s="317"/>
      <c r="E30" s="382"/>
      <c r="F30" s="383"/>
      <c r="G30" s="383"/>
      <c r="H30" s="317">
        <v>86514</v>
      </c>
      <c r="I30" s="363"/>
      <c r="J30" s="317"/>
      <c r="K30" s="347"/>
      <c r="L30" s="347"/>
      <c r="M30" s="317">
        <v>37259</v>
      </c>
      <c r="N30" s="363"/>
      <c r="O30" s="317"/>
      <c r="P30" s="347"/>
      <c r="Q30" s="347"/>
      <c r="R30" s="317">
        <v>39042</v>
      </c>
      <c r="S30" s="363"/>
      <c r="T30" s="317"/>
      <c r="U30" s="347"/>
      <c r="V30" s="347"/>
      <c r="W30" s="317">
        <v>10213</v>
      </c>
      <c r="X30" s="363"/>
      <c r="Y30" s="317"/>
      <c r="Z30" s="347"/>
      <c r="AA30" s="347"/>
      <c r="AB30" s="317">
        <v>0</v>
      </c>
      <c r="AC30" s="363"/>
      <c r="AD30" s="317"/>
      <c r="AE30" s="347"/>
      <c r="AF30" s="347"/>
      <c r="AG30" s="317">
        <v>0</v>
      </c>
      <c r="AH30" s="363"/>
      <c r="AI30" s="317"/>
      <c r="AJ30" s="347"/>
      <c r="AK30" s="347"/>
      <c r="AL30" s="317">
        <v>0</v>
      </c>
      <c r="AM30" s="363"/>
      <c r="AN30" s="317"/>
      <c r="AO30" s="347"/>
      <c r="AP30" s="347"/>
      <c r="AQ30" s="317">
        <v>0</v>
      </c>
      <c r="AR30" s="363"/>
      <c r="AS30" s="317"/>
      <c r="AT30" s="347"/>
      <c r="AU30" s="347"/>
      <c r="AV30" s="317">
        <v>0</v>
      </c>
      <c r="AW30" s="363"/>
      <c r="AX30" s="317"/>
      <c r="AY30" s="347"/>
      <c r="AZ30" s="347"/>
      <c r="BA30" s="317">
        <v>0</v>
      </c>
      <c r="BB30" s="363"/>
      <c r="BC30" s="317"/>
      <c r="BD30" s="347"/>
      <c r="BE30" s="347"/>
      <c r="BF30" s="317">
        <v>0</v>
      </c>
      <c r="BG30" s="363"/>
      <c r="BH30" s="317"/>
      <c r="BI30" s="347"/>
      <c r="BJ30" s="347"/>
      <c r="BK30" s="317">
        <v>0</v>
      </c>
      <c r="BL30" s="363"/>
      <c r="BM30" s="317"/>
      <c r="BN30" s="347"/>
      <c r="BO30" s="347"/>
      <c r="BP30" s="317">
        <v>0</v>
      </c>
      <c r="BQ30" s="363"/>
      <c r="BR30" s="317"/>
      <c r="BS30" s="347"/>
      <c r="BT30" s="347"/>
      <c r="BU30" s="317">
        <v>86514</v>
      </c>
      <c r="BV30" s="317"/>
      <c r="BW30" s="347"/>
      <c r="BX30" s="347"/>
      <c r="BY30" s="369">
        <v>361653</v>
      </c>
      <c r="BZ30" s="363"/>
      <c r="CA30" s="317"/>
      <c r="CB30" s="347"/>
      <c r="CC30" s="347"/>
      <c r="CD30" s="317">
        <v>122732</v>
      </c>
      <c r="CE30" s="363"/>
      <c r="CF30" s="317"/>
      <c r="CG30" s="347"/>
      <c r="CH30" s="347"/>
      <c r="CI30" s="317">
        <v>77290</v>
      </c>
      <c r="CJ30" s="363"/>
      <c r="CK30" s="317"/>
      <c r="CL30" s="347"/>
      <c r="CM30" s="347"/>
      <c r="CN30" s="317">
        <v>55675</v>
      </c>
      <c r="CO30" s="363"/>
      <c r="CP30" s="317"/>
      <c r="CQ30" s="347"/>
      <c r="CR30" s="347"/>
      <c r="CS30" s="317">
        <v>19525</v>
      </c>
      <c r="CT30" s="363"/>
      <c r="CU30" s="317"/>
      <c r="CV30" s="347"/>
      <c r="CW30" s="347"/>
      <c r="CX30" s="317">
        <v>115193</v>
      </c>
      <c r="CY30" s="363"/>
      <c r="CZ30" s="317"/>
      <c r="DA30" s="347"/>
      <c r="DB30" s="347"/>
      <c r="DC30" s="317">
        <v>-160044</v>
      </c>
      <c r="DD30" s="363"/>
      <c r="DE30" s="317"/>
      <c r="DF30" s="347"/>
      <c r="DG30" s="347"/>
      <c r="DH30" s="317">
        <v>74963</v>
      </c>
      <c r="DI30" s="363"/>
      <c r="DJ30" s="317"/>
      <c r="DK30" s="347"/>
      <c r="DL30" s="347"/>
      <c r="DM30" s="317">
        <v>28631</v>
      </c>
      <c r="DN30" s="363"/>
      <c r="DO30" s="317"/>
      <c r="DP30" s="347"/>
      <c r="DQ30" s="347"/>
      <c r="DR30" s="317">
        <v>13329</v>
      </c>
      <c r="DS30" s="363"/>
      <c r="DT30" s="317"/>
      <c r="DU30" s="347"/>
      <c r="DV30" s="347"/>
      <c r="DW30" s="317">
        <v>12244</v>
      </c>
      <c r="DX30" s="363"/>
      <c r="DY30" s="317"/>
      <c r="DZ30" s="347"/>
      <c r="EA30" s="347"/>
      <c r="EB30" s="317">
        <v>124085</v>
      </c>
      <c r="EC30" s="363"/>
      <c r="ED30" s="317"/>
      <c r="EE30" s="347"/>
      <c r="EF30" s="347"/>
      <c r="EG30" s="317">
        <v>-121970</v>
      </c>
      <c r="EH30" s="363"/>
      <c r="EI30" s="317"/>
      <c r="EJ30" s="347"/>
      <c r="EK30" s="347"/>
      <c r="EL30" s="317">
        <v>305334</v>
      </c>
      <c r="EM30" s="363"/>
      <c r="EN30" s="317"/>
      <c r="EO30" s="340"/>
      <c r="ER30" s="39"/>
      <c r="ES30" s="39"/>
      <c r="ET30" s="39"/>
    </row>
    <row r="31" spans="1:150" x14ac:dyDescent="0.2">
      <c r="A31" s="317"/>
      <c r="B31" s="317"/>
      <c r="C31" s="340" t="s">
        <v>150</v>
      </c>
      <c r="D31" s="317"/>
      <c r="E31" s="380" t="s">
        <v>144</v>
      </c>
      <c r="F31" s="381"/>
      <c r="G31" s="381"/>
      <c r="H31" s="364">
        <v>8874774</v>
      </c>
      <c r="I31" s="363"/>
      <c r="J31" s="317"/>
      <c r="K31" s="347"/>
      <c r="L31" s="347"/>
      <c r="M31" s="364">
        <v>3409508</v>
      </c>
      <c r="N31" s="363"/>
      <c r="O31" s="317"/>
      <c r="P31" s="347"/>
      <c r="Q31" s="347"/>
      <c r="R31" s="364">
        <v>4054354</v>
      </c>
      <c r="S31" s="363"/>
      <c r="T31" s="317"/>
      <c r="U31" s="347"/>
      <c r="V31" s="347"/>
      <c r="W31" s="364">
        <v>1410912</v>
      </c>
      <c r="X31" s="363"/>
      <c r="Y31" s="317"/>
      <c r="Z31" s="347"/>
      <c r="AA31" s="347"/>
      <c r="AB31" s="364">
        <v>0</v>
      </c>
      <c r="AC31" s="363"/>
      <c r="AD31" s="317"/>
      <c r="AE31" s="347"/>
      <c r="AF31" s="347"/>
      <c r="AG31" s="364">
        <v>0</v>
      </c>
      <c r="AH31" s="363"/>
      <c r="AI31" s="317"/>
      <c r="AJ31" s="347"/>
      <c r="AK31" s="347"/>
      <c r="AL31" s="364">
        <v>0</v>
      </c>
      <c r="AM31" s="363"/>
      <c r="AN31" s="317"/>
      <c r="AO31" s="347"/>
      <c r="AP31" s="347"/>
      <c r="AQ31" s="364">
        <v>0</v>
      </c>
      <c r="AR31" s="363"/>
      <c r="AS31" s="317"/>
      <c r="AT31" s="347"/>
      <c r="AU31" s="347"/>
      <c r="AV31" s="364">
        <v>0</v>
      </c>
      <c r="AW31" s="363"/>
      <c r="AX31" s="317"/>
      <c r="AY31" s="347"/>
      <c r="AZ31" s="347"/>
      <c r="BA31" s="364">
        <v>0</v>
      </c>
      <c r="BB31" s="363"/>
      <c r="BC31" s="317"/>
      <c r="BD31" s="347"/>
      <c r="BE31" s="347"/>
      <c r="BF31" s="364">
        <v>0</v>
      </c>
      <c r="BG31" s="363"/>
      <c r="BH31" s="317"/>
      <c r="BI31" s="347"/>
      <c r="BJ31" s="347"/>
      <c r="BK31" s="364">
        <v>0</v>
      </c>
      <c r="BL31" s="363"/>
      <c r="BM31" s="317"/>
      <c r="BN31" s="347"/>
      <c r="BO31" s="347"/>
      <c r="BP31" s="364">
        <v>0</v>
      </c>
      <c r="BQ31" s="363"/>
      <c r="BR31" s="317"/>
      <c r="BS31" s="347"/>
      <c r="BT31" s="347"/>
      <c r="BU31" s="364">
        <v>8874774</v>
      </c>
      <c r="BV31" s="317"/>
      <c r="BW31" s="347"/>
      <c r="BX31" s="347"/>
      <c r="BY31" s="362">
        <v>53972577</v>
      </c>
      <c r="BZ31" s="363"/>
      <c r="CA31" s="317"/>
      <c r="CB31" s="347"/>
      <c r="CC31" s="347"/>
      <c r="CD31" s="364">
        <v>11663028</v>
      </c>
      <c r="CE31" s="363"/>
      <c r="CF31" s="317"/>
      <c r="CG31" s="347"/>
      <c r="CH31" s="347"/>
      <c r="CI31" s="364">
        <v>3767776</v>
      </c>
      <c r="CJ31" s="363"/>
      <c r="CK31" s="317"/>
      <c r="CL31" s="347"/>
      <c r="CM31" s="347"/>
      <c r="CN31" s="364">
        <v>7710681</v>
      </c>
      <c r="CO31" s="363"/>
      <c r="CP31" s="317"/>
      <c r="CQ31" s="347"/>
      <c r="CR31" s="347"/>
      <c r="CS31" s="364">
        <v>3456518</v>
      </c>
      <c r="CT31" s="363"/>
      <c r="CU31" s="317"/>
      <c r="CV31" s="347"/>
      <c r="CW31" s="347"/>
      <c r="CX31" s="364">
        <v>4835965</v>
      </c>
      <c r="CY31" s="363"/>
      <c r="CZ31" s="317"/>
      <c r="DA31" s="347"/>
      <c r="DB31" s="347"/>
      <c r="DC31" s="364">
        <v>2187184</v>
      </c>
      <c r="DD31" s="363"/>
      <c r="DE31" s="317"/>
      <c r="DF31" s="347"/>
      <c r="DG31" s="347"/>
      <c r="DH31" s="364">
        <v>5017820</v>
      </c>
      <c r="DI31" s="363"/>
      <c r="DJ31" s="317"/>
      <c r="DK31" s="347"/>
      <c r="DL31" s="347"/>
      <c r="DM31" s="364">
        <v>4108885</v>
      </c>
      <c r="DN31" s="363"/>
      <c r="DO31" s="317"/>
      <c r="DP31" s="347"/>
      <c r="DQ31" s="347"/>
      <c r="DR31" s="364">
        <v>3708680</v>
      </c>
      <c r="DS31" s="363"/>
      <c r="DT31" s="317"/>
      <c r="DU31" s="347"/>
      <c r="DV31" s="347"/>
      <c r="DW31" s="364">
        <v>2673022</v>
      </c>
      <c r="DX31" s="363"/>
      <c r="DY31" s="317"/>
      <c r="DZ31" s="347"/>
      <c r="EA31" s="347"/>
      <c r="EB31" s="364">
        <v>3014010</v>
      </c>
      <c r="EC31" s="363"/>
      <c r="ED31" s="317"/>
      <c r="EE31" s="347"/>
      <c r="EF31" s="347"/>
      <c r="EG31" s="364">
        <v>1829008</v>
      </c>
      <c r="EH31" s="363"/>
      <c r="EI31" s="317"/>
      <c r="EJ31" s="347"/>
      <c r="EK31" s="347"/>
      <c r="EL31" s="364">
        <v>38638972</v>
      </c>
      <c r="EM31" s="363"/>
      <c r="EN31" s="317"/>
      <c r="EO31" s="340"/>
      <c r="ER31" s="39"/>
      <c r="ES31" s="39"/>
      <c r="ET31" s="39"/>
    </row>
    <row r="32" spans="1:150" x14ac:dyDescent="0.2">
      <c r="A32" s="317"/>
      <c r="B32" s="317"/>
      <c r="C32" s="340" t="s">
        <v>151</v>
      </c>
      <c r="D32" s="317"/>
      <c r="E32" s="380" t="s">
        <v>144</v>
      </c>
      <c r="F32" s="381"/>
      <c r="G32" s="381"/>
      <c r="H32" s="365">
        <v>-1093260</v>
      </c>
      <c r="I32" s="363"/>
      <c r="J32" s="317"/>
      <c r="K32" s="347"/>
      <c r="L32" s="347"/>
      <c r="M32" s="365">
        <v>-337249</v>
      </c>
      <c r="N32" s="363"/>
      <c r="O32" s="317"/>
      <c r="P32" s="347"/>
      <c r="Q32" s="347"/>
      <c r="R32" s="365">
        <v>-605312</v>
      </c>
      <c r="S32" s="363"/>
      <c r="T32" s="317"/>
      <c r="U32" s="347"/>
      <c r="V32" s="347"/>
      <c r="W32" s="365">
        <v>-150699</v>
      </c>
      <c r="X32" s="363"/>
      <c r="Y32" s="317"/>
      <c r="Z32" s="347"/>
      <c r="AA32" s="347"/>
      <c r="AB32" s="365">
        <v>0</v>
      </c>
      <c r="AC32" s="363"/>
      <c r="AD32" s="317"/>
      <c r="AE32" s="347"/>
      <c r="AF32" s="347"/>
      <c r="AG32" s="365">
        <v>0</v>
      </c>
      <c r="AH32" s="363"/>
      <c r="AI32" s="317"/>
      <c r="AJ32" s="347"/>
      <c r="AK32" s="347"/>
      <c r="AL32" s="365">
        <v>0</v>
      </c>
      <c r="AM32" s="363"/>
      <c r="AN32" s="317"/>
      <c r="AO32" s="347"/>
      <c r="AP32" s="347"/>
      <c r="AQ32" s="365">
        <v>0</v>
      </c>
      <c r="AR32" s="363"/>
      <c r="AS32" s="317"/>
      <c r="AT32" s="347"/>
      <c r="AU32" s="347"/>
      <c r="AV32" s="365">
        <v>0</v>
      </c>
      <c r="AW32" s="363"/>
      <c r="AX32" s="317"/>
      <c r="AY32" s="347"/>
      <c r="AZ32" s="347"/>
      <c r="BA32" s="365">
        <v>0</v>
      </c>
      <c r="BB32" s="363"/>
      <c r="BC32" s="317"/>
      <c r="BD32" s="347"/>
      <c r="BE32" s="347"/>
      <c r="BF32" s="365">
        <v>0</v>
      </c>
      <c r="BG32" s="363"/>
      <c r="BH32" s="317"/>
      <c r="BI32" s="347"/>
      <c r="BJ32" s="347"/>
      <c r="BK32" s="365">
        <v>0</v>
      </c>
      <c r="BL32" s="363"/>
      <c r="BM32" s="317"/>
      <c r="BN32" s="347"/>
      <c r="BO32" s="347"/>
      <c r="BP32" s="365">
        <v>0</v>
      </c>
      <c r="BQ32" s="363"/>
      <c r="BR32" s="317"/>
      <c r="BS32" s="347"/>
      <c r="BT32" s="347"/>
      <c r="BU32" s="365">
        <v>-1093260</v>
      </c>
      <c r="BV32" s="317"/>
      <c r="BW32" s="347"/>
      <c r="BX32" s="347"/>
      <c r="BY32" s="366">
        <v>-5585924</v>
      </c>
      <c r="BZ32" s="363"/>
      <c r="CA32" s="317"/>
      <c r="CB32" s="347"/>
      <c r="CC32" s="347"/>
      <c r="CD32" s="365">
        <v>-1360296</v>
      </c>
      <c r="CE32" s="363"/>
      <c r="CF32" s="317"/>
      <c r="CG32" s="347"/>
      <c r="CH32" s="347"/>
      <c r="CI32" s="365">
        <v>-515486</v>
      </c>
      <c r="CJ32" s="363"/>
      <c r="CK32" s="317"/>
      <c r="CL32" s="347"/>
      <c r="CM32" s="347"/>
      <c r="CN32" s="365">
        <v>-670006</v>
      </c>
      <c r="CO32" s="363"/>
      <c r="CP32" s="317"/>
      <c r="CQ32" s="347"/>
      <c r="CR32" s="347"/>
      <c r="CS32" s="365">
        <v>-271993</v>
      </c>
      <c r="CT32" s="363"/>
      <c r="CU32" s="317"/>
      <c r="CV32" s="347"/>
      <c r="CW32" s="347"/>
      <c r="CX32" s="365">
        <v>-350772</v>
      </c>
      <c r="CY32" s="363"/>
      <c r="CZ32" s="317"/>
      <c r="DA32" s="347"/>
      <c r="DB32" s="347"/>
      <c r="DC32" s="365">
        <v>-77228</v>
      </c>
      <c r="DD32" s="363"/>
      <c r="DE32" s="317"/>
      <c r="DF32" s="347"/>
      <c r="DG32" s="347"/>
      <c r="DH32" s="365">
        <v>-682857</v>
      </c>
      <c r="DI32" s="363"/>
      <c r="DJ32" s="317"/>
      <c r="DK32" s="347"/>
      <c r="DL32" s="347"/>
      <c r="DM32" s="365">
        <v>-605254</v>
      </c>
      <c r="DN32" s="363"/>
      <c r="DO32" s="317"/>
      <c r="DP32" s="347"/>
      <c r="DQ32" s="347"/>
      <c r="DR32" s="365">
        <v>-375351</v>
      </c>
      <c r="DS32" s="363"/>
      <c r="DT32" s="317"/>
      <c r="DU32" s="347"/>
      <c r="DV32" s="347"/>
      <c r="DW32" s="365">
        <v>-335778</v>
      </c>
      <c r="DX32" s="363"/>
      <c r="DY32" s="317"/>
      <c r="DZ32" s="347"/>
      <c r="EA32" s="347"/>
      <c r="EB32" s="365">
        <v>-274925</v>
      </c>
      <c r="EC32" s="363"/>
      <c r="ED32" s="317"/>
      <c r="EE32" s="347"/>
      <c r="EF32" s="347"/>
      <c r="EG32" s="365">
        <v>-65978</v>
      </c>
      <c r="EH32" s="363"/>
      <c r="EI32" s="317"/>
      <c r="EJ32" s="347"/>
      <c r="EK32" s="347"/>
      <c r="EL32" s="365">
        <v>-3928638</v>
      </c>
      <c r="EM32" s="363"/>
      <c r="EN32" s="317"/>
      <c r="EO32" s="340"/>
      <c r="ER32" s="39"/>
      <c r="ES32" s="39"/>
      <c r="ET32" s="39"/>
    </row>
    <row r="33" spans="1:150" x14ac:dyDescent="0.2">
      <c r="A33" s="317"/>
      <c r="B33" s="317"/>
      <c r="C33" s="340" t="s">
        <v>152</v>
      </c>
      <c r="D33" s="317"/>
      <c r="E33" s="380" t="s">
        <v>147</v>
      </c>
      <c r="F33" s="381"/>
      <c r="G33" s="381"/>
      <c r="H33" s="368">
        <v>-7695000</v>
      </c>
      <c r="I33" s="363"/>
      <c r="J33" s="317"/>
      <c r="K33" s="347"/>
      <c r="L33" s="347"/>
      <c r="M33" s="368">
        <v>-3035000</v>
      </c>
      <c r="N33" s="363"/>
      <c r="O33" s="317"/>
      <c r="P33" s="347"/>
      <c r="Q33" s="347"/>
      <c r="R33" s="368">
        <v>-3410000</v>
      </c>
      <c r="S33" s="363"/>
      <c r="T33" s="317"/>
      <c r="U33" s="347"/>
      <c r="V33" s="347"/>
      <c r="W33" s="368">
        <v>-1250000</v>
      </c>
      <c r="X33" s="363"/>
      <c r="Y33" s="317"/>
      <c r="Z33" s="347"/>
      <c r="AA33" s="347"/>
      <c r="AB33" s="368">
        <v>0</v>
      </c>
      <c r="AC33" s="363"/>
      <c r="AD33" s="317"/>
      <c r="AE33" s="347"/>
      <c r="AF33" s="347"/>
      <c r="AG33" s="368">
        <v>0</v>
      </c>
      <c r="AH33" s="363"/>
      <c r="AI33" s="317"/>
      <c r="AJ33" s="347"/>
      <c r="AK33" s="347"/>
      <c r="AL33" s="368">
        <v>0</v>
      </c>
      <c r="AM33" s="363"/>
      <c r="AN33" s="317"/>
      <c r="AO33" s="347"/>
      <c r="AP33" s="347"/>
      <c r="AQ33" s="368">
        <v>0</v>
      </c>
      <c r="AR33" s="363"/>
      <c r="AS33" s="317"/>
      <c r="AT33" s="347"/>
      <c r="AU33" s="347"/>
      <c r="AV33" s="368">
        <v>0</v>
      </c>
      <c r="AW33" s="363"/>
      <c r="AX33" s="317"/>
      <c r="AY33" s="347"/>
      <c r="AZ33" s="347"/>
      <c r="BA33" s="368">
        <v>0</v>
      </c>
      <c r="BB33" s="363"/>
      <c r="BC33" s="317"/>
      <c r="BD33" s="347"/>
      <c r="BE33" s="347"/>
      <c r="BF33" s="368">
        <v>0</v>
      </c>
      <c r="BG33" s="363"/>
      <c r="BH33" s="317"/>
      <c r="BI33" s="347"/>
      <c r="BJ33" s="347"/>
      <c r="BK33" s="368">
        <v>0</v>
      </c>
      <c r="BL33" s="363"/>
      <c r="BM33" s="317"/>
      <c r="BN33" s="347"/>
      <c r="BO33" s="347"/>
      <c r="BP33" s="368">
        <v>0</v>
      </c>
      <c r="BQ33" s="363"/>
      <c r="BR33" s="317"/>
      <c r="BS33" s="347"/>
      <c r="BT33" s="347"/>
      <c r="BU33" s="368">
        <v>-7695000</v>
      </c>
      <c r="BV33" s="317"/>
      <c r="BW33" s="347"/>
      <c r="BX33" s="347"/>
      <c r="BY33" s="367">
        <v>-48025000</v>
      </c>
      <c r="BZ33" s="363"/>
      <c r="CA33" s="317"/>
      <c r="CB33" s="347"/>
      <c r="CC33" s="347"/>
      <c r="CD33" s="368">
        <v>-10180000</v>
      </c>
      <c r="CE33" s="363"/>
      <c r="CF33" s="317"/>
      <c r="CG33" s="347"/>
      <c r="CH33" s="347"/>
      <c r="CI33" s="368">
        <v>-3175000</v>
      </c>
      <c r="CJ33" s="363"/>
      <c r="CK33" s="317"/>
      <c r="CL33" s="347"/>
      <c r="CM33" s="347"/>
      <c r="CN33" s="368">
        <v>-6985000</v>
      </c>
      <c r="CO33" s="363"/>
      <c r="CP33" s="317"/>
      <c r="CQ33" s="347"/>
      <c r="CR33" s="347"/>
      <c r="CS33" s="368">
        <v>-3165000</v>
      </c>
      <c r="CT33" s="363"/>
      <c r="CU33" s="317"/>
      <c r="CV33" s="347"/>
      <c r="CW33" s="347"/>
      <c r="CX33" s="368">
        <v>-4370000</v>
      </c>
      <c r="CY33" s="363"/>
      <c r="CZ33" s="317"/>
      <c r="DA33" s="347"/>
      <c r="DB33" s="347"/>
      <c r="DC33" s="368">
        <v>-2270000</v>
      </c>
      <c r="DD33" s="363"/>
      <c r="DE33" s="317"/>
      <c r="DF33" s="347"/>
      <c r="DG33" s="347"/>
      <c r="DH33" s="368">
        <v>-4260000</v>
      </c>
      <c r="DI33" s="363"/>
      <c r="DJ33" s="317"/>
      <c r="DK33" s="347"/>
      <c r="DL33" s="347"/>
      <c r="DM33" s="368">
        <v>-3475000</v>
      </c>
      <c r="DN33" s="363"/>
      <c r="DO33" s="317"/>
      <c r="DP33" s="347"/>
      <c r="DQ33" s="347"/>
      <c r="DR33" s="368">
        <v>-3320000</v>
      </c>
      <c r="DS33" s="363"/>
      <c r="DT33" s="317"/>
      <c r="DU33" s="347"/>
      <c r="DV33" s="347"/>
      <c r="DW33" s="368">
        <v>-2325000</v>
      </c>
      <c r="DX33" s="363"/>
      <c r="DY33" s="317"/>
      <c r="DZ33" s="347"/>
      <c r="EA33" s="347"/>
      <c r="EB33" s="368">
        <v>-2615000</v>
      </c>
      <c r="EC33" s="363"/>
      <c r="ED33" s="317"/>
      <c r="EE33" s="347"/>
      <c r="EF33" s="347"/>
      <c r="EG33" s="368">
        <v>-1885000</v>
      </c>
      <c r="EH33" s="363"/>
      <c r="EI33" s="317"/>
      <c r="EJ33" s="347"/>
      <c r="EK33" s="347"/>
      <c r="EL33" s="368">
        <v>-34405000</v>
      </c>
      <c r="EM33" s="363"/>
      <c r="EN33" s="317"/>
      <c r="EO33" s="340"/>
      <c r="ER33" s="39"/>
      <c r="ES33" s="39"/>
      <c r="ET33" s="39"/>
    </row>
    <row r="34" spans="1:150" x14ac:dyDescent="0.2">
      <c r="A34" s="317"/>
      <c r="B34" s="317"/>
      <c r="C34" s="340"/>
      <c r="D34" s="317"/>
      <c r="E34" s="380"/>
      <c r="F34" s="381"/>
      <c r="G34" s="381"/>
      <c r="H34" s="317"/>
      <c r="I34" s="363"/>
      <c r="J34" s="317"/>
      <c r="K34" s="347"/>
      <c r="L34" s="347"/>
      <c r="M34" s="317"/>
      <c r="N34" s="363"/>
      <c r="O34" s="317"/>
      <c r="P34" s="347"/>
      <c r="Q34" s="347"/>
      <c r="R34" s="317"/>
      <c r="S34" s="363"/>
      <c r="T34" s="317"/>
      <c r="U34" s="347"/>
      <c r="V34" s="347"/>
      <c r="W34" s="317"/>
      <c r="X34" s="363"/>
      <c r="Y34" s="317"/>
      <c r="Z34" s="347"/>
      <c r="AA34" s="347"/>
      <c r="AB34" s="317"/>
      <c r="AC34" s="363"/>
      <c r="AD34" s="317"/>
      <c r="AE34" s="347"/>
      <c r="AF34" s="347"/>
      <c r="AG34" s="317"/>
      <c r="AH34" s="363"/>
      <c r="AI34" s="317"/>
      <c r="AJ34" s="347"/>
      <c r="AK34" s="347"/>
      <c r="AL34" s="317"/>
      <c r="AM34" s="363"/>
      <c r="AN34" s="317"/>
      <c r="AO34" s="347"/>
      <c r="AP34" s="347"/>
      <c r="AQ34" s="317"/>
      <c r="AR34" s="363"/>
      <c r="AS34" s="317"/>
      <c r="AT34" s="347"/>
      <c r="AU34" s="347"/>
      <c r="AV34" s="317"/>
      <c r="AW34" s="363"/>
      <c r="AX34" s="317"/>
      <c r="AY34" s="347"/>
      <c r="AZ34" s="347"/>
      <c r="BA34" s="317"/>
      <c r="BB34" s="363"/>
      <c r="BC34" s="317"/>
      <c r="BD34" s="347"/>
      <c r="BE34" s="347"/>
      <c r="BF34" s="317"/>
      <c r="BG34" s="363"/>
      <c r="BH34" s="317"/>
      <c r="BI34" s="347"/>
      <c r="BJ34" s="347"/>
      <c r="BK34" s="317"/>
      <c r="BL34" s="363"/>
      <c r="BM34" s="317"/>
      <c r="BN34" s="347"/>
      <c r="BO34" s="347"/>
      <c r="BP34" s="317"/>
      <c r="BQ34" s="363"/>
      <c r="BR34" s="317"/>
      <c r="BS34" s="347"/>
      <c r="BT34" s="347"/>
      <c r="BU34" s="317"/>
      <c r="BV34" s="317"/>
      <c r="BW34" s="347"/>
      <c r="BX34" s="347"/>
      <c r="BY34" s="369"/>
      <c r="BZ34" s="363"/>
      <c r="CA34" s="317"/>
      <c r="CB34" s="347"/>
      <c r="CC34" s="347"/>
      <c r="CD34" s="317"/>
      <c r="CE34" s="363"/>
      <c r="CF34" s="317"/>
      <c r="CG34" s="347"/>
      <c r="CH34" s="347"/>
      <c r="CI34" s="317"/>
      <c r="CJ34" s="363"/>
      <c r="CK34" s="317"/>
      <c r="CL34" s="347"/>
      <c r="CM34" s="347"/>
      <c r="CN34" s="317"/>
      <c r="CO34" s="363"/>
      <c r="CP34" s="317"/>
      <c r="CQ34" s="347"/>
      <c r="CR34" s="347"/>
      <c r="CS34" s="317"/>
      <c r="CT34" s="363"/>
      <c r="CU34" s="317"/>
      <c r="CV34" s="347"/>
      <c r="CW34" s="347"/>
      <c r="CX34" s="317"/>
      <c r="CY34" s="363"/>
      <c r="CZ34" s="317"/>
      <c r="DA34" s="347"/>
      <c r="DB34" s="347"/>
      <c r="DC34" s="317"/>
      <c r="DD34" s="363"/>
      <c r="DE34" s="317"/>
      <c r="DF34" s="347"/>
      <c r="DG34" s="347"/>
      <c r="DH34" s="317"/>
      <c r="DI34" s="363"/>
      <c r="DJ34" s="317"/>
      <c r="DK34" s="347"/>
      <c r="DL34" s="347"/>
      <c r="DM34" s="317"/>
      <c r="DN34" s="363"/>
      <c r="DO34" s="317"/>
      <c r="DP34" s="347"/>
      <c r="DQ34" s="347"/>
      <c r="DR34" s="317"/>
      <c r="DS34" s="363"/>
      <c r="DT34" s="317"/>
      <c r="DU34" s="347"/>
      <c r="DV34" s="347"/>
      <c r="DW34" s="317"/>
      <c r="DX34" s="363"/>
      <c r="DY34" s="317"/>
      <c r="DZ34" s="347"/>
      <c r="EA34" s="347"/>
      <c r="EB34" s="317"/>
      <c r="EC34" s="363"/>
      <c r="ED34" s="317"/>
      <c r="EE34" s="347"/>
      <c r="EF34" s="347"/>
      <c r="EG34" s="317"/>
      <c r="EH34" s="363"/>
      <c r="EI34" s="317"/>
      <c r="EJ34" s="347"/>
      <c r="EK34" s="347"/>
      <c r="EL34" s="317"/>
      <c r="EM34" s="363"/>
      <c r="EN34" s="317"/>
      <c r="EO34" s="340"/>
      <c r="ER34" s="39"/>
      <c r="ES34" s="39"/>
      <c r="ET34" s="39"/>
    </row>
    <row r="35" spans="1:150" x14ac:dyDescent="0.2">
      <c r="A35" s="317"/>
      <c r="B35" s="317"/>
      <c r="C35" s="340" t="s">
        <v>153</v>
      </c>
      <c r="D35" s="317"/>
      <c r="E35" s="382"/>
      <c r="F35" s="383"/>
      <c r="G35" s="383"/>
      <c r="H35" s="317">
        <v>0</v>
      </c>
      <c r="I35" s="363"/>
      <c r="J35" s="317"/>
      <c r="K35" s="347"/>
      <c r="L35" s="347"/>
      <c r="M35" s="317">
        <v>0</v>
      </c>
      <c r="N35" s="363"/>
      <c r="O35" s="317"/>
      <c r="P35" s="347"/>
      <c r="Q35" s="347"/>
      <c r="R35" s="317">
        <v>46261</v>
      </c>
      <c r="S35" s="363"/>
      <c r="T35" s="317"/>
      <c r="U35" s="347"/>
      <c r="V35" s="347"/>
      <c r="W35" s="317">
        <v>-46261</v>
      </c>
      <c r="X35" s="363"/>
      <c r="Y35" s="317"/>
      <c r="Z35" s="347"/>
      <c r="AA35" s="347"/>
      <c r="AB35" s="317">
        <v>0</v>
      </c>
      <c r="AC35" s="363"/>
      <c r="AD35" s="317"/>
      <c r="AE35" s="347"/>
      <c r="AF35" s="347"/>
      <c r="AG35" s="317">
        <v>145196</v>
      </c>
      <c r="AH35" s="363"/>
      <c r="AI35" s="317"/>
      <c r="AJ35" s="347"/>
      <c r="AK35" s="347"/>
      <c r="AL35" s="317">
        <v>-145196</v>
      </c>
      <c r="AM35" s="363"/>
      <c r="AN35" s="317"/>
      <c r="AO35" s="347"/>
      <c r="AP35" s="347"/>
      <c r="AQ35" s="317">
        <v>55193</v>
      </c>
      <c r="AR35" s="363"/>
      <c r="AS35" s="317"/>
      <c r="AT35" s="347"/>
      <c r="AU35" s="347"/>
      <c r="AV35" s="317">
        <v>0</v>
      </c>
      <c r="AW35" s="363"/>
      <c r="AX35" s="317"/>
      <c r="AY35" s="347"/>
      <c r="AZ35" s="347"/>
      <c r="BA35" s="317">
        <v>0</v>
      </c>
      <c r="BB35" s="363"/>
      <c r="BC35" s="317"/>
      <c r="BD35" s="347"/>
      <c r="BE35" s="347"/>
      <c r="BF35" s="317">
        <v>0</v>
      </c>
      <c r="BG35" s="363"/>
      <c r="BH35" s="317"/>
      <c r="BI35" s="347"/>
      <c r="BJ35" s="347"/>
      <c r="BK35" s="317">
        <v>0</v>
      </c>
      <c r="BL35" s="363"/>
      <c r="BM35" s="317"/>
      <c r="BN35" s="347"/>
      <c r="BO35" s="347"/>
      <c r="BP35" s="317">
        <v>0</v>
      </c>
      <c r="BQ35" s="363"/>
      <c r="BR35" s="317"/>
      <c r="BS35" s="347"/>
      <c r="BT35" s="347"/>
      <c r="BU35" s="317">
        <v>55193</v>
      </c>
      <c r="BV35" s="317"/>
      <c r="BW35" s="347"/>
      <c r="BX35" s="347"/>
      <c r="BY35" s="369">
        <v>0</v>
      </c>
      <c r="BZ35" s="363"/>
      <c r="CA35" s="317"/>
      <c r="CB35" s="347"/>
      <c r="CC35" s="347"/>
      <c r="CD35" s="317">
        <v>0</v>
      </c>
      <c r="CE35" s="363"/>
      <c r="CF35" s="317"/>
      <c r="CG35" s="347"/>
      <c r="CH35" s="347"/>
      <c r="CI35" s="317">
        <v>0</v>
      </c>
      <c r="CJ35" s="363"/>
      <c r="CK35" s="317"/>
      <c r="CL35" s="347"/>
      <c r="CM35" s="347"/>
      <c r="CN35" s="317">
        <v>0</v>
      </c>
      <c r="CO35" s="363"/>
      <c r="CP35" s="317"/>
      <c r="CQ35" s="347"/>
      <c r="CR35" s="347"/>
      <c r="CS35" s="317">
        <v>0</v>
      </c>
      <c r="CT35" s="363"/>
      <c r="CU35" s="317"/>
      <c r="CV35" s="347"/>
      <c r="CW35" s="347"/>
      <c r="CX35" s="317">
        <v>0</v>
      </c>
      <c r="CY35" s="363"/>
      <c r="CZ35" s="317"/>
      <c r="DA35" s="347"/>
      <c r="DB35" s="347"/>
      <c r="DC35" s="317">
        <v>0</v>
      </c>
      <c r="DD35" s="363"/>
      <c r="DE35" s="317"/>
      <c r="DF35" s="347"/>
      <c r="DG35" s="347"/>
      <c r="DH35" s="317">
        <v>0</v>
      </c>
      <c r="DI35" s="363"/>
      <c r="DJ35" s="317"/>
      <c r="DK35" s="347"/>
      <c r="DL35" s="347"/>
      <c r="DM35" s="317">
        <v>0</v>
      </c>
      <c r="DN35" s="363"/>
      <c r="DO35" s="317"/>
      <c r="DP35" s="347"/>
      <c r="DQ35" s="347"/>
      <c r="DR35" s="317">
        <v>0</v>
      </c>
      <c r="DS35" s="363"/>
      <c r="DT35" s="317"/>
      <c r="DU35" s="347"/>
      <c r="DV35" s="347"/>
      <c r="DW35" s="317">
        <v>0</v>
      </c>
      <c r="DX35" s="363"/>
      <c r="DY35" s="317"/>
      <c r="DZ35" s="347"/>
      <c r="EA35" s="347"/>
      <c r="EB35" s="317">
        <v>90245</v>
      </c>
      <c r="EC35" s="363"/>
      <c r="ED35" s="317"/>
      <c r="EE35" s="347"/>
      <c r="EF35" s="347"/>
      <c r="EG35" s="317">
        <v>-90245</v>
      </c>
      <c r="EH35" s="363"/>
      <c r="EI35" s="317"/>
      <c r="EJ35" s="347"/>
      <c r="EK35" s="347"/>
      <c r="EL35" s="317">
        <v>0</v>
      </c>
      <c r="EM35" s="363"/>
      <c r="EN35" s="317"/>
      <c r="EO35" s="340"/>
      <c r="ER35" s="39"/>
      <c r="ES35" s="39"/>
      <c r="ET35" s="39"/>
    </row>
    <row r="36" spans="1:150" x14ac:dyDescent="0.2">
      <c r="A36" s="317"/>
      <c r="B36" s="317"/>
      <c r="C36" s="340" t="s">
        <v>154</v>
      </c>
      <c r="D36" s="317"/>
      <c r="E36" s="380" t="s">
        <v>144</v>
      </c>
      <c r="F36" s="381"/>
      <c r="G36" s="381"/>
      <c r="H36" s="364">
        <v>8349673</v>
      </c>
      <c r="I36" s="363"/>
      <c r="J36" s="317"/>
      <c r="K36" s="347"/>
      <c r="L36" s="347"/>
      <c r="M36" s="364">
        <v>827198</v>
      </c>
      <c r="N36" s="363"/>
      <c r="O36" s="317"/>
      <c r="P36" s="347"/>
      <c r="Q36" s="347"/>
      <c r="R36" s="364">
        <v>3114442</v>
      </c>
      <c r="S36" s="363"/>
      <c r="T36" s="317"/>
      <c r="U36" s="347"/>
      <c r="V36" s="347"/>
      <c r="W36" s="364">
        <v>860933</v>
      </c>
      <c r="X36" s="363"/>
      <c r="Y36" s="317"/>
      <c r="Z36" s="347"/>
      <c r="AA36" s="347"/>
      <c r="AB36" s="364">
        <v>95339</v>
      </c>
      <c r="AC36" s="363"/>
      <c r="AD36" s="317"/>
      <c r="AE36" s="347"/>
      <c r="AF36" s="347"/>
      <c r="AG36" s="364">
        <v>2945441</v>
      </c>
      <c r="AH36" s="363"/>
      <c r="AI36" s="317"/>
      <c r="AJ36" s="347"/>
      <c r="AK36" s="347"/>
      <c r="AL36" s="364">
        <v>506320</v>
      </c>
      <c r="AM36" s="363"/>
      <c r="AN36" s="317"/>
      <c r="AO36" s="347"/>
      <c r="AP36" s="347"/>
      <c r="AQ36" s="364">
        <v>513226</v>
      </c>
      <c r="AR36" s="363"/>
      <c r="AS36" s="317"/>
      <c r="AT36" s="347"/>
      <c r="AU36" s="347"/>
      <c r="AV36" s="364">
        <v>0</v>
      </c>
      <c r="AW36" s="363"/>
      <c r="AX36" s="317"/>
      <c r="AY36" s="347"/>
      <c r="AZ36" s="347"/>
      <c r="BA36" s="364">
        <v>0</v>
      </c>
      <c r="BB36" s="363"/>
      <c r="BC36" s="317"/>
      <c r="BD36" s="347"/>
      <c r="BE36" s="347"/>
      <c r="BF36" s="364">
        <v>0</v>
      </c>
      <c r="BG36" s="363"/>
      <c r="BH36" s="317"/>
      <c r="BI36" s="347"/>
      <c r="BJ36" s="347"/>
      <c r="BK36" s="364">
        <v>0</v>
      </c>
      <c r="BL36" s="363"/>
      <c r="BM36" s="317"/>
      <c r="BN36" s="347"/>
      <c r="BO36" s="347"/>
      <c r="BP36" s="364">
        <v>0</v>
      </c>
      <c r="BQ36" s="363"/>
      <c r="BR36" s="317"/>
      <c r="BS36" s="347"/>
      <c r="BT36" s="347"/>
      <c r="BU36" s="364">
        <v>8862899</v>
      </c>
      <c r="BV36" s="317"/>
      <c r="BW36" s="317"/>
      <c r="BX36" s="317"/>
      <c r="BY36" s="362">
        <v>7476976</v>
      </c>
      <c r="BZ36" s="363"/>
      <c r="CA36" s="317"/>
      <c r="CB36" s="347"/>
      <c r="CC36" s="347"/>
      <c r="CD36" s="364">
        <v>195061</v>
      </c>
      <c r="CE36" s="363"/>
      <c r="CF36" s="317"/>
      <c r="CG36" s="347"/>
      <c r="CH36" s="347"/>
      <c r="CI36" s="364">
        <v>0</v>
      </c>
      <c r="CJ36" s="363"/>
      <c r="CK36" s="317"/>
      <c r="CL36" s="347"/>
      <c r="CM36" s="347"/>
      <c r="CN36" s="364">
        <v>956108</v>
      </c>
      <c r="CO36" s="363"/>
      <c r="CP36" s="317"/>
      <c r="CQ36" s="347"/>
      <c r="CR36" s="347"/>
      <c r="CS36" s="364">
        <v>380371</v>
      </c>
      <c r="CT36" s="363"/>
      <c r="CU36" s="317"/>
      <c r="CV36" s="347"/>
      <c r="CW36" s="347"/>
      <c r="CX36" s="364">
        <v>83879</v>
      </c>
      <c r="CY36" s="363"/>
      <c r="CZ36" s="317"/>
      <c r="DA36" s="347"/>
      <c r="DB36" s="347"/>
      <c r="DC36" s="364">
        <v>27624</v>
      </c>
      <c r="DD36" s="363"/>
      <c r="DE36" s="317"/>
      <c r="DF36" s="347"/>
      <c r="DG36" s="347"/>
      <c r="DH36" s="364">
        <v>481602</v>
      </c>
      <c r="DI36" s="363"/>
      <c r="DJ36" s="317"/>
      <c r="DK36" s="347"/>
      <c r="DL36" s="347"/>
      <c r="DM36" s="364">
        <v>1204105</v>
      </c>
      <c r="DN36" s="363"/>
      <c r="DO36" s="317"/>
      <c r="DP36" s="347"/>
      <c r="DQ36" s="347"/>
      <c r="DR36" s="364">
        <v>342784</v>
      </c>
      <c r="DS36" s="363"/>
      <c r="DT36" s="317"/>
      <c r="DU36" s="347"/>
      <c r="DV36" s="347"/>
      <c r="DW36" s="364">
        <v>0</v>
      </c>
      <c r="DX36" s="363"/>
      <c r="DY36" s="317"/>
      <c r="DZ36" s="347"/>
      <c r="EA36" s="347"/>
      <c r="EB36" s="364">
        <v>772365</v>
      </c>
      <c r="EC36" s="363"/>
      <c r="ED36" s="317"/>
      <c r="EE36" s="347"/>
      <c r="EF36" s="347"/>
      <c r="EG36" s="364">
        <v>3033077</v>
      </c>
      <c r="EH36" s="363"/>
      <c r="EI36" s="317"/>
      <c r="EJ36" s="347"/>
      <c r="EK36" s="347"/>
      <c r="EL36" s="364">
        <v>2124645</v>
      </c>
      <c r="EM36" s="363"/>
      <c r="EN36" s="317"/>
      <c r="EO36" s="340"/>
      <c r="ER36" s="39"/>
      <c r="ES36" s="39"/>
      <c r="ET36" s="39"/>
    </row>
    <row r="37" spans="1:150" x14ac:dyDescent="0.2">
      <c r="A37" s="317"/>
      <c r="B37" s="317"/>
      <c r="C37" s="340" t="s">
        <v>155</v>
      </c>
      <c r="D37" s="317"/>
      <c r="E37" s="380" t="s">
        <v>147</v>
      </c>
      <c r="F37" s="381"/>
      <c r="G37" s="381"/>
      <c r="H37" s="368">
        <v>-8349673</v>
      </c>
      <c r="I37" s="363"/>
      <c r="J37" s="317"/>
      <c r="K37" s="347"/>
      <c r="L37" s="347"/>
      <c r="M37" s="368">
        <v>-827198</v>
      </c>
      <c r="N37" s="363"/>
      <c r="O37" s="317"/>
      <c r="P37" s="347"/>
      <c r="Q37" s="347"/>
      <c r="R37" s="368">
        <v>-3068181</v>
      </c>
      <c r="S37" s="363"/>
      <c r="T37" s="317"/>
      <c r="U37" s="347"/>
      <c r="V37" s="347"/>
      <c r="W37" s="368">
        <v>-907194</v>
      </c>
      <c r="X37" s="363"/>
      <c r="Y37" s="317"/>
      <c r="Z37" s="347"/>
      <c r="AA37" s="347"/>
      <c r="AB37" s="368">
        <v>-95339</v>
      </c>
      <c r="AC37" s="363"/>
      <c r="AD37" s="317"/>
      <c r="AE37" s="347"/>
      <c r="AF37" s="347"/>
      <c r="AG37" s="368">
        <v>-2800245</v>
      </c>
      <c r="AH37" s="363"/>
      <c r="AI37" s="317"/>
      <c r="AJ37" s="347"/>
      <c r="AK37" s="347"/>
      <c r="AL37" s="368">
        <v>-651516</v>
      </c>
      <c r="AM37" s="363"/>
      <c r="AN37" s="317"/>
      <c r="AO37" s="347"/>
      <c r="AP37" s="347"/>
      <c r="AQ37" s="368">
        <v>-458033</v>
      </c>
      <c r="AR37" s="363"/>
      <c r="AS37" s="317"/>
      <c r="AT37" s="347"/>
      <c r="AU37" s="347"/>
      <c r="AV37" s="368">
        <v>0</v>
      </c>
      <c r="AW37" s="363"/>
      <c r="AX37" s="317"/>
      <c r="AY37" s="347"/>
      <c r="AZ37" s="347"/>
      <c r="BA37" s="368">
        <v>0</v>
      </c>
      <c r="BB37" s="363"/>
      <c r="BC37" s="317"/>
      <c r="BD37" s="347"/>
      <c r="BE37" s="347"/>
      <c r="BF37" s="368">
        <v>0</v>
      </c>
      <c r="BG37" s="363"/>
      <c r="BH37" s="317"/>
      <c r="BI37" s="347"/>
      <c r="BJ37" s="347"/>
      <c r="BK37" s="368">
        <v>0</v>
      </c>
      <c r="BL37" s="363"/>
      <c r="BM37" s="317"/>
      <c r="BN37" s="347"/>
      <c r="BO37" s="347"/>
      <c r="BP37" s="368">
        <v>0</v>
      </c>
      <c r="BQ37" s="363"/>
      <c r="BR37" s="317"/>
      <c r="BS37" s="347"/>
      <c r="BT37" s="347"/>
      <c r="BU37" s="368">
        <v>-8807706</v>
      </c>
      <c r="BV37" s="317"/>
      <c r="BW37" s="317"/>
      <c r="BX37" s="317"/>
      <c r="BY37" s="367">
        <v>-7476976</v>
      </c>
      <c r="BZ37" s="363"/>
      <c r="CA37" s="317"/>
      <c r="CB37" s="347"/>
      <c r="CC37" s="347"/>
      <c r="CD37" s="368">
        <v>-195061</v>
      </c>
      <c r="CE37" s="363"/>
      <c r="CF37" s="317"/>
      <c r="CG37" s="347"/>
      <c r="CH37" s="347"/>
      <c r="CI37" s="368">
        <v>0</v>
      </c>
      <c r="CJ37" s="363"/>
      <c r="CK37" s="317"/>
      <c r="CL37" s="347"/>
      <c r="CM37" s="347"/>
      <c r="CN37" s="368">
        <v>-956108</v>
      </c>
      <c r="CO37" s="363"/>
      <c r="CP37" s="317"/>
      <c r="CQ37" s="347"/>
      <c r="CR37" s="347"/>
      <c r="CS37" s="368">
        <v>-380371</v>
      </c>
      <c r="CT37" s="363"/>
      <c r="CU37" s="317"/>
      <c r="CV37" s="347"/>
      <c r="CW37" s="347"/>
      <c r="CX37" s="368">
        <v>-83879</v>
      </c>
      <c r="CY37" s="363"/>
      <c r="CZ37" s="317"/>
      <c r="DA37" s="347"/>
      <c r="DB37" s="347"/>
      <c r="DC37" s="368">
        <v>-27624</v>
      </c>
      <c r="DD37" s="363"/>
      <c r="DE37" s="317"/>
      <c r="DF37" s="347"/>
      <c r="DG37" s="347"/>
      <c r="DH37" s="368">
        <v>-481602</v>
      </c>
      <c r="DI37" s="363"/>
      <c r="DJ37" s="317"/>
      <c r="DK37" s="347"/>
      <c r="DL37" s="347"/>
      <c r="DM37" s="368">
        <v>-1204105</v>
      </c>
      <c r="DN37" s="363"/>
      <c r="DO37" s="317"/>
      <c r="DP37" s="347"/>
      <c r="DQ37" s="347"/>
      <c r="DR37" s="368">
        <v>-342784</v>
      </c>
      <c r="DS37" s="363"/>
      <c r="DT37" s="317"/>
      <c r="DU37" s="347"/>
      <c r="DV37" s="347"/>
      <c r="DW37" s="368">
        <v>0</v>
      </c>
      <c r="DX37" s="363"/>
      <c r="DY37" s="317"/>
      <c r="DZ37" s="347"/>
      <c r="EA37" s="347"/>
      <c r="EB37" s="368">
        <v>-682120</v>
      </c>
      <c r="EC37" s="363"/>
      <c r="ED37" s="317"/>
      <c r="EE37" s="347"/>
      <c r="EF37" s="347"/>
      <c r="EG37" s="368">
        <v>-3123322</v>
      </c>
      <c r="EH37" s="363"/>
      <c r="EI37" s="317"/>
      <c r="EJ37" s="347"/>
      <c r="EK37" s="347"/>
      <c r="EL37" s="368">
        <v>-2124645</v>
      </c>
      <c r="EM37" s="363"/>
      <c r="EN37" s="317"/>
      <c r="EO37" s="340"/>
      <c r="ER37" s="39"/>
      <c r="ES37" s="39"/>
      <c r="ET37" s="39"/>
    </row>
    <row r="38" spans="1:150" x14ac:dyDescent="0.2">
      <c r="A38" s="317"/>
      <c r="B38" s="317"/>
      <c r="C38" s="340"/>
      <c r="D38" s="317"/>
      <c r="E38" s="382"/>
      <c r="F38" s="383"/>
      <c r="G38" s="384"/>
      <c r="H38" s="374"/>
      <c r="I38" s="373"/>
      <c r="J38" s="317"/>
      <c r="K38" s="347"/>
      <c r="L38" s="371"/>
      <c r="M38" s="374"/>
      <c r="N38" s="373"/>
      <c r="O38" s="317"/>
      <c r="P38" s="347"/>
      <c r="Q38" s="371"/>
      <c r="R38" s="374"/>
      <c r="S38" s="373"/>
      <c r="T38" s="317"/>
      <c r="U38" s="347"/>
      <c r="V38" s="371"/>
      <c r="W38" s="374"/>
      <c r="X38" s="373"/>
      <c r="Y38" s="317"/>
      <c r="Z38" s="347"/>
      <c r="AA38" s="371"/>
      <c r="AB38" s="374"/>
      <c r="AC38" s="373"/>
      <c r="AD38" s="317"/>
      <c r="AE38" s="347"/>
      <c r="AF38" s="371"/>
      <c r="AG38" s="374"/>
      <c r="AH38" s="373"/>
      <c r="AI38" s="317"/>
      <c r="AJ38" s="347"/>
      <c r="AK38" s="371"/>
      <c r="AL38" s="374"/>
      <c r="AM38" s="373"/>
      <c r="AN38" s="317"/>
      <c r="AO38" s="347"/>
      <c r="AP38" s="371"/>
      <c r="AQ38" s="374"/>
      <c r="AR38" s="373"/>
      <c r="AS38" s="317"/>
      <c r="AT38" s="347"/>
      <c r="AU38" s="371"/>
      <c r="AV38" s="374"/>
      <c r="AW38" s="373"/>
      <c r="AX38" s="317"/>
      <c r="AY38" s="347"/>
      <c r="AZ38" s="371"/>
      <c r="BA38" s="374"/>
      <c r="BB38" s="373"/>
      <c r="BC38" s="317"/>
      <c r="BD38" s="347"/>
      <c r="BE38" s="371"/>
      <c r="BF38" s="374"/>
      <c r="BG38" s="373"/>
      <c r="BH38" s="317"/>
      <c r="BI38" s="347"/>
      <c r="BJ38" s="371"/>
      <c r="BK38" s="374"/>
      <c r="BL38" s="373"/>
      <c r="BM38" s="317"/>
      <c r="BN38" s="347"/>
      <c r="BO38" s="371"/>
      <c r="BP38" s="374"/>
      <c r="BQ38" s="373"/>
      <c r="BR38" s="317"/>
      <c r="BS38" s="347"/>
      <c r="BT38" s="371"/>
      <c r="BU38" s="374"/>
      <c r="BV38" s="374"/>
      <c r="BW38" s="317"/>
      <c r="BX38" s="374"/>
      <c r="BY38" s="372"/>
      <c r="BZ38" s="373"/>
      <c r="CA38" s="317"/>
      <c r="CB38" s="347"/>
      <c r="CC38" s="371"/>
      <c r="CD38" s="374"/>
      <c r="CE38" s="373"/>
      <c r="CF38" s="317"/>
      <c r="CG38" s="347"/>
      <c r="CH38" s="371"/>
      <c r="CI38" s="374"/>
      <c r="CJ38" s="373"/>
      <c r="CK38" s="317"/>
      <c r="CL38" s="347"/>
      <c r="CM38" s="371"/>
      <c r="CN38" s="374"/>
      <c r="CO38" s="373"/>
      <c r="CP38" s="317"/>
      <c r="CQ38" s="347"/>
      <c r="CR38" s="371"/>
      <c r="CS38" s="374"/>
      <c r="CT38" s="373"/>
      <c r="CU38" s="317"/>
      <c r="CV38" s="347"/>
      <c r="CW38" s="371"/>
      <c r="CX38" s="374"/>
      <c r="CY38" s="373"/>
      <c r="CZ38" s="317"/>
      <c r="DA38" s="347"/>
      <c r="DB38" s="371"/>
      <c r="DC38" s="374"/>
      <c r="DD38" s="373"/>
      <c r="DE38" s="317"/>
      <c r="DF38" s="347"/>
      <c r="DG38" s="371"/>
      <c r="DH38" s="374"/>
      <c r="DI38" s="373"/>
      <c r="DJ38" s="317"/>
      <c r="DK38" s="347"/>
      <c r="DL38" s="371"/>
      <c r="DM38" s="374"/>
      <c r="DN38" s="373"/>
      <c r="DO38" s="317"/>
      <c r="DP38" s="347"/>
      <c r="DQ38" s="371"/>
      <c r="DR38" s="374"/>
      <c r="DS38" s="373"/>
      <c r="DT38" s="317"/>
      <c r="DU38" s="347"/>
      <c r="DV38" s="371"/>
      <c r="DW38" s="374"/>
      <c r="DX38" s="373"/>
      <c r="DY38" s="317"/>
      <c r="DZ38" s="347"/>
      <c r="EA38" s="371"/>
      <c r="EB38" s="374"/>
      <c r="EC38" s="373"/>
      <c r="ED38" s="317"/>
      <c r="EE38" s="347"/>
      <c r="EF38" s="371"/>
      <c r="EG38" s="374"/>
      <c r="EH38" s="373"/>
      <c r="EI38" s="317"/>
      <c r="EJ38" s="347"/>
      <c r="EK38" s="371"/>
      <c r="EL38" s="374"/>
      <c r="EM38" s="373"/>
      <c r="EN38" s="317"/>
      <c r="EO38" s="340"/>
      <c r="ER38" s="39"/>
      <c r="ES38" s="39"/>
      <c r="ET38" s="39"/>
    </row>
    <row r="39" spans="1:150" x14ac:dyDescent="0.2">
      <c r="A39" s="317"/>
      <c r="B39" s="317"/>
      <c r="C39" s="340"/>
      <c r="D39" s="317"/>
      <c r="E39" s="382"/>
      <c r="F39" s="383"/>
      <c r="G39" s="385"/>
      <c r="H39" s="317"/>
      <c r="I39" s="317"/>
      <c r="J39" s="317"/>
      <c r="K39" s="347"/>
      <c r="L39" s="317"/>
      <c r="M39" s="317"/>
      <c r="N39" s="317"/>
      <c r="O39" s="317"/>
      <c r="P39" s="347"/>
      <c r="Q39" s="317"/>
      <c r="R39" s="317"/>
      <c r="S39" s="317"/>
      <c r="T39" s="317"/>
      <c r="U39" s="347"/>
      <c r="V39" s="317"/>
      <c r="W39" s="317"/>
      <c r="X39" s="317"/>
      <c r="Y39" s="317"/>
      <c r="Z39" s="347"/>
      <c r="AA39" s="317"/>
      <c r="AB39" s="317"/>
      <c r="AC39" s="317"/>
      <c r="AD39" s="317"/>
      <c r="AE39" s="347"/>
      <c r="AF39" s="317"/>
      <c r="AG39" s="317"/>
      <c r="AH39" s="317"/>
      <c r="AI39" s="317"/>
      <c r="AJ39" s="347"/>
      <c r="AK39" s="317"/>
      <c r="AL39" s="317"/>
      <c r="AM39" s="317"/>
      <c r="AN39" s="317"/>
      <c r="AO39" s="347"/>
      <c r="AP39" s="317"/>
      <c r="AQ39" s="317"/>
      <c r="AR39" s="317"/>
      <c r="AS39" s="317"/>
      <c r="AT39" s="347"/>
      <c r="AU39" s="317"/>
      <c r="AV39" s="317"/>
      <c r="AW39" s="317"/>
      <c r="AX39" s="317"/>
      <c r="AY39" s="347"/>
      <c r="AZ39" s="317"/>
      <c r="BA39" s="317"/>
      <c r="BB39" s="317"/>
      <c r="BC39" s="317"/>
      <c r="BD39" s="347"/>
      <c r="BE39" s="317"/>
      <c r="BF39" s="317"/>
      <c r="BG39" s="317"/>
      <c r="BH39" s="317"/>
      <c r="BI39" s="347"/>
      <c r="BJ39" s="317"/>
      <c r="BK39" s="317"/>
      <c r="BL39" s="317"/>
      <c r="BM39" s="317"/>
      <c r="BN39" s="347"/>
      <c r="BO39" s="317"/>
      <c r="BP39" s="317"/>
      <c r="BQ39" s="317"/>
      <c r="BR39" s="317"/>
      <c r="BS39" s="347"/>
      <c r="BT39" s="317"/>
      <c r="BU39" s="317"/>
      <c r="BV39" s="317"/>
      <c r="BW39" s="317"/>
      <c r="BX39" s="317"/>
      <c r="BY39" s="369"/>
      <c r="BZ39" s="317"/>
      <c r="CA39" s="317"/>
      <c r="CB39" s="347"/>
      <c r="CC39" s="317"/>
      <c r="CD39" s="317"/>
      <c r="CE39" s="317"/>
      <c r="CF39" s="317"/>
      <c r="CG39" s="347"/>
      <c r="CH39" s="317"/>
      <c r="CI39" s="317"/>
      <c r="CJ39" s="317"/>
      <c r="CK39" s="317"/>
      <c r="CL39" s="347"/>
      <c r="CM39" s="317"/>
      <c r="CN39" s="317"/>
      <c r="CO39" s="317"/>
      <c r="CP39" s="317"/>
      <c r="CQ39" s="347"/>
      <c r="CR39" s="317"/>
      <c r="CS39" s="317"/>
      <c r="CT39" s="317"/>
      <c r="CU39" s="317"/>
      <c r="CV39" s="347"/>
      <c r="CW39" s="317"/>
      <c r="CX39" s="317"/>
      <c r="CY39" s="317"/>
      <c r="CZ39" s="317"/>
      <c r="DA39" s="347"/>
      <c r="DB39" s="317"/>
      <c r="DC39" s="317"/>
      <c r="DD39" s="317"/>
      <c r="DE39" s="317"/>
      <c r="DF39" s="347"/>
      <c r="DG39" s="317"/>
      <c r="DH39" s="317"/>
      <c r="DI39" s="317"/>
      <c r="DJ39" s="317"/>
      <c r="DK39" s="347"/>
      <c r="DL39" s="317"/>
      <c r="DM39" s="317"/>
      <c r="DN39" s="317"/>
      <c r="DO39" s="317"/>
      <c r="DP39" s="347"/>
      <c r="DQ39" s="317"/>
      <c r="DR39" s="317"/>
      <c r="DS39" s="317"/>
      <c r="DT39" s="317"/>
      <c r="DU39" s="347"/>
      <c r="DV39" s="317"/>
      <c r="DW39" s="317"/>
      <c r="DX39" s="317"/>
      <c r="DY39" s="317"/>
      <c r="DZ39" s="347"/>
      <c r="EA39" s="317"/>
      <c r="EB39" s="317"/>
      <c r="EC39" s="317"/>
      <c r="ED39" s="317"/>
      <c r="EE39" s="347"/>
      <c r="EF39" s="317"/>
      <c r="EG39" s="317"/>
      <c r="EH39" s="317"/>
      <c r="EI39" s="317"/>
      <c r="EJ39" s="347"/>
      <c r="EK39" s="317"/>
      <c r="EL39" s="317"/>
      <c r="EM39" s="317"/>
      <c r="EN39" s="317"/>
      <c r="EO39" s="340"/>
      <c r="ER39" s="39"/>
      <c r="ES39" s="39"/>
      <c r="ET39" s="39"/>
    </row>
    <row r="40" spans="1:150" s="39" customFormat="1" x14ac:dyDescent="0.2">
      <c r="A40" s="329"/>
      <c r="B40" s="329"/>
      <c r="C40" s="348" t="s">
        <v>156</v>
      </c>
      <c r="D40" s="329"/>
      <c r="E40" s="380" t="s">
        <v>157</v>
      </c>
      <c r="F40" s="381"/>
      <c r="G40" s="386"/>
      <c r="H40" s="329">
        <v>58059400</v>
      </c>
      <c r="I40" s="329"/>
      <c r="J40" s="329"/>
      <c r="K40" s="350"/>
      <c r="L40" s="386"/>
      <c r="M40" s="329">
        <v>46626420</v>
      </c>
      <c r="N40" s="329"/>
      <c r="O40" s="329"/>
      <c r="P40" s="350"/>
      <c r="Q40" s="386"/>
      <c r="R40" s="329">
        <v>-15761600</v>
      </c>
      <c r="S40" s="329"/>
      <c r="T40" s="329"/>
      <c r="U40" s="350"/>
      <c r="V40" s="386"/>
      <c r="W40" s="329">
        <v>0</v>
      </c>
      <c r="X40" s="329"/>
      <c r="Y40" s="329"/>
      <c r="Z40" s="350"/>
      <c r="AA40" s="386"/>
      <c r="AB40" s="329">
        <v>0</v>
      </c>
      <c r="AC40" s="329"/>
      <c r="AD40" s="329"/>
      <c r="AE40" s="350"/>
      <c r="AF40" s="386"/>
      <c r="AG40" s="329">
        <v>0</v>
      </c>
      <c r="AH40" s="329"/>
      <c r="AI40" s="329"/>
      <c r="AJ40" s="350"/>
      <c r="AK40" s="386"/>
      <c r="AL40" s="329">
        <v>6790681</v>
      </c>
      <c r="AM40" s="329"/>
      <c r="AN40" s="329"/>
      <c r="AO40" s="350"/>
      <c r="AP40" s="386"/>
      <c r="AQ40" s="329">
        <v>0</v>
      </c>
      <c r="AR40" s="329"/>
      <c r="AS40" s="329"/>
      <c r="AT40" s="350"/>
      <c r="AU40" s="386"/>
      <c r="AV40" s="329">
        <v>0</v>
      </c>
      <c r="AW40" s="329"/>
      <c r="AX40" s="329"/>
      <c r="AY40" s="350"/>
      <c r="AZ40" s="386"/>
      <c r="BA40" s="329">
        <v>0</v>
      </c>
      <c r="BB40" s="329"/>
      <c r="BC40" s="329"/>
      <c r="BD40" s="350"/>
      <c r="BE40" s="386"/>
      <c r="BF40" s="329">
        <v>0</v>
      </c>
      <c r="BG40" s="329"/>
      <c r="BH40" s="329"/>
      <c r="BI40" s="350"/>
      <c r="BJ40" s="386"/>
      <c r="BK40" s="329">
        <v>0</v>
      </c>
      <c r="BL40" s="329"/>
      <c r="BM40" s="329"/>
      <c r="BN40" s="350"/>
      <c r="BO40" s="386"/>
      <c r="BP40" s="329">
        <v>0</v>
      </c>
      <c r="BQ40" s="329"/>
      <c r="BR40" s="329"/>
      <c r="BS40" s="350"/>
      <c r="BT40" s="386"/>
      <c r="BU40" s="329">
        <v>37655501</v>
      </c>
      <c r="BV40" s="329"/>
      <c r="BW40" s="329"/>
      <c r="BX40" s="386"/>
      <c r="BY40" s="353">
        <v>27396681</v>
      </c>
      <c r="BZ40" s="329"/>
      <c r="CA40" s="329"/>
      <c r="CB40" s="350"/>
      <c r="CC40" s="386"/>
      <c r="CD40" s="329">
        <v>0</v>
      </c>
      <c r="CE40" s="329"/>
      <c r="CF40" s="329"/>
      <c r="CG40" s="350"/>
      <c r="CH40" s="386"/>
      <c r="CI40" s="329">
        <v>-6054</v>
      </c>
      <c r="CJ40" s="329"/>
      <c r="CK40" s="329"/>
      <c r="CL40" s="350"/>
      <c r="CM40" s="386"/>
      <c r="CN40" s="329">
        <v>14088400</v>
      </c>
      <c r="CO40" s="329"/>
      <c r="CP40" s="329"/>
      <c r="CQ40" s="350"/>
      <c r="CR40" s="386"/>
      <c r="CS40" s="329">
        <v>0</v>
      </c>
      <c r="CT40" s="329"/>
      <c r="CU40" s="329"/>
      <c r="CV40" s="350"/>
      <c r="CW40" s="386"/>
      <c r="CX40" s="329">
        <v>0</v>
      </c>
      <c r="CY40" s="329"/>
      <c r="CZ40" s="329"/>
      <c r="DA40" s="350"/>
      <c r="DB40" s="386"/>
      <c r="DC40" s="329">
        <v>-3912780</v>
      </c>
      <c r="DD40" s="329"/>
      <c r="DE40" s="329"/>
      <c r="DF40" s="350"/>
      <c r="DG40" s="386"/>
      <c r="DH40" s="329">
        <v>0</v>
      </c>
      <c r="DI40" s="329"/>
      <c r="DJ40" s="329"/>
      <c r="DK40" s="350"/>
      <c r="DL40" s="386"/>
      <c r="DM40" s="329">
        <v>6098240</v>
      </c>
      <c r="DN40" s="329"/>
      <c r="DO40" s="329"/>
      <c r="DP40" s="350"/>
      <c r="DQ40" s="386"/>
      <c r="DR40" s="329">
        <v>0</v>
      </c>
      <c r="DS40" s="329"/>
      <c r="DT40" s="329"/>
      <c r="DU40" s="350"/>
      <c r="DV40" s="386"/>
      <c r="DW40" s="329">
        <v>0</v>
      </c>
      <c r="DX40" s="329"/>
      <c r="DY40" s="329"/>
      <c r="DZ40" s="350"/>
      <c r="EA40" s="386"/>
      <c r="EB40" s="329">
        <v>0</v>
      </c>
      <c r="EC40" s="329"/>
      <c r="ED40" s="329"/>
      <c r="EE40" s="350"/>
      <c r="EF40" s="386"/>
      <c r="EG40" s="329">
        <v>11128875</v>
      </c>
      <c r="EH40" s="329"/>
      <c r="EI40" s="329"/>
      <c r="EJ40" s="350"/>
      <c r="EK40" s="386"/>
      <c r="EL40" s="329">
        <v>10169566</v>
      </c>
      <c r="EM40" s="329"/>
      <c r="EN40" s="329"/>
      <c r="EO40" s="348"/>
      <c r="EP40" s="329"/>
    </row>
    <row r="41" spans="1:150" x14ac:dyDescent="0.2">
      <c r="A41" s="317"/>
      <c r="B41" s="317"/>
      <c r="C41" s="340" t="s">
        <v>142</v>
      </c>
      <c r="D41" s="317"/>
      <c r="E41" s="382"/>
      <c r="F41" s="383"/>
      <c r="G41" s="387"/>
      <c r="H41" s="355">
        <v>58059400</v>
      </c>
      <c r="I41" s="356"/>
      <c r="J41" s="317"/>
      <c r="K41" s="347"/>
      <c r="L41" s="387"/>
      <c r="M41" s="355">
        <v>46626420</v>
      </c>
      <c r="N41" s="356"/>
      <c r="O41" s="317"/>
      <c r="P41" s="347"/>
      <c r="Q41" s="387"/>
      <c r="R41" s="355">
        <v>-15761600</v>
      </c>
      <c r="S41" s="356"/>
      <c r="T41" s="317"/>
      <c r="U41" s="347"/>
      <c r="V41" s="387"/>
      <c r="W41" s="355">
        <v>0</v>
      </c>
      <c r="X41" s="356"/>
      <c r="Y41" s="317"/>
      <c r="Z41" s="347"/>
      <c r="AA41" s="387"/>
      <c r="AB41" s="355">
        <v>0</v>
      </c>
      <c r="AC41" s="356"/>
      <c r="AD41" s="317"/>
      <c r="AE41" s="347"/>
      <c r="AF41" s="387"/>
      <c r="AG41" s="355">
        <v>0</v>
      </c>
      <c r="AH41" s="356"/>
      <c r="AI41" s="317"/>
      <c r="AJ41" s="347"/>
      <c r="AK41" s="387"/>
      <c r="AL41" s="355">
        <v>6790681</v>
      </c>
      <c r="AM41" s="356"/>
      <c r="AN41" s="317"/>
      <c r="AO41" s="347"/>
      <c r="AP41" s="387"/>
      <c r="AQ41" s="355">
        <v>0</v>
      </c>
      <c r="AR41" s="356"/>
      <c r="AS41" s="317"/>
      <c r="AT41" s="347"/>
      <c r="AU41" s="387"/>
      <c r="AV41" s="355">
        <v>0</v>
      </c>
      <c r="AW41" s="356"/>
      <c r="AX41" s="317"/>
      <c r="AY41" s="347"/>
      <c r="AZ41" s="387"/>
      <c r="BA41" s="355">
        <v>0</v>
      </c>
      <c r="BB41" s="356"/>
      <c r="BC41" s="317"/>
      <c r="BD41" s="347"/>
      <c r="BE41" s="387"/>
      <c r="BF41" s="355">
        <v>0</v>
      </c>
      <c r="BG41" s="356"/>
      <c r="BH41" s="317"/>
      <c r="BI41" s="347"/>
      <c r="BJ41" s="387"/>
      <c r="BK41" s="355">
        <v>0</v>
      </c>
      <c r="BL41" s="356"/>
      <c r="BM41" s="317"/>
      <c r="BN41" s="347"/>
      <c r="BO41" s="387"/>
      <c r="BP41" s="355">
        <v>0</v>
      </c>
      <c r="BQ41" s="356"/>
      <c r="BR41" s="317"/>
      <c r="BS41" s="347"/>
      <c r="BT41" s="387"/>
      <c r="BU41" s="355">
        <v>37655501</v>
      </c>
      <c r="BV41" s="355"/>
      <c r="BW41" s="317"/>
      <c r="BX41" s="723"/>
      <c r="BY41" s="359">
        <v>27396681</v>
      </c>
      <c r="BZ41" s="356"/>
      <c r="CA41" s="317"/>
      <c r="CB41" s="347"/>
      <c r="CC41" s="387"/>
      <c r="CD41" s="355">
        <v>0</v>
      </c>
      <c r="CE41" s="356"/>
      <c r="CF41" s="317"/>
      <c r="CG41" s="347"/>
      <c r="CH41" s="387"/>
      <c r="CI41" s="355">
        <v>-6054</v>
      </c>
      <c r="CJ41" s="356"/>
      <c r="CK41" s="317"/>
      <c r="CL41" s="347"/>
      <c r="CM41" s="387"/>
      <c r="CN41" s="355">
        <v>14088400</v>
      </c>
      <c r="CO41" s="356"/>
      <c r="CP41" s="317"/>
      <c r="CQ41" s="347"/>
      <c r="CR41" s="387"/>
      <c r="CS41" s="355">
        <v>0</v>
      </c>
      <c r="CT41" s="356"/>
      <c r="CU41" s="317"/>
      <c r="CV41" s="347"/>
      <c r="CW41" s="387"/>
      <c r="CX41" s="355">
        <v>0</v>
      </c>
      <c r="CY41" s="356"/>
      <c r="CZ41" s="317"/>
      <c r="DA41" s="347"/>
      <c r="DB41" s="387"/>
      <c r="DC41" s="355">
        <v>-3912780</v>
      </c>
      <c r="DD41" s="356"/>
      <c r="DE41" s="317"/>
      <c r="DF41" s="347"/>
      <c r="DG41" s="387"/>
      <c r="DH41" s="355">
        <v>0</v>
      </c>
      <c r="DI41" s="356"/>
      <c r="DJ41" s="317"/>
      <c r="DK41" s="347"/>
      <c r="DL41" s="387"/>
      <c r="DM41" s="355">
        <v>6098240</v>
      </c>
      <c r="DN41" s="356"/>
      <c r="DO41" s="317"/>
      <c r="DP41" s="347"/>
      <c r="DQ41" s="387"/>
      <c r="DR41" s="355">
        <v>0</v>
      </c>
      <c r="DS41" s="356"/>
      <c r="DT41" s="317"/>
      <c r="DU41" s="347"/>
      <c r="DV41" s="387"/>
      <c r="DW41" s="355">
        <v>0</v>
      </c>
      <c r="DX41" s="356"/>
      <c r="DY41" s="317"/>
      <c r="DZ41" s="347"/>
      <c r="EA41" s="387"/>
      <c r="EB41" s="355">
        <v>0</v>
      </c>
      <c r="EC41" s="356"/>
      <c r="ED41" s="317"/>
      <c r="EE41" s="347"/>
      <c r="EF41" s="387"/>
      <c r="EG41" s="355">
        <v>11128875</v>
      </c>
      <c r="EH41" s="356"/>
      <c r="EI41" s="317"/>
      <c r="EJ41" s="347"/>
      <c r="EK41" s="387"/>
      <c r="EL41" s="355">
        <v>10169566</v>
      </c>
      <c r="EM41" s="356"/>
      <c r="EN41" s="317"/>
      <c r="EO41" s="340"/>
      <c r="ER41" s="39"/>
      <c r="ES41" s="39"/>
      <c r="ET41" s="39"/>
    </row>
    <row r="42" spans="1:150" x14ac:dyDescent="0.2">
      <c r="A42" s="317"/>
      <c r="B42" s="317"/>
      <c r="C42" s="340" t="s">
        <v>143</v>
      </c>
      <c r="D42" s="317"/>
      <c r="E42" s="346"/>
      <c r="F42" s="375"/>
      <c r="G42" s="375"/>
      <c r="H42" s="364">
        <v>73821000</v>
      </c>
      <c r="I42" s="363"/>
      <c r="J42" s="317"/>
      <c r="K42" s="347"/>
      <c r="L42" s="375"/>
      <c r="M42" s="364">
        <v>46626420</v>
      </c>
      <c r="N42" s="363"/>
      <c r="O42" s="317"/>
      <c r="P42" s="347"/>
      <c r="Q42" s="375"/>
      <c r="R42" s="364">
        <v>0</v>
      </c>
      <c r="S42" s="363"/>
      <c r="T42" s="317"/>
      <c r="U42" s="347"/>
      <c r="V42" s="375"/>
      <c r="W42" s="364">
        <v>0</v>
      </c>
      <c r="X42" s="363"/>
      <c r="Y42" s="317"/>
      <c r="Z42" s="347"/>
      <c r="AA42" s="375"/>
      <c r="AB42" s="364">
        <v>0</v>
      </c>
      <c r="AC42" s="363"/>
      <c r="AD42" s="317"/>
      <c r="AE42" s="347"/>
      <c r="AF42" s="375"/>
      <c r="AG42" s="364">
        <v>0</v>
      </c>
      <c r="AH42" s="363"/>
      <c r="AI42" s="317"/>
      <c r="AJ42" s="347"/>
      <c r="AK42" s="375"/>
      <c r="AL42" s="364">
        <v>6790681</v>
      </c>
      <c r="AM42" s="363"/>
      <c r="AN42" s="317"/>
      <c r="AO42" s="347"/>
      <c r="AP42" s="375"/>
      <c r="AQ42" s="364">
        <v>0</v>
      </c>
      <c r="AR42" s="363"/>
      <c r="AS42" s="317"/>
      <c r="AT42" s="347"/>
      <c r="AU42" s="375"/>
      <c r="AV42" s="364">
        <v>0</v>
      </c>
      <c r="AW42" s="363"/>
      <c r="AX42" s="317"/>
      <c r="AY42" s="347"/>
      <c r="AZ42" s="375"/>
      <c r="BA42" s="364">
        <v>0</v>
      </c>
      <c r="BB42" s="363"/>
      <c r="BC42" s="317"/>
      <c r="BD42" s="347"/>
      <c r="BE42" s="375"/>
      <c r="BF42" s="364">
        <v>0</v>
      </c>
      <c r="BG42" s="363"/>
      <c r="BH42" s="317"/>
      <c r="BI42" s="347"/>
      <c r="BJ42" s="375"/>
      <c r="BK42" s="364">
        <v>0</v>
      </c>
      <c r="BL42" s="363"/>
      <c r="BM42" s="317"/>
      <c r="BN42" s="347"/>
      <c r="BO42" s="375"/>
      <c r="BP42" s="364">
        <v>0</v>
      </c>
      <c r="BQ42" s="363"/>
      <c r="BR42" s="317"/>
      <c r="BS42" s="347"/>
      <c r="BT42" s="375"/>
      <c r="BU42" s="364">
        <v>53417101</v>
      </c>
      <c r="BV42" s="317"/>
      <c r="BW42" s="317"/>
      <c r="BX42" s="376"/>
      <c r="BY42" s="362">
        <v>31315515</v>
      </c>
      <c r="BZ42" s="363"/>
      <c r="CA42" s="317"/>
      <c r="CB42" s="347"/>
      <c r="CC42" s="375"/>
      <c r="CD42" s="364">
        <v>0</v>
      </c>
      <c r="CE42" s="363"/>
      <c r="CF42" s="317"/>
      <c r="CG42" s="347"/>
      <c r="CH42" s="375"/>
      <c r="CI42" s="364">
        <v>0</v>
      </c>
      <c r="CJ42" s="363"/>
      <c r="CK42" s="317"/>
      <c r="CL42" s="347"/>
      <c r="CM42" s="375"/>
      <c r="CN42" s="364">
        <v>14088400</v>
      </c>
      <c r="CO42" s="363"/>
      <c r="CP42" s="317"/>
      <c r="CQ42" s="347"/>
      <c r="CR42" s="375"/>
      <c r="CS42" s="364">
        <v>0</v>
      </c>
      <c r="CT42" s="363"/>
      <c r="CU42" s="317"/>
      <c r="CV42" s="347"/>
      <c r="CW42" s="375"/>
      <c r="CX42" s="364">
        <v>0</v>
      </c>
      <c r="CY42" s="363"/>
      <c r="CZ42" s="317"/>
      <c r="DA42" s="347"/>
      <c r="DB42" s="375"/>
      <c r="DC42" s="364">
        <v>0</v>
      </c>
      <c r="DD42" s="363"/>
      <c r="DE42" s="317"/>
      <c r="DF42" s="347"/>
      <c r="DG42" s="375"/>
      <c r="DH42" s="364">
        <v>0</v>
      </c>
      <c r="DI42" s="363"/>
      <c r="DJ42" s="317"/>
      <c r="DK42" s="347"/>
      <c r="DL42" s="375"/>
      <c r="DM42" s="364">
        <v>6098240</v>
      </c>
      <c r="DN42" s="363"/>
      <c r="DO42" s="317"/>
      <c r="DP42" s="347"/>
      <c r="DQ42" s="375"/>
      <c r="DR42" s="364">
        <v>0</v>
      </c>
      <c r="DS42" s="363"/>
      <c r="DT42" s="317"/>
      <c r="DU42" s="347"/>
      <c r="DV42" s="375"/>
      <c r="DW42" s="364">
        <v>0</v>
      </c>
      <c r="DX42" s="363"/>
      <c r="DY42" s="317"/>
      <c r="DZ42" s="347"/>
      <c r="EA42" s="375"/>
      <c r="EB42" s="364">
        <v>0</v>
      </c>
      <c r="EC42" s="363"/>
      <c r="ED42" s="317"/>
      <c r="EE42" s="347"/>
      <c r="EF42" s="375"/>
      <c r="EG42" s="364">
        <v>11128875</v>
      </c>
      <c r="EH42" s="363"/>
      <c r="EI42" s="317"/>
      <c r="EJ42" s="347"/>
      <c r="EK42" s="375"/>
      <c r="EL42" s="364">
        <v>14088400</v>
      </c>
      <c r="EM42" s="363"/>
      <c r="EN42" s="317"/>
      <c r="EO42" s="340"/>
      <c r="ER42" s="39"/>
      <c r="ES42" s="39"/>
      <c r="ET42" s="39"/>
    </row>
    <row r="43" spans="1:150" ht="12.75" hidden="1" customHeight="1" x14ac:dyDescent="0.2">
      <c r="A43" s="317"/>
      <c r="B43" s="317"/>
      <c r="C43" s="340" t="s">
        <v>145</v>
      </c>
      <c r="D43" s="317"/>
      <c r="E43" s="346"/>
      <c r="F43" s="375"/>
      <c r="G43" s="375"/>
      <c r="H43" s="365">
        <v>0</v>
      </c>
      <c r="I43" s="363"/>
      <c r="J43" s="317"/>
      <c r="K43" s="347"/>
      <c r="L43" s="375"/>
      <c r="M43" s="365">
        <v>0</v>
      </c>
      <c r="N43" s="363"/>
      <c r="O43" s="317"/>
      <c r="P43" s="347"/>
      <c r="Q43" s="375"/>
      <c r="R43" s="365">
        <v>0</v>
      </c>
      <c r="S43" s="363"/>
      <c r="T43" s="317"/>
      <c r="U43" s="347"/>
      <c r="V43" s="375"/>
      <c r="W43" s="365">
        <v>0</v>
      </c>
      <c r="X43" s="363"/>
      <c r="Y43" s="317"/>
      <c r="Z43" s="347"/>
      <c r="AA43" s="375"/>
      <c r="AB43" s="365">
        <v>0</v>
      </c>
      <c r="AC43" s="363"/>
      <c r="AD43" s="317"/>
      <c r="AE43" s="347"/>
      <c r="AF43" s="375"/>
      <c r="AG43" s="365">
        <v>0</v>
      </c>
      <c r="AH43" s="363"/>
      <c r="AI43" s="317"/>
      <c r="AJ43" s="347"/>
      <c r="AK43" s="375"/>
      <c r="AL43" s="365">
        <v>0</v>
      </c>
      <c r="AM43" s="363"/>
      <c r="AN43" s="317"/>
      <c r="AO43" s="347"/>
      <c r="AP43" s="375"/>
      <c r="AQ43" s="365">
        <v>0</v>
      </c>
      <c r="AR43" s="363"/>
      <c r="AS43" s="317"/>
      <c r="AT43" s="347"/>
      <c r="AU43" s="375"/>
      <c r="AV43" s="365">
        <v>0</v>
      </c>
      <c r="AW43" s="363"/>
      <c r="AX43" s="317"/>
      <c r="AY43" s="347"/>
      <c r="AZ43" s="375"/>
      <c r="BA43" s="365">
        <v>0</v>
      </c>
      <c r="BB43" s="363"/>
      <c r="BC43" s="317"/>
      <c r="BD43" s="347"/>
      <c r="BE43" s="375"/>
      <c r="BF43" s="365">
        <v>0</v>
      </c>
      <c r="BG43" s="363"/>
      <c r="BH43" s="317"/>
      <c r="BI43" s="347"/>
      <c r="BJ43" s="375"/>
      <c r="BK43" s="365">
        <v>0</v>
      </c>
      <c r="BL43" s="363"/>
      <c r="BM43" s="317"/>
      <c r="BN43" s="347"/>
      <c r="BO43" s="375"/>
      <c r="BP43" s="365">
        <v>0</v>
      </c>
      <c r="BQ43" s="363"/>
      <c r="BR43" s="317"/>
      <c r="BS43" s="347"/>
      <c r="BT43" s="375"/>
      <c r="BU43" s="365">
        <v>0</v>
      </c>
      <c r="BV43" s="317"/>
      <c r="BW43" s="317"/>
      <c r="BX43" s="376"/>
      <c r="BY43" s="366">
        <v>0</v>
      </c>
      <c r="BZ43" s="363"/>
      <c r="CA43" s="317"/>
      <c r="CB43" s="347"/>
      <c r="CC43" s="375"/>
      <c r="CD43" s="365">
        <v>0</v>
      </c>
      <c r="CE43" s="363"/>
      <c r="CF43" s="317"/>
      <c r="CG43" s="347"/>
      <c r="CH43" s="375"/>
      <c r="CI43" s="365">
        <v>0</v>
      </c>
      <c r="CJ43" s="363"/>
      <c r="CK43" s="317"/>
      <c r="CL43" s="347"/>
      <c r="CM43" s="375"/>
      <c r="CN43" s="365">
        <v>0</v>
      </c>
      <c r="CO43" s="363"/>
      <c r="CP43" s="317"/>
      <c r="CQ43" s="347"/>
      <c r="CR43" s="375"/>
      <c r="CS43" s="365">
        <v>0</v>
      </c>
      <c r="CT43" s="363"/>
      <c r="CU43" s="317"/>
      <c r="CV43" s="347"/>
      <c r="CW43" s="375"/>
      <c r="CX43" s="365">
        <v>0</v>
      </c>
      <c r="CY43" s="363"/>
      <c r="CZ43" s="317"/>
      <c r="DA43" s="347"/>
      <c r="DB43" s="375"/>
      <c r="DC43" s="365">
        <v>0</v>
      </c>
      <c r="DD43" s="363"/>
      <c r="DE43" s="317"/>
      <c r="DF43" s="347"/>
      <c r="DG43" s="375"/>
      <c r="DH43" s="365">
        <v>0</v>
      </c>
      <c r="DI43" s="363"/>
      <c r="DJ43" s="317"/>
      <c r="DK43" s="347"/>
      <c r="DL43" s="375"/>
      <c r="DM43" s="365">
        <v>0</v>
      </c>
      <c r="DN43" s="363"/>
      <c r="DO43" s="317"/>
      <c r="DP43" s="347"/>
      <c r="DQ43" s="375"/>
      <c r="DR43" s="365">
        <v>0</v>
      </c>
      <c r="DS43" s="363"/>
      <c r="DT43" s="317"/>
      <c r="DU43" s="347"/>
      <c r="DV43" s="375"/>
      <c r="DW43" s="365">
        <v>0</v>
      </c>
      <c r="DX43" s="363"/>
      <c r="DY43" s="317"/>
      <c r="DZ43" s="347"/>
      <c r="EA43" s="375"/>
      <c r="EB43" s="365">
        <v>0</v>
      </c>
      <c r="EC43" s="363"/>
      <c r="ED43" s="317"/>
      <c r="EE43" s="347"/>
      <c r="EF43" s="375"/>
      <c r="EG43" s="365">
        <v>0</v>
      </c>
      <c r="EH43" s="363"/>
      <c r="EI43" s="317"/>
      <c r="EJ43" s="347"/>
      <c r="EK43" s="375"/>
      <c r="EL43" s="365">
        <v>0</v>
      </c>
      <c r="EM43" s="363"/>
      <c r="EN43" s="317"/>
      <c r="EO43" s="340"/>
      <c r="ER43" s="39"/>
      <c r="ES43" s="39"/>
      <c r="ET43" s="39"/>
    </row>
    <row r="44" spans="1:150" x14ac:dyDescent="0.2">
      <c r="A44" s="317"/>
      <c r="B44" s="317"/>
      <c r="C44" s="340" t="s">
        <v>146</v>
      </c>
      <c r="D44" s="317"/>
      <c r="E44" s="346"/>
      <c r="F44" s="375"/>
      <c r="G44" s="375"/>
      <c r="H44" s="365"/>
      <c r="I44" s="363"/>
      <c r="J44" s="317"/>
      <c r="K44" s="347"/>
      <c r="L44" s="375"/>
      <c r="M44" s="365"/>
      <c r="N44" s="363"/>
      <c r="O44" s="317"/>
      <c r="P44" s="347"/>
      <c r="Q44" s="375"/>
      <c r="R44" s="365"/>
      <c r="S44" s="363"/>
      <c r="T44" s="317"/>
      <c r="U44" s="347"/>
      <c r="V44" s="375"/>
      <c r="W44" s="365"/>
      <c r="X44" s="363"/>
      <c r="Y44" s="317"/>
      <c r="Z44" s="347"/>
      <c r="AA44" s="375"/>
      <c r="AB44" s="365"/>
      <c r="AC44" s="363"/>
      <c r="AD44" s="317"/>
      <c r="AE44" s="347"/>
      <c r="AF44" s="375"/>
      <c r="AG44" s="365"/>
      <c r="AH44" s="363"/>
      <c r="AI44" s="317"/>
      <c r="AJ44" s="347"/>
      <c r="AK44" s="375"/>
      <c r="AL44" s="365"/>
      <c r="AM44" s="363"/>
      <c r="AN44" s="317"/>
      <c r="AO44" s="347"/>
      <c r="AP44" s="375"/>
      <c r="AQ44" s="365"/>
      <c r="AR44" s="363"/>
      <c r="AS44" s="317"/>
      <c r="AT44" s="347"/>
      <c r="AU44" s="375"/>
      <c r="AV44" s="365"/>
      <c r="AW44" s="363"/>
      <c r="AX44" s="317"/>
      <c r="AY44" s="347"/>
      <c r="AZ44" s="375"/>
      <c r="BA44" s="365"/>
      <c r="BB44" s="363"/>
      <c r="BC44" s="317"/>
      <c r="BD44" s="347"/>
      <c r="BE44" s="375"/>
      <c r="BF44" s="365"/>
      <c r="BG44" s="363"/>
      <c r="BH44" s="317"/>
      <c r="BI44" s="347"/>
      <c r="BJ44" s="375"/>
      <c r="BK44" s="365"/>
      <c r="BL44" s="363"/>
      <c r="BM44" s="317"/>
      <c r="BN44" s="347"/>
      <c r="BO44" s="375"/>
      <c r="BP44" s="365"/>
      <c r="BQ44" s="363"/>
      <c r="BR44" s="317"/>
      <c r="BS44" s="347"/>
      <c r="BT44" s="375"/>
      <c r="BU44" s="365"/>
      <c r="BV44" s="317"/>
      <c r="BW44" s="317"/>
      <c r="BX44" s="376"/>
      <c r="BY44" s="366"/>
      <c r="BZ44" s="363"/>
      <c r="CA44" s="317"/>
      <c r="CB44" s="347"/>
      <c r="CC44" s="375"/>
      <c r="CD44" s="365"/>
      <c r="CE44" s="363"/>
      <c r="CF44" s="317"/>
      <c r="CG44" s="347"/>
      <c r="CH44" s="375"/>
      <c r="CI44" s="365"/>
      <c r="CJ44" s="363"/>
      <c r="CK44" s="317"/>
      <c r="CL44" s="347"/>
      <c r="CM44" s="375"/>
      <c r="CN44" s="365"/>
      <c r="CO44" s="363"/>
      <c r="CP44" s="317"/>
      <c r="CQ44" s="347"/>
      <c r="CR44" s="375"/>
      <c r="CS44" s="365"/>
      <c r="CT44" s="363"/>
      <c r="CU44" s="317"/>
      <c r="CV44" s="347"/>
      <c r="CW44" s="375"/>
      <c r="CX44" s="365"/>
      <c r="CY44" s="363"/>
      <c r="CZ44" s="317"/>
      <c r="DA44" s="347"/>
      <c r="DB44" s="375"/>
      <c r="DC44" s="365"/>
      <c r="DD44" s="363"/>
      <c r="DE44" s="317"/>
      <c r="DF44" s="347"/>
      <c r="DG44" s="375"/>
      <c r="DH44" s="365"/>
      <c r="DI44" s="363"/>
      <c r="DJ44" s="317"/>
      <c r="DK44" s="347"/>
      <c r="DL44" s="375"/>
      <c r="DM44" s="365"/>
      <c r="DN44" s="363"/>
      <c r="DO44" s="317"/>
      <c r="DP44" s="347"/>
      <c r="DQ44" s="375"/>
      <c r="DR44" s="365"/>
      <c r="DS44" s="363"/>
      <c r="DT44" s="317"/>
      <c r="DU44" s="347"/>
      <c r="DV44" s="375"/>
      <c r="DW44" s="365"/>
      <c r="DX44" s="363"/>
      <c r="DY44" s="317"/>
      <c r="DZ44" s="347"/>
      <c r="EA44" s="375"/>
      <c r="EB44" s="365"/>
      <c r="EC44" s="363"/>
      <c r="ED44" s="317"/>
      <c r="EE44" s="347"/>
      <c r="EF44" s="375"/>
      <c r="EG44" s="365"/>
      <c r="EH44" s="363"/>
      <c r="EI44" s="317"/>
      <c r="EJ44" s="347"/>
      <c r="EK44" s="375"/>
      <c r="EL44" s="365"/>
      <c r="EM44" s="363"/>
      <c r="EN44" s="317"/>
      <c r="EO44" s="340"/>
      <c r="ER44" s="39"/>
      <c r="ES44" s="39"/>
      <c r="ET44" s="39"/>
    </row>
    <row r="45" spans="1:150" x14ac:dyDescent="0.2">
      <c r="A45" s="317"/>
      <c r="B45" s="317"/>
      <c r="C45" s="360" t="s">
        <v>158</v>
      </c>
      <c r="D45" s="317"/>
      <c r="E45" s="346"/>
      <c r="F45" s="375"/>
      <c r="G45" s="375"/>
      <c r="H45" s="365">
        <v>-7115000</v>
      </c>
      <c r="I45" s="363"/>
      <c r="J45" s="317"/>
      <c r="K45" s="347"/>
      <c r="L45" s="375"/>
      <c r="M45" s="365">
        <v>0</v>
      </c>
      <c r="N45" s="363"/>
      <c r="O45" s="317"/>
      <c r="P45" s="347"/>
      <c r="Q45" s="375"/>
      <c r="R45" s="365">
        <v>-7115000</v>
      </c>
      <c r="S45" s="363"/>
      <c r="T45" s="317"/>
      <c r="U45" s="347"/>
      <c r="V45" s="375"/>
      <c r="W45" s="365">
        <v>0</v>
      </c>
      <c r="X45" s="363"/>
      <c r="Y45" s="317"/>
      <c r="Z45" s="347"/>
      <c r="AA45" s="375"/>
      <c r="AB45" s="365">
        <v>0</v>
      </c>
      <c r="AC45" s="363"/>
      <c r="AD45" s="317"/>
      <c r="AE45" s="347"/>
      <c r="AF45" s="375"/>
      <c r="AG45" s="365">
        <v>0</v>
      </c>
      <c r="AH45" s="363"/>
      <c r="AI45" s="317"/>
      <c r="AJ45" s="347"/>
      <c r="AK45" s="375"/>
      <c r="AL45" s="365">
        <v>0</v>
      </c>
      <c r="AM45" s="363"/>
      <c r="AN45" s="317"/>
      <c r="AO45" s="347"/>
      <c r="AP45" s="375"/>
      <c r="AQ45" s="365">
        <v>0</v>
      </c>
      <c r="AR45" s="363"/>
      <c r="AS45" s="317"/>
      <c r="AT45" s="347"/>
      <c r="AU45" s="375"/>
      <c r="AV45" s="365">
        <v>0</v>
      </c>
      <c r="AW45" s="363"/>
      <c r="AX45" s="317"/>
      <c r="AY45" s="347"/>
      <c r="AZ45" s="375"/>
      <c r="BA45" s="365">
        <v>0</v>
      </c>
      <c r="BB45" s="363"/>
      <c r="BC45" s="317"/>
      <c r="BD45" s="347"/>
      <c r="BE45" s="375"/>
      <c r="BF45" s="365">
        <v>0</v>
      </c>
      <c r="BG45" s="363"/>
      <c r="BH45" s="317"/>
      <c r="BI45" s="347"/>
      <c r="BJ45" s="375"/>
      <c r="BK45" s="365">
        <v>0</v>
      </c>
      <c r="BL45" s="363"/>
      <c r="BM45" s="317"/>
      <c r="BN45" s="347"/>
      <c r="BO45" s="375"/>
      <c r="BP45" s="365">
        <v>0</v>
      </c>
      <c r="BQ45" s="363"/>
      <c r="BR45" s="317"/>
      <c r="BS45" s="347"/>
      <c r="BT45" s="375"/>
      <c r="BU45" s="365">
        <v>-7115000</v>
      </c>
      <c r="BV45" s="317"/>
      <c r="BW45" s="347"/>
      <c r="BX45" s="375"/>
      <c r="BY45" s="366">
        <v>-1995428</v>
      </c>
      <c r="BZ45" s="363"/>
      <c r="CA45" s="317"/>
      <c r="CB45" s="347"/>
      <c r="CC45" s="375"/>
      <c r="CD45" s="365">
        <v>0</v>
      </c>
      <c r="CE45" s="363"/>
      <c r="CF45" s="317"/>
      <c r="CG45" s="347"/>
      <c r="CH45" s="375"/>
      <c r="CI45" s="365">
        <v>-1940</v>
      </c>
      <c r="CJ45" s="363"/>
      <c r="CK45" s="317"/>
      <c r="CL45" s="347"/>
      <c r="CM45" s="375"/>
      <c r="CN45" s="365">
        <v>0</v>
      </c>
      <c r="CO45" s="363"/>
      <c r="CP45" s="317"/>
      <c r="CQ45" s="347"/>
      <c r="CR45" s="375"/>
      <c r="CS45" s="365">
        <v>0</v>
      </c>
      <c r="CT45" s="363"/>
      <c r="CU45" s="317"/>
      <c r="CV45" s="347"/>
      <c r="CW45" s="375"/>
      <c r="CX45" s="365">
        <v>0</v>
      </c>
      <c r="CY45" s="363"/>
      <c r="CZ45" s="317"/>
      <c r="DA45" s="347"/>
      <c r="DB45" s="375"/>
      <c r="DC45" s="365">
        <v>-1993488</v>
      </c>
      <c r="DD45" s="363"/>
      <c r="DE45" s="317"/>
      <c r="DF45" s="347"/>
      <c r="DG45" s="375"/>
      <c r="DH45" s="365">
        <v>0</v>
      </c>
      <c r="DI45" s="363"/>
      <c r="DJ45" s="317"/>
      <c r="DK45" s="347"/>
      <c r="DL45" s="375"/>
      <c r="DM45" s="365">
        <v>0</v>
      </c>
      <c r="DN45" s="363"/>
      <c r="DO45" s="317"/>
      <c r="DP45" s="347"/>
      <c r="DQ45" s="375"/>
      <c r="DR45" s="365">
        <v>0</v>
      </c>
      <c r="DS45" s="363"/>
      <c r="DT45" s="317"/>
      <c r="DU45" s="347"/>
      <c r="DV45" s="375"/>
      <c r="DW45" s="365">
        <v>0</v>
      </c>
      <c r="DX45" s="363"/>
      <c r="DY45" s="317"/>
      <c r="DZ45" s="347"/>
      <c r="EA45" s="375"/>
      <c r="EB45" s="365">
        <v>0</v>
      </c>
      <c r="EC45" s="363"/>
      <c r="ED45" s="317"/>
      <c r="EE45" s="347"/>
      <c r="EF45" s="375"/>
      <c r="EG45" s="365">
        <v>0</v>
      </c>
      <c r="EH45" s="363"/>
      <c r="EI45" s="317"/>
      <c r="EJ45" s="347"/>
      <c r="EK45" s="375"/>
      <c r="EL45" s="365">
        <v>-1995428</v>
      </c>
      <c r="EM45" s="363"/>
      <c r="EN45" s="317"/>
      <c r="EO45" s="340"/>
      <c r="ER45" s="39"/>
      <c r="ES45" s="39"/>
      <c r="ET45" s="39"/>
    </row>
    <row r="46" spans="1:150" x14ac:dyDescent="0.2">
      <c r="A46" s="317"/>
      <c r="B46" s="317"/>
      <c r="C46" s="360" t="s">
        <v>159</v>
      </c>
      <c r="D46" s="317"/>
      <c r="E46" s="346"/>
      <c r="F46" s="375"/>
      <c r="G46" s="375"/>
      <c r="H46" s="368">
        <v>-8646600</v>
      </c>
      <c r="I46" s="363"/>
      <c r="J46" s="317"/>
      <c r="K46" s="347"/>
      <c r="L46" s="375"/>
      <c r="M46" s="368">
        <v>0</v>
      </c>
      <c r="N46" s="363"/>
      <c r="O46" s="317"/>
      <c r="P46" s="347"/>
      <c r="Q46" s="375"/>
      <c r="R46" s="368">
        <v>-8646600</v>
      </c>
      <c r="S46" s="363"/>
      <c r="T46" s="317"/>
      <c r="U46" s="347"/>
      <c r="V46" s="375"/>
      <c r="W46" s="368">
        <v>0</v>
      </c>
      <c r="X46" s="363"/>
      <c r="Y46" s="317"/>
      <c r="Z46" s="347"/>
      <c r="AA46" s="375"/>
      <c r="AB46" s="368">
        <v>0</v>
      </c>
      <c r="AC46" s="363"/>
      <c r="AD46" s="317"/>
      <c r="AE46" s="347"/>
      <c r="AF46" s="375"/>
      <c r="AG46" s="368">
        <v>0</v>
      </c>
      <c r="AH46" s="363"/>
      <c r="AI46" s="317"/>
      <c r="AJ46" s="347"/>
      <c r="AK46" s="375"/>
      <c r="AL46" s="368">
        <v>0</v>
      </c>
      <c r="AM46" s="363"/>
      <c r="AN46" s="317"/>
      <c r="AO46" s="347"/>
      <c r="AP46" s="375"/>
      <c r="AQ46" s="368">
        <v>0</v>
      </c>
      <c r="AR46" s="363"/>
      <c r="AS46" s="317"/>
      <c r="AT46" s="347"/>
      <c r="AU46" s="375"/>
      <c r="AV46" s="368">
        <v>0</v>
      </c>
      <c r="AW46" s="363"/>
      <c r="AX46" s="317"/>
      <c r="AY46" s="347"/>
      <c r="AZ46" s="375"/>
      <c r="BA46" s="368">
        <v>0</v>
      </c>
      <c r="BB46" s="363"/>
      <c r="BC46" s="317"/>
      <c r="BD46" s="347"/>
      <c r="BE46" s="375"/>
      <c r="BF46" s="368">
        <v>0</v>
      </c>
      <c r="BG46" s="363"/>
      <c r="BH46" s="317"/>
      <c r="BI46" s="347"/>
      <c r="BJ46" s="375"/>
      <c r="BK46" s="368">
        <v>0</v>
      </c>
      <c r="BL46" s="363"/>
      <c r="BM46" s="317"/>
      <c r="BN46" s="347"/>
      <c r="BO46" s="375"/>
      <c r="BP46" s="368">
        <v>0</v>
      </c>
      <c r="BQ46" s="363"/>
      <c r="BR46" s="317"/>
      <c r="BS46" s="347"/>
      <c r="BT46" s="375"/>
      <c r="BU46" s="368">
        <v>-8646600</v>
      </c>
      <c r="BV46" s="317"/>
      <c r="BW46" s="347"/>
      <c r="BX46" s="375"/>
      <c r="BY46" s="367">
        <v>-1923406</v>
      </c>
      <c r="BZ46" s="363"/>
      <c r="CA46" s="317"/>
      <c r="CB46" s="347"/>
      <c r="CC46" s="375"/>
      <c r="CD46" s="368">
        <v>0</v>
      </c>
      <c r="CE46" s="363"/>
      <c r="CF46" s="317"/>
      <c r="CG46" s="347"/>
      <c r="CH46" s="375"/>
      <c r="CI46" s="368">
        <v>-4114</v>
      </c>
      <c r="CJ46" s="363"/>
      <c r="CK46" s="317"/>
      <c r="CL46" s="347"/>
      <c r="CM46" s="375"/>
      <c r="CN46" s="368">
        <v>0</v>
      </c>
      <c r="CO46" s="363"/>
      <c r="CP46" s="317"/>
      <c r="CQ46" s="347"/>
      <c r="CR46" s="375"/>
      <c r="CS46" s="368">
        <v>0</v>
      </c>
      <c r="CT46" s="363"/>
      <c r="CU46" s="317"/>
      <c r="CV46" s="347"/>
      <c r="CW46" s="375"/>
      <c r="CX46" s="368">
        <v>0</v>
      </c>
      <c r="CY46" s="363"/>
      <c r="CZ46" s="317"/>
      <c r="DA46" s="347"/>
      <c r="DB46" s="375"/>
      <c r="DC46" s="368">
        <v>-1919292</v>
      </c>
      <c r="DD46" s="363"/>
      <c r="DE46" s="317"/>
      <c r="DF46" s="347"/>
      <c r="DG46" s="375"/>
      <c r="DH46" s="368">
        <v>0</v>
      </c>
      <c r="DI46" s="363"/>
      <c r="DJ46" s="317"/>
      <c r="DK46" s="347"/>
      <c r="DL46" s="375"/>
      <c r="DM46" s="368">
        <v>0</v>
      </c>
      <c r="DN46" s="363"/>
      <c r="DO46" s="317"/>
      <c r="DP46" s="347"/>
      <c r="DQ46" s="375"/>
      <c r="DR46" s="368">
        <v>0</v>
      </c>
      <c r="DS46" s="363"/>
      <c r="DT46" s="317"/>
      <c r="DU46" s="347"/>
      <c r="DV46" s="375"/>
      <c r="DW46" s="368">
        <v>0</v>
      </c>
      <c r="DX46" s="363"/>
      <c r="DY46" s="317"/>
      <c r="DZ46" s="347"/>
      <c r="EA46" s="375"/>
      <c r="EB46" s="368">
        <v>0</v>
      </c>
      <c r="EC46" s="363"/>
      <c r="ED46" s="317"/>
      <c r="EE46" s="347"/>
      <c r="EF46" s="375"/>
      <c r="EG46" s="368">
        <v>0</v>
      </c>
      <c r="EH46" s="363"/>
      <c r="EI46" s="317"/>
      <c r="EJ46" s="347"/>
      <c r="EK46" s="375"/>
      <c r="EL46" s="368">
        <v>-1923406</v>
      </c>
      <c r="EM46" s="363"/>
      <c r="EN46" s="317"/>
      <c r="EO46" s="340"/>
      <c r="ER46" s="39"/>
      <c r="ES46" s="39"/>
      <c r="ET46" s="39"/>
    </row>
    <row r="47" spans="1:150" ht="13.9" hidden="1" customHeight="1" x14ac:dyDescent="0.2">
      <c r="A47" s="317"/>
      <c r="B47" s="317"/>
      <c r="C47" s="340"/>
      <c r="D47" s="317"/>
      <c r="E47" s="346"/>
      <c r="F47" s="375"/>
      <c r="G47" s="375"/>
      <c r="H47" s="317"/>
      <c r="I47" s="363"/>
      <c r="J47" s="317"/>
      <c r="K47" s="347"/>
      <c r="L47" s="375"/>
      <c r="M47" s="317"/>
      <c r="N47" s="363"/>
      <c r="O47" s="317"/>
      <c r="P47" s="347"/>
      <c r="Q47" s="375"/>
      <c r="R47" s="317"/>
      <c r="S47" s="363"/>
      <c r="T47" s="317"/>
      <c r="U47" s="347"/>
      <c r="V47" s="375"/>
      <c r="W47" s="317"/>
      <c r="X47" s="363"/>
      <c r="Y47" s="317"/>
      <c r="Z47" s="347"/>
      <c r="AA47" s="375"/>
      <c r="AB47" s="317"/>
      <c r="AC47" s="363"/>
      <c r="AD47" s="317"/>
      <c r="AE47" s="347"/>
      <c r="AF47" s="375"/>
      <c r="AG47" s="317"/>
      <c r="AH47" s="363"/>
      <c r="AI47" s="317"/>
      <c r="AJ47" s="347"/>
      <c r="AK47" s="375"/>
      <c r="AL47" s="317"/>
      <c r="AM47" s="363"/>
      <c r="AN47" s="317"/>
      <c r="AO47" s="347"/>
      <c r="AP47" s="375"/>
      <c r="AQ47" s="317"/>
      <c r="AR47" s="363"/>
      <c r="AS47" s="317"/>
      <c r="AT47" s="347"/>
      <c r="AU47" s="375"/>
      <c r="AV47" s="317"/>
      <c r="AW47" s="363"/>
      <c r="AX47" s="317"/>
      <c r="AY47" s="347"/>
      <c r="AZ47" s="375"/>
      <c r="BA47" s="317"/>
      <c r="BB47" s="363"/>
      <c r="BC47" s="317"/>
      <c r="BD47" s="347"/>
      <c r="BE47" s="375"/>
      <c r="BF47" s="317"/>
      <c r="BG47" s="363"/>
      <c r="BH47" s="317"/>
      <c r="BI47" s="347"/>
      <c r="BJ47" s="375"/>
      <c r="BK47" s="317"/>
      <c r="BL47" s="363"/>
      <c r="BM47" s="317"/>
      <c r="BN47" s="347"/>
      <c r="BO47" s="375"/>
      <c r="BP47" s="317"/>
      <c r="BQ47" s="363"/>
      <c r="BR47" s="317"/>
      <c r="BS47" s="347"/>
      <c r="BT47" s="375"/>
      <c r="BU47" s="317"/>
      <c r="BV47" s="317"/>
      <c r="BW47" s="347"/>
      <c r="BX47" s="375"/>
      <c r="BY47" s="369"/>
      <c r="BZ47" s="363"/>
      <c r="CA47" s="317"/>
      <c r="CB47" s="347"/>
      <c r="CC47" s="375"/>
      <c r="CD47" s="317"/>
      <c r="CE47" s="363"/>
      <c r="CF47" s="317"/>
      <c r="CG47" s="347"/>
      <c r="CH47" s="375"/>
      <c r="CI47" s="317"/>
      <c r="CJ47" s="363"/>
      <c r="CK47" s="317"/>
      <c r="CL47" s="347"/>
      <c r="CM47" s="375"/>
      <c r="CN47" s="317"/>
      <c r="CO47" s="363"/>
      <c r="CP47" s="317"/>
      <c r="CQ47" s="347"/>
      <c r="CR47" s="375"/>
      <c r="CS47" s="317"/>
      <c r="CT47" s="363"/>
      <c r="CU47" s="317"/>
      <c r="CV47" s="347"/>
      <c r="CW47" s="375"/>
      <c r="CX47" s="317"/>
      <c r="CY47" s="363"/>
      <c r="CZ47" s="317"/>
      <c r="DA47" s="347"/>
      <c r="DB47" s="375"/>
      <c r="DC47" s="317"/>
      <c r="DD47" s="363"/>
      <c r="DE47" s="317"/>
      <c r="DF47" s="347"/>
      <c r="DG47" s="375"/>
      <c r="DH47" s="317"/>
      <c r="DI47" s="363"/>
      <c r="DJ47" s="317"/>
      <c r="DK47" s="347"/>
      <c r="DL47" s="375"/>
      <c r="DM47" s="317"/>
      <c r="DN47" s="363"/>
      <c r="DO47" s="317"/>
      <c r="DP47" s="347"/>
      <c r="DQ47" s="375"/>
      <c r="DR47" s="317"/>
      <c r="DS47" s="363"/>
      <c r="DT47" s="317"/>
      <c r="DU47" s="347"/>
      <c r="DV47" s="375"/>
      <c r="DW47" s="317"/>
      <c r="DX47" s="363"/>
      <c r="DY47" s="317"/>
      <c r="DZ47" s="347"/>
      <c r="EA47" s="375"/>
      <c r="EB47" s="317"/>
      <c r="EC47" s="363"/>
      <c r="ED47" s="317"/>
      <c r="EE47" s="347"/>
      <c r="EF47" s="375"/>
      <c r="EG47" s="317"/>
      <c r="EH47" s="363"/>
      <c r="EI47" s="317"/>
      <c r="EJ47" s="347"/>
      <c r="EK47" s="375"/>
      <c r="EL47" s="317"/>
      <c r="EM47" s="363"/>
      <c r="EN47" s="317"/>
      <c r="EO47" s="340"/>
      <c r="ER47" s="39"/>
      <c r="ES47" s="39"/>
      <c r="ET47" s="39"/>
    </row>
    <row r="48" spans="1:150" ht="13.9" hidden="1" customHeight="1" x14ac:dyDescent="0.2">
      <c r="A48" s="317"/>
      <c r="B48" s="317"/>
      <c r="C48" s="340" t="s">
        <v>149</v>
      </c>
      <c r="D48" s="317"/>
      <c r="E48" s="346"/>
      <c r="F48" s="375"/>
      <c r="G48" s="375"/>
      <c r="H48" s="317">
        <v>0</v>
      </c>
      <c r="I48" s="363"/>
      <c r="J48" s="317"/>
      <c r="K48" s="347"/>
      <c r="L48" s="375"/>
      <c r="M48" s="317">
        <v>0</v>
      </c>
      <c r="N48" s="363"/>
      <c r="O48" s="317"/>
      <c r="P48" s="347"/>
      <c r="Q48" s="375"/>
      <c r="R48" s="317">
        <v>0</v>
      </c>
      <c r="S48" s="363"/>
      <c r="T48" s="317"/>
      <c r="U48" s="347"/>
      <c r="V48" s="375"/>
      <c r="W48" s="317">
        <v>0</v>
      </c>
      <c r="X48" s="363"/>
      <c r="Y48" s="317"/>
      <c r="Z48" s="347"/>
      <c r="AA48" s="375"/>
      <c r="AB48" s="317">
        <v>0</v>
      </c>
      <c r="AC48" s="363"/>
      <c r="AD48" s="317"/>
      <c r="AE48" s="347"/>
      <c r="AF48" s="375"/>
      <c r="AG48" s="317">
        <v>0</v>
      </c>
      <c r="AH48" s="363"/>
      <c r="AI48" s="317"/>
      <c r="AJ48" s="347"/>
      <c r="AK48" s="375"/>
      <c r="AL48" s="317">
        <v>0</v>
      </c>
      <c r="AM48" s="363"/>
      <c r="AN48" s="317"/>
      <c r="AO48" s="347"/>
      <c r="AP48" s="375"/>
      <c r="AQ48" s="317">
        <v>0</v>
      </c>
      <c r="AR48" s="363"/>
      <c r="AS48" s="317"/>
      <c r="AT48" s="347"/>
      <c r="AU48" s="375"/>
      <c r="AV48" s="317">
        <v>0</v>
      </c>
      <c r="AW48" s="363"/>
      <c r="AX48" s="317"/>
      <c r="AY48" s="347"/>
      <c r="AZ48" s="375"/>
      <c r="BA48" s="317">
        <v>0</v>
      </c>
      <c r="BB48" s="363"/>
      <c r="BC48" s="317"/>
      <c r="BD48" s="347"/>
      <c r="BE48" s="375"/>
      <c r="BF48" s="317">
        <v>0</v>
      </c>
      <c r="BG48" s="363"/>
      <c r="BH48" s="317"/>
      <c r="BI48" s="347"/>
      <c r="BJ48" s="375"/>
      <c r="BK48" s="317">
        <v>0</v>
      </c>
      <c r="BL48" s="363"/>
      <c r="BM48" s="317"/>
      <c r="BN48" s="347"/>
      <c r="BO48" s="375"/>
      <c r="BP48" s="317">
        <v>0</v>
      </c>
      <c r="BQ48" s="363"/>
      <c r="BR48" s="317"/>
      <c r="BS48" s="347"/>
      <c r="BT48" s="375"/>
      <c r="BU48" s="317">
        <v>0</v>
      </c>
      <c r="BV48" s="317"/>
      <c r="BW48" s="347"/>
      <c r="BX48" s="375"/>
      <c r="BY48" s="369">
        <v>0</v>
      </c>
      <c r="BZ48" s="363"/>
      <c r="CA48" s="317"/>
      <c r="CB48" s="347"/>
      <c r="CC48" s="375"/>
      <c r="CD48" s="317">
        <v>0</v>
      </c>
      <c r="CE48" s="363"/>
      <c r="CF48" s="317"/>
      <c r="CG48" s="347"/>
      <c r="CH48" s="375"/>
      <c r="CI48" s="317">
        <v>0</v>
      </c>
      <c r="CJ48" s="363"/>
      <c r="CK48" s="317"/>
      <c r="CL48" s="347"/>
      <c r="CM48" s="375"/>
      <c r="CN48" s="317">
        <v>0</v>
      </c>
      <c r="CO48" s="363"/>
      <c r="CP48" s="317"/>
      <c r="CQ48" s="347"/>
      <c r="CR48" s="375"/>
      <c r="CS48" s="317">
        <v>0</v>
      </c>
      <c r="CT48" s="363"/>
      <c r="CU48" s="317"/>
      <c r="CV48" s="347"/>
      <c r="CW48" s="375"/>
      <c r="CX48" s="317">
        <v>0</v>
      </c>
      <c r="CY48" s="363"/>
      <c r="CZ48" s="317"/>
      <c r="DA48" s="347"/>
      <c r="DB48" s="375"/>
      <c r="DC48" s="317">
        <v>0</v>
      </c>
      <c r="DD48" s="363"/>
      <c r="DE48" s="317"/>
      <c r="DF48" s="347"/>
      <c r="DG48" s="375"/>
      <c r="DH48" s="317">
        <v>0</v>
      </c>
      <c r="DI48" s="363"/>
      <c r="DJ48" s="317"/>
      <c r="DK48" s="347"/>
      <c r="DL48" s="375"/>
      <c r="DM48" s="317">
        <v>0</v>
      </c>
      <c r="DN48" s="363"/>
      <c r="DO48" s="317"/>
      <c r="DP48" s="347"/>
      <c r="DQ48" s="375"/>
      <c r="DR48" s="317">
        <v>0</v>
      </c>
      <c r="DS48" s="363"/>
      <c r="DT48" s="317"/>
      <c r="DU48" s="347"/>
      <c r="DV48" s="375"/>
      <c r="DW48" s="317">
        <v>0</v>
      </c>
      <c r="DX48" s="363"/>
      <c r="DY48" s="317"/>
      <c r="DZ48" s="347"/>
      <c r="EA48" s="375"/>
      <c r="EB48" s="317">
        <v>0</v>
      </c>
      <c r="EC48" s="363"/>
      <c r="ED48" s="317"/>
      <c r="EE48" s="347"/>
      <c r="EF48" s="375"/>
      <c r="EG48" s="317">
        <v>0</v>
      </c>
      <c r="EH48" s="363"/>
      <c r="EI48" s="317"/>
      <c r="EJ48" s="347"/>
      <c r="EK48" s="375"/>
      <c r="EL48" s="317">
        <v>0</v>
      </c>
      <c r="EM48" s="363"/>
      <c r="EN48" s="317"/>
      <c r="EO48" s="340"/>
      <c r="ER48" s="39"/>
      <c r="ES48" s="39"/>
      <c r="ET48" s="39"/>
    </row>
    <row r="49" spans="1:150" ht="13.9" hidden="1" customHeight="1" x14ac:dyDescent="0.2">
      <c r="A49" s="317"/>
      <c r="B49" s="317"/>
      <c r="C49" s="340" t="s">
        <v>143</v>
      </c>
      <c r="D49" s="317"/>
      <c r="E49" s="346"/>
      <c r="F49" s="375"/>
      <c r="G49" s="375"/>
      <c r="H49" s="364">
        <v>0</v>
      </c>
      <c r="I49" s="363"/>
      <c r="J49" s="317"/>
      <c r="K49" s="347"/>
      <c r="L49" s="375"/>
      <c r="M49" s="364">
        <v>0</v>
      </c>
      <c r="N49" s="363"/>
      <c r="O49" s="317"/>
      <c r="P49" s="347"/>
      <c r="Q49" s="375"/>
      <c r="R49" s="364">
        <v>0</v>
      </c>
      <c r="S49" s="363"/>
      <c r="T49" s="317"/>
      <c r="U49" s="347"/>
      <c r="V49" s="375"/>
      <c r="W49" s="364">
        <v>0</v>
      </c>
      <c r="X49" s="363"/>
      <c r="Y49" s="317"/>
      <c r="Z49" s="347"/>
      <c r="AA49" s="375"/>
      <c r="AB49" s="364">
        <v>0</v>
      </c>
      <c r="AC49" s="363"/>
      <c r="AD49" s="317"/>
      <c r="AE49" s="347"/>
      <c r="AF49" s="375"/>
      <c r="AG49" s="364">
        <v>0</v>
      </c>
      <c r="AH49" s="363"/>
      <c r="AI49" s="317"/>
      <c r="AJ49" s="347"/>
      <c r="AK49" s="375"/>
      <c r="AL49" s="364">
        <v>0</v>
      </c>
      <c r="AM49" s="363"/>
      <c r="AN49" s="317"/>
      <c r="AO49" s="347"/>
      <c r="AP49" s="375"/>
      <c r="AQ49" s="364">
        <v>0</v>
      </c>
      <c r="AR49" s="363"/>
      <c r="AS49" s="317"/>
      <c r="AT49" s="347"/>
      <c r="AU49" s="375"/>
      <c r="AV49" s="364">
        <v>0</v>
      </c>
      <c r="AW49" s="363"/>
      <c r="AX49" s="317"/>
      <c r="AY49" s="347"/>
      <c r="AZ49" s="375"/>
      <c r="BA49" s="364">
        <v>0</v>
      </c>
      <c r="BB49" s="363"/>
      <c r="BC49" s="317"/>
      <c r="BD49" s="347"/>
      <c r="BE49" s="375"/>
      <c r="BF49" s="364">
        <v>0</v>
      </c>
      <c r="BG49" s="363"/>
      <c r="BH49" s="317"/>
      <c r="BI49" s="347"/>
      <c r="BJ49" s="375"/>
      <c r="BK49" s="364">
        <v>0</v>
      </c>
      <c r="BL49" s="363"/>
      <c r="BM49" s="317"/>
      <c r="BN49" s="347"/>
      <c r="BO49" s="375"/>
      <c r="BP49" s="364">
        <v>0</v>
      </c>
      <c r="BQ49" s="363"/>
      <c r="BR49" s="317"/>
      <c r="BS49" s="347"/>
      <c r="BT49" s="375"/>
      <c r="BU49" s="364">
        <v>0</v>
      </c>
      <c r="BV49" s="317"/>
      <c r="BW49" s="347"/>
      <c r="BX49" s="375"/>
      <c r="BY49" s="362">
        <v>0</v>
      </c>
      <c r="BZ49" s="363"/>
      <c r="CA49" s="317"/>
      <c r="CB49" s="347"/>
      <c r="CC49" s="375"/>
      <c r="CD49" s="364">
        <v>0</v>
      </c>
      <c r="CE49" s="363"/>
      <c r="CF49" s="317"/>
      <c r="CG49" s="347"/>
      <c r="CH49" s="375"/>
      <c r="CI49" s="364">
        <v>0</v>
      </c>
      <c r="CJ49" s="363"/>
      <c r="CK49" s="317"/>
      <c r="CL49" s="347"/>
      <c r="CM49" s="375"/>
      <c r="CN49" s="364">
        <v>0</v>
      </c>
      <c r="CO49" s="363"/>
      <c r="CP49" s="317"/>
      <c r="CQ49" s="347"/>
      <c r="CR49" s="375"/>
      <c r="CS49" s="364">
        <v>0</v>
      </c>
      <c r="CT49" s="363"/>
      <c r="CU49" s="317"/>
      <c r="CV49" s="347"/>
      <c r="CW49" s="375"/>
      <c r="CX49" s="364">
        <v>0</v>
      </c>
      <c r="CY49" s="363"/>
      <c r="CZ49" s="317"/>
      <c r="DA49" s="347"/>
      <c r="DB49" s="375"/>
      <c r="DC49" s="364">
        <v>0</v>
      </c>
      <c r="DD49" s="363"/>
      <c r="DE49" s="317"/>
      <c r="DF49" s="347"/>
      <c r="DG49" s="375"/>
      <c r="DH49" s="364">
        <v>0</v>
      </c>
      <c r="DI49" s="363"/>
      <c r="DJ49" s="317"/>
      <c r="DK49" s="347"/>
      <c r="DL49" s="375"/>
      <c r="DM49" s="364">
        <v>0</v>
      </c>
      <c r="DN49" s="363"/>
      <c r="DO49" s="317"/>
      <c r="DP49" s="347"/>
      <c r="DQ49" s="375"/>
      <c r="DR49" s="364">
        <v>0</v>
      </c>
      <c r="DS49" s="363"/>
      <c r="DT49" s="317"/>
      <c r="DU49" s="347"/>
      <c r="DV49" s="375"/>
      <c r="DW49" s="364">
        <v>0</v>
      </c>
      <c r="DX49" s="363"/>
      <c r="DY49" s="317"/>
      <c r="DZ49" s="347"/>
      <c r="EA49" s="375"/>
      <c r="EB49" s="364">
        <v>0</v>
      </c>
      <c r="EC49" s="363"/>
      <c r="ED49" s="317"/>
      <c r="EE49" s="347"/>
      <c r="EF49" s="375"/>
      <c r="EG49" s="364">
        <v>0</v>
      </c>
      <c r="EH49" s="363"/>
      <c r="EI49" s="317"/>
      <c r="EJ49" s="347"/>
      <c r="EK49" s="375"/>
      <c r="EL49" s="364">
        <v>0</v>
      </c>
      <c r="EM49" s="363"/>
      <c r="EN49" s="317"/>
      <c r="EO49" s="340"/>
      <c r="ER49" s="39"/>
      <c r="ES49" s="39"/>
      <c r="ET49" s="39"/>
    </row>
    <row r="50" spans="1:150" ht="13.9" hidden="1" customHeight="1" x14ac:dyDescent="0.2">
      <c r="A50" s="317"/>
      <c r="B50" s="317"/>
      <c r="C50" s="340" t="s">
        <v>145</v>
      </c>
      <c r="D50" s="317"/>
      <c r="E50" s="346"/>
      <c r="F50" s="375"/>
      <c r="G50" s="375"/>
      <c r="H50" s="365">
        <v>0</v>
      </c>
      <c r="I50" s="363"/>
      <c r="J50" s="317"/>
      <c r="K50" s="347"/>
      <c r="L50" s="375"/>
      <c r="M50" s="365">
        <v>0</v>
      </c>
      <c r="N50" s="363"/>
      <c r="O50" s="317"/>
      <c r="P50" s="347"/>
      <c r="Q50" s="375"/>
      <c r="R50" s="365">
        <v>0</v>
      </c>
      <c r="S50" s="363"/>
      <c r="T50" s="317"/>
      <c r="U50" s="347"/>
      <c r="V50" s="375"/>
      <c r="W50" s="365">
        <v>0</v>
      </c>
      <c r="X50" s="363"/>
      <c r="Y50" s="317"/>
      <c r="Z50" s="347"/>
      <c r="AA50" s="375"/>
      <c r="AB50" s="365">
        <v>0</v>
      </c>
      <c r="AC50" s="363"/>
      <c r="AD50" s="317"/>
      <c r="AE50" s="347"/>
      <c r="AF50" s="375"/>
      <c r="AG50" s="365">
        <v>0</v>
      </c>
      <c r="AH50" s="363"/>
      <c r="AI50" s="317"/>
      <c r="AJ50" s="347"/>
      <c r="AK50" s="375"/>
      <c r="AL50" s="365">
        <v>0</v>
      </c>
      <c r="AM50" s="363"/>
      <c r="AN50" s="317"/>
      <c r="AO50" s="347"/>
      <c r="AP50" s="375"/>
      <c r="AQ50" s="365">
        <v>0</v>
      </c>
      <c r="AR50" s="363"/>
      <c r="AS50" s="317"/>
      <c r="AT50" s="347"/>
      <c r="AU50" s="375"/>
      <c r="AV50" s="365">
        <v>0</v>
      </c>
      <c r="AW50" s="363"/>
      <c r="AX50" s="317"/>
      <c r="AY50" s="347"/>
      <c r="AZ50" s="375"/>
      <c r="BA50" s="365">
        <v>0</v>
      </c>
      <c r="BB50" s="363"/>
      <c r="BC50" s="317"/>
      <c r="BD50" s="347"/>
      <c r="BE50" s="375"/>
      <c r="BF50" s="365">
        <v>0</v>
      </c>
      <c r="BG50" s="363"/>
      <c r="BH50" s="317"/>
      <c r="BI50" s="347"/>
      <c r="BJ50" s="375"/>
      <c r="BK50" s="365">
        <v>0</v>
      </c>
      <c r="BL50" s="363"/>
      <c r="BM50" s="317"/>
      <c r="BN50" s="347"/>
      <c r="BO50" s="375"/>
      <c r="BP50" s="365">
        <v>0</v>
      </c>
      <c r="BQ50" s="363"/>
      <c r="BR50" s="317"/>
      <c r="BS50" s="347"/>
      <c r="BT50" s="375"/>
      <c r="BU50" s="365">
        <v>0</v>
      </c>
      <c r="BV50" s="317"/>
      <c r="BW50" s="347"/>
      <c r="BX50" s="375"/>
      <c r="BY50" s="366">
        <v>0</v>
      </c>
      <c r="BZ50" s="363"/>
      <c r="CA50" s="317"/>
      <c r="CB50" s="347"/>
      <c r="CC50" s="375"/>
      <c r="CD50" s="365">
        <v>0</v>
      </c>
      <c r="CE50" s="363"/>
      <c r="CF50" s="317"/>
      <c r="CG50" s="347"/>
      <c r="CH50" s="375"/>
      <c r="CI50" s="365">
        <v>0</v>
      </c>
      <c r="CJ50" s="363"/>
      <c r="CK50" s="317"/>
      <c r="CL50" s="347"/>
      <c r="CM50" s="375"/>
      <c r="CN50" s="365">
        <v>0</v>
      </c>
      <c r="CO50" s="363"/>
      <c r="CP50" s="317"/>
      <c r="CQ50" s="347"/>
      <c r="CR50" s="375"/>
      <c r="CS50" s="365">
        <v>0</v>
      </c>
      <c r="CT50" s="363"/>
      <c r="CU50" s="317"/>
      <c r="CV50" s="347"/>
      <c r="CW50" s="375"/>
      <c r="CX50" s="365">
        <v>0</v>
      </c>
      <c r="CY50" s="363"/>
      <c r="CZ50" s="317"/>
      <c r="DA50" s="347"/>
      <c r="DB50" s="375"/>
      <c r="DC50" s="365">
        <v>0</v>
      </c>
      <c r="DD50" s="363"/>
      <c r="DE50" s="317"/>
      <c r="DF50" s="347"/>
      <c r="DG50" s="375"/>
      <c r="DH50" s="365">
        <v>0</v>
      </c>
      <c r="DI50" s="363"/>
      <c r="DJ50" s="317"/>
      <c r="DK50" s="347"/>
      <c r="DL50" s="375"/>
      <c r="DM50" s="365">
        <v>0</v>
      </c>
      <c r="DN50" s="363"/>
      <c r="DO50" s="317"/>
      <c r="DP50" s="347"/>
      <c r="DQ50" s="375"/>
      <c r="DR50" s="365">
        <v>0</v>
      </c>
      <c r="DS50" s="363"/>
      <c r="DT50" s="317"/>
      <c r="DU50" s="347"/>
      <c r="DV50" s="375"/>
      <c r="DW50" s="365">
        <v>0</v>
      </c>
      <c r="DX50" s="363"/>
      <c r="DY50" s="317"/>
      <c r="DZ50" s="347"/>
      <c r="EA50" s="375"/>
      <c r="EB50" s="365">
        <v>0</v>
      </c>
      <c r="EC50" s="363"/>
      <c r="ED50" s="317"/>
      <c r="EE50" s="347"/>
      <c r="EF50" s="375"/>
      <c r="EG50" s="365">
        <v>0</v>
      </c>
      <c r="EH50" s="363"/>
      <c r="EI50" s="317"/>
      <c r="EJ50" s="347"/>
      <c r="EK50" s="375"/>
      <c r="EL50" s="365">
        <v>0</v>
      </c>
      <c r="EM50" s="363"/>
      <c r="EN50" s="317"/>
      <c r="EO50" s="340"/>
      <c r="ER50" s="39"/>
      <c r="ES50" s="39"/>
      <c r="ET50" s="39"/>
    </row>
    <row r="51" spans="1:150" ht="13.9" hidden="1" customHeight="1" x14ac:dyDescent="0.2">
      <c r="A51" s="317"/>
      <c r="B51" s="317"/>
      <c r="C51" s="340" t="s">
        <v>160</v>
      </c>
      <c r="D51" s="317"/>
      <c r="E51" s="346"/>
      <c r="F51" s="375"/>
      <c r="G51" s="375"/>
      <c r="H51" s="365"/>
      <c r="I51" s="363"/>
      <c r="J51" s="317"/>
      <c r="K51" s="347"/>
      <c r="L51" s="375"/>
      <c r="M51" s="365"/>
      <c r="N51" s="363"/>
      <c r="O51" s="317"/>
      <c r="P51" s="347"/>
      <c r="Q51" s="375"/>
      <c r="R51" s="365"/>
      <c r="S51" s="363"/>
      <c r="T51" s="317"/>
      <c r="U51" s="347"/>
      <c r="V51" s="375"/>
      <c r="W51" s="365"/>
      <c r="X51" s="363"/>
      <c r="Y51" s="317"/>
      <c r="Z51" s="347"/>
      <c r="AA51" s="375"/>
      <c r="AB51" s="365"/>
      <c r="AC51" s="363"/>
      <c r="AD51" s="317"/>
      <c r="AE51" s="347"/>
      <c r="AF51" s="375"/>
      <c r="AG51" s="365"/>
      <c r="AH51" s="363"/>
      <c r="AI51" s="317"/>
      <c r="AJ51" s="347"/>
      <c r="AK51" s="375"/>
      <c r="AL51" s="365"/>
      <c r="AM51" s="363"/>
      <c r="AN51" s="317"/>
      <c r="AO51" s="347"/>
      <c r="AP51" s="375"/>
      <c r="AQ51" s="365"/>
      <c r="AR51" s="363"/>
      <c r="AS51" s="317"/>
      <c r="AT51" s="347"/>
      <c r="AU51" s="375"/>
      <c r="AV51" s="365"/>
      <c r="AW51" s="363"/>
      <c r="AX51" s="317"/>
      <c r="AY51" s="347"/>
      <c r="AZ51" s="375"/>
      <c r="BA51" s="365"/>
      <c r="BB51" s="363"/>
      <c r="BC51" s="317"/>
      <c r="BD51" s="347"/>
      <c r="BE51" s="375"/>
      <c r="BF51" s="365"/>
      <c r="BG51" s="363"/>
      <c r="BH51" s="317"/>
      <c r="BI51" s="347"/>
      <c r="BJ51" s="375"/>
      <c r="BK51" s="365"/>
      <c r="BL51" s="363"/>
      <c r="BM51" s="317"/>
      <c r="BN51" s="347"/>
      <c r="BO51" s="375"/>
      <c r="BP51" s="365"/>
      <c r="BQ51" s="363"/>
      <c r="BR51" s="317"/>
      <c r="BS51" s="347"/>
      <c r="BT51" s="375"/>
      <c r="BU51" s="365"/>
      <c r="BV51" s="317"/>
      <c r="BW51" s="347"/>
      <c r="BX51" s="375"/>
      <c r="BY51" s="366"/>
      <c r="BZ51" s="363"/>
      <c r="CA51" s="317"/>
      <c r="CB51" s="347"/>
      <c r="CC51" s="375"/>
      <c r="CD51" s="365"/>
      <c r="CE51" s="363"/>
      <c r="CF51" s="317"/>
      <c r="CG51" s="347"/>
      <c r="CH51" s="375"/>
      <c r="CI51" s="365"/>
      <c r="CJ51" s="363"/>
      <c r="CK51" s="317"/>
      <c r="CL51" s="347"/>
      <c r="CM51" s="375"/>
      <c r="CN51" s="365"/>
      <c r="CO51" s="363"/>
      <c r="CP51" s="317"/>
      <c r="CQ51" s="347"/>
      <c r="CR51" s="375"/>
      <c r="CS51" s="365"/>
      <c r="CT51" s="363"/>
      <c r="CU51" s="317"/>
      <c r="CV51" s="347"/>
      <c r="CW51" s="375"/>
      <c r="CX51" s="365"/>
      <c r="CY51" s="363"/>
      <c r="CZ51" s="317"/>
      <c r="DA51" s="347"/>
      <c r="DB51" s="375"/>
      <c r="DC51" s="365"/>
      <c r="DD51" s="363"/>
      <c r="DE51" s="317"/>
      <c r="DF51" s="347"/>
      <c r="DG51" s="375"/>
      <c r="DH51" s="365"/>
      <c r="DI51" s="363"/>
      <c r="DJ51" s="317"/>
      <c r="DK51" s="347"/>
      <c r="DL51" s="375"/>
      <c r="DM51" s="365"/>
      <c r="DN51" s="363"/>
      <c r="DO51" s="317"/>
      <c r="DP51" s="347"/>
      <c r="DQ51" s="375"/>
      <c r="DR51" s="365"/>
      <c r="DS51" s="363"/>
      <c r="DT51" s="317"/>
      <c r="DU51" s="347"/>
      <c r="DV51" s="375"/>
      <c r="DW51" s="365"/>
      <c r="DX51" s="363"/>
      <c r="DY51" s="317"/>
      <c r="DZ51" s="347"/>
      <c r="EA51" s="375"/>
      <c r="EB51" s="365"/>
      <c r="EC51" s="363"/>
      <c r="ED51" s="317"/>
      <c r="EE51" s="347"/>
      <c r="EF51" s="375"/>
      <c r="EG51" s="365"/>
      <c r="EH51" s="363"/>
      <c r="EI51" s="317"/>
      <c r="EJ51" s="347"/>
      <c r="EK51" s="375"/>
      <c r="EL51" s="365"/>
      <c r="EM51" s="363"/>
      <c r="EN51" s="317"/>
      <c r="EO51" s="340"/>
      <c r="ER51" s="39"/>
      <c r="ES51" s="39"/>
      <c r="ET51" s="39"/>
    </row>
    <row r="52" spans="1:150" ht="13.9" hidden="1" customHeight="1" x14ac:dyDescent="0.2">
      <c r="A52" s="317"/>
      <c r="B52" s="317"/>
      <c r="C52" s="360" t="s">
        <v>161</v>
      </c>
      <c r="D52" s="317"/>
      <c r="E52" s="346"/>
      <c r="F52" s="375"/>
      <c r="G52" s="375"/>
      <c r="H52" s="365">
        <v>0</v>
      </c>
      <c r="I52" s="363"/>
      <c r="J52" s="317"/>
      <c r="K52" s="347"/>
      <c r="L52" s="375"/>
      <c r="M52" s="365">
        <v>0</v>
      </c>
      <c r="N52" s="363"/>
      <c r="O52" s="317"/>
      <c r="P52" s="347"/>
      <c r="Q52" s="375"/>
      <c r="R52" s="365">
        <v>0</v>
      </c>
      <c r="S52" s="363"/>
      <c r="T52" s="317"/>
      <c r="U52" s="347"/>
      <c r="V52" s="375"/>
      <c r="W52" s="365">
        <v>0</v>
      </c>
      <c r="X52" s="363"/>
      <c r="Y52" s="317"/>
      <c r="Z52" s="347"/>
      <c r="AA52" s="375"/>
      <c r="AB52" s="365">
        <v>0</v>
      </c>
      <c r="AC52" s="363"/>
      <c r="AD52" s="317"/>
      <c r="AE52" s="347"/>
      <c r="AF52" s="375"/>
      <c r="AG52" s="365">
        <v>0</v>
      </c>
      <c r="AH52" s="363"/>
      <c r="AI52" s="317"/>
      <c r="AJ52" s="347"/>
      <c r="AK52" s="375"/>
      <c r="AL52" s="365">
        <v>0</v>
      </c>
      <c r="AM52" s="363"/>
      <c r="AN52" s="317"/>
      <c r="AO52" s="347"/>
      <c r="AP52" s="375"/>
      <c r="AQ52" s="365">
        <v>0</v>
      </c>
      <c r="AR52" s="363"/>
      <c r="AS52" s="317"/>
      <c r="AT52" s="347"/>
      <c r="AU52" s="375"/>
      <c r="AV52" s="365">
        <v>0</v>
      </c>
      <c r="AW52" s="363"/>
      <c r="AX52" s="317"/>
      <c r="AY52" s="347"/>
      <c r="AZ52" s="375"/>
      <c r="BA52" s="365">
        <v>0</v>
      </c>
      <c r="BB52" s="363"/>
      <c r="BC52" s="317"/>
      <c r="BD52" s="347"/>
      <c r="BE52" s="375"/>
      <c r="BF52" s="365">
        <v>0</v>
      </c>
      <c r="BG52" s="363"/>
      <c r="BH52" s="317"/>
      <c r="BI52" s="347"/>
      <c r="BJ52" s="375"/>
      <c r="BK52" s="365">
        <v>0</v>
      </c>
      <c r="BL52" s="363"/>
      <c r="BM52" s="317"/>
      <c r="BN52" s="347"/>
      <c r="BO52" s="375"/>
      <c r="BP52" s="365">
        <v>0</v>
      </c>
      <c r="BQ52" s="363"/>
      <c r="BR52" s="317"/>
      <c r="BS52" s="347"/>
      <c r="BT52" s="375"/>
      <c r="BU52" s="365">
        <v>0</v>
      </c>
      <c r="BV52" s="317"/>
      <c r="BW52" s="347"/>
      <c r="BX52" s="375"/>
      <c r="BY52" s="366">
        <v>0</v>
      </c>
      <c r="BZ52" s="363"/>
      <c r="CA52" s="317"/>
      <c r="CB52" s="347"/>
      <c r="CC52" s="375"/>
      <c r="CD52" s="365">
        <v>0</v>
      </c>
      <c r="CE52" s="363"/>
      <c r="CF52" s="317"/>
      <c r="CG52" s="347"/>
      <c r="CH52" s="375"/>
      <c r="CI52" s="365">
        <v>0</v>
      </c>
      <c r="CJ52" s="363"/>
      <c r="CK52" s="317"/>
      <c r="CL52" s="347"/>
      <c r="CM52" s="375"/>
      <c r="CN52" s="365">
        <v>0</v>
      </c>
      <c r="CO52" s="363"/>
      <c r="CP52" s="317"/>
      <c r="CQ52" s="347"/>
      <c r="CR52" s="375"/>
      <c r="CS52" s="365">
        <v>0</v>
      </c>
      <c r="CT52" s="363"/>
      <c r="CU52" s="317"/>
      <c r="CV52" s="347"/>
      <c r="CW52" s="375"/>
      <c r="CX52" s="365">
        <v>0</v>
      </c>
      <c r="CY52" s="363"/>
      <c r="CZ52" s="317"/>
      <c r="DA52" s="347"/>
      <c r="DB52" s="375"/>
      <c r="DC52" s="365">
        <v>0</v>
      </c>
      <c r="DD52" s="363"/>
      <c r="DE52" s="317"/>
      <c r="DF52" s="347"/>
      <c r="DG52" s="375"/>
      <c r="DH52" s="365">
        <v>0</v>
      </c>
      <c r="DI52" s="363"/>
      <c r="DJ52" s="317"/>
      <c r="DK52" s="347"/>
      <c r="DL52" s="375"/>
      <c r="DM52" s="365">
        <v>0</v>
      </c>
      <c r="DN52" s="363"/>
      <c r="DO52" s="317"/>
      <c r="DP52" s="347"/>
      <c r="DQ52" s="375"/>
      <c r="DR52" s="365">
        <v>0</v>
      </c>
      <c r="DS52" s="363"/>
      <c r="DT52" s="317"/>
      <c r="DU52" s="347"/>
      <c r="DV52" s="375"/>
      <c r="DW52" s="365">
        <v>0</v>
      </c>
      <c r="DX52" s="363"/>
      <c r="DY52" s="317"/>
      <c r="DZ52" s="347"/>
      <c r="EA52" s="375"/>
      <c r="EB52" s="365">
        <v>0</v>
      </c>
      <c r="EC52" s="363"/>
      <c r="ED52" s="317"/>
      <c r="EE52" s="347"/>
      <c r="EF52" s="375"/>
      <c r="EG52" s="365">
        <v>0</v>
      </c>
      <c r="EH52" s="363"/>
      <c r="EI52" s="317"/>
      <c r="EJ52" s="347"/>
      <c r="EK52" s="375"/>
      <c r="EL52" s="365">
        <v>0</v>
      </c>
      <c r="EM52" s="363"/>
      <c r="EN52" s="317"/>
      <c r="EO52" s="340"/>
      <c r="ER52" s="39"/>
      <c r="ES52" s="39"/>
      <c r="ET52" s="39"/>
    </row>
    <row r="53" spans="1:150" ht="13.9" hidden="1" customHeight="1" x14ac:dyDescent="0.2">
      <c r="A53" s="317"/>
      <c r="B53" s="317"/>
      <c r="C53" s="360" t="s">
        <v>162</v>
      </c>
      <c r="D53" s="317"/>
      <c r="E53" s="346"/>
      <c r="F53" s="375"/>
      <c r="G53" s="375"/>
      <c r="H53" s="368">
        <v>0</v>
      </c>
      <c r="I53" s="363"/>
      <c r="J53" s="317"/>
      <c r="K53" s="347"/>
      <c r="L53" s="375"/>
      <c r="M53" s="368">
        <v>0</v>
      </c>
      <c r="N53" s="363"/>
      <c r="O53" s="317"/>
      <c r="P53" s="347"/>
      <c r="Q53" s="375"/>
      <c r="R53" s="368">
        <v>0</v>
      </c>
      <c r="S53" s="363"/>
      <c r="T53" s="317"/>
      <c r="U53" s="347"/>
      <c r="V53" s="375"/>
      <c r="W53" s="368">
        <v>0</v>
      </c>
      <c r="X53" s="363"/>
      <c r="Y53" s="317"/>
      <c r="Z53" s="347"/>
      <c r="AA53" s="375"/>
      <c r="AB53" s="368">
        <v>0</v>
      </c>
      <c r="AC53" s="363"/>
      <c r="AD53" s="317"/>
      <c r="AE53" s="347"/>
      <c r="AF53" s="375"/>
      <c r="AG53" s="368">
        <v>0</v>
      </c>
      <c r="AH53" s="363"/>
      <c r="AI53" s="317"/>
      <c r="AJ53" s="347"/>
      <c r="AK53" s="375"/>
      <c r="AL53" s="368">
        <v>0</v>
      </c>
      <c r="AM53" s="363"/>
      <c r="AN53" s="317"/>
      <c r="AO53" s="347"/>
      <c r="AP53" s="375"/>
      <c r="AQ53" s="368">
        <v>0</v>
      </c>
      <c r="AR53" s="363"/>
      <c r="AS53" s="317"/>
      <c r="AT53" s="347"/>
      <c r="AU53" s="375"/>
      <c r="AV53" s="368">
        <v>0</v>
      </c>
      <c r="AW53" s="363"/>
      <c r="AX53" s="317"/>
      <c r="AY53" s="347"/>
      <c r="AZ53" s="375"/>
      <c r="BA53" s="368">
        <v>0</v>
      </c>
      <c r="BB53" s="363"/>
      <c r="BC53" s="317"/>
      <c r="BD53" s="347"/>
      <c r="BE53" s="375"/>
      <c r="BF53" s="368">
        <v>0</v>
      </c>
      <c r="BG53" s="363"/>
      <c r="BH53" s="317"/>
      <c r="BI53" s="347"/>
      <c r="BJ53" s="375"/>
      <c r="BK53" s="368">
        <v>0</v>
      </c>
      <c r="BL53" s="363"/>
      <c r="BM53" s="317"/>
      <c r="BN53" s="347"/>
      <c r="BO53" s="375"/>
      <c r="BP53" s="368">
        <v>0</v>
      </c>
      <c r="BQ53" s="363"/>
      <c r="BR53" s="317"/>
      <c r="BS53" s="347"/>
      <c r="BT53" s="375"/>
      <c r="BU53" s="368">
        <v>0</v>
      </c>
      <c r="BV53" s="317"/>
      <c r="BW53" s="347"/>
      <c r="BX53" s="375"/>
      <c r="BY53" s="367">
        <v>0</v>
      </c>
      <c r="BZ53" s="363"/>
      <c r="CA53" s="317"/>
      <c r="CB53" s="347"/>
      <c r="CC53" s="375"/>
      <c r="CD53" s="368">
        <v>0</v>
      </c>
      <c r="CE53" s="363"/>
      <c r="CF53" s="317"/>
      <c r="CG53" s="347"/>
      <c r="CH53" s="375"/>
      <c r="CI53" s="368">
        <v>0</v>
      </c>
      <c r="CJ53" s="363"/>
      <c r="CK53" s="317"/>
      <c r="CL53" s="347"/>
      <c r="CM53" s="375"/>
      <c r="CN53" s="368">
        <v>0</v>
      </c>
      <c r="CO53" s="363"/>
      <c r="CP53" s="317"/>
      <c r="CQ53" s="347"/>
      <c r="CR53" s="375"/>
      <c r="CS53" s="368">
        <v>0</v>
      </c>
      <c r="CT53" s="363"/>
      <c r="CU53" s="317"/>
      <c r="CV53" s="347"/>
      <c r="CW53" s="375"/>
      <c r="CX53" s="368">
        <v>0</v>
      </c>
      <c r="CY53" s="363"/>
      <c r="CZ53" s="317"/>
      <c r="DA53" s="347"/>
      <c r="DB53" s="375"/>
      <c r="DC53" s="368">
        <v>0</v>
      </c>
      <c r="DD53" s="363"/>
      <c r="DE53" s="317"/>
      <c r="DF53" s="347"/>
      <c r="DG53" s="375"/>
      <c r="DH53" s="368">
        <v>0</v>
      </c>
      <c r="DI53" s="363"/>
      <c r="DJ53" s="317"/>
      <c r="DK53" s="347"/>
      <c r="DL53" s="375"/>
      <c r="DM53" s="368">
        <v>0</v>
      </c>
      <c r="DN53" s="363"/>
      <c r="DO53" s="317"/>
      <c r="DP53" s="347"/>
      <c r="DQ53" s="375"/>
      <c r="DR53" s="368">
        <v>0</v>
      </c>
      <c r="DS53" s="363"/>
      <c r="DT53" s="317"/>
      <c r="DU53" s="347"/>
      <c r="DV53" s="375"/>
      <c r="DW53" s="368">
        <v>0</v>
      </c>
      <c r="DX53" s="363"/>
      <c r="DY53" s="317"/>
      <c r="DZ53" s="347"/>
      <c r="EA53" s="375"/>
      <c r="EB53" s="368">
        <v>0</v>
      </c>
      <c r="EC53" s="363"/>
      <c r="ED53" s="317"/>
      <c r="EE53" s="347"/>
      <c r="EF53" s="375"/>
      <c r="EG53" s="368">
        <v>0</v>
      </c>
      <c r="EH53" s="363"/>
      <c r="EI53" s="317"/>
      <c r="EJ53" s="347"/>
      <c r="EK53" s="375"/>
      <c r="EL53" s="368">
        <v>0</v>
      </c>
      <c r="EM53" s="363"/>
      <c r="EN53" s="317"/>
      <c r="EO53" s="340"/>
      <c r="ER53" s="39"/>
      <c r="ES53" s="39"/>
      <c r="ET53" s="39"/>
    </row>
    <row r="54" spans="1:150" ht="13.9" hidden="1" customHeight="1" x14ac:dyDescent="0.2">
      <c r="A54" s="317"/>
      <c r="B54" s="317"/>
      <c r="C54" s="340"/>
      <c r="D54" s="317"/>
      <c r="E54" s="346"/>
      <c r="F54" s="375"/>
      <c r="G54" s="375"/>
      <c r="H54" s="317"/>
      <c r="I54" s="363"/>
      <c r="J54" s="317"/>
      <c r="K54" s="347"/>
      <c r="L54" s="375"/>
      <c r="M54" s="317"/>
      <c r="N54" s="363"/>
      <c r="O54" s="317"/>
      <c r="P54" s="347"/>
      <c r="Q54" s="375"/>
      <c r="R54" s="317"/>
      <c r="S54" s="363"/>
      <c r="T54" s="317"/>
      <c r="U54" s="347"/>
      <c r="V54" s="375"/>
      <c r="W54" s="317"/>
      <c r="X54" s="363"/>
      <c r="Y54" s="317"/>
      <c r="Z54" s="347"/>
      <c r="AA54" s="375"/>
      <c r="AB54" s="317"/>
      <c r="AC54" s="363"/>
      <c r="AD54" s="317"/>
      <c r="AE54" s="347"/>
      <c r="AF54" s="375"/>
      <c r="AG54" s="317"/>
      <c r="AH54" s="363"/>
      <c r="AI54" s="317"/>
      <c r="AJ54" s="347"/>
      <c r="AK54" s="375"/>
      <c r="AL54" s="317"/>
      <c r="AM54" s="363"/>
      <c r="AN54" s="317"/>
      <c r="AO54" s="347"/>
      <c r="AP54" s="375"/>
      <c r="AQ54" s="317"/>
      <c r="AR54" s="363"/>
      <c r="AS54" s="317"/>
      <c r="AT54" s="347"/>
      <c r="AU54" s="375"/>
      <c r="AV54" s="317"/>
      <c r="AW54" s="363"/>
      <c r="AX54" s="317"/>
      <c r="AY54" s="347"/>
      <c r="AZ54" s="375"/>
      <c r="BA54" s="317"/>
      <c r="BB54" s="363"/>
      <c r="BC54" s="317"/>
      <c r="BD54" s="347"/>
      <c r="BE54" s="375"/>
      <c r="BF54" s="317"/>
      <c r="BG54" s="363"/>
      <c r="BH54" s="317"/>
      <c r="BI54" s="347"/>
      <c r="BJ54" s="375"/>
      <c r="BK54" s="317"/>
      <c r="BL54" s="363"/>
      <c r="BM54" s="317"/>
      <c r="BN54" s="347"/>
      <c r="BO54" s="375"/>
      <c r="BP54" s="317"/>
      <c r="BQ54" s="363"/>
      <c r="BR54" s="317"/>
      <c r="BS54" s="347"/>
      <c r="BT54" s="375"/>
      <c r="BU54" s="317"/>
      <c r="BV54" s="317"/>
      <c r="BW54" s="347"/>
      <c r="BX54" s="375"/>
      <c r="BY54" s="369"/>
      <c r="BZ54" s="363"/>
      <c r="CA54" s="317"/>
      <c r="CB54" s="347"/>
      <c r="CC54" s="375"/>
      <c r="CD54" s="317"/>
      <c r="CE54" s="363"/>
      <c r="CF54" s="317"/>
      <c r="CG54" s="347"/>
      <c r="CH54" s="375"/>
      <c r="CI54" s="317"/>
      <c r="CJ54" s="363"/>
      <c r="CK54" s="317"/>
      <c r="CL54" s="347"/>
      <c r="CM54" s="375"/>
      <c r="CN54" s="317"/>
      <c r="CO54" s="363"/>
      <c r="CP54" s="317"/>
      <c r="CQ54" s="347"/>
      <c r="CR54" s="375"/>
      <c r="CS54" s="317"/>
      <c r="CT54" s="363"/>
      <c r="CU54" s="317"/>
      <c r="CV54" s="347"/>
      <c r="CW54" s="375"/>
      <c r="CX54" s="317"/>
      <c r="CY54" s="363"/>
      <c r="CZ54" s="317"/>
      <c r="DA54" s="347"/>
      <c r="DB54" s="375"/>
      <c r="DC54" s="317"/>
      <c r="DD54" s="363"/>
      <c r="DE54" s="317"/>
      <c r="DF54" s="347"/>
      <c r="DG54" s="375"/>
      <c r="DH54" s="317"/>
      <c r="DI54" s="363"/>
      <c r="DJ54" s="317"/>
      <c r="DK54" s="347"/>
      <c r="DL54" s="375"/>
      <c r="DM54" s="317"/>
      <c r="DN54" s="363"/>
      <c r="DO54" s="317"/>
      <c r="DP54" s="347"/>
      <c r="DQ54" s="375"/>
      <c r="DR54" s="317"/>
      <c r="DS54" s="363"/>
      <c r="DT54" s="317"/>
      <c r="DU54" s="347"/>
      <c r="DV54" s="375"/>
      <c r="DW54" s="317"/>
      <c r="DX54" s="363"/>
      <c r="DY54" s="317"/>
      <c r="DZ54" s="347"/>
      <c r="EA54" s="375"/>
      <c r="EB54" s="317"/>
      <c r="EC54" s="363"/>
      <c r="ED54" s="317"/>
      <c r="EE54" s="347"/>
      <c r="EF54" s="375"/>
      <c r="EG54" s="317"/>
      <c r="EH54" s="363"/>
      <c r="EI54" s="317"/>
      <c r="EJ54" s="347"/>
      <c r="EK54" s="375"/>
      <c r="EL54" s="317"/>
      <c r="EM54" s="363"/>
      <c r="EN54" s="317"/>
      <c r="EO54" s="340"/>
      <c r="ER54" s="39"/>
      <c r="ES54" s="39"/>
      <c r="ET54" s="39"/>
    </row>
    <row r="55" spans="1:150" ht="12.75" hidden="1" customHeight="1" x14ac:dyDescent="0.2">
      <c r="A55" s="317"/>
      <c r="B55" s="317"/>
      <c r="C55" s="340" t="s">
        <v>163</v>
      </c>
      <c r="D55" s="317"/>
      <c r="E55" s="346"/>
      <c r="F55" s="375"/>
      <c r="G55" s="375"/>
      <c r="H55" s="317">
        <v>0</v>
      </c>
      <c r="I55" s="363"/>
      <c r="J55" s="317"/>
      <c r="K55" s="347"/>
      <c r="L55" s="375"/>
      <c r="M55" s="317">
        <v>0</v>
      </c>
      <c r="N55" s="363"/>
      <c r="O55" s="317"/>
      <c r="P55" s="347"/>
      <c r="Q55" s="375"/>
      <c r="R55" s="317">
        <v>0</v>
      </c>
      <c r="S55" s="363"/>
      <c r="T55" s="317"/>
      <c r="U55" s="347"/>
      <c r="V55" s="375"/>
      <c r="W55" s="317">
        <v>0</v>
      </c>
      <c r="X55" s="363"/>
      <c r="Y55" s="317"/>
      <c r="Z55" s="347"/>
      <c r="AA55" s="375"/>
      <c r="AB55" s="317">
        <v>0</v>
      </c>
      <c r="AC55" s="363"/>
      <c r="AD55" s="317"/>
      <c r="AE55" s="347"/>
      <c r="AF55" s="375"/>
      <c r="AG55" s="317">
        <v>0</v>
      </c>
      <c r="AH55" s="363"/>
      <c r="AI55" s="317"/>
      <c r="AJ55" s="347"/>
      <c r="AK55" s="375"/>
      <c r="AL55" s="317">
        <v>0</v>
      </c>
      <c r="AM55" s="363"/>
      <c r="AN55" s="317"/>
      <c r="AO55" s="347"/>
      <c r="AP55" s="375"/>
      <c r="AQ55" s="317">
        <v>0</v>
      </c>
      <c r="AR55" s="363"/>
      <c r="AS55" s="317"/>
      <c r="AT55" s="347"/>
      <c r="AU55" s="375"/>
      <c r="AV55" s="317">
        <v>0</v>
      </c>
      <c r="AW55" s="363"/>
      <c r="AX55" s="317"/>
      <c r="AY55" s="347"/>
      <c r="AZ55" s="375"/>
      <c r="BA55" s="317">
        <v>0</v>
      </c>
      <c r="BB55" s="363"/>
      <c r="BC55" s="317"/>
      <c r="BD55" s="347"/>
      <c r="BE55" s="375"/>
      <c r="BF55" s="317">
        <v>0</v>
      </c>
      <c r="BG55" s="363"/>
      <c r="BH55" s="317"/>
      <c r="BI55" s="347"/>
      <c r="BJ55" s="375"/>
      <c r="BK55" s="317">
        <v>0</v>
      </c>
      <c r="BL55" s="363"/>
      <c r="BM55" s="317"/>
      <c r="BN55" s="347"/>
      <c r="BO55" s="375"/>
      <c r="BP55" s="317">
        <v>0</v>
      </c>
      <c r="BQ55" s="363"/>
      <c r="BR55" s="317"/>
      <c r="BS55" s="347"/>
      <c r="BT55" s="375"/>
      <c r="BU55" s="317">
        <v>0</v>
      </c>
      <c r="BV55" s="317"/>
      <c r="BW55" s="347"/>
      <c r="BX55" s="375"/>
      <c r="BY55" s="369">
        <v>0</v>
      </c>
      <c r="BZ55" s="363"/>
      <c r="CA55" s="317"/>
      <c r="CB55" s="347"/>
      <c r="CC55" s="375"/>
      <c r="CD55" s="317">
        <v>0</v>
      </c>
      <c r="CE55" s="363"/>
      <c r="CF55" s="317"/>
      <c r="CG55" s="347"/>
      <c r="CH55" s="375"/>
      <c r="CI55" s="317">
        <v>0</v>
      </c>
      <c r="CJ55" s="363"/>
      <c r="CK55" s="317"/>
      <c r="CL55" s="347"/>
      <c r="CM55" s="375"/>
      <c r="CN55" s="317">
        <v>0</v>
      </c>
      <c r="CO55" s="363"/>
      <c r="CP55" s="317"/>
      <c r="CQ55" s="347"/>
      <c r="CR55" s="375"/>
      <c r="CS55" s="317">
        <v>0</v>
      </c>
      <c r="CT55" s="363"/>
      <c r="CU55" s="317"/>
      <c r="CV55" s="347"/>
      <c r="CW55" s="375"/>
      <c r="CX55" s="317">
        <v>0</v>
      </c>
      <c r="CY55" s="363"/>
      <c r="CZ55" s="317"/>
      <c r="DA55" s="347"/>
      <c r="DB55" s="375"/>
      <c r="DC55" s="317">
        <v>0</v>
      </c>
      <c r="DD55" s="363"/>
      <c r="DE55" s="317"/>
      <c r="DF55" s="347"/>
      <c r="DG55" s="375"/>
      <c r="DH55" s="317">
        <v>0</v>
      </c>
      <c r="DI55" s="363"/>
      <c r="DJ55" s="317"/>
      <c r="DK55" s="347"/>
      <c r="DL55" s="375"/>
      <c r="DM55" s="317">
        <v>0</v>
      </c>
      <c r="DN55" s="363"/>
      <c r="DO55" s="317"/>
      <c r="DP55" s="347"/>
      <c r="DQ55" s="375"/>
      <c r="DR55" s="317">
        <v>0</v>
      </c>
      <c r="DS55" s="363"/>
      <c r="DT55" s="317"/>
      <c r="DU55" s="347"/>
      <c r="DV55" s="375"/>
      <c r="DW55" s="317">
        <v>0</v>
      </c>
      <c r="DX55" s="363"/>
      <c r="DY55" s="317"/>
      <c r="DZ55" s="347"/>
      <c r="EA55" s="375"/>
      <c r="EB55" s="317">
        <v>0</v>
      </c>
      <c r="EC55" s="363"/>
      <c r="ED55" s="317"/>
      <c r="EE55" s="347"/>
      <c r="EF55" s="375"/>
      <c r="EG55" s="317">
        <v>0</v>
      </c>
      <c r="EH55" s="363"/>
      <c r="EI55" s="317"/>
      <c r="EJ55" s="347"/>
      <c r="EK55" s="375"/>
      <c r="EL55" s="317">
        <v>0</v>
      </c>
      <c r="EM55" s="363"/>
      <c r="EN55" s="317"/>
      <c r="EO55" s="340"/>
      <c r="ER55" s="39"/>
      <c r="ES55" s="39"/>
      <c r="ET55" s="39"/>
    </row>
    <row r="56" spans="1:150" ht="13.9" hidden="1" customHeight="1" x14ac:dyDescent="0.2">
      <c r="A56" s="317"/>
      <c r="B56" s="317"/>
      <c r="C56" s="340" t="s">
        <v>143</v>
      </c>
      <c r="D56" s="317"/>
      <c r="E56" s="346"/>
      <c r="F56" s="375"/>
      <c r="G56" s="375"/>
      <c r="H56" s="364">
        <v>0</v>
      </c>
      <c r="I56" s="363"/>
      <c r="J56" s="317"/>
      <c r="K56" s="347"/>
      <c r="L56" s="375"/>
      <c r="M56" s="364">
        <v>0</v>
      </c>
      <c r="N56" s="363"/>
      <c r="O56" s="317"/>
      <c r="P56" s="347"/>
      <c r="Q56" s="375"/>
      <c r="R56" s="364">
        <v>0</v>
      </c>
      <c r="S56" s="363"/>
      <c r="T56" s="317"/>
      <c r="U56" s="347"/>
      <c r="V56" s="375"/>
      <c r="W56" s="364">
        <v>0</v>
      </c>
      <c r="X56" s="363"/>
      <c r="Y56" s="317"/>
      <c r="Z56" s="347"/>
      <c r="AA56" s="375"/>
      <c r="AB56" s="364">
        <v>0</v>
      </c>
      <c r="AC56" s="363"/>
      <c r="AD56" s="317"/>
      <c r="AE56" s="347"/>
      <c r="AF56" s="375"/>
      <c r="AG56" s="364">
        <v>0</v>
      </c>
      <c r="AH56" s="363"/>
      <c r="AI56" s="317"/>
      <c r="AJ56" s="347"/>
      <c r="AK56" s="375"/>
      <c r="AL56" s="364">
        <v>0</v>
      </c>
      <c r="AM56" s="363"/>
      <c r="AN56" s="317"/>
      <c r="AO56" s="347"/>
      <c r="AP56" s="375"/>
      <c r="AQ56" s="364">
        <v>0</v>
      </c>
      <c r="AR56" s="363"/>
      <c r="AS56" s="317"/>
      <c r="AT56" s="347"/>
      <c r="AU56" s="375"/>
      <c r="AV56" s="364">
        <v>0</v>
      </c>
      <c r="AW56" s="363"/>
      <c r="AX56" s="317"/>
      <c r="AY56" s="347"/>
      <c r="AZ56" s="375"/>
      <c r="BA56" s="364">
        <v>0</v>
      </c>
      <c r="BB56" s="363"/>
      <c r="BC56" s="317"/>
      <c r="BD56" s="347"/>
      <c r="BE56" s="375"/>
      <c r="BF56" s="364">
        <v>0</v>
      </c>
      <c r="BG56" s="363"/>
      <c r="BH56" s="317"/>
      <c r="BI56" s="347"/>
      <c r="BJ56" s="375"/>
      <c r="BK56" s="364">
        <v>0</v>
      </c>
      <c r="BL56" s="363"/>
      <c r="BM56" s="317"/>
      <c r="BN56" s="347"/>
      <c r="BO56" s="375"/>
      <c r="BP56" s="364">
        <v>0</v>
      </c>
      <c r="BQ56" s="363"/>
      <c r="BR56" s="317"/>
      <c r="BS56" s="347"/>
      <c r="BT56" s="375"/>
      <c r="BU56" s="364">
        <v>0</v>
      </c>
      <c r="BV56" s="317"/>
      <c r="BW56" s="347"/>
      <c r="BX56" s="375"/>
      <c r="BY56" s="362">
        <v>0</v>
      </c>
      <c r="BZ56" s="363"/>
      <c r="CA56" s="317"/>
      <c r="CB56" s="347"/>
      <c r="CC56" s="375"/>
      <c r="CD56" s="364">
        <v>0</v>
      </c>
      <c r="CE56" s="363"/>
      <c r="CF56" s="317"/>
      <c r="CG56" s="347"/>
      <c r="CH56" s="375"/>
      <c r="CI56" s="364">
        <v>0</v>
      </c>
      <c r="CJ56" s="363"/>
      <c r="CK56" s="317"/>
      <c r="CL56" s="347"/>
      <c r="CM56" s="375"/>
      <c r="CN56" s="364">
        <v>0</v>
      </c>
      <c r="CO56" s="363"/>
      <c r="CP56" s="317"/>
      <c r="CQ56" s="347"/>
      <c r="CR56" s="375"/>
      <c r="CS56" s="364">
        <v>0</v>
      </c>
      <c r="CT56" s="363"/>
      <c r="CU56" s="317"/>
      <c r="CV56" s="347"/>
      <c r="CW56" s="375"/>
      <c r="CX56" s="364">
        <v>0</v>
      </c>
      <c r="CY56" s="363"/>
      <c r="CZ56" s="317"/>
      <c r="DA56" s="347"/>
      <c r="DB56" s="375"/>
      <c r="DC56" s="364">
        <v>0</v>
      </c>
      <c r="DD56" s="363"/>
      <c r="DE56" s="317"/>
      <c r="DF56" s="347"/>
      <c r="DG56" s="375"/>
      <c r="DH56" s="364">
        <v>0</v>
      </c>
      <c r="DI56" s="363"/>
      <c r="DJ56" s="317"/>
      <c r="DK56" s="347"/>
      <c r="DL56" s="375"/>
      <c r="DM56" s="364">
        <v>0</v>
      </c>
      <c r="DN56" s="363"/>
      <c r="DO56" s="317"/>
      <c r="DP56" s="347"/>
      <c r="DQ56" s="375"/>
      <c r="DR56" s="364">
        <v>0</v>
      </c>
      <c r="DS56" s="363"/>
      <c r="DT56" s="317"/>
      <c r="DU56" s="347"/>
      <c r="DV56" s="375"/>
      <c r="DW56" s="364">
        <v>0</v>
      </c>
      <c r="DX56" s="363"/>
      <c r="DY56" s="317"/>
      <c r="DZ56" s="347"/>
      <c r="EA56" s="375"/>
      <c r="EB56" s="364">
        <v>0</v>
      </c>
      <c r="EC56" s="363"/>
      <c r="ED56" s="317"/>
      <c r="EE56" s="347"/>
      <c r="EF56" s="375"/>
      <c r="EG56" s="364">
        <v>0</v>
      </c>
      <c r="EH56" s="363"/>
      <c r="EI56" s="317"/>
      <c r="EJ56" s="347"/>
      <c r="EK56" s="375"/>
      <c r="EL56" s="364">
        <v>0</v>
      </c>
      <c r="EM56" s="363"/>
      <c r="EN56" s="317"/>
      <c r="EO56" s="340"/>
      <c r="ER56" s="39"/>
      <c r="ES56" s="39"/>
      <c r="ET56" s="39"/>
    </row>
    <row r="57" spans="1:150" ht="13.9" hidden="1" customHeight="1" x14ac:dyDescent="0.2">
      <c r="A57" s="317"/>
      <c r="B57" s="317"/>
      <c r="C57" s="340" t="s">
        <v>145</v>
      </c>
      <c r="D57" s="317"/>
      <c r="E57" s="346"/>
      <c r="F57" s="375"/>
      <c r="G57" s="375"/>
      <c r="H57" s="365">
        <v>0</v>
      </c>
      <c r="I57" s="363"/>
      <c r="J57" s="317"/>
      <c r="K57" s="347"/>
      <c r="L57" s="375"/>
      <c r="M57" s="365">
        <v>0</v>
      </c>
      <c r="N57" s="363"/>
      <c r="O57" s="317"/>
      <c r="P57" s="347"/>
      <c r="Q57" s="375"/>
      <c r="R57" s="365">
        <v>0</v>
      </c>
      <c r="S57" s="363"/>
      <c r="T57" s="317"/>
      <c r="U57" s="347"/>
      <c r="V57" s="375"/>
      <c r="W57" s="365">
        <v>0</v>
      </c>
      <c r="X57" s="363"/>
      <c r="Y57" s="317"/>
      <c r="Z57" s="347"/>
      <c r="AA57" s="375"/>
      <c r="AB57" s="365">
        <v>0</v>
      </c>
      <c r="AC57" s="363"/>
      <c r="AD57" s="317"/>
      <c r="AE57" s="347"/>
      <c r="AF57" s="375"/>
      <c r="AG57" s="365">
        <v>0</v>
      </c>
      <c r="AH57" s="363"/>
      <c r="AI57" s="317"/>
      <c r="AJ57" s="347"/>
      <c r="AK57" s="375"/>
      <c r="AL57" s="365">
        <v>0</v>
      </c>
      <c r="AM57" s="363"/>
      <c r="AN57" s="317"/>
      <c r="AO57" s="347"/>
      <c r="AP57" s="375"/>
      <c r="AQ57" s="365">
        <v>0</v>
      </c>
      <c r="AR57" s="363"/>
      <c r="AS57" s="317"/>
      <c r="AT57" s="347"/>
      <c r="AU57" s="375"/>
      <c r="AV57" s="365">
        <v>0</v>
      </c>
      <c r="AW57" s="363"/>
      <c r="AX57" s="317"/>
      <c r="AY57" s="347"/>
      <c r="AZ57" s="375"/>
      <c r="BA57" s="365">
        <v>0</v>
      </c>
      <c r="BB57" s="363"/>
      <c r="BC57" s="317"/>
      <c r="BD57" s="347"/>
      <c r="BE57" s="375"/>
      <c r="BF57" s="365">
        <v>0</v>
      </c>
      <c r="BG57" s="363"/>
      <c r="BH57" s="317"/>
      <c r="BI57" s="347"/>
      <c r="BJ57" s="375"/>
      <c r="BK57" s="365">
        <v>0</v>
      </c>
      <c r="BL57" s="363"/>
      <c r="BM57" s="317"/>
      <c r="BN57" s="347"/>
      <c r="BO57" s="375"/>
      <c r="BP57" s="365">
        <v>0</v>
      </c>
      <c r="BQ57" s="363"/>
      <c r="BR57" s="317"/>
      <c r="BS57" s="347"/>
      <c r="BT57" s="375"/>
      <c r="BU57" s="365">
        <v>0</v>
      </c>
      <c r="BV57" s="317"/>
      <c r="BW57" s="347"/>
      <c r="BX57" s="375"/>
      <c r="BY57" s="366">
        <v>0</v>
      </c>
      <c r="BZ57" s="363"/>
      <c r="CA57" s="317"/>
      <c r="CB57" s="347"/>
      <c r="CC57" s="375"/>
      <c r="CD57" s="365">
        <v>0</v>
      </c>
      <c r="CE57" s="363"/>
      <c r="CF57" s="317"/>
      <c r="CG57" s="347"/>
      <c r="CH57" s="375"/>
      <c r="CI57" s="365">
        <v>0</v>
      </c>
      <c r="CJ57" s="363"/>
      <c r="CK57" s="317"/>
      <c r="CL57" s="347"/>
      <c r="CM57" s="375"/>
      <c r="CN57" s="365">
        <v>0</v>
      </c>
      <c r="CO57" s="363"/>
      <c r="CP57" s="317"/>
      <c r="CQ57" s="347"/>
      <c r="CR57" s="375"/>
      <c r="CS57" s="365">
        <v>0</v>
      </c>
      <c r="CT57" s="363"/>
      <c r="CU57" s="317"/>
      <c r="CV57" s="347"/>
      <c r="CW57" s="375"/>
      <c r="CX57" s="365">
        <v>0</v>
      </c>
      <c r="CY57" s="363"/>
      <c r="CZ57" s="317"/>
      <c r="DA57" s="347"/>
      <c r="DB57" s="375"/>
      <c r="DC57" s="365">
        <v>0</v>
      </c>
      <c r="DD57" s="363"/>
      <c r="DE57" s="317"/>
      <c r="DF57" s="347"/>
      <c r="DG57" s="375"/>
      <c r="DH57" s="365">
        <v>0</v>
      </c>
      <c r="DI57" s="363"/>
      <c r="DJ57" s="317"/>
      <c r="DK57" s="347"/>
      <c r="DL57" s="375"/>
      <c r="DM57" s="365">
        <v>0</v>
      </c>
      <c r="DN57" s="363"/>
      <c r="DO57" s="317"/>
      <c r="DP57" s="347"/>
      <c r="DQ57" s="375"/>
      <c r="DR57" s="365">
        <v>0</v>
      </c>
      <c r="DS57" s="363"/>
      <c r="DT57" s="317"/>
      <c r="DU57" s="347"/>
      <c r="DV57" s="375"/>
      <c r="DW57" s="365">
        <v>0</v>
      </c>
      <c r="DX57" s="363"/>
      <c r="DY57" s="317"/>
      <c r="DZ57" s="347"/>
      <c r="EA57" s="375"/>
      <c r="EB57" s="365">
        <v>0</v>
      </c>
      <c r="EC57" s="363"/>
      <c r="ED57" s="317"/>
      <c r="EE57" s="347"/>
      <c r="EF57" s="375"/>
      <c r="EG57" s="365">
        <v>0</v>
      </c>
      <c r="EH57" s="363"/>
      <c r="EI57" s="317"/>
      <c r="EJ57" s="347"/>
      <c r="EK57" s="375"/>
      <c r="EL57" s="365">
        <v>0</v>
      </c>
      <c r="EM57" s="363"/>
      <c r="EN57" s="317"/>
      <c r="EO57" s="340"/>
      <c r="ER57" s="39"/>
      <c r="ES57" s="39"/>
      <c r="ET57" s="39"/>
    </row>
    <row r="58" spans="1:150" ht="13.9" hidden="1" customHeight="1" x14ac:dyDescent="0.2">
      <c r="A58" s="317"/>
      <c r="B58" s="317"/>
      <c r="C58" s="340" t="s">
        <v>148</v>
      </c>
      <c r="D58" s="317"/>
      <c r="E58" s="346"/>
      <c r="F58" s="375"/>
      <c r="G58" s="375"/>
      <c r="H58" s="365"/>
      <c r="I58" s="363"/>
      <c r="J58" s="317"/>
      <c r="K58" s="347"/>
      <c r="L58" s="375"/>
      <c r="M58" s="365"/>
      <c r="N58" s="363"/>
      <c r="O58" s="317"/>
      <c r="P58" s="347"/>
      <c r="Q58" s="375"/>
      <c r="R58" s="365"/>
      <c r="S58" s="363"/>
      <c r="T58" s="317"/>
      <c r="U58" s="347"/>
      <c r="V58" s="375"/>
      <c r="W58" s="365"/>
      <c r="X58" s="363"/>
      <c r="Y58" s="317"/>
      <c r="Z58" s="347"/>
      <c r="AA58" s="375"/>
      <c r="AB58" s="365"/>
      <c r="AC58" s="363"/>
      <c r="AD58" s="317"/>
      <c r="AE58" s="347"/>
      <c r="AF58" s="375"/>
      <c r="AG58" s="365"/>
      <c r="AH58" s="363"/>
      <c r="AI58" s="317"/>
      <c r="AJ58" s="347"/>
      <c r="AK58" s="375"/>
      <c r="AL58" s="365"/>
      <c r="AM58" s="363"/>
      <c r="AN58" s="317"/>
      <c r="AO58" s="347"/>
      <c r="AP58" s="375"/>
      <c r="AQ58" s="365"/>
      <c r="AR58" s="363"/>
      <c r="AS58" s="317"/>
      <c r="AT58" s="347"/>
      <c r="AU58" s="375"/>
      <c r="AV58" s="365"/>
      <c r="AW58" s="363"/>
      <c r="AX58" s="317"/>
      <c r="AY58" s="347"/>
      <c r="AZ58" s="375"/>
      <c r="BA58" s="365"/>
      <c r="BB58" s="363"/>
      <c r="BC58" s="317"/>
      <c r="BD58" s="347"/>
      <c r="BE58" s="375"/>
      <c r="BF58" s="365"/>
      <c r="BG58" s="363"/>
      <c r="BH58" s="317"/>
      <c r="BI58" s="347"/>
      <c r="BJ58" s="375"/>
      <c r="BK58" s="365"/>
      <c r="BL58" s="363"/>
      <c r="BM58" s="317"/>
      <c r="BN58" s="347"/>
      <c r="BO58" s="375"/>
      <c r="BP58" s="365"/>
      <c r="BQ58" s="363"/>
      <c r="BR58" s="317"/>
      <c r="BS58" s="347"/>
      <c r="BT58" s="375"/>
      <c r="BU58" s="365"/>
      <c r="BV58" s="317"/>
      <c r="BW58" s="347"/>
      <c r="BX58" s="375"/>
      <c r="BY58" s="366"/>
      <c r="BZ58" s="363"/>
      <c r="CA58" s="317"/>
      <c r="CB58" s="347"/>
      <c r="CC58" s="375"/>
      <c r="CD58" s="365"/>
      <c r="CE58" s="363"/>
      <c r="CF58" s="317"/>
      <c r="CG58" s="347"/>
      <c r="CH58" s="375"/>
      <c r="CI58" s="365"/>
      <c r="CJ58" s="363"/>
      <c r="CK58" s="317"/>
      <c r="CL58" s="347"/>
      <c r="CM58" s="375"/>
      <c r="CN58" s="365"/>
      <c r="CO58" s="363"/>
      <c r="CP58" s="317"/>
      <c r="CQ58" s="347"/>
      <c r="CR58" s="375"/>
      <c r="CS58" s="365"/>
      <c r="CT58" s="363"/>
      <c r="CU58" s="317"/>
      <c r="CV58" s="347"/>
      <c r="CW58" s="375"/>
      <c r="CX58" s="365"/>
      <c r="CY58" s="363"/>
      <c r="CZ58" s="317"/>
      <c r="DA58" s="347"/>
      <c r="DB58" s="375"/>
      <c r="DC58" s="365"/>
      <c r="DD58" s="363"/>
      <c r="DE58" s="317"/>
      <c r="DF58" s="347"/>
      <c r="DG58" s="375"/>
      <c r="DH58" s="365"/>
      <c r="DI58" s="363"/>
      <c r="DJ58" s="317"/>
      <c r="DK58" s="347"/>
      <c r="DL58" s="375"/>
      <c r="DM58" s="365"/>
      <c r="DN58" s="363"/>
      <c r="DO58" s="317"/>
      <c r="DP58" s="347"/>
      <c r="DQ58" s="375"/>
      <c r="DR58" s="365"/>
      <c r="DS58" s="363"/>
      <c r="DT58" s="317"/>
      <c r="DU58" s="347"/>
      <c r="DV58" s="375"/>
      <c r="DW58" s="365"/>
      <c r="DX58" s="363"/>
      <c r="DY58" s="317"/>
      <c r="DZ58" s="347"/>
      <c r="EA58" s="375"/>
      <c r="EB58" s="365"/>
      <c r="EC58" s="363"/>
      <c r="ED58" s="317"/>
      <c r="EE58" s="347"/>
      <c r="EF58" s="375"/>
      <c r="EG58" s="365"/>
      <c r="EH58" s="363"/>
      <c r="EI58" s="317"/>
      <c r="EJ58" s="347"/>
      <c r="EK58" s="375"/>
      <c r="EL58" s="365"/>
      <c r="EM58" s="363"/>
      <c r="EN58" s="317"/>
      <c r="EO58" s="340"/>
      <c r="ER58" s="39"/>
      <c r="ES58" s="39"/>
      <c r="ET58" s="39"/>
    </row>
    <row r="59" spans="1:150" ht="13.9" hidden="1" customHeight="1" x14ac:dyDescent="0.2">
      <c r="A59" s="317"/>
      <c r="B59" s="317"/>
      <c r="C59" s="360" t="s">
        <v>161</v>
      </c>
      <c r="D59" s="317"/>
      <c r="E59" s="346"/>
      <c r="F59" s="375"/>
      <c r="G59" s="375"/>
      <c r="H59" s="365">
        <v>0</v>
      </c>
      <c r="I59" s="363"/>
      <c r="J59" s="317"/>
      <c r="K59" s="347"/>
      <c r="L59" s="375"/>
      <c r="M59" s="365">
        <v>0</v>
      </c>
      <c r="N59" s="363"/>
      <c r="O59" s="317"/>
      <c r="P59" s="347"/>
      <c r="Q59" s="375"/>
      <c r="R59" s="365">
        <v>0</v>
      </c>
      <c r="S59" s="363"/>
      <c r="T59" s="317"/>
      <c r="U59" s="347"/>
      <c r="V59" s="375"/>
      <c r="W59" s="365">
        <v>0</v>
      </c>
      <c r="X59" s="363"/>
      <c r="Y59" s="317"/>
      <c r="Z59" s="347"/>
      <c r="AA59" s="375"/>
      <c r="AB59" s="365">
        <v>0</v>
      </c>
      <c r="AC59" s="363"/>
      <c r="AD59" s="317"/>
      <c r="AE59" s="347"/>
      <c r="AF59" s="375"/>
      <c r="AG59" s="365">
        <v>0</v>
      </c>
      <c r="AH59" s="363"/>
      <c r="AI59" s="317"/>
      <c r="AJ59" s="347"/>
      <c r="AK59" s="375"/>
      <c r="AL59" s="365">
        <v>0</v>
      </c>
      <c r="AM59" s="363"/>
      <c r="AN59" s="317"/>
      <c r="AO59" s="347"/>
      <c r="AP59" s="375"/>
      <c r="AQ59" s="365">
        <v>0</v>
      </c>
      <c r="AR59" s="363"/>
      <c r="AS59" s="317"/>
      <c r="AT59" s="347"/>
      <c r="AU59" s="375"/>
      <c r="AV59" s="365">
        <v>0</v>
      </c>
      <c r="AW59" s="363"/>
      <c r="AX59" s="317"/>
      <c r="AY59" s="347"/>
      <c r="AZ59" s="375"/>
      <c r="BA59" s="365">
        <v>0</v>
      </c>
      <c r="BB59" s="363"/>
      <c r="BC59" s="317"/>
      <c r="BD59" s="347"/>
      <c r="BE59" s="375"/>
      <c r="BF59" s="365">
        <v>0</v>
      </c>
      <c r="BG59" s="363"/>
      <c r="BH59" s="317"/>
      <c r="BI59" s="347"/>
      <c r="BJ59" s="375"/>
      <c r="BK59" s="365">
        <v>0</v>
      </c>
      <c r="BL59" s="363"/>
      <c r="BM59" s="317"/>
      <c r="BN59" s="347"/>
      <c r="BO59" s="375"/>
      <c r="BP59" s="365">
        <v>0</v>
      </c>
      <c r="BQ59" s="363"/>
      <c r="BR59" s="317"/>
      <c r="BS59" s="347"/>
      <c r="BT59" s="375"/>
      <c r="BU59" s="365">
        <v>0</v>
      </c>
      <c r="BV59" s="317"/>
      <c r="BW59" s="347"/>
      <c r="BX59" s="375"/>
      <c r="BY59" s="366">
        <v>0</v>
      </c>
      <c r="BZ59" s="363"/>
      <c r="CA59" s="317"/>
      <c r="CB59" s="347"/>
      <c r="CC59" s="375"/>
      <c r="CD59" s="365">
        <v>0</v>
      </c>
      <c r="CE59" s="363"/>
      <c r="CF59" s="317"/>
      <c r="CG59" s="347"/>
      <c r="CH59" s="375"/>
      <c r="CI59" s="365">
        <v>0</v>
      </c>
      <c r="CJ59" s="363"/>
      <c r="CK59" s="317"/>
      <c r="CL59" s="347"/>
      <c r="CM59" s="375"/>
      <c r="CN59" s="365">
        <v>0</v>
      </c>
      <c r="CO59" s="363"/>
      <c r="CP59" s="317"/>
      <c r="CQ59" s="347"/>
      <c r="CR59" s="375"/>
      <c r="CS59" s="365">
        <v>0</v>
      </c>
      <c r="CT59" s="363"/>
      <c r="CU59" s="317"/>
      <c r="CV59" s="347"/>
      <c r="CW59" s="375"/>
      <c r="CX59" s="365">
        <v>0</v>
      </c>
      <c r="CY59" s="363"/>
      <c r="CZ59" s="317"/>
      <c r="DA59" s="347"/>
      <c r="DB59" s="375"/>
      <c r="DC59" s="365">
        <v>0</v>
      </c>
      <c r="DD59" s="363"/>
      <c r="DE59" s="317"/>
      <c r="DF59" s="347"/>
      <c r="DG59" s="375"/>
      <c r="DH59" s="365">
        <v>0</v>
      </c>
      <c r="DI59" s="363"/>
      <c r="DJ59" s="317"/>
      <c r="DK59" s="347"/>
      <c r="DL59" s="375"/>
      <c r="DM59" s="365">
        <v>0</v>
      </c>
      <c r="DN59" s="363"/>
      <c r="DO59" s="317"/>
      <c r="DP59" s="347"/>
      <c r="DQ59" s="375"/>
      <c r="DR59" s="365">
        <v>0</v>
      </c>
      <c r="DS59" s="363"/>
      <c r="DT59" s="317"/>
      <c r="DU59" s="347"/>
      <c r="DV59" s="375"/>
      <c r="DW59" s="365">
        <v>0</v>
      </c>
      <c r="DX59" s="363"/>
      <c r="DY59" s="317"/>
      <c r="DZ59" s="347"/>
      <c r="EA59" s="375"/>
      <c r="EB59" s="365">
        <v>0</v>
      </c>
      <c r="EC59" s="363"/>
      <c r="ED59" s="317"/>
      <c r="EE59" s="347"/>
      <c r="EF59" s="375"/>
      <c r="EG59" s="365">
        <v>0</v>
      </c>
      <c r="EH59" s="363"/>
      <c r="EI59" s="317"/>
      <c r="EJ59" s="347"/>
      <c r="EK59" s="375"/>
      <c r="EL59" s="365">
        <v>0</v>
      </c>
      <c r="EM59" s="363"/>
      <c r="EN59" s="317"/>
      <c r="EO59" s="340"/>
      <c r="ER59" s="39"/>
      <c r="ES59" s="39"/>
      <c r="ET59" s="39"/>
    </row>
    <row r="60" spans="1:150" ht="13.9" hidden="1" customHeight="1" x14ac:dyDescent="0.2">
      <c r="A60" s="317"/>
      <c r="B60" s="317"/>
      <c r="C60" s="360" t="s">
        <v>162</v>
      </c>
      <c r="D60" s="317"/>
      <c r="E60" s="346"/>
      <c r="F60" s="375"/>
      <c r="G60" s="375"/>
      <c r="H60" s="368">
        <v>0</v>
      </c>
      <c r="I60" s="363"/>
      <c r="J60" s="317"/>
      <c r="K60" s="347"/>
      <c r="L60" s="375"/>
      <c r="M60" s="368">
        <v>0</v>
      </c>
      <c r="N60" s="363"/>
      <c r="O60" s="317"/>
      <c r="P60" s="347"/>
      <c r="Q60" s="375"/>
      <c r="R60" s="368">
        <v>0</v>
      </c>
      <c r="S60" s="363"/>
      <c r="T60" s="317"/>
      <c r="U60" s="347"/>
      <c r="V60" s="375"/>
      <c r="W60" s="368">
        <v>0</v>
      </c>
      <c r="X60" s="363"/>
      <c r="Y60" s="317"/>
      <c r="Z60" s="347"/>
      <c r="AA60" s="375"/>
      <c r="AB60" s="368">
        <v>0</v>
      </c>
      <c r="AC60" s="363"/>
      <c r="AD60" s="317"/>
      <c r="AE60" s="347"/>
      <c r="AF60" s="375"/>
      <c r="AG60" s="368">
        <v>0</v>
      </c>
      <c r="AH60" s="363"/>
      <c r="AI60" s="317"/>
      <c r="AJ60" s="347"/>
      <c r="AK60" s="375"/>
      <c r="AL60" s="368">
        <v>0</v>
      </c>
      <c r="AM60" s="363"/>
      <c r="AN60" s="317"/>
      <c r="AO60" s="347"/>
      <c r="AP60" s="375"/>
      <c r="AQ60" s="368">
        <v>0</v>
      </c>
      <c r="AR60" s="363"/>
      <c r="AS60" s="317"/>
      <c r="AT60" s="347"/>
      <c r="AU60" s="375"/>
      <c r="AV60" s="368">
        <v>0</v>
      </c>
      <c r="AW60" s="363"/>
      <c r="AX60" s="317"/>
      <c r="AY60" s="347"/>
      <c r="AZ60" s="375"/>
      <c r="BA60" s="368">
        <v>0</v>
      </c>
      <c r="BB60" s="363"/>
      <c r="BC60" s="317"/>
      <c r="BD60" s="347"/>
      <c r="BE60" s="375"/>
      <c r="BF60" s="368">
        <v>0</v>
      </c>
      <c r="BG60" s="363"/>
      <c r="BH60" s="317"/>
      <c r="BI60" s="347"/>
      <c r="BJ60" s="375"/>
      <c r="BK60" s="368">
        <v>0</v>
      </c>
      <c r="BL60" s="363"/>
      <c r="BM60" s="317"/>
      <c r="BN60" s="347"/>
      <c r="BO60" s="375"/>
      <c r="BP60" s="368">
        <v>0</v>
      </c>
      <c r="BQ60" s="363"/>
      <c r="BR60" s="317"/>
      <c r="BS60" s="347"/>
      <c r="BT60" s="375"/>
      <c r="BU60" s="368">
        <v>0</v>
      </c>
      <c r="BV60" s="317"/>
      <c r="BW60" s="347"/>
      <c r="BX60" s="375"/>
      <c r="BY60" s="367">
        <v>0</v>
      </c>
      <c r="BZ60" s="363"/>
      <c r="CA60" s="317"/>
      <c r="CB60" s="347"/>
      <c r="CC60" s="375"/>
      <c r="CD60" s="368">
        <v>0</v>
      </c>
      <c r="CE60" s="363"/>
      <c r="CF60" s="317"/>
      <c r="CG60" s="347"/>
      <c r="CH60" s="375"/>
      <c r="CI60" s="368">
        <v>0</v>
      </c>
      <c r="CJ60" s="363"/>
      <c r="CK60" s="317"/>
      <c r="CL60" s="347"/>
      <c r="CM60" s="375"/>
      <c r="CN60" s="368">
        <v>0</v>
      </c>
      <c r="CO60" s="363"/>
      <c r="CP60" s="317"/>
      <c r="CQ60" s="347"/>
      <c r="CR60" s="375"/>
      <c r="CS60" s="368">
        <v>0</v>
      </c>
      <c r="CT60" s="363"/>
      <c r="CU60" s="317"/>
      <c r="CV60" s="347"/>
      <c r="CW60" s="375"/>
      <c r="CX60" s="368">
        <v>0</v>
      </c>
      <c r="CY60" s="363"/>
      <c r="CZ60" s="317"/>
      <c r="DA60" s="347"/>
      <c r="DB60" s="375"/>
      <c r="DC60" s="368">
        <v>0</v>
      </c>
      <c r="DD60" s="363"/>
      <c r="DE60" s="317"/>
      <c r="DF60" s="347"/>
      <c r="DG60" s="375"/>
      <c r="DH60" s="368">
        <v>0</v>
      </c>
      <c r="DI60" s="363"/>
      <c r="DJ60" s="317"/>
      <c r="DK60" s="347"/>
      <c r="DL60" s="375"/>
      <c r="DM60" s="368">
        <v>0</v>
      </c>
      <c r="DN60" s="363"/>
      <c r="DO60" s="317"/>
      <c r="DP60" s="347"/>
      <c r="DQ60" s="375"/>
      <c r="DR60" s="368">
        <v>0</v>
      </c>
      <c r="DS60" s="363"/>
      <c r="DT60" s="317"/>
      <c r="DU60" s="347"/>
      <c r="DV60" s="375"/>
      <c r="DW60" s="368">
        <v>0</v>
      </c>
      <c r="DX60" s="363"/>
      <c r="DY60" s="317"/>
      <c r="DZ60" s="347"/>
      <c r="EA60" s="375"/>
      <c r="EB60" s="368">
        <v>0</v>
      </c>
      <c r="EC60" s="363"/>
      <c r="ED60" s="317"/>
      <c r="EE60" s="347"/>
      <c r="EF60" s="375"/>
      <c r="EG60" s="368">
        <v>0</v>
      </c>
      <c r="EH60" s="363"/>
      <c r="EI60" s="317"/>
      <c r="EJ60" s="347"/>
      <c r="EK60" s="375"/>
      <c r="EL60" s="368">
        <v>0</v>
      </c>
      <c r="EM60" s="363"/>
      <c r="EN60" s="317"/>
      <c r="EO60" s="340"/>
      <c r="ER60" s="39"/>
      <c r="ES60" s="39"/>
      <c r="ET60" s="39"/>
    </row>
    <row r="61" spans="1:150" x14ac:dyDescent="0.2">
      <c r="A61" s="317"/>
      <c r="B61" s="317"/>
      <c r="C61" s="340"/>
      <c r="D61" s="317"/>
      <c r="E61" s="346"/>
      <c r="F61" s="375"/>
      <c r="G61" s="388"/>
      <c r="H61" s="374"/>
      <c r="I61" s="373"/>
      <c r="J61" s="317"/>
      <c r="K61" s="347"/>
      <c r="L61" s="388"/>
      <c r="M61" s="374"/>
      <c r="N61" s="373"/>
      <c r="O61" s="317"/>
      <c r="P61" s="347"/>
      <c r="Q61" s="388"/>
      <c r="R61" s="374"/>
      <c r="S61" s="373"/>
      <c r="T61" s="317"/>
      <c r="U61" s="347"/>
      <c r="V61" s="388"/>
      <c r="W61" s="374"/>
      <c r="X61" s="373"/>
      <c r="Y61" s="317"/>
      <c r="Z61" s="347"/>
      <c r="AA61" s="388"/>
      <c r="AB61" s="374"/>
      <c r="AC61" s="373"/>
      <c r="AD61" s="317"/>
      <c r="AE61" s="347"/>
      <c r="AF61" s="388"/>
      <c r="AG61" s="374"/>
      <c r="AH61" s="373"/>
      <c r="AI61" s="317"/>
      <c r="AJ61" s="347"/>
      <c r="AK61" s="388"/>
      <c r="AL61" s="374"/>
      <c r="AM61" s="373"/>
      <c r="AN61" s="317"/>
      <c r="AO61" s="347"/>
      <c r="AP61" s="388"/>
      <c r="AQ61" s="374"/>
      <c r="AR61" s="373"/>
      <c r="AS61" s="317"/>
      <c r="AT61" s="347"/>
      <c r="AU61" s="388"/>
      <c r="AV61" s="374"/>
      <c r="AW61" s="373"/>
      <c r="AX61" s="317"/>
      <c r="AY61" s="347"/>
      <c r="AZ61" s="388"/>
      <c r="BA61" s="374"/>
      <c r="BB61" s="373"/>
      <c r="BC61" s="317"/>
      <c r="BD61" s="347"/>
      <c r="BE61" s="388"/>
      <c r="BF61" s="374"/>
      <c r="BG61" s="373"/>
      <c r="BH61" s="317"/>
      <c r="BI61" s="347"/>
      <c r="BJ61" s="388"/>
      <c r="BK61" s="374"/>
      <c r="BL61" s="373"/>
      <c r="BM61" s="317"/>
      <c r="BN61" s="347"/>
      <c r="BO61" s="388"/>
      <c r="BP61" s="374"/>
      <c r="BQ61" s="373"/>
      <c r="BR61" s="317"/>
      <c r="BS61" s="347"/>
      <c r="BT61" s="388"/>
      <c r="BU61" s="374"/>
      <c r="BV61" s="374"/>
      <c r="BW61" s="347"/>
      <c r="BX61" s="388"/>
      <c r="BY61" s="372"/>
      <c r="BZ61" s="373"/>
      <c r="CA61" s="317"/>
      <c r="CB61" s="347"/>
      <c r="CC61" s="388"/>
      <c r="CD61" s="374"/>
      <c r="CE61" s="373"/>
      <c r="CF61" s="317"/>
      <c r="CG61" s="347"/>
      <c r="CH61" s="388"/>
      <c r="CI61" s="374"/>
      <c r="CJ61" s="373"/>
      <c r="CK61" s="317"/>
      <c r="CL61" s="347"/>
      <c r="CM61" s="388"/>
      <c r="CN61" s="374"/>
      <c r="CO61" s="373"/>
      <c r="CP61" s="317"/>
      <c r="CQ61" s="347"/>
      <c r="CR61" s="388"/>
      <c r="CS61" s="374"/>
      <c r="CT61" s="373"/>
      <c r="CU61" s="317"/>
      <c r="CV61" s="347"/>
      <c r="CW61" s="388"/>
      <c r="CX61" s="374"/>
      <c r="CY61" s="373"/>
      <c r="CZ61" s="317"/>
      <c r="DA61" s="347"/>
      <c r="DB61" s="388"/>
      <c r="DC61" s="374"/>
      <c r="DD61" s="373"/>
      <c r="DE61" s="317"/>
      <c r="DF61" s="347"/>
      <c r="DG61" s="388"/>
      <c r="DH61" s="374"/>
      <c r="DI61" s="373"/>
      <c r="DJ61" s="317"/>
      <c r="DK61" s="347"/>
      <c r="DL61" s="388"/>
      <c r="DM61" s="374"/>
      <c r="DN61" s="373"/>
      <c r="DO61" s="317"/>
      <c r="DP61" s="347"/>
      <c r="DQ61" s="388"/>
      <c r="DR61" s="374"/>
      <c r="DS61" s="373"/>
      <c r="DT61" s="317"/>
      <c r="DU61" s="347"/>
      <c r="DV61" s="388"/>
      <c r="DW61" s="374"/>
      <c r="DX61" s="373"/>
      <c r="DY61" s="317"/>
      <c r="DZ61" s="347"/>
      <c r="EA61" s="388"/>
      <c r="EB61" s="374"/>
      <c r="EC61" s="373"/>
      <c r="ED61" s="317"/>
      <c r="EE61" s="347"/>
      <c r="EF61" s="388"/>
      <c r="EG61" s="374"/>
      <c r="EH61" s="373"/>
      <c r="EI61" s="317"/>
      <c r="EJ61" s="347"/>
      <c r="EK61" s="388"/>
      <c r="EL61" s="374"/>
      <c r="EM61" s="373"/>
      <c r="EN61" s="317"/>
      <c r="EO61" s="340"/>
      <c r="ER61" s="39"/>
      <c r="ES61" s="39"/>
      <c r="ET61" s="39"/>
    </row>
    <row r="62" spans="1:150" x14ac:dyDescent="0.2">
      <c r="A62" s="317"/>
      <c r="B62" s="317"/>
      <c r="C62" s="340"/>
      <c r="D62" s="317"/>
      <c r="E62" s="346"/>
      <c r="F62" s="375"/>
      <c r="G62" s="376"/>
      <c r="H62" s="317"/>
      <c r="I62" s="317"/>
      <c r="J62" s="317"/>
      <c r="K62" s="347"/>
      <c r="L62" s="317"/>
      <c r="M62" s="317"/>
      <c r="N62" s="317"/>
      <c r="O62" s="317"/>
      <c r="P62" s="347"/>
      <c r="Q62" s="317"/>
      <c r="R62" s="317"/>
      <c r="S62" s="317"/>
      <c r="T62" s="317"/>
      <c r="U62" s="347"/>
      <c r="V62" s="317"/>
      <c r="W62" s="317"/>
      <c r="X62" s="317"/>
      <c r="Y62" s="317"/>
      <c r="Z62" s="347"/>
      <c r="AA62" s="317"/>
      <c r="AB62" s="317"/>
      <c r="AC62" s="317"/>
      <c r="AD62" s="317"/>
      <c r="AE62" s="347"/>
      <c r="AF62" s="317"/>
      <c r="AG62" s="317"/>
      <c r="AH62" s="317"/>
      <c r="AI62" s="317"/>
      <c r="AJ62" s="347"/>
      <c r="AK62" s="317"/>
      <c r="AL62" s="317"/>
      <c r="AM62" s="317"/>
      <c r="AN62" s="317"/>
      <c r="AO62" s="347"/>
      <c r="AP62" s="317"/>
      <c r="AQ62" s="317"/>
      <c r="AR62" s="317"/>
      <c r="AS62" s="317"/>
      <c r="AT62" s="347"/>
      <c r="AU62" s="317"/>
      <c r="AV62" s="317"/>
      <c r="AW62" s="317"/>
      <c r="AX62" s="317"/>
      <c r="AY62" s="347"/>
      <c r="AZ62" s="317"/>
      <c r="BA62" s="317"/>
      <c r="BB62" s="317"/>
      <c r="BC62" s="317"/>
      <c r="BD62" s="347"/>
      <c r="BE62" s="317"/>
      <c r="BF62" s="317"/>
      <c r="BG62" s="317"/>
      <c r="BH62" s="317"/>
      <c r="BI62" s="347"/>
      <c r="BJ62" s="317"/>
      <c r="BK62" s="317"/>
      <c r="BL62" s="317"/>
      <c r="BM62" s="317"/>
      <c r="BN62" s="347"/>
      <c r="BO62" s="317"/>
      <c r="BP62" s="317"/>
      <c r="BQ62" s="317"/>
      <c r="BR62" s="317"/>
      <c r="BS62" s="347"/>
      <c r="BT62" s="317"/>
      <c r="BU62" s="317"/>
      <c r="BV62" s="317"/>
      <c r="BW62" s="347"/>
      <c r="BX62" s="317"/>
      <c r="BY62" s="369"/>
      <c r="BZ62" s="317"/>
      <c r="CA62" s="317"/>
      <c r="CB62" s="347"/>
      <c r="CC62" s="317"/>
      <c r="CD62" s="317"/>
      <c r="CE62" s="317"/>
      <c r="CF62" s="317"/>
      <c r="CG62" s="347"/>
      <c r="CH62" s="317"/>
      <c r="CI62" s="317"/>
      <c r="CJ62" s="317"/>
      <c r="CK62" s="317"/>
      <c r="CL62" s="347"/>
      <c r="CM62" s="317"/>
      <c r="CN62" s="317"/>
      <c r="CO62" s="317"/>
      <c r="CP62" s="317"/>
      <c r="CQ62" s="347"/>
      <c r="CR62" s="317"/>
      <c r="CS62" s="317"/>
      <c r="CT62" s="317"/>
      <c r="CU62" s="317"/>
      <c r="CV62" s="347"/>
      <c r="CW62" s="317"/>
      <c r="CX62" s="317"/>
      <c r="CY62" s="317"/>
      <c r="CZ62" s="317"/>
      <c r="DA62" s="347"/>
      <c r="DB62" s="317"/>
      <c r="DC62" s="317"/>
      <c r="DD62" s="317"/>
      <c r="DE62" s="317"/>
      <c r="DF62" s="347"/>
      <c r="DG62" s="317"/>
      <c r="DH62" s="317"/>
      <c r="DI62" s="317"/>
      <c r="DJ62" s="317"/>
      <c r="DK62" s="347"/>
      <c r="DL62" s="317"/>
      <c r="DM62" s="317"/>
      <c r="DN62" s="317"/>
      <c r="DO62" s="317"/>
      <c r="DP62" s="347"/>
      <c r="DQ62" s="317"/>
      <c r="DR62" s="317"/>
      <c r="DS62" s="317"/>
      <c r="DT62" s="317"/>
      <c r="DU62" s="347"/>
      <c r="DV62" s="317"/>
      <c r="DW62" s="317"/>
      <c r="DX62" s="317"/>
      <c r="DY62" s="317"/>
      <c r="DZ62" s="347"/>
      <c r="EA62" s="317"/>
      <c r="EB62" s="317"/>
      <c r="EC62" s="317"/>
      <c r="ED62" s="317"/>
      <c r="EE62" s="347"/>
      <c r="EF62" s="317"/>
      <c r="EG62" s="317"/>
      <c r="EH62" s="317"/>
      <c r="EI62" s="317"/>
      <c r="EJ62" s="347"/>
      <c r="EK62" s="317"/>
      <c r="EL62" s="317"/>
      <c r="EM62" s="317"/>
      <c r="EN62" s="317"/>
      <c r="EO62" s="340"/>
      <c r="ER62" s="39"/>
      <c r="ES62" s="39"/>
      <c r="ET62" s="39"/>
    </row>
    <row r="63" spans="1:150" s="39" customFormat="1" x14ac:dyDescent="0.2">
      <c r="A63" s="329"/>
      <c r="B63" s="329"/>
      <c r="C63" s="348" t="s">
        <v>164</v>
      </c>
      <c r="D63" s="329"/>
      <c r="E63" s="380" t="s">
        <v>165</v>
      </c>
      <c r="F63" s="381"/>
      <c r="G63" s="386"/>
      <c r="H63" s="351">
        <v>41301787.13398695</v>
      </c>
      <c r="I63" s="351"/>
      <c r="J63" s="351"/>
      <c r="K63" s="352"/>
      <c r="L63" s="351"/>
      <c r="M63" s="329">
        <v>-22462869.771990001</v>
      </c>
      <c r="N63" s="329"/>
      <c r="O63" s="329"/>
      <c r="P63" s="350"/>
      <c r="Q63" s="329"/>
      <c r="R63" s="329">
        <v>8028973.5351800174</v>
      </c>
      <c r="S63" s="329"/>
      <c r="T63" s="329"/>
      <c r="U63" s="350"/>
      <c r="V63" s="329"/>
      <c r="W63" s="329">
        <v>-100948773.75835001</v>
      </c>
      <c r="X63" s="329"/>
      <c r="Y63" s="329"/>
      <c r="Z63" s="350"/>
      <c r="AA63" s="329"/>
      <c r="AB63" s="329">
        <v>81733465.921170026</v>
      </c>
      <c r="AC63" s="329"/>
      <c r="AD63" s="329"/>
      <c r="AE63" s="350"/>
      <c r="AF63" s="329"/>
      <c r="AG63" s="329">
        <v>16731515.334039986</v>
      </c>
      <c r="AH63" s="329"/>
      <c r="AI63" s="329"/>
      <c r="AJ63" s="350"/>
      <c r="AK63" s="329"/>
      <c r="AL63" s="329">
        <v>-30393086.078570008</v>
      </c>
      <c r="AM63" s="329"/>
      <c r="AN63" s="329"/>
      <c r="AO63" s="350"/>
      <c r="AP63" s="329"/>
      <c r="AQ63" s="329">
        <v>19590745.798259988</v>
      </c>
      <c r="AR63" s="329"/>
      <c r="AS63" s="329"/>
      <c r="AT63" s="350"/>
      <c r="AU63" s="329"/>
      <c r="AV63" s="329">
        <v>311428125</v>
      </c>
      <c r="AW63" s="329"/>
      <c r="AX63" s="329"/>
      <c r="AY63" s="350"/>
      <c r="AZ63" s="329"/>
      <c r="BA63" s="329">
        <v>0</v>
      </c>
      <c r="BB63" s="329"/>
      <c r="BC63" s="329"/>
      <c r="BD63" s="350"/>
      <c r="BE63" s="329"/>
      <c r="BF63" s="329">
        <v>0</v>
      </c>
      <c r="BG63" s="329"/>
      <c r="BH63" s="329"/>
      <c r="BI63" s="350"/>
      <c r="BJ63" s="329"/>
      <c r="BK63" s="329">
        <v>0</v>
      </c>
      <c r="BL63" s="329"/>
      <c r="BM63" s="329"/>
      <c r="BN63" s="350"/>
      <c r="BO63" s="329"/>
      <c r="BP63" s="329">
        <v>0</v>
      </c>
      <c r="BQ63" s="329"/>
      <c r="BR63" s="329"/>
      <c r="BS63" s="350"/>
      <c r="BT63" s="329"/>
      <c r="BU63" s="329">
        <v>-27720029.020260006</v>
      </c>
      <c r="BV63" s="329"/>
      <c r="BW63" s="350"/>
      <c r="BX63" s="329"/>
      <c r="BY63" s="353">
        <v>74771168.711030006</v>
      </c>
      <c r="BZ63" s="351"/>
      <c r="CA63" s="351"/>
      <c r="CB63" s="352"/>
      <c r="CC63" s="351"/>
      <c r="CD63" s="351">
        <v>44290935.219140023</v>
      </c>
      <c r="CE63" s="351"/>
      <c r="CF63" s="351"/>
      <c r="CG63" s="352"/>
      <c r="CH63" s="351"/>
      <c r="CI63" s="329">
        <v>-14022271.991829976</v>
      </c>
      <c r="CJ63" s="329"/>
      <c r="CK63" s="329"/>
      <c r="CL63" s="350"/>
      <c r="CM63" s="329"/>
      <c r="CN63" s="329">
        <v>-106124988.63388997</v>
      </c>
      <c r="CO63" s="329"/>
      <c r="CP63" s="329"/>
      <c r="CQ63" s="350"/>
      <c r="CR63" s="329"/>
      <c r="CS63" s="329">
        <v>111669585.09893996</v>
      </c>
      <c r="CT63" s="329"/>
      <c r="CU63" s="329"/>
      <c r="CV63" s="350"/>
      <c r="CW63" s="329"/>
      <c r="CX63" s="329">
        <v>18126075.986003995</v>
      </c>
      <c r="CY63" s="329"/>
      <c r="CZ63" s="329"/>
      <c r="DA63" s="350"/>
      <c r="DB63" s="329"/>
      <c r="DC63" s="329">
        <v>-12357983.619869992</v>
      </c>
      <c r="DD63" s="329"/>
      <c r="DE63" s="329"/>
      <c r="DF63" s="350"/>
      <c r="DG63" s="329"/>
      <c r="DH63" s="329">
        <v>12671526.501660004</v>
      </c>
      <c r="DI63" s="329"/>
      <c r="DJ63" s="329"/>
      <c r="DK63" s="350"/>
      <c r="DL63" s="329"/>
      <c r="DM63" s="329">
        <v>-179680.68023005128</v>
      </c>
      <c r="DN63" s="329"/>
      <c r="DO63" s="329"/>
      <c r="DP63" s="350"/>
      <c r="DQ63" s="329"/>
      <c r="DR63" s="329">
        <v>-60800389.438979983</v>
      </c>
      <c r="DS63" s="329"/>
      <c r="DT63" s="329"/>
      <c r="DU63" s="350"/>
      <c r="DV63" s="329"/>
      <c r="DW63" s="329">
        <v>104635309.54605</v>
      </c>
      <c r="DX63" s="329"/>
      <c r="DY63" s="329"/>
      <c r="DZ63" s="350"/>
      <c r="EA63" s="329"/>
      <c r="EB63" s="329">
        <v>-24028968.173719943</v>
      </c>
      <c r="EC63" s="329"/>
      <c r="ED63" s="329"/>
      <c r="EE63" s="350"/>
      <c r="EF63" s="329"/>
      <c r="EG63" s="329">
        <v>7827946.861110026</v>
      </c>
      <c r="EH63" s="329"/>
      <c r="EI63" s="329"/>
      <c r="EJ63" s="350"/>
      <c r="EK63" s="329"/>
      <c r="EL63" s="329">
        <v>54252878.560154036</v>
      </c>
      <c r="EM63" s="329"/>
      <c r="EN63" s="329"/>
      <c r="EO63" s="348"/>
      <c r="EP63" s="329"/>
      <c r="ES63" s="24"/>
    </row>
    <row r="64" spans="1:150" ht="12.75" customHeight="1" x14ac:dyDescent="0.2">
      <c r="A64" s="317"/>
      <c r="B64" s="317"/>
      <c r="C64" s="340" t="s">
        <v>166</v>
      </c>
      <c r="D64" s="317"/>
      <c r="E64" s="346"/>
      <c r="F64" s="375"/>
      <c r="G64" s="379"/>
      <c r="H64" s="355">
        <v>42077879</v>
      </c>
      <c r="I64" s="356"/>
      <c r="J64" s="317"/>
      <c r="K64" s="347"/>
      <c r="L64" s="354"/>
      <c r="M64" s="355">
        <v>-23712019</v>
      </c>
      <c r="N64" s="356"/>
      <c r="O64" s="317"/>
      <c r="P64" s="347"/>
      <c r="Q64" s="354"/>
      <c r="R64" s="355">
        <v>9974227</v>
      </c>
      <c r="S64" s="356"/>
      <c r="T64" s="317"/>
      <c r="U64" s="347"/>
      <c r="V64" s="354"/>
      <c r="W64" s="355">
        <v>-108076143</v>
      </c>
      <c r="X64" s="356"/>
      <c r="Y64" s="317"/>
      <c r="Z64" s="347"/>
      <c r="AA64" s="354"/>
      <c r="AB64" s="355">
        <v>35166890</v>
      </c>
      <c r="AC64" s="356"/>
      <c r="AD64" s="317"/>
      <c r="AE64" s="347"/>
      <c r="AF64" s="354"/>
      <c r="AG64" s="355">
        <v>62591281</v>
      </c>
      <c r="AH64" s="356"/>
      <c r="AI64" s="317"/>
      <c r="AJ64" s="347"/>
      <c r="AK64" s="354"/>
      <c r="AL64" s="355">
        <v>-29962642</v>
      </c>
      <c r="AM64" s="356"/>
      <c r="AN64" s="317"/>
      <c r="AO64" s="347"/>
      <c r="AP64" s="354"/>
      <c r="AQ64" s="355">
        <v>16575160</v>
      </c>
      <c r="AR64" s="356"/>
      <c r="AS64" s="317"/>
      <c r="AT64" s="347"/>
      <c r="AU64" s="354"/>
      <c r="AV64" s="355">
        <v>311428125</v>
      </c>
      <c r="AW64" s="356"/>
      <c r="AX64" s="317"/>
      <c r="AY64" s="347"/>
      <c r="AZ64" s="354"/>
      <c r="BA64" s="355">
        <v>0</v>
      </c>
      <c r="BB64" s="356"/>
      <c r="BC64" s="317"/>
      <c r="BD64" s="347"/>
      <c r="BE64" s="354"/>
      <c r="BF64" s="355">
        <v>0</v>
      </c>
      <c r="BG64" s="356"/>
      <c r="BH64" s="317"/>
      <c r="BI64" s="347"/>
      <c r="BJ64" s="354"/>
      <c r="BK64" s="355">
        <v>0</v>
      </c>
      <c r="BL64" s="356"/>
      <c r="BM64" s="317"/>
      <c r="BN64" s="347"/>
      <c r="BO64" s="354"/>
      <c r="BP64" s="355">
        <v>0</v>
      </c>
      <c r="BQ64" s="356"/>
      <c r="BR64" s="317"/>
      <c r="BS64" s="347"/>
      <c r="BT64" s="354"/>
      <c r="BU64" s="355">
        <v>-37443246</v>
      </c>
      <c r="BV64" s="355"/>
      <c r="BW64" s="347"/>
      <c r="BX64" s="354"/>
      <c r="BY64" s="359">
        <v>63618801</v>
      </c>
      <c r="BZ64" s="356"/>
      <c r="CA64" s="317"/>
      <c r="CB64" s="347"/>
      <c r="CC64" s="354"/>
      <c r="CD64" s="357">
        <v>46082220</v>
      </c>
      <c r="CE64" s="389"/>
      <c r="CF64" s="390"/>
      <c r="CG64" s="391"/>
      <c r="CH64" s="392"/>
      <c r="CI64" s="355">
        <v>-13324945</v>
      </c>
      <c r="CJ64" s="356"/>
      <c r="CK64" s="317"/>
      <c r="CL64" s="347"/>
      <c r="CM64" s="354"/>
      <c r="CN64" s="355">
        <v>-108017275</v>
      </c>
      <c r="CO64" s="356"/>
      <c r="CP64" s="317"/>
      <c r="CQ64" s="347"/>
      <c r="CR64" s="354"/>
      <c r="CS64" s="355">
        <v>112130563</v>
      </c>
      <c r="CT64" s="356"/>
      <c r="CU64" s="317"/>
      <c r="CV64" s="347"/>
      <c r="CW64" s="354"/>
      <c r="CX64" s="355">
        <v>19378870</v>
      </c>
      <c r="CY64" s="356"/>
      <c r="CZ64" s="317"/>
      <c r="DA64" s="347"/>
      <c r="DB64" s="354"/>
      <c r="DC64" s="355">
        <v>-9089134</v>
      </c>
      <c r="DD64" s="356"/>
      <c r="DE64" s="317"/>
      <c r="DF64" s="347"/>
      <c r="DG64" s="354"/>
      <c r="DH64" s="355">
        <v>8656413</v>
      </c>
      <c r="DI64" s="356"/>
      <c r="DJ64" s="317"/>
      <c r="DK64" s="347"/>
      <c r="DL64" s="354"/>
      <c r="DM64" s="355">
        <v>-11758617</v>
      </c>
      <c r="DN64" s="356"/>
      <c r="DO64" s="317"/>
      <c r="DP64" s="347"/>
      <c r="DQ64" s="354"/>
      <c r="DR64" s="355">
        <v>-63824067</v>
      </c>
      <c r="DS64" s="356"/>
      <c r="DT64" s="317"/>
      <c r="DU64" s="347"/>
      <c r="DV64" s="354"/>
      <c r="DW64" s="355">
        <v>109696169</v>
      </c>
      <c r="DX64" s="356"/>
      <c r="DY64" s="317"/>
      <c r="DZ64" s="347"/>
      <c r="EA64" s="354"/>
      <c r="EB64" s="355">
        <v>-26342016</v>
      </c>
      <c r="EC64" s="356"/>
      <c r="ED64" s="317"/>
      <c r="EE64" s="347"/>
      <c r="EF64" s="354"/>
      <c r="EG64" s="355">
        <v>30620</v>
      </c>
      <c r="EH64" s="356"/>
      <c r="EI64" s="317"/>
      <c r="EJ64" s="347"/>
      <c r="EK64" s="354"/>
      <c r="EL64" s="355">
        <v>55816712</v>
      </c>
      <c r="EM64" s="356"/>
      <c r="EN64" s="317"/>
      <c r="EO64" s="340"/>
      <c r="ER64" s="39"/>
      <c r="ES64" s="39"/>
      <c r="ET64" s="39"/>
    </row>
    <row r="65" spans="1:150" ht="12.75" customHeight="1" x14ac:dyDescent="0.2">
      <c r="A65" s="317"/>
      <c r="B65" s="317"/>
      <c r="C65" s="340" t="s">
        <v>167</v>
      </c>
      <c r="D65" s="317"/>
      <c r="E65" s="346"/>
      <c r="F65" s="375"/>
      <c r="G65" s="375"/>
      <c r="H65" s="317">
        <v>0</v>
      </c>
      <c r="I65" s="363"/>
      <c r="J65" s="317"/>
      <c r="K65" s="347"/>
      <c r="L65" s="347"/>
      <c r="M65" s="317">
        <v>32499994</v>
      </c>
      <c r="N65" s="363"/>
      <c r="O65" s="317"/>
      <c r="P65" s="347"/>
      <c r="Q65" s="347"/>
      <c r="R65" s="317">
        <v>1683425</v>
      </c>
      <c r="S65" s="363"/>
      <c r="T65" s="317"/>
      <c r="U65" s="347"/>
      <c r="V65" s="347"/>
      <c r="W65" s="317">
        <v>3575832</v>
      </c>
      <c r="X65" s="363"/>
      <c r="Y65" s="317"/>
      <c r="Z65" s="347"/>
      <c r="AA65" s="347"/>
      <c r="AB65" s="317">
        <v>53727650</v>
      </c>
      <c r="AC65" s="363"/>
      <c r="AD65" s="317"/>
      <c r="AE65" s="347"/>
      <c r="AF65" s="347"/>
      <c r="AG65" s="317">
        <v>-54202159</v>
      </c>
      <c r="AH65" s="363"/>
      <c r="AI65" s="317"/>
      <c r="AJ65" s="347"/>
      <c r="AK65" s="347"/>
      <c r="AL65" s="317">
        <v>-3465898</v>
      </c>
      <c r="AM65" s="363"/>
      <c r="AN65" s="317"/>
      <c r="AO65" s="347"/>
      <c r="AP65" s="347"/>
      <c r="AQ65" s="317">
        <v>8772236</v>
      </c>
      <c r="AR65" s="363"/>
      <c r="AS65" s="317"/>
      <c r="AT65" s="347"/>
      <c r="AU65" s="347"/>
      <c r="AV65" s="317">
        <v>0</v>
      </c>
      <c r="AW65" s="363"/>
      <c r="AX65" s="317"/>
      <c r="AY65" s="347"/>
      <c r="AZ65" s="347"/>
      <c r="BA65" s="317">
        <v>0</v>
      </c>
      <c r="BB65" s="363"/>
      <c r="BC65" s="317"/>
      <c r="BD65" s="347"/>
      <c r="BE65" s="347"/>
      <c r="BF65" s="317">
        <v>0</v>
      </c>
      <c r="BG65" s="363"/>
      <c r="BH65" s="317"/>
      <c r="BI65" s="347"/>
      <c r="BJ65" s="347"/>
      <c r="BK65" s="317">
        <v>0</v>
      </c>
      <c r="BL65" s="363"/>
      <c r="BM65" s="317"/>
      <c r="BN65" s="347"/>
      <c r="BO65" s="347"/>
      <c r="BP65" s="317">
        <v>0</v>
      </c>
      <c r="BQ65" s="363"/>
      <c r="BR65" s="317"/>
      <c r="BS65" s="347"/>
      <c r="BT65" s="347"/>
      <c r="BU65" s="317">
        <v>42591080</v>
      </c>
      <c r="BV65" s="317"/>
      <c r="BW65" s="347"/>
      <c r="BX65" s="347"/>
      <c r="BY65" s="369">
        <v>-17675966</v>
      </c>
      <c r="BZ65" s="363"/>
      <c r="CA65" s="317"/>
      <c r="CB65" s="347"/>
      <c r="CC65" s="347"/>
      <c r="CD65" s="317">
        <v>-8786316</v>
      </c>
      <c r="CE65" s="363"/>
      <c r="CF65" s="317"/>
      <c r="CG65" s="347"/>
      <c r="CH65" s="347"/>
      <c r="CI65" s="317">
        <v>10103585</v>
      </c>
      <c r="CJ65" s="363"/>
      <c r="CK65" s="317"/>
      <c r="CL65" s="347"/>
      <c r="CM65" s="347"/>
      <c r="CN65" s="317">
        <v>-1521846</v>
      </c>
      <c r="CO65" s="363"/>
      <c r="CP65" s="317"/>
      <c r="CQ65" s="347"/>
      <c r="CR65" s="347"/>
      <c r="CS65" s="317">
        <v>6074461</v>
      </c>
      <c r="CT65" s="363"/>
      <c r="CU65" s="317"/>
      <c r="CV65" s="347"/>
      <c r="CW65" s="347"/>
      <c r="CX65" s="317">
        <v>516138</v>
      </c>
      <c r="CY65" s="363"/>
      <c r="CZ65" s="317"/>
      <c r="DA65" s="347"/>
      <c r="DB65" s="347"/>
      <c r="DC65" s="317">
        <v>-12799947</v>
      </c>
      <c r="DD65" s="363"/>
      <c r="DE65" s="317"/>
      <c r="DF65" s="347"/>
      <c r="DG65" s="347"/>
      <c r="DH65" s="317">
        <v>4934831</v>
      </c>
      <c r="DI65" s="363"/>
      <c r="DJ65" s="317"/>
      <c r="DK65" s="347"/>
      <c r="DL65" s="347"/>
      <c r="DM65" s="317">
        <v>-5282423</v>
      </c>
      <c r="DN65" s="363"/>
      <c r="DO65" s="317"/>
      <c r="DP65" s="347"/>
      <c r="DQ65" s="347"/>
      <c r="DR65" s="317">
        <v>2079416</v>
      </c>
      <c r="DS65" s="363"/>
      <c r="DT65" s="317"/>
      <c r="DU65" s="347"/>
      <c r="DV65" s="347"/>
      <c r="DW65" s="317">
        <v>-12244714</v>
      </c>
      <c r="DX65" s="363"/>
      <c r="DY65" s="317"/>
      <c r="DZ65" s="347"/>
      <c r="EA65" s="347"/>
      <c r="EB65" s="317">
        <v>14186127</v>
      </c>
      <c r="EC65" s="363"/>
      <c r="ED65" s="317"/>
      <c r="EE65" s="347"/>
      <c r="EF65" s="347"/>
      <c r="EG65" s="317">
        <v>-14935278</v>
      </c>
      <c r="EH65" s="363"/>
      <c r="EI65" s="317"/>
      <c r="EJ65" s="347"/>
      <c r="EK65" s="347"/>
      <c r="EL65" s="317">
        <v>-1479094</v>
      </c>
      <c r="EM65" s="363"/>
      <c r="EN65" s="317"/>
      <c r="EO65" s="340"/>
      <c r="ER65" s="39"/>
      <c r="ES65" s="39"/>
      <c r="ET65" s="39"/>
    </row>
    <row r="66" spans="1:150" ht="12.75" customHeight="1" x14ac:dyDescent="0.2">
      <c r="A66" s="317"/>
      <c r="B66" s="317"/>
      <c r="C66" s="360" t="s">
        <v>168</v>
      </c>
      <c r="D66" s="317"/>
      <c r="E66" s="346"/>
      <c r="F66" s="375"/>
      <c r="G66" s="375"/>
      <c r="H66" s="317">
        <v>0</v>
      </c>
      <c r="I66" s="363"/>
      <c r="J66" s="317"/>
      <c r="K66" s="347"/>
      <c r="L66" s="347"/>
      <c r="M66" s="317">
        <v>0</v>
      </c>
      <c r="N66" s="363"/>
      <c r="O66" s="317"/>
      <c r="P66" s="347"/>
      <c r="Q66" s="347"/>
      <c r="R66" s="317">
        <v>0</v>
      </c>
      <c r="S66" s="363"/>
      <c r="T66" s="317"/>
      <c r="U66" s="347"/>
      <c r="V66" s="347"/>
      <c r="W66" s="317">
        <v>0</v>
      </c>
      <c r="X66" s="363"/>
      <c r="Y66" s="317"/>
      <c r="Z66" s="347"/>
      <c r="AA66" s="347"/>
      <c r="AB66" s="317">
        <v>0</v>
      </c>
      <c r="AC66" s="363"/>
      <c r="AD66" s="317"/>
      <c r="AE66" s="347"/>
      <c r="AF66" s="347"/>
      <c r="AG66" s="317">
        <v>0</v>
      </c>
      <c r="AH66" s="363"/>
      <c r="AI66" s="317"/>
      <c r="AJ66" s="347"/>
      <c r="AK66" s="347"/>
      <c r="AL66" s="317">
        <v>0</v>
      </c>
      <c r="AM66" s="363"/>
      <c r="AN66" s="317"/>
      <c r="AO66" s="347"/>
      <c r="AP66" s="347"/>
      <c r="AQ66" s="317">
        <v>0</v>
      </c>
      <c r="AR66" s="363"/>
      <c r="AS66" s="317"/>
      <c r="AT66" s="347"/>
      <c r="AU66" s="347"/>
      <c r="AV66" s="317">
        <v>0</v>
      </c>
      <c r="AW66" s="363"/>
      <c r="AX66" s="317"/>
      <c r="AY66" s="347"/>
      <c r="AZ66" s="347"/>
      <c r="BA66" s="317">
        <v>0</v>
      </c>
      <c r="BB66" s="363"/>
      <c r="BC66" s="317"/>
      <c r="BD66" s="347"/>
      <c r="BE66" s="347"/>
      <c r="BF66" s="317">
        <v>0</v>
      </c>
      <c r="BG66" s="363"/>
      <c r="BH66" s="317"/>
      <c r="BI66" s="347"/>
      <c r="BJ66" s="347"/>
      <c r="BK66" s="317">
        <v>0</v>
      </c>
      <c r="BL66" s="363"/>
      <c r="BM66" s="317"/>
      <c r="BN66" s="347"/>
      <c r="BO66" s="347"/>
      <c r="BP66" s="317">
        <v>0</v>
      </c>
      <c r="BQ66" s="363"/>
      <c r="BR66" s="317"/>
      <c r="BS66" s="347"/>
      <c r="BT66" s="347"/>
      <c r="BU66" s="317">
        <v>0</v>
      </c>
      <c r="BV66" s="317"/>
      <c r="BW66" s="347"/>
      <c r="BX66" s="347"/>
      <c r="BY66" s="369">
        <v>3337965.9578001499</v>
      </c>
      <c r="BZ66" s="363"/>
      <c r="CA66" s="317"/>
      <c r="CB66" s="347"/>
      <c r="CC66" s="347"/>
      <c r="CD66" s="317">
        <v>0</v>
      </c>
      <c r="CE66" s="363"/>
      <c r="CF66" s="317"/>
      <c r="CG66" s="347"/>
      <c r="CH66" s="347"/>
      <c r="CI66" s="317">
        <v>0</v>
      </c>
      <c r="CJ66" s="363"/>
      <c r="CK66" s="317"/>
      <c r="CL66" s="347"/>
      <c r="CM66" s="347"/>
      <c r="CN66" s="317">
        <v>0</v>
      </c>
      <c r="CO66" s="363"/>
      <c r="CP66" s="317"/>
      <c r="CQ66" s="347"/>
      <c r="CR66" s="347"/>
      <c r="CS66" s="317">
        <v>0</v>
      </c>
      <c r="CT66" s="363"/>
      <c r="CU66" s="317"/>
      <c r="CV66" s="347"/>
      <c r="CW66" s="347"/>
      <c r="CX66" s="317">
        <v>0</v>
      </c>
      <c r="CY66" s="363"/>
      <c r="CZ66" s="317"/>
      <c r="DA66" s="347"/>
      <c r="DB66" s="347"/>
      <c r="DC66" s="317">
        <v>0</v>
      </c>
      <c r="DD66" s="363"/>
      <c r="DE66" s="317"/>
      <c r="DF66" s="347"/>
      <c r="DG66" s="347"/>
      <c r="DH66" s="317">
        <v>0</v>
      </c>
      <c r="DI66" s="363"/>
      <c r="DJ66" s="317"/>
      <c r="DK66" s="347"/>
      <c r="DL66" s="347"/>
      <c r="DM66" s="317">
        <v>0</v>
      </c>
      <c r="DN66" s="363"/>
      <c r="DO66" s="317"/>
      <c r="DP66" s="347"/>
      <c r="DQ66" s="347"/>
      <c r="DR66" s="317">
        <v>0</v>
      </c>
      <c r="DS66" s="363"/>
      <c r="DT66" s="317"/>
      <c r="DU66" s="347"/>
      <c r="DV66" s="347"/>
      <c r="DW66" s="317">
        <v>0</v>
      </c>
      <c r="DX66" s="363"/>
      <c r="DY66" s="317"/>
      <c r="DZ66" s="347"/>
      <c r="EA66" s="347"/>
      <c r="EB66" s="317">
        <v>0</v>
      </c>
      <c r="EC66" s="363"/>
      <c r="ED66" s="317"/>
      <c r="EE66" s="347"/>
      <c r="EF66" s="347"/>
      <c r="EG66" s="317">
        <v>4402225.7110300008</v>
      </c>
      <c r="EH66" s="363"/>
      <c r="EI66" s="317"/>
      <c r="EJ66" s="347"/>
      <c r="EK66" s="347"/>
      <c r="EL66" s="317">
        <v>0</v>
      </c>
      <c r="EM66" s="363"/>
      <c r="EN66" s="317"/>
      <c r="EO66" s="340"/>
      <c r="ER66" s="39"/>
      <c r="ES66" s="39"/>
      <c r="ET66" s="39"/>
    </row>
    <row r="67" spans="1:150" ht="12.75" customHeight="1" x14ac:dyDescent="0.2">
      <c r="A67" s="317"/>
      <c r="B67" s="317"/>
      <c r="C67" s="340" t="s">
        <v>169</v>
      </c>
      <c r="D67" s="317"/>
      <c r="E67" s="346"/>
      <c r="F67" s="375"/>
      <c r="G67" s="375"/>
      <c r="H67" s="317">
        <v>-776091.86601304996</v>
      </c>
      <c r="I67" s="363"/>
      <c r="J67" s="317"/>
      <c r="K67" s="347"/>
      <c r="L67" s="347"/>
      <c r="M67" s="317">
        <v>1585476</v>
      </c>
      <c r="N67" s="363"/>
      <c r="O67" s="317"/>
      <c r="P67" s="347"/>
      <c r="Q67" s="347"/>
      <c r="R67" s="317">
        <v>1883939</v>
      </c>
      <c r="S67" s="363"/>
      <c r="T67" s="317"/>
      <c r="U67" s="347"/>
      <c r="V67" s="347"/>
      <c r="W67" s="317">
        <v>1345</v>
      </c>
      <c r="X67" s="363"/>
      <c r="Y67" s="317"/>
      <c r="Z67" s="347"/>
      <c r="AA67" s="347"/>
      <c r="AB67" s="317">
        <v>7623</v>
      </c>
      <c r="AC67" s="363"/>
      <c r="AD67" s="317"/>
      <c r="AE67" s="347"/>
      <c r="AF67" s="347"/>
      <c r="AG67" s="317">
        <v>2785125</v>
      </c>
      <c r="AH67" s="363"/>
      <c r="AI67" s="317"/>
      <c r="AJ67" s="347"/>
      <c r="AK67" s="347"/>
      <c r="AL67" s="317">
        <v>4713582</v>
      </c>
      <c r="AM67" s="363"/>
      <c r="AN67" s="317"/>
      <c r="AO67" s="347"/>
      <c r="AP67" s="347"/>
      <c r="AQ67" s="317">
        <v>1340721</v>
      </c>
      <c r="AR67" s="363"/>
      <c r="AS67" s="317"/>
      <c r="AT67" s="347"/>
      <c r="AU67" s="347"/>
      <c r="AV67" s="317">
        <v>0</v>
      </c>
      <c r="AW67" s="363"/>
      <c r="AX67" s="317"/>
      <c r="AY67" s="347"/>
      <c r="AZ67" s="347"/>
      <c r="BA67" s="317">
        <v>0</v>
      </c>
      <c r="BB67" s="363"/>
      <c r="BC67" s="317"/>
      <c r="BD67" s="347"/>
      <c r="BE67" s="347"/>
      <c r="BF67" s="317">
        <v>0</v>
      </c>
      <c r="BG67" s="363"/>
      <c r="BH67" s="317"/>
      <c r="BI67" s="347"/>
      <c r="BJ67" s="347"/>
      <c r="BK67" s="317">
        <v>0</v>
      </c>
      <c r="BL67" s="363"/>
      <c r="BM67" s="317"/>
      <c r="BN67" s="347"/>
      <c r="BO67" s="347"/>
      <c r="BP67" s="317">
        <v>0</v>
      </c>
      <c r="BQ67" s="363"/>
      <c r="BR67" s="317"/>
      <c r="BS67" s="347"/>
      <c r="BT67" s="347"/>
      <c r="BU67" s="317">
        <v>12317811</v>
      </c>
      <c r="BV67" s="317"/>
      <c r="BW67" s="347"/>
      <c r="BX67" s="347"/>
      <c r="BY67" s="369">
        <v>25341605</v>
      </c>
      <c r="BZ67" s="363"/>
      <c r="CA67" s="317"/>
      <c r="CB67" s="347"/>
      <c r="CC67" s="347"/>
      <c r="CD67" s="317">
        <v>1088487</v>
      </c>
      <c r="CE67" s="363"/>
      <c r="CF67" s="317"/>
      <c r="CG67" s="347"/>
      <c r="CH67" s="347"/>
      <c r="CI67" s="317">
        <v>1683039</v>
      </c>
      <c r="CJ67" s="363"/>
      <c r="CK67" s="317"/>
      <c r="CL67" s="347"/>
      <c r="CM67" s="347"/>
      <c r="CN67" s="317">
        <v>239249</v>
      </c>
      <c r="CO67" s="363"/>
      <c r="CP67" s="317"/>
      <c r="CQ67" s="347"/>
      <c r="CR67" s="347"/>
      <c r="CS67" s="317">
        <v>17656</v>
      </c>
      <c r="CT67" s="363"/>
      <c r="CU67" s="317"/>
      <c r="CV67" s="347"/>
      <c r="CW67" s="347"/>
      <c r="CX67" s="317">
        <v>1013935</v>
      </c>
      <c r="CY67" s="363"/>
      <c r="CZ67" s="317"/>
      <c r="DA67" s="347"/>
      <c r="DB67" s="347"/>
      <c r="DC67" s="317">
        <v>1111697</v>
      </c>
      <c r="DD67" s="363"/>
      <c r="DE67" s="317"/>
      <c r="DF67" s="347"/>
      <c r="DG67" s="347"/>
      <c r="DH67" s="317">
        <v>530072</v>
      </c>
      <c r="DI67" s="363"/>
      <c r="DJ67" s="317"/>
      <c r="DK67" s="347"/>
      <c r="DL67" s="347"/>
      <c r="DM67" s="317">
        <v>6511671</v>
      </c>
      <c r="DN67" s="363"/>
      <c r="DO67" s="317"/>
      <c r="DP67" s="347"/>
      <c r="DQ67" s="347"/>
      <c r="DR67" s="317">
        <v>560492</v>
      </c>
      <c r="DS67" s="363"/>
      <c r="DT67" s="317"/>
      <c r="DU67" s="347"/>
      <c r="DV67" s="347"/>
      <c r="DW67" s="317">
        <v>2756088</v>
      </c>
      <c r="DX67" s="363"/>
      <c r="DY67" s="317"/>
      <c r="DZ67" s="347"/>
      <c r="EA67" s="347"/>
      <c r="EB67" s="317">
        <v>8032775</v>
      </c>
      <c r="EC67" s="363"/>
      <c r="ED67" s="317"/>
      <c r="EE67" s="347"/>
      <c r="EF67" s="347"/>
      <c r="EG67" s="317">
        <v>1796444</v>
      </c>
      <c r="EH67" s="363"/>
      <c r="EI67" s="317"/>
      <c r="EJ67" s="347"/>
      <c r="EK67" s="347"/>
      <c r="EL67" s="317">
        <v>5684135</v>
      </c>
      <c r="EM67" s="363"/>
      <c r="EN67" s="317"/>
      <c r="EO67" s="340"/>
      <c r="ER67" s="39"/>
      <c r="ES67" s="39"/>
      <c r="ET67" s="39"/>
    </row>
    <row r="68" spans="1:150" ht="12.75" customHeight="1" x14ac:dyDescent="0.2">
      <c r="A68" s="317"/>
      <c r="B68" s="317"/>
      <c r="C68" s="340" t="s">
        <v>170</v>
      </c>
      <c r="D68" s="317"/>
      <c r="E68" s="346"/>
      <c r="F68" s="375"/>
      <c r="G68" s="375"/>
      <c r="H68" s="317">
        <v>0</v>
      </c>
      <c r="I68" s="363"/>
      <c r="J68" s="317"/>
      <c r="K68" s="347"/>
      <c r="L68" s="347"/>
      <c r="M68" s="317">
        <v>0</v>
      </c>
      <c r="N68" s="363"/>
      <c r="O68" s="317"/>
      <c r="P68" s="347"/>
      <c r="Q68" s="347"/>
      <c r="R68" s="317">
        <v>0</v>
      </c>
      <c r="S68" s="363"/>
      <c r="T68" s="317"/>
      <c r="U68" s="347"/>
      <c r="V68" s="347"/>
      <c r="W68" s="317">
        <v>-28311</v>
      </c>
      <c r="X68" s="363"/>
      <c r="Y68" s="317"/>
      <c r="Z68" s="347"/>
      <c r="AA68" s="347"/>
      <c r="AB68" s="317">
        <v>28311</v>
      </c>
      <c r="AC68" s="363"/>
      <c r="AD68" s="317"/>
      <c r="AE68" s="347"/>
      <c r="AF68" s="347"/>
      <c r="AG68" s="317">
        <v>-30170</v>
      </c>
      <c r="AH68" s="363"/>
      <c r="AI68" s="317"/>
      <c r="AJ68" s="347"/>
      <c r="AK68" s="347"/>
      <c r="AL68" s="317">
        <v>-107886</v>
      </c>
      <c r="AM68" s="363"/>
      <c r="AN68" s="317"/>
      <c r="AO68" s="347"/>
      <c r="AP68" s="347"/>
      <c r="AQ68" s="317">
        <v>-962616</v>
      </c>
      <c r="AR68" s="363"/>
      <c r="AS68" s="317"/>
      <c r="AT68" s="347"/>
      <c r="AU68" s="347"/>
      <c r="AV68" s="317">
        <v>0</v>
      </c>
      <c r="AW68" s="363"/>
      <c r="AX68" s="317"/>
      <c r="AY68" s="347"/>
      <c r="AZ68" s="347"/>
      <c r="BA68" s="317">
        <v>0</v>
      </c>
      <c r="BB68" s="363"/>
      <c r="BC68" s="317"/>
      <c r="BD68" s="347"/>
      <c r="BE68" s="347"/>
      <c r="BF68" s="317">
        <v>0</v>
      </c>
      <c r="BG68" s="363"/>
      <c r="BH68" s="317"/>
      <c r="BI68" s="347"/>
      <c r="BJ68" s="347"/>
      <c r="BK68" s="317">
        <v>0</v>
      </c>
      <c r="BL68" s="363"/>
      <c r="BM68" s="317"/>
      <c r="BN68" s="347"/>
      <c r="BO68" s="347"/>
      <c r="BP68" s="317">
        <v>0</v>
      </c>
      <c r="BQ68" s="363"/>
      <c r="BR68" s="317"/>
      <c r="BS68" s="347"/>
      <c r="BT68" s="347"/>
      <c r="BU68" s="317">
        <v>-1100672</v>
      </c>
      <c r="BV68" s="317"/>
      <c r="BW68" s="347"/>
      <c r="BX68" s="347"/>
      <c r="BY68" s="369">
        <v>-915497</v>
      </c>
      <c r="BZ68" s="363"/>
      <c r="CA68" s="317"/>
      <c r="CB68" s="347"/>
      <c r="CC68" s="347"/>
      <c r="CD68" s="390">
        <v>0</v>
      </c>
      <c r="CE68" s="393"/>
      <c r="CF68" s="390"/>
      <c r="CG68" s="391"/>
      <c r="CH68" s="391"/>
      <c r="CI68" s="317">
        <v>0</v>
      </c>
      <c r="CJ68" s="363"/>
      <c r="CK68" s="317"/>
      <c r="CL68" s="347"/>
      <c r="CM68" s="347"/>
      <c r="CN68" s="317">
        <v>-34139</v>
      </c>
      <c r="CO68" s="363"/>
      <c r="CP68" s="317"/>
      <c r="CQ68" s="347"/>
      <c r="CR68" s="347"/>
      <c r="CS68" s="317">
        <v>0</v>
      </c>
      <c r="CT68" s="363"/>
      <c r="CU68" s="317"/>
      <c r="CV68" s="347"/>
      <c r="CW68" s="347"/>
      <c r="CX68" s="317">
        <v>0</v>
      </c>
      <c r="CY68" s="363"/>
      <c r="CZ68" s="317"/>
      <c r="DA68" s="347"/>
      <c r="DB68" s="347"/>
      <c r="DC68" s="317">
        <v>-578417</v>
      </c>
      <c r="DD68" s="363"/>
      <c r="DE68" s="317"/>
      <c r="DF68" s="347"/>
      <c r="DG68" s="347"/>
      <c r="DH68" s="317">
        <v>0</v>
      </c>
      <c r="DI68" s="363"/>
      <c r="DJ68" s="317"/>
      <c r="DK68" s="347"/>
      <c r="DL68" s="347"/>
      <c r="DM68" s="317">
        <v>-266903</v>
      </c>
      <c r="DN68" s="363"/>
      <c r="DO68" s="317"/>
      <c r="DP68" s="347"/>
      <c r="DQ68" s="347"/>
      <c r="DR68" s="317">
        <v>0</v>
      </c>
      <c r="DS68" s="363"/>
      <c r="DT68" s="317"/>
      <c r="DU68" s="347"/>
      <c r="DV68" s="347"/>
      <c r="DW68" s="317">
        <v>0</v>
      </c>
      <c r="DX68" s="363"/>
      <c r="DY68" s="317"/>
      <c r="DZ68" s="347"/>
      <c r="EA68" s="347"/>
      <c r="EB68" s="317">
        <v>-14320</v>
      </c>
      <c r="EC68" s="363"/>
      <c r="ED68" s="317"/>
      <c r="EE68" s="347"/>
      <c r="EF68" s="347"/>
      <c r="EG68" s="317">
        <v>-21718</v>
      </c>
      <c r="EH68" s="363"/>
      <c r="EI68" s="317"/>
      <c r="EJ68" s="347"/>
      <c r="EK68" s="347"/>
      <c r="EL68" s="317">
        <v>-612556</v>
      </c>
      <c r="EM68" s="363"/>
      <c r="EN68" s="317"/>
      <c r="EO68" s="340"/>
      <c r="ER68" s="39"/>
      <c r="ES68" s="39"/>
      <c r="ET68" s="39"/>
    </row>
    <row r="69" spans="1:150" ht="12.75" customHeight="1" x14ac:dyDescent="0.2">
      <c r="A69" s="317"/>
      <c r="B69" s="317"/>
      <c r="C69" s="340" t="s">
        <v>171</v>
      </c>
      <c r="D69" s="317"/>
      <c r="E69" s="346"/>
      <c r="F69" s="375"/>
      <c r="G69" s="388"/>
      <c r="H69" s="374">
        <v>0</v>
      </c>
      <c r="I69" s="373"/>
      <c r="J69" s="317"/>
      <c r="K69" s="347"/>
      <c r="L69" s="371"/>
      <c r="M69" s="374">
        <v>-32836320.771990001</v>
      </c>
      <c r="N69" s="373"/>
      <c r="O69" s="317"/>
      <c r="P69" s="347"/>
      <c r="Q69" s="371"/>
      <c r="R69" s="374">
        <v>-5512617.4648199826</v>
      </c>
      <c r="S69" s="373"/>
      <c r="T69" s="317"/>
      <c r="U69" s="347"/>
      <c r="V69" s="371"/>
      <c r="W69" s="374">
        <v>3578503.2416499853</v>
      </c>
      <c r="X69" s="373"/>
      <c r="Y69" s="317"/>
      <c r="Z69" s="347"/>
      <c r="AA69" s="371"/>
      <c r="AB69" s="374">
        <v>-7197008.0788299739</v>
      </c>
      <c r="AC69" s="373"/>
      <c r="AD69" s="317"/>
      <c r="AE69" s="347"/>
      <c r="AF69" s="371"/>
      <c r="AG69" s="374">
        <v>5587438.3340399861</v>
      </c>
      <c r="AH69" s="373"/>
      <c r="AI69" s="317"/>
      <c r="AJ69" s="347"/>
      <c r="AK69" s="371"/>
      <c r="AL69" s="374">
        <v>-1570242.0785700083</v>
      </c>
      <c r="AM69" s="373"/>
      <c r="AN69" s="317"/>
      <c r="AO69" s="347"/>
      <c r="AP69" s="371"/>
      <c r="AQ69" s="374">
        <v>-6134755.2017400116</v>
      </c>
      <c r="AR69" s="373"/>
      <c r="AS69" s="317"/>
      <c r="AT69" s="347"/>
      <c r="AU69" s="371"/>
      <c r="AV69" s="374">
        <v>0</v>
      </c>
      <c r="AW69" s="373"/>
      <c r="AX69" s="317"/>
      <c r="AY69" s="347"/>
      <c r="AZ69" s="371"/>
      <c r="BA69" s="374">
        <v>0</v>
      </c>
      <c r="BB69" s="373"/>
      <c r="BC69" s="317"/>
      <c r="BD69" s="347"/>
      <c r="BE69" s="371"/>
      <c r="BF69" s="374">
        <v>0</v>
      </c>
      <c r="BG69" s="373"/>
      <c r="BH69" s="317"/>
      <c r="BI69" s="347"/>
      <c r="BJ69" s="371"/>
      <c r="BK69" s="374">
        <v>0</v>
      </c>
      <c r="BL69" s="373"/>
      <c r="BM69" s="317"/>
      <c r="BN69" s="347"/>
      <c r="BO69" s="371"/>
      <c r="BP69" s="374">
        <v>0</v>
      </c>
      <c r="BQ69" s="373"/>
      <c r="BR69" s="317"/>
      <c r="BS69" s="347"/>
      <c r="BT69" s="371"/>
      <c r="BU69" s="374">
        <v>-44085002.020260006</v>
      </c>
      <c r="BV69" s="374"/>
      <c r="BW69" s="347"/>
      <c r="BX69" s="371"/>
      <c r="BY69" s="372">
        <v>1064259.7532298565</v>
      </c>
      <c r="BZ69" s="373"/>
      <c r="CA69" s="317"/>
      <c r="CB69" s="347"/>
      <c r="CC69" s="371"/>
      <c r="CD69" s="374">
        <v>5906544.219140023</v>
      </c>
      <c r="CE69" s="373"/>
      <c r="CF69" s="317"/>
      <c r="CG69" s="347"/>
      <c r="CH69" s="371"/>
      <c r="CI69" s="374">
        <v>-12483950.991829976</v>
      </c>
      <c r="CJ69" s="373"/>
      <c r="CK69" s="317"/>
      <c r="CL69" s="347"/>
      <c r="CM69" s="371"/>
      <c r="CN69" s="374">
        <v>3209022.3661100268</v>
      </c>
      <c r="CO69" s="373"/>
      <c r="CP69" s="317"/>
      <c r="CQ69" s="347"/>
      <c r="CR69" s="371"/>
      <c r="CS69" s="374">
        <v>-6553094.9010600448</v>
      </c>
      <c r="CT69" s="373"/>
      <c r="CU69" s="317"/>
      <c r="CV69" s="347"/>
      <c r="CW69" s="371"/>
      <c r="CX69" s="374">
        <v>-2782867.0139960051</v>
      </c>
      <c r="CY69" s="373"/>
      <c r="CZ69" s="317"/>
      <c r="DA69" s="347"/>
      <c r="DB69" s="371"/>
      <c r="DC69" s="374">
        <v>8997817.3801300079</v>
      </c>
      <c r="DD69" s="373"/>
      <c r="DE69" s="317"/>
      <c r="DF69" s="347"/>
      <c r="DG69" s="371"/>
      <c r="DH69" s="374">
        <v>-1449789.4983399957</v>
      </c>
      <c r="DI69" s="373"/>
      <c r="DJ69" s="317"/>
      <c r="DK69" s="347"/>
      <c r="DL69" s="371"/>
      <c r="DM69" s="374">
        <v>10616591.319769949</v>
      </c>
      <c r="DN69" s="373"/>
      <c r="DO69" s="317"/>
      <c r="DP69" s="347"/>
      <c r="DQ69" s="371"/>
      <c r="DR69" s="374">
        <v>383769.56102001667</v>
      </c>
      <c r="DS69" s="373"/>
      <c r="DT69" s="317"/>
      <c r="DU69" s="347"/>
      <c r="DV69" s="371"/>
      <c r="DW69" s="374">
        <v>4427766.5460499972</v>
      </c>
      <c r="DX69" s="373"/>
      <c r="DY69" s="317"/>
      <c r="DZ69" s="347"/>
      <c r="EA69" s="371"/>
      <c r="EB69" s="374">
        <v>-19891534.173719943</v>
      </c>
      <c r="EC69" s="373"/>
      <c r="ED69" s="317"/>
      <c r="EE69" s="347"/>
      <c r="EF69" s="371"/>
      <c r="EG69" s="374">
        <v>16555653.150080025</v>
      </c>
      <c r="EH69" s="373"/>
      <c r="EI69" s="317"/>
      <c r="EJ69" s="347"/>
      <c r="EK69" s="371"/>
      <c r="EL69" s="374">
        <v>-5156318.4398459643</v>
      </c>
      <c r="EM69" s="373"/>
      <c r="EN69" s="317"/>
      <c r="EO69" s="340"/>
      <c r="ER69" s="39"/>
      <c r="ES69" s="39"/>
      <c r="ET69" s="39"/>
    </row>
    <row r="70" spans="1:150" x14ac:dyDescent="0.2">
      <c r="A70" s="317"/>
      <c r="B70" s="317"/>
      <c r="C70" s="340"/>
      <c r="D70" s="317"/>
      <c r="E70" s="346"/>
      <c r="F70" s="375"/>
      <c r="G70" s="376"/>
      <c r="H70" s="317"/>
      <c r="I70" s="317"/>
      <c r="J70" s="317"/>
      <c r="K70" s="347"/>
      <c r="L70" s="317"/>
      <c r="M70" s="317"/>
      <c r="N70" s="317"/>
      <c r="O70" s="317"/>
      <c r="P70" s="347"/>
      <c r="Q70" s="317"/>
      <c r="R70" s="317"/>
      <c r="S70" s="317"/>
      <c r="T70" s="317"/>
      <c r="U70" s="347"/>
      <c r="V70" s="317"/>
      <c r="W70" s="317"/>
      <c r="X70" s="317"/>
      <c r="Y70" s="317"/>
      <c r="Z70" s="347"/>
      <c r="AA70" s="317"/>
      <c r="AB70" s="317"/>
      <c r="AC70" s="317"/>
      <c r="AD70" s="317"/>
      <c r="AE70" s="347"/>
      <c r="AF70" s="317"/>
      <c r="AG70" s="317"/>
      <c r="AH70" s="317"/>
      <c r="AI70" s="317"/>
      <c r="AJ70" s="347"/>
      <c r="AK70" s="317"/>
      <c r="AL70" s="317"/>
      <c r="AM70" s="317"/>
      <c r="AN70" s="317"/>
      <c r="AO70" s="347"/>
      <c r="AP70" s="317"/>
      <c r="AQ70" s="317"/>
      <c r="AR70" s="317"/>
      <c r="AS70" s="317"/>
      <c r="AT70" s="347"/>
      <c r="AU70" s="317"/>
      <c r="AV70" s="317"/>
      <c r="AW70" s="317"/>
      <c r="AX70" s="317"/>
      <c r="AY70" s="347"/>
      <c r="AZ70" s="317"/>
      <c r="BA70" s="317"/>
      <c r="BB70" s="317"/>
      <c r="BC70" s="317"/>
      <c r="BD70" s="347"/>
      <c r="BE70" s="317"/>
      <c r="BF70" s="317"/>
      <c r="BG70" s="317"/>
      <c r="BH70" s="317"/>
      <c r="BI70" s="347"/>
      <c r="BJ70" s="317"/>
      <c r="BK70" s="317"/>
      <c r="BL70" s="317"/>
      <c r="BM70" s="317"/>
      <c r="BN70" s="347"/>
      <c r="BO70" s="317"/>
      <c r="BP70" s="317"/>
      <c r="BQ70" s="317"/>
      <c r="BR70" s="317"/>
      <c r="BS70" s="347"/>
      <c r="BT70" s="317"/>
      <c r="BU70" s="317"/>
      <c r="BV70" s="317"/>
      <c r="BW70" s="347"/>
      <c r="BX70" s="317"/>
      <c r="BY70" s="369"/>
      <c r="BZ70" s="317"/>
      <c r="CA70" s="317"/>
      <c r="CB70" s="347"/>
      <c r="CC70" s="317"/>
      <c r="CD70" s="317"/>
      <c r="CE70" s="317"/>
      <c r="CF70" s="317"/>
      <c r="CG70" s="347"/>
      <c r="CH70" s="317"/>
      <c r="CI70" s="317"/>
      <c r="CJ70" s="317"/>
      <c r="CK70" s="317"/>
      <c r="CL70" s="347"/>
      <c r="CM70" s="317"/>
      <c r="CN70" s="317"/>
      <c r="CO70" s="317"/>
      <c r="CP70" s="317"/>
      <c r="CQ70" s="347"/>
      <c r="CR70" s="317"/>
      <c r="CS70" s="317"/>
      <c r="CT70" s="317"/>
      <c r="CU70" s="317"/>
      <c r="CV70" s="347"/>
      <c r="CW70" s="317"/>
      <c r="CX70" s="317"/>
      <c r="CY70" s="317"/>
      <c r="CZ70" s="317"/>
      <c r="DA70" s="347"/>
      <c r="DB70" s="317"/>
      <c r="DC70" s="317"/>
      <c r="DD70" s="317"/>
      <c r="DE70" s="317"/>
      <c r="DF70" s="347"/>
      <c r="DG70" s="317"/>
      <c r="DH70" s="317"/>
      <c r="DI70" s="317"/>
      <c r="DJ70" s="317"/>
      <c r="DK70" s="347"/>
      <c r="DL70" s="317"/>
      <c r="DM70" s="317"/>
      <c r="DN70" s="317"/>
      <c r="DO70" s="317"/>
      <c r="DP70" s="347"/>
      <c r="DQ70" s="317"/>
      <c r="DR70" s="317"/>
      <c r="DS70" s="317"/>
      <c r="DT70" s="317"/>
      <c r="DU70" s="347"/>
      <c r="DV70" s="317"/>
      <c r="DW70" s="317"/>
      <c r="DX70" s="317"/>
      <c r="DY70" s="317"/>
      <c r="DZ70" s="347"/>
      <c r="EA70" s="317"/>
      <c r="EB70" s="317"/>
      <c r="EC70" s="317"/>
      <c r="ED70" s="317"/>
      <c r="EE70" s="347"/>
      <c r="EF70" s="317"/>
      <c r="EG70" s="317"/>
      <c r="EH70" s="317"/>
      <c r="EI70" s="317"/>
      <c r="EJ70" s="347"/>
      <c r="EK70" s="317"/>
      <c r="EL70" s="317"/>
      <c r="EM70" s="317"/>
      <c r="EN70" s="317"/>
      <c r="EO70" s="340"/>
      <c r="ER70" s="39"/>
      <c r="ES70" s="39"/>
      <c r="ET70" s="39"/>
    </row>
    <row r="71" spans="1:150" s="39" customFormat="1" x14ac:dyDescent="0.2">
      <c r="A71" s="329"/>
      <c r="B71" s="329"/>
      <c r="C71" s="394" t="s">
        <v>172</v>
      </c>
      <c r="D71" s="395"/>
      <c r="E71" s="349"/>
      <c r="F71" s="396"/>
      <c r="G71" s="397"/>
      <c r="H71" s="398">
        <v>323735701.13398695</v>
      </c>
      <c r="I71" s="398"/>
      <c r="J71" s="398"/>
      <c r="K71" s="399"/>
      <c r="L71" s="398"/>
      <c r="M71" s="398">
        <v>45209505.228009999</v>
      </c>
      <c r="N71" s="398"/>
      <c r="O71" s="398"/>
      <c r="P71" s="399"/>
      <c r="Q71" s="398"/>
      <c r="R71" s="398">
        <v>17130039.535180017</v>
      </c>
      <c r="S71" s="398"/>
      <c r="T71" s="398"/>
      <c r="U71" s="399"/>
      <c r="V71" s="398"/>
      <c r="W71" s="398">
        <v>-73838288.758350015</v>
      </c>
      <c r="X71" s="398"/>
      <c r="Y71" s="398"/>
      <c r="Z71" s="399"/>
      <c r="AA71" s="398"/>
      <c r="AB71" s="398">
        <v>129522787.92117003</v>
      </c>
      <c r="AC71" s="398"/>
      <c r="AD71" s="398"/>
      <c r="AE71" s="399"/>
      <c r="AF71" s="398"/>
      <c r="AG71" s="398">
        <v>42665317.334039986</v>
      </c>
      <c r="AH71" s="398"/>
      <c r="AI71" s="398"/>
      <c r="AJ71" s="399"/>
      <c r="AK71" s="398"/>
      <c r="AL71" s="398">
        <v>3292694.9214299917</v>
      </c>
      <c r="AM71" s="398"/>
      <c r="AN71" s="398"/>
      <c r="AO71" s="399"/>
      <c r="AP71" s="398"/>
      <c r="AQ71" s="398">
        <v>40564982.798259988</v>
      </c>
      <c r="AR71" s="398"/>
      <c r="AS71" s="398"/>
      <c r="AT71" s="399"/>
      <c r="AU71" s="398"/>
      <c r="AV71" s="398">
        <v>311428125</v>
      </c>
      <c r="AW71" s="398"/>
      <c r="AX71" s="398"/>
      <c r="AY71" s="399"/>
      <c r="AZ71" s="398"/>
      <c r="BA71" s="398">
        <v>0</v>
      </c>
      <c r="BB71" s="398"/>
      <c r="BC71" s="398"/>
      <c r="BD71" s="399"/>
      <c r="BE71" s="398"/>
      <c r="BF71" s="398">
        <v>0</v>
      </c>
      <c r="BG71" s="398"/>
      <c r="BH71" s="398"/>
      <c r="BI71" s="399"/>
      <c r="BJ71" s="398"/>
      <c r="BK71" s="398">
        <v>0</v>
      </c>
      <c r="BL71" s="398"/>
      <c r="BM71" s="398"/>
      <c r="BN71" s="399"/>
      <c r="BO71" s="398"/>
      <c r="BP71" s="398">
        <v>0</v>
      </c>
      <c r="BQ71" s="398"/>
      <c r="BR71" s="398"/>
      <c r="BS71" s="399"/>
      <c r="BT71" s="398"/>
      <c r="BU71" s="398">
        <v>204547038.97973999</v>
      </c>
      <c r="BV71" s="398"/>
      <c r="BW71" s="399"/>
      <c r="BX71" s="398"/>
      <c r="BY71" s="400">
        <v>323134461.71103001</v>
      </c>
      <c r="BZ71" s="398"/>
      <c r="CA71" s="398"/>
      <c r="CB71" s="399"/>
      <c r="CC71" s="398"/>
      <c r="CD71" s="398">
        <v>80363106.219140023</v>
      </c>
      <c r="CE71" s="398"/>
      <c r="CF71" s="395"/>
      <c r="CG71" s="399"/>
      <c r="CH71" s="398"/>
      <c r="CI71" s="398">
        <v>5443714.0081700236</v>
      </c>
      <c r="CJ71" s="398"/>
      <c r="CK71" s="398"/>
      <c r="CL71" s="399"/>
      <c r="CM71" s="398"/>
      <c r="CN71" s="398">
        <v>-63147812.633889973</v>
      </c>
      <c r="CO71" s="398"/>
      <c r="CP71" s="398"/>
      <c r="CQ71" s="399"/>
      <c r="CR71" s="398"/>
      <c r="CS71" s="398">
        <v>133237815.09893996</v>
      </c>
      <c r="CT71" s="398"/>
      <c r="CU71" s="398"/>
      <c r="CV71" s="399"/>
      <c r="CW71" s="398"/>
      <c r="CX71" s="398">
        <v>39271319.986003995</v>
      </c>
      <c r="CY71" s="398"/>
      <c r="CZ71" s="398"/>
      <c r="DA71" s="399"/>
      <c r="DB71" s="398"/>
      <c r="DC71" s="398">
        <v>7282332.3801300079</v>
      </c>
      <c r="DD71" s="398"/>
      <c r="DE71" s="398"/>
      <c r="DF71" s="399"/>
      <c r="DG71" s="398"/>
      <c r="DH71" s="398">
        <v>36796929.501660004</v>
      </c>
      <c r="DI71" s="398"/>
      <c r="DJ71" s="398"/>
      <c r="DK71" s="399"/>
      <c r="DL71" s="398"/>
      <c r="DM71" s="398">
        <v>21781581.319769949</v>
      </c>
      <c r="DN71" s="398"/>
      <c r="DO71" s="398"/>
      <c r="DP71" s="399"/>
      <c r="DQ71" s="398"/>
      <c r="DR71" s="398">
        <v>-41889213.438979983</v>
      </c>
      <c r="DS71" s="398"/>
      <c r="DT71" s="398"/>
      <c r="DU71" s="399"/>
      <c r="DV71" s="398"/>
      <c r="DW71" s="398">
        <v>65925976.546049997</v>
      </c>
      <c r="DX71" s="398"/>
      <c r="DY71" s="398"/>
      <c r="DZ71" s="399"/>
      <c r="EA71" s="398"/>
      <c r="EB71" s="398">
        <v>3383581.8262800574</v>
      </c>
      <c r="EC71" s="398"/>
      <c r="ED71" s="398"/>
      <c r="EE71" s="399"/>
      <c r="EF71" s="398"/>
      <c r="EG71" s="398">
        <v>41621058.861110024</v>
      </c>
      <c r="EH71" s="398"/>
      <c r="EI71" s="398"/>
      <c r="EJ71" s="399"/>
      <c r="EK71" s="398"/>
      <c r="EL71" s="398">
        <v>239247404.56015402</v>
      </c>
      <c r="EM71" s="398"/>
      <c r="EN71" s="401"/>
      <c r="EO71" s="348"/>
      <c r="EP71" s="329"/>
    </row>
    <row r="72" spans="1:150" ht="15" customHeight="1" x14ac:dyDescent="0.2">
      <c r="A72" s="317"/>
      <c r="B72" s="317"/>
      <c r="C72" s="402"/>
      <c r="D72" s="403"/>
      <c r="E72" s="403"/>
      <c r="F72" s="403"/>
      <c r="G72" s="403"/>
      <c r="H72" s="403"/>
      <c r="I72" s="403"/>
      <c r="J72" s="403"/>
      <c r="K72" s="403"/>
      <c r="L72" s="403"/>
      <c r="M72" s="403"/>
      <c r="N72" s="403"/>
      <c r="O72" s="403"/>
      <c r="P72" s="403"/>
      <c r="Q72" s="403"/>
      <c r="R72" s="403"/>
      <c r="S72" s="403"/>
      <c r="T72" s="403"/>
      <c r="U72" s="403"/>
      <c r="V72" s="403"/>
      <c r="W72" s="403"/>
      <c r="X72" s="403"/>
      <c r="Y72" s="403"/>
      <c r="Z72" s="403"/>
      <c r="AA72" s="403"/>
      <c r="AB72" s="403"/>
      <c r="AC72" s="403"/>
      <c r="AD72" s="403"/>
      <c r="AE72" s="403"/>
      <c r="AF72" s="403"/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3"/>
      <c r="AZ72" s="403"/>
      <c r="BA72" s="403"/>
      <c r="BB72" s="403"/>
      <c r="BC72" s="403"/>
      <c r="BD72" s="403"/>
      <c r="BE72" s="403"/>
      <c r="BF72" s="403"/>
      <c r="BG72" s="403"/>
      <c r="BH72" s="403"/>
      <c r="BI72" s="403"/>
      <c r="BJ72" s="403"/>
      <c r="BK72" s="403"/>
      <c r="BL72" s="403"/>
      <c r="BM72" s="403"/>
      <c r="BN72" s="403"/>
      <c r="BO72" s="403"/>
      <c r="BP72" s="403"/>
      <c r="BQ72" s="403"/>
      <c r="BR72" s="403"/>
      <c r="BS72" s="403"/>
      <c r="BT72" s="403"/>
      <c r="BU72" s="403"/>
      <c r="BV72" s="403"/>
      <c r="BW72" s="403"/>
      <c r="BX72" s="403"/>
      <c r="BY72" s="403"/>
      <c r="BZ72" s="403"/>
      <c r="CA72" s="403"/>
      <c r="CB72" s="403"/>
      <c r="CC72" s="403"/>
      <c r="CD72" s="403"/>
      <c r="CE72" s="403"/>
      <c r="CF72" s="403"/>
      <c r="CG72" s="403"/>
      <c r="CH72" s="403"/>
      <c r="CI72" s="403"/>
      <c r="CJ72" s="403"/>
      <c r="CK72" s="403"/>
      <c r="CL72" s="403"/>
      <c r="CM72" s="403"/>
      <c r="CN72" s="403"/>
      <c r="CO72" s="403"/>
      <c r="CP72" s="403"/>
      <c r="CQ72" s="403"/>
      <c r="CR72" s="403"/>
      <c r="CS72" s="403"/>
      <c r="CT72" s="403"/>
      <c r="CU72" s="403"/>
      <c r="CV72" s="403"/>
      <c r="CW72" s="403"/>
      <c r="CX72" s="403"/>
      <c r="CY72" s="403"/>
      <c r="CZ72" s="403"/>
      <c r="DA72" s="403"/>
      <c r="DB72" s="403"/>
      <c r="DC72" s="403"/>
      <c r="DD72" s="403"/>
      <c r="DE72" s="403"/>
      <c r="DF72" s="403"/>
      <c r="DG72" s="403"/>
      <c r="DH72" s="403"/>
      <c r="DI72" s="403"/>
      <c r="DJ72" s="403"/>
      <c r="DK72" s="403"/>
      <c r="DL72" s="403"/>
      <c r="DM72" s="403"/>
      <c r="DN72" s="403"/>
      <c r="DO72" s="403"/>
      <c r="DP72" s="403"/>
      <c r="DQ72" s="403"/>
      <c r="DR72" s="403"/>
      <c r="DS72" s="403"/>
      <c r="DT72" s="403"/>
      <c r="DU72" s="403"/>
      <c r="DV72" s="403"/>
      <c r="DW72" s="403"/>
      <c r="DX72" s="403"/>
      <c r="DY72" s="403"/>
      <c r="DZ72" s="403"/>
      <c r="EA72" s="403"/>
      <c r="EB72" s="403"/>
      <c r="EC72" s="403"/>
      <c r="ED72" s="403"/>
      <c r="EE72" s="403"/>
      <c r="EF72" s="403"/>
      <c r="EG72" s="403"/>
      <c r="EH72" s="403"/>
      <c r="EI72" s="403"/>
      <c r="EJ72" s="403"/>
      <c r="EK72" s="403"/>
      <c r="EL72" s="403"/>
      <c r="EM72" s="403"/>
      <c r="EN72" s="403"/>
      <c r="EO72" s="317"/>
      <c r="ES72" s="39"/>
    </row>
    <row r="73" spans="1:150" x14ac:dyDescent="0.2">
      <c r="A73" s="317"/>
      <c r="B73" s="317"/>
      <c r="C73" s="317"/>
      <c r="D73" s="317"/>
      <c r="E73" s="317"/>
      <c r="F73" s="317"/>
      <c r="G73" s="317"/>
      <c r="H73" s="317"/>
      <c r="I73" s="317"/>
      <c r="J73" s="317"/>
      <c r="K73" s="317"/>
      <c r="L73" s="317"/>
      <c r="M73" s="317"/>
      <c r="N73" s="317"/>
      <c r="O73" s="317"/>
      <c r="P73" s="317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7"/>
      <c r="AD73" s="317"/>
      <c r="AE73" s="317"/>
      <c r="AF73" s="317"/>
      <c r="AG73" s="317"/>
      <c r="AH73" s="317"/>
      <c r="AI73" s="317"/>
      <c r="AJ73" s="317"/>
      <c r="AK73" s="317"/>
      <c r="AL73" s="317"/>
      <c r="AM73" s="317"/>
      <c r="AN73" s="317"/>
      <c r="AO73" s="317"/>
      <c r="AP73" s="317"/>
      <c r="AQ73" s="317"/>
      <c r="AR73" s="317"/>
      <c r="AS73" s="317"/>
      <c r="AT73" s="317"/>
      <c r="AU73" s="317"/>
      <c r="AV73" s="317"/>
      <c r="AW73" s="317"/>
      <c r="AX73" s="317"/>
      <c r="AY73" s="317"/>
      <c r="AZ73" s="317"/>
      <c r="BA73" s="317"/>
      <c r="BB73" s="317"/>
      <c r="BC73" s="317"/>
      <c r="BD73" s="317"/>
      <c r="BE73" s="317"/>
      <c r="BF73" s="317"/>
      <c r="BG73" s="317"/>
      <c r="BH73" s="317"/>
      <c r="BI73" s="317"/>
      <c r="BJ73" s="317"/>
      <c r="BK73" s="317"/>
      <c r="BL73" s="317"/>
      <c r="BM73" s="317"/>
      <c r="BN73" s="317"/>
      <c r="BO73" s="317"/>
      <c r="BP73" s="317"/>
      <c r="BQ73" s="317"/>
      <c r="BR73" s="317"/>
      <c r="BS73" s="317"/>
      <c r="BT73" s="317"/>
      <c r="BU73" s="317"/>
      <c r="BV73" s="317"/>
      <c r="BW73" s="317"/>
      <c r="BX73" s="317"/>
      <c r="BY73" s="317"/>
      <c r="BZ73" s="317"/>
      <c r="CA73" s="317"/>
      <c r="CB73" s="317"/>
      <c r="CC73" s="317"/>
      <c r="CD73" s="317"/>
      <c r="CE73" s="317"/>
      <c r="CF73" s="317"/>
      <c r="CG73" s="317"/>
      <c r="CH73" s="317"/>
      <c r="CI73" s="317"/>
      <c r="CJ73" s="317"/>
      <c r="CK73" s="317"/>
      <c r="CL73" s="317"/>
      <c r="CM73" s="317"/>
      <c r="CN73" s="317"/>
      <c r="CO73" s="317"/>
      <c r="CP73" s="317"/>
      <c r="CQ73" s="317"/>
      <c r="CR73" s="317"/>
      <c r="CS73" s="317"/>
      <c r="CT73" s="317"/>
      <c r="CU73" s="317"/>
      <c r="CV73" s="317"/>
      <c r="CW73" s="317"/>
      <c r="CX73" s="317"/>
      <c r="CY73" s="317"/>
      <c r="CZ73" s="317"/>
      <c r="DA73" s="317"/>
      <c r="DB73" s="317"/>
      <c r="DC73" s="317"/>
      <c r="DD73" s="317"/>
      <c r="DE73" s="317"/>
      <c r="DF73" s="317"/>
      <c r="DG73" s="317"/>
      <c r="DH73" s="317"/>
      <c r="DI73" s="317"/>
      <c r="DJ73" s="317"/>
      <c r="DK73" s="317"/>
      <c r="DL73" s="317"/>
      <c r="DM73" s="317"/>
      <c r="DN73" s="317"/>
      <c r="DO73" s="317"/>
      <c r="DP73" s="317"/>
      <c r="DQ73" s="317"/>
      <c r="DR73" s="317"/>
      <c r="DS73" s="317"/>
      <c r="DT73" s="317"/>
      <c r="DU73" s="317"/>
      <c r="DV73" s="317"/>
      <c r="DW73" s="317"/>
      <c r="DX73" s="317"/>
      <c r="DY73" s="317"/>
      <c r="DZ73" s="317"/>
      <c r="EA73" s="317"/>
      <c r="EB73" s="317"/>
      <c r="EC73" s="317"/>
      <c r="ED73" s="317"/>
      <c r="EE73" s="317"/>
      <c r="EF73" s="317"/>
      <c r="EG73" s="317"/>
      <c r="EH73" s="317"/>
      <c r="EI73" s="317"/>
      <c r="EJ73" s="317"/>
      <c r="EK73" s="317"/>
      <c r="EL73" s="317"/>
      <c r="EM73" s="317"/>
      <c r="EN73" s="317"/>
      <c r="EO73" s="317"/>
    </row>
    <row r="74" spans="1:150" ht="15" customHeight="1" x14ac:dyDescent="0.2"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317"/>
      <c r="EF74" s="317"/>
      <c r="EG74" s="317"/>
      <c r="EH74" s="317"/>
      <c r="EI74" s="317"/>
      <c r="EJ74" s="317"/>
      <c r="EK74" s="317"/>
      <c r="EL74" s="317"/>
      <c r="EM74" s="317"/>
      <c r="EN74" s="317"/>
      <c r="EO74" s="317"/>
    </row>
    <row r="75" spans="1:150" s="404" customFormat="1" ht="15" hidden="1" customHeight="1" x14ac:dyDescent="0.2">
      <c r="B75" s="405"/>
      <c r="D75" s="406"/>
      <c r="E75" s="405"/>
      <c r="F75" s="405"/>
      <c r="G75" s="405"/>
      <c r="H75" s="405"/>
      <c r="I75" s="405"/>
      <c r="J75" s="405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  <c r="AB75" s="405"/>
      <c r="AC75" s="405"/>
      <c r="AD75" s="405"/>
      <c r="AE75" s="405"/>
      <c r="AF75" s="405"/>
      <c r="AG75" s="405"/>
      <c r="AH75" s="405"/>
      <c r="AI75" s="405"/>
      <c r="AJ75" s="405"/>
      <c r="AK75" s="405"/>
      <c r="AL75" s="318"/>
      <c r="AM75" s="405"/>
      <c r="AN75" s="405"/>
      <c r="AO75" s="405"/>
      <c r="AP75" s="405"/>
      <c r="AQ75" s="405"/>
      <c r="AR75" s="405"/>
      <c r="AS75" s="405"/>
      <c r="AT75" s="405"/>
      <c r="AU75" s="405"/>
      <c r="AV75" s="405"/>
      <c r="AW75" s="405"/>
      <c r="AX75" s="405"/>
      <c r="AY75" s="405"/>
      <c r="AZ75" s="405"/>
      <c r="BA75" s="405"/>
      <c r="BB75" s="405"/>
      <c r="BC75" s="405"/>
      <c r="BD75" s="405"/>
      <c r="BE75" s="405"/>
      <c r="BF75" s="405"/>
      <c r="BG75" s="405"/>
      <c r="BH75" s="405"/>
      <c r="BI75" s="405"/>
      <c r="BJ75" s="405"/>
      <c r="BK75" s="405"/>
      <c r="BL75" s="405"/>
      <c r="BM75" s="405"/>
      <c r="BN75" s="405"/>
      <c r="BO75" s="405"/>
      <c r="BP75" s="405"/>
      <c r="BQ75" s="405"/>
      <c r="BR75" s="405"/>
      <c r="BS75" s="405"/>
      <c r="BT75" s="405"/>
      <c r="BU75" s="405"/>
      <c r="BV75" s="405"/>
      <c r="BW75" s="405"/>
      <c r="BX75" s="405"/>
      <c r="BY75" s="405"/>
      <c r="BZ75" s="405"/>
      <c r="CA75" s="405"/>
      <c r="CB75" s="405"/>
      <c r="CC75" s="405"/>
      <c r="CD75" s="405"/>
      <c r="CE75" s="405"/>
      <c r="CF75" s="405"/>
      <c r="CG75" s="405"/>
      <c r="CH75" s="405"/>
      <c r="CI75" s="405"/>
      <c r="CJ75" s="405"/>
      <c r="CK75" s="405"/>
      <c r="CL75" s="405"/>
      <c r="CM75" s="405"/>
      <c r="CN75" s="405"/>
      <c r="CO75" s="405"/>
      <c r="CP75" s="405"/>
      <c r="CQ75" s="405"/>
      <c r="CR75" s="405"/>
      <c r="CS75" s="405"/>
      <c r="CT75" s="405"/>
      <c r="CU75" s="405"/>
      <c r="CV75" s="405"/>
      <c r="CW75" s="405"/>
      <c r="CX75" s="405"/>
      <c r="CY75" s="405"/>
      <c r="CZ75" s="405"/>
      <c r="DA75" s="405"/>
      <c r="DB75" s="405"/>
      <c r="DC75" s="405"/>
      <c r="DD75" s="405"/>
      <c r="DE75" s="405"/>
      <c r="DF75" s="405"/>
      <c r="DG75" s="405"/>
      <c r="DH75" s="405"/>
      <c r="DI75" s="405"/>
      <c r="DJ75" s="405"/>
      <c r="DK75" s="405"/>
      <c r="DL75" s="405"/>
      <c r="DM75" s="405"/>
      <c r="DN75" s="405"/>
      <c r="DO75" s="405"/>
      <c r="DP75" s="405"/>
      <c r="DQ75" s="405"/>
      <c r="DR75" s="405"/>
      <c r="DS75" s="405"/>
      <c r="DT75" s="405"/>
      <c r="DU75" s="405"/>
      <c r="DV75" s="405"/>
      <c r="DW75" s="405"/>
      <c r="DX75" s="405"/>
      <c r="DY75" s="405"/>
      <c r="DZ75" s="405"/>
      <c r="EA75" s="405"/>
      <c r="EB75" s="405"/>
      <c r="EC75" s="405"/>
      <c r="ED75" s="405"/>
      <c r="EE75" s="405"/>
      <c r="EF75" s="405"/>
      <c r="EG75" s="405"/>
      <c r="EH75" s="405"/>
      <c r="EI75" s="405"/>
      <c r="EJ75" s="405"/>
      <c r="EK75" s="405"/>
      <c r="EL75" s="405"/>
      <c r="EM75" s="405"/>
      <c r="EN75" s="405"/>
      <c r="EO75" s="405"/>
      <c r="EP75" s="405"/>
    </row>
    <row r="76" spans="1:150" s="404" customFormat="1" ht="15" hidden="1" customHeight="1" x14ac:dyDescent="0.2">
      <c r="B76" s="405"/>
      <c r="C76" s="407"/>
      <c r="D76" s="406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  <c r="AB76" s="405"/>
      <c r="AC76" s="405"/>
      <c r="AD76" s="405"/>
      <c r="AE76" s="405"/>
      <c r="AF76" s="405"/>
      <c r="AG76" s="405"/>
      <c r="AH76" s="405"/>
      <c r="AI76" s="405"/>
      <c r="AJ76" s="405"/>
      <c r="AK76" s="405"/>
      <c r="AL76" s="405"/>
      <c r="AM76" s="405"/>
      <c r="AN76" s="405"/>
      <c r="AO76" s="405"/>
      <c r="AP76" s="405"/>
      <c r="AQ76" s="405"/>
      <c r="AR76" s="405"/>
      <c r="AS76" s="405"/>
      <c r="AT76" s="405"/>
      <c r="AU76" s="405"/>
      <c r="AV76" s="405"/>
      <c r="AW76" s="405"/>
      <c r="AX76" s="405"/>
      <c r="AY76" s="405"/>
      <c r="AZ76" s="405"/>
      <c r="BA76" s="405"/>
      <c r="BB76" s="405"/>
      <c r="BC76" s="405"/>
      <c r="BD76" s="405"/>
      <c r="BE76" s="405"/>
      <c r="BF76" s="405"/>
      <c r="BG76" s="405"/>
      <c r="BH76" s="405"/>
      <c r="BI76" s="405"/>
      <c r="BJ76" s="405"/>
      <c r="BK76" s="405"/>
      <c r="BL76" s="405"/>
      <c r="BM76" s="405"/>
      <c r="BN76" s="405"/>
      <c r="BO76" s="405"/>
      <c r="BP76" s="405"/>
      <c r="BQ76" s="405"/>
      <c r="BR76" s="405"/>
      <c r="BS76" s="405"/>
      <c r="BT76" s="405"/>
      <c r="BU76" s="405"/>
      <c r="BV76" s="405"/>
      <c r="BW76" s="405"/>
      <c r="BX76" s="405"/>
      <c r="BY76" s="405"/>
      <c r="BZ76" s="405"/>
      <c r="CA76" s="405"/>
      <c r="CB76" s="405"/>
      <c r="CC76" s="405"/>
      <c r="CD76" s="405"/>
      <c r="CE76" s="405"/>
      <c r="CF76" s="405"/>
      <c r="CG76" s="405"/>
      <c r="CH76" s="405"/>
      <c r="CI76" s="405"/>
      <c r="CJ76" s="405"/>
      <c r="CK76" s="405"/>
      <c r="CL76" s="405"/>
      <c r="CM76" s="405"/>
      <c r="CN76" s="405"/>
      <c r="CO76" s="405"/>
      <c r="CP76" s="405"/>
      <c r="CQ76" s="405"/>
      <c r="CR76" s="405"/>
      <c r="CS76" s="405"/>
      <c r="CT76" s="405"/>
      <c r="CU76" s="405"/>
      <c r="CV76" s="405"/>
      <c r="CW76" s="405"/>
      <c r="CX76" s="405"/>
      <c r="CY76" s="405"/>
      <c r="CZ76" s="405"/>
      <c r="DA76" s="405"/>
      <c r="DB76" s="405"/>
      <c r="DC76" s="405"/>
      <c r="DD76" s="405"/>
      <c r="DE76" s="405"/>
      <c r="DF76" s="405"/>
      <c r="DG76" s="405"/>
      <c r="DH76" s="405"/>
      <c r="DI76" s="405"/>
      <c r="DJ76" s="405"/>
      <c r="DK76" s="405"/>
      <c r="DL76" s="405"/>
      <c r="DM76" s="405"/>
      <c r="DN76" s="405"/>
      <c r="DO76" s="405"/>
      <c r="DP76" s="405"/>
      <c r="DQ76" s="405"/>
      <c r="DR76" s="405"/>
      <c r="DS76" s="405"/>
      <c r="DT76" s="405"/>
      <c r="DU76" s="405"/>
      <c r="DV76" s="405"/>
      <c r="DW76" s="405"/>
      <c r="DX76" s="405"/>
      <c r="DY76" s="405"/>
      <c r="DZ76" s="405"/>
      <c r="EA76" s="405"/>
      <c r="EB76" s="405"/>
      <c r="EC76" s="405"/>
      <c r="ED76" s="405"/>
      <c r="EE76" s="405"/>
      <c r="EF76" s="405"/>
      <c r="EG76" s="405"/>
      <c r="EH76" s="405"/>
      <c r="EI76" s="405"/>
      <c r="EJ76" s="405"/>
      <c r="EK76" s="405"/>
      <c r="EL76" s="405"/>
      <c r="EM76" s="405"/>
      <c r="EN76" s="405"/>
      <c r="EO76" s="405"/>
      <c r="EP76" s="405"/>
    </row>
    <row r="77" spans="1:150" ht="15" hidden="1" customHeight="1" x14ac:dyDescent="0.2">
      <c r="B77" s="317"/>
      <c r="C77" s="317"/>
      <c r="D77" s="317"/>
      <c r="E77" s="317"/>
      <c r="F77" s="317"/>
      <c r="G77" s="317"/>
      <c r="H77" s="317"/>
      <c r="I77" s="317"/>
      <c r="J77" s="317"/>
      <c r="K77" s="317"/>
      <c r="L77" s="317"/>
      <c r="M77" s="317">
        <v>-8385350</v>
      </c>
      <c r="N77" s="317">
        <v>0</v>
      </c>
      <c r="O77" s="317">
        <v>0</v>
      </c>
      <c r="P77" s="317">
        <v>0</v>
      </c>
      <c r="Q77" s="317">
        <v>0</v>
      </c>
      <c r="R77" s="317">
        <v>6068016</v>
      </c>
      <c r="S77" s="317">
        <v>0</v>
      </c>
      <c r="T77" s="317">
        <v>0</v>
      </c>
      <c r="U77" s="317">
        <v>0</v>
      </c>
      <c r="V77" s="317">
        <v>0</v>
      </c>
      <c r="W77" s="317">
        <v>-1784190</v>
      </c>
      <c r="X77" s="317">
        <v>0</v>
      </c>
      <c r="Y77" s="317">
        <v>0</v>
      </c>
      <c r="Z77" s="317">
        <v>0</v>
      </c>
      <c r="AA77" s="317">
        <v>0</v>
      </c>
      <c r="AB77" s="317">
        <v>9184869</v>
      </c>
      <c r="AC77" s="317">
        <v>0</v>
      </c>
      <c r="AD77" s="317">
        <v>0</v>
      </c>
      <c r="AE77" s="317">
        <v>0</v>
      </c>
      <c r="AF77" s="317">
        <v>0</v>
      </c>
      <c r="AG77" s="317">
        <v>-1131709</v>
      </c>
      <c r="AH77" s="317">
        <v>0</v>
      </c>
      <c r="AI77" s="317">
        <v>0</v>
      </c>
      <c r="AJ77" s="317">
        <v>0</v>
      </c>
      <c r="AK77" s="317">
        <v>0</v>
      </c>
      <c r="AL77" s="317">
        <v>-8452372</v>
      </c>
      <c r="AM77" s="317">
        <v>0</v>
      </c>
      <c r="AN77" s="317">
        <v>0</v>
      </c>
      <c r="AO77" s="317">
        <v>0</v>
      </c>
      <c r="AP77" s="317">
        <v>0</v>
      </c>
      <c r="AQ77" s="317">
        <v>-3854106</v>
      </c>
      <c r="AR77" s="317">
        <v>0</v>
      </c>
      <c r="AS77" s="317">
        <v>0</v>
      </c>
      <c r="AT77" s="317">
        <v>0</v>
      </c>
      <c r="AU77" s="317">
        <v>0</v>
      </c>
      <c r="AV77" s="317">
        <v>3742209</v>
      </c>
      <c r="AW77" s="317">
        <v>0</v>
      </c>
      <c r="AX77" s="317">
        <v>0</v>
      </c>
      <c r="AY77" s="317">
        <v>0</v>
      </c>
      <c r="AZ77" s="317">
        <v>0</v>
      </c>
      <c r="BA77" s="317">
        <v>1384946</v>
      </c>
      <c r="BB77" s="317">
        <v>0</v>
      </c>
      <c r="BC77" s="317">
        <v>0</v>
      </c>
      <c r="BD77" s="317">
        <v>0</v>
      </c>
      <c r="BE77" s="317">
        <v>0</v>
      </c>
      <c r="BF77" s="317">
        <v>-429685</v>
      </c>
      <c r="BG77" s="317">
        <v>0</v>
      </c>
      <c r="BH77" s="317">
        <v>0</v>
      </c>
      <c r="BI77" s="317">
        <v>0</v>
      </c>
      <c r="BJ77" s="317">
        <v>0</v>
      </c>
      <c r="BK77" s="317">
        <v>-2124947</v>
      </c>
      <c r="BL77" s="317">
        <v>0</v>
      </c>
      <c r="BM77" s="317">
        <v>0</v>
      </c>
      <c r="BN77" s="317">
        <v>0</v>
      </c>
      <c r="BO77" s="317">
        <v>0</v>
      </c>
      <c r="BP77" s="317">
        <v>2304116</v>
      </c>
      <c r="BQ77" s="317">
        <v>0</v>
      </c>
      <c r="BR77" s="317">
        <v>0</v>
      </c>
      <c r="BS77" s="317">
        <v>0</v>
      </c>
      <c r="BT77" s="317">
        <v>0</v>
      </c>
      <c r="BU77" s="317">
        <v>-8354842</v>
      </c>
      <c r="BV77" s="317"/>
      <c r="BW77" s="317"/>
      <c r="BX77" s="317"/>
      <c r="BY77" s="317">
        <v>-16917688.739949986</v>
      </c>
      <c r="BZ77" s="317"/>
      <c r="CA77" s="317"/>
      <c r="CB77" s="317"/>
      <c r="CC77" s="317"/>
      <c r="CD77" s="317"/>
      <c r="CE77" s="317"/>
      <c r="CF77" s="317"/>
      <c r="CG77" s="317"/>
      <c r="CH77" s="317"/>
      <c r="CI77" s="317"/>
      <c r="CJ77" s="317"/>
      <c r="CK77" s="317"/>
      <c r="CL77" s="317"/>
      <c r="CM77" s="317"/>
      <c r="CN77" s="317"/>
      <c r="CO77" s="317"/>
      <c r="CP77" s="317"/>
      <c r="CQ77" s="317"/>
      <c r="CR77" s="317"/>
      <c r="CS77" s="317"/>
      <c r="CT77" s="317"/>
      <c r="CU77" s="317"/>
      <c r="CV77" s="317"/>
      <c r="CW77" s="317"/>
      <c r="CX77" s="317"/>
      <c r="CY77" s="317"/>
      <c r="CZ77" s="317"/>
      <c r="DA77" s="317"/>
      <c r="DB77" s="317"/>
      <c r="DC77" s="317"/>
      <c r="DD77" s="317"/>
      <c r="DE77" s="317"/>
      <c r="DF77" s="317"/>
      <c r="DG77" s="317"/>
      <c r="DH77" s="317"/>
      <c r="DI77" s="317"/>
      <c r="DJ77" s="317"/>
      <c r="DK77" s="317"/>
      <c r="DL77" s="317"/>
      <c r="DM77" s="317"/>
      <c r="DN77" s="317"/>
      <c r="DO77" s="317"/>
      <c r="DP77" s="317"/>
      <c r="DQ77" s="317"/>
      <c r="DR77" s="317"/>
      <c r="DS77" s="317"/>
      <c r="DT77" s="317"/>
      <c r="DU77" s="317"/>
      <c r="DV77" s="317"/>
      <c r="DW77" s="317"/>
      <c r="DX77" s="317"/>
      <c r="DY77" s="317"/>
      <c r="DZ77" s="317"/>
      <c r="EA77" s="317"/>
      <c r="EB77" s="317"/>
      <c r="EC77" s="317"/>
      <c r="ED77" s="317"/>
      <c r="EE77" s="317"/>
      <c r="EF77" s="317"/>
      <c r="EG77" s="317"/>
      <c r="EH77" s="317"/>
      <c r="EI77" s="317"/>
      <c r="EJ77" s="317"/>
      <c r="EK77" s="317"/>
      <c r="EL77" s="317"/>
      <c r="EM77" s="317"/>
      <c r="EN77" s="317"/>
      <c r="EO77" s="317"/>
    </row>
    <row r="78" spans="1:150" ht="15" hidden="1" customHeight="1" x14ac:dyDescent="0.2">
      <c r="B78" s="317"/>
      <c r="C78" s="408"/>
      <c r="D78" s="317"/>
      <c r="E78" s="317"/>
      <c r="F78" s="317"/>
      <c r="G78" s="317"/>
      <c r="H78" s="409"/>
      <c r="I78" s="317"/>
      <c r="J78" s="317"/>
      <c r="K78" s="317"/>
      <c r="L78" s="317"/>
      <c r="M78" s="317">
        <v>-1671550</v>
      </c>
      <c r="N78" s="317">
        <v>0</v>
      </c>
      <c r="O78" s="317">
        <v>0</v>
      </c>
      <c r="P78" s="317">
        <v>0</v>
      </c>
      <c r="Q78" s="317">
        <v>0</v>
      </c>
      <c r="R78" s="317">
        <v>-865880</v>
      </c>
      <c r="S78" s="317">
        <v>0</v>
      </c>
      <c r="T78" s="317">
        <v>0</v>
      </c>
      <c r="U78" s="317">
        <v>0</v>
      </c>
      <c r="V78" s="317">
        <v>0</v>
      </c>
      <c r="W78" s="317">
        <v>-1559980</v>
      </c>
      <c r="X78" s="317">
        <v>0</v>
      </c>
      <c r="Y78" s="317">
        <v>0</v>
      </c>
      <c r="Z78" s="317">
        <v>0</v>
      </c>
      <c r="AA78" s="317">
        <v>0</v>
      </c>
      <c r="AB78" s="317">
        <v>8248920</v>
      </c>
      <c r="AC78" s="317">
        <v>0</v>
      </c>
      <c r="AD78" s="317">
        <v>0</v>
      </c>
      <c r="AE78" s="317">
        <v>0</v>
      </c>
      <c r="AF78" s="317">
        <v>0</v>
      </c>
      <c r="AG78" s="317">
        <v>-191770</v>
      </c>
      <c r="AH78" s="317">
        <v>0</v>
      </c>
      <c r="AI78" s="317">
        <v>0</v>
      </c>
      <c r="AJ78" s="317">
        <v>0</v>
      </c>
      <c r="AK78" s="317">
        <v>0</v>
      </c>
      <c r="AL78" s="317">
        <v>-5945010</v>
      </c>
      <c r="AM78" s="317">
        <v>0</v>
      </c>
      <c r="AN78" s="317">
        <v>0</v>
      </c>
      <c r="AO78" s="317">
        <v>0</v>
      </c>
      <c r="AP78" s="317">
        <v>0</v>
      </c>
      <c r="AQ78" s="317">
        <v>-4440610</v>
      </c>
      <c r="AR78" s="317">
        <v>0</v>
      </c>
      <c r="AS78" s="317">
        <v>0</v>
      </c>
      <c r="AT78" s="317">
        <v>0</v>
      </c>
      <c r="AU78" s="317">
        <v>0</v>
      </c>
      <c r="AV78" s="317">
        <v>1759060</v>
      </c>
      <c r="AW78" s="317">
        <v>0</v>
      </c>
      <c r="AX78" s="317">
        <v>0</v>
      </c>
      <c r="AY78" s="317">
        <v>0</v>
      </c>
      <c r="AZ78" s="317">
        <v>0</v>
      </c>
      <c r="BA78" s="317">
        <v>1386320</v>
      </c>
      <c r="BB78" s="317">
        <v>0</v>
      </c>
      <c r="BC78" s="317">
        <v>0</v>
      </c>
      <c r="BD78" s="317">
        <v>0</v>
      </c>
      <c r="BE78" s="317">
        <v>0</v>
      </c>
      <c r="BF78" s="317">
        <v>-459040</v>
      </c>
      <c r="BG78" s="317">
        <v>0</v>
      </c>
      <c r="BH78" s="317">
        <v>0</v>
      </c>
      <c r="BI78" s="317">
        <v>0</v>
      </c>
      <c r="BJ78" s="317">
        <v>0</v>
      </c>
      <c r="BK78" s="317">
        <v>-1594210</v>
      </c>
      <c r="BL78" s="317">
        <v>0</v>
      </c>
      <c r="BM78" s="317">
        <v>0</v>
      </c>
      <c r="BN78" s="317">
        <v>0</v>
      </c>
      <c r="BO78" s="317">
        <v>0</v>
      </c>
      <c r="BP78" s="317">
        <v>1844050</v>
      </c>
      <c r="BQ78" s="317">
        <v>0</v>
      </c>
      <c r="BR78" s="317">
        <v>0</v>
      </c>
      <c r="BS78" s="317">
        <v>0</v>
      </c>
      <c r="BT78" s="317">
        <v>0</v>
      </c>
      <c r="BU78" s="317">
        <v>-6425880</v>
      </c>
      <c r="BV78" s="317"/>
      <c r="BW78" s="317"/>
      <c r="BX78" s="317"/>
      <c r="BY78" s="317"/>
      <c r="BZ78" s="317"/>
      <c r="CA78" s="317"/>
      <c r="CB78" s="317"/>
      <c r="CC78" s="317"/>
      <c r="CD78" s="317"/>
      <c r="CE78" s="317"/>
      <c r="CF78" s="317"/>
      <c r="CG78" s="317"/>
      <c r="CH78" s="317"/>
      <c r="CI78" s="317"/>
      <c r="CJ78" s="317"/>
      <c r="CK78" s="317"/>
      <c r="CL78" s="317"/>
      <c r="CM78" s="317"/>
      <c r="CN78" s="317"/>
      <c r="CO78" s="317"/>
      <c r="CP78" s="317"/>
      <c r="CQ78" s="317"/>
      <c r="CR78" s="317"/>
      <c r="CS78" s="317"/>
      <c r="CT78" s="317"/>
      <c r="CU78" s="317"/>
      <c r="CV78" s="317"/>
      <c r="CW78" s="317"/>
      <c r="CX78" s="317"/>
      <c r="CY78" s="317"/>
      <c r="CZ78" s="317"/>
      <c r="DA78" s="317"/>
      <c r="DB78" s="317"/>
      <c r="DC78" s="317"/>
      <c r="DD78" s="317"/>
      <c r="DE78" s="317"/>
      <c r="DF78" s="317"/>
      <c r="DG78" s="317"/>
      <c r="DH78" s="317"/>
      <c r="DI78" s="317"/>
      <c r="DJ78" s="317"/>
      <c r="DK78" s="317"/>
      <c r="DL78" s="317"/>
      <c r="DM78" s="317"/>
      <c r="DN78" s="317"/>
      <c r="DO78" s="317"/>
      <c r="DP78" s="317"/>
      <c r="DQ78" s="317"/>
      <c r="DR78" s="317"/>
      <c r="DS78" s="317"/>
      <c r="DT78" s="317"/>
      <c r="DU78" s="317"/>
      <c r="DV78" s="317"/>
      <c r="DW78" s="317"/>
      <c r="DX78" s="317"/>
      <c r="DY78" s="317"/>
      <c r="DZ78" s="317"/>
      <c r="EA78" s="317"/>
      <c r="EB78" s="317"/>
      <c r="EC78" s="317"/>
      <c r="ED78" s="317"/>
      <c r="EE78" s="317"/>
      <c r="EF78" s="317"/>
      <c r="EG78" s="317"/>
      <c r="EH78" s="317"/>
      <c r="EI78" s="317"/>
      <c r="EJ78" s="317"/>
      <c r="EK78" s="317"/>
      <c r="EL78" s="317"/>
      <c r="EM78" s="317"/>
      <c r="EN78" s="317"/>
      <c r="EO78" s="317"/>
    </row>
    <row r="79" spans="1:150" ht="15" hidden="1" customHeight="1" x14ac:dyDescent="0.2"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317">
        <v>0</v>
      </c>
      <c r="N79" s="317">
        <v>0</v>
      </c>
      <c r="O79" s="317">
        <v>0</v>
      </c>
      <c r="P79" s="317">
        <v>0</v>
      </c>
      <c r="Q79" s="317">
        <v>0</v>
      </c>
      <c r="R79" s="317">
        <v>0</v>
      </c>
      <c r="S79" s="317">
        <v>0</v>
      </c>
      <c r="T79" s="317">
        <v>0</v>
      </c>
      <c r="U79" s="317">
        <v>0</v>
      </c>
      <c r="V79" s="317">
        <v>0</v>
      </c>
      <c r="W79" s="317">
        <v>0</v>
      </c>
      <c r="X79" s="317">
        <v>0</v>
      </c>
      <c r="Y79" s="317">
        <v>0</v>
      </c>
      <c r="Z79" s="317">
        <v>0</v>
      </c>
      <c r="AA79" s="317">
        <v>0</v>
      </c>
      <c r="AB79" s="317">
        <v>0</v>
      </c>
      <c r="AC79" s="317">
        <v>0</v>
      </c>
      <c r="AD79" s="317">
        <v>0</v>
      </c>
      <c r="AE79" s="317">
        <v>0</v>
      </c>
      <c r="AF79" s="317">
        <v>0</v>
      </c>
      <c r="AG79" s="317">
        <v>0</v>
      </c>
      <c r="AH79" s="317">
        <v>0</v>
      </c>
      <c r="AI79" s="317">
        <v>0</v>
      </c>
      <c r="AJ79" s="317">
        <v>0</v>
      </c>
      <c r="AK79" s="317">
        <v>0</v>
      </c>
      <c r="AL79" s="317">
        <v>0</v>
      </c>
      <c r="AM79" s="317">
        <v>0</v>
      </c>
      <c r="AN79" s="317">
        <v>0</v>
      </c>
      <c r="AO79" s="317">
        <v>0</v>
      </c>
      <c r="AP79" s="317">
        <v>0</v>
      </c>
      <c r="AQ79" s="317">
        <v>0</v>
      </c>
      <c r="AR79" s="317">
        <v>0</v>
      </c>
      <c r="AS79" s="317">
        <v>0</v>
      </c>
      <c r="AT79" s="317">
        <v>0</v>
      </c>
      <c r="AU79" s="317">
        <v>0</v>
      </c>
      <c r="AV79" s="317">
        <v>0</v>
      </c>
      <c r="AW79" s="317">
        <v>0</v>
      </c>
      <c r="AX79" s="317">
        <v>0</v>
      </c>
      <c r="AY79" s="317">
        <v>0</v>
      </c>
      <c r="AZ79" s="317">
        <v>0</v>
      </c>
      <c r="BA79" s="317">
        <v>0</v>
      </c>
      <c r="BB79" s="317">
        <v>0</v>
      </c>
      <c r="BC79" s="317">
        <v>0</v>
      </c>
      <c r="BD79" s="317">
        <v>0</v>
      </c>
      <c r="BE79" s="317">
        <v>0</v>
      </c>
      <c r="BF79" s="317">
        <v>0</v>
      </c>
      <c r="BG79" s="317">
        <v>0</v>
      </c>
      <c r="BH79" s="317">
        <v>0</v>
      </c>
      <c r="BI79" s="317">
        <v>0</v>
      </c>
      <c r="BJ79" s="317">
        <v>0</v>
      </c>
      <c r="BK79" s="317">
        <v>0</v>
      </c>
      <c r="BL79" s="317">
        <v>0</v>
      </c>
      <c r="BM79" s="317">
        <v>0</v>
      </c>
      <c r="BN79" s="317">
        <v>0</v>
      </c>
      <c r="BO79" s="317">
        <v>0</v>
      </c>
      <c r="BP79" s="317">
        <v>0</v>
      </c>
      <c r="BQ79" s="317">
        <v>0</v>
      </c>
      <c r="BR79" s="317">
        <v>0</v>
      </c>
      <c r="BS79" s="317">
        <v>0</v>
      </c>
      <c r="BT79" s="317">
        <v>0</v>
      </c>
      <c r="BU79" s="317">
        <v>0</v>
      </c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317"/>
      <c r="CH79" s="317"/>
      <c r="CI79" s="317"/>
      <c r="CJ79" s="317"/>
      <c r="CK79" s="317"/>
      <c r="CL79" s="317"/>
      <c r="CM79" s="317"/>
      <c r="CN79" s="317"/>
      <c r="CO79" s="317"/>
      <c r="CP79" s="317"/>
      <c r="CQ79" s="317"/>
      <c r="CR79" s="317"/>
      <c r="CS79" s="317"/>
      <c r="CT79" s="317"/>
      <c r="CU79" s="317"/>
      <c r="CV79" s="317"/>
      <c r="CW79" s="317"/>
      <c r="CX79" s="317"/>
      <c r="CY79" s="317"/>
      <c r="CZ79" s="317"/>
      <c r="DA79" s="317"/>
      <c r="DB79" s="317"/>
      <c r="DC79" s="317"/>
      <c r="DD79" s="317"/>
      <c r="DE79" s="317"/>
      <c r="DF79" s="317"/>
      <c r="DG79" s="317"/>
      <c r="DH79" s="317"/>
      <c r="DI79" s="317"/>
      <c r="DJ79" s="317"/>
      <c r="DK79" s="317"/>
      <c r="DL79" s="317"/>
      <c r="DM79" s="317"/>
      <c r="DN79" s="317"/>
      <c r="DO79" s="317"/>
      <c r="DP79" s="317"/>
      <c r="DQ79" s="317"/>
      <c r="DR79" s="317"/>
      <c r="DS79" s="317"/>
      <c r="DT79" s="317"/>
      <c r="DU79" s="317"/>
      <c r="DV79" s="317"/>
      <c r="DW79" s="317"/>
      <c r="DX79" s="317"/>
      <c r="DY79" s="317"/>
      <c r="DZ79" s="317"/>
      <c r="EA79" s="317"/>
      <c r="EB79" s="317"/>
      <c r="EC79" s="317"/>
      <c r="ED79" s="317"/>
      <c r="EE79" s="317"/>
      <c r="EF79" s="317"/>
      <c r="EG79" s="317"/>
      <c r="EH79" s="317"/>
      <c r="EI79" s="317"/>
      <c r="EJ79" s="317"/>
      <c r="EK79" s="317"/>
      <c r="EL79" s="317"/>
      <c r="EM79" s="317"/>
      <c r="EN79" s="317"/>
      <c r="EO79" s="317"/>
    </row>
    <row r="80" spans="1:150" ht="15" hidden="1" customHeight="1" x14ac:dyDescent="0.2">
      <c r="B80" s="317"/>
      <c r="C80" s="317"/>
      <c r="D80" s="317"/>
      <c r="E80" s="317"/>
      <c r="F80" s="317"/>
      <c r="G80" s="317"/>
      <c r="H80" s="317"/>
      <c r="I80" s="317"/>
      <c r="J80" s="317"/>
      <c r="K80" s="317"/>
      <c r="L80" s="317"/>
      <c r="M80" s="317">
        <v>772150</v>
      </c>
      <c r="N80" s="317">
        <v>0</v>
      </c>
      <c r="O80" s="317">
        <v>0</v>
      </c>
      <c r="P80" s="317">
        <v>0</v>
      </c>
      <c r="Q80" s="317">
        <v>0</v>
      </c>
      <c r="R80" s="317">
        <v>1922440</v>
      </c>
      <c r="S80" s="317">
        <v>0</v>
      </c>
      <c r="T80" s="317">
        <v>0</v>
      </c>
      <c r="U80" s="317">
        <v>0</v>
      </c>
      <c r="V80" s="317">
        <v>0</v>
      </c>
      <c r="W80" s="317">
        <v>-326470</v>
      </c>
      <c r="X80" s="317">
        <v>0</v>
      </c>
      <c r="Y80" s="317">
        <v>0</v>
      </c>
      <c r="Z80" s="317">
        <v>0</v>
      </c>
      <c r="AA80" s="317">
        <v>0</v>
      </c>
      <c r="AB80" s="317">
        <v>843450</v>
      </c>
      <c r="AC80" s="317">
        <v>0</v>
      </c>
      <c r="AD80" s="317">
        <v>0</v>
      </c>
      <c r="AE80" s="317">
        <v>0</v>
      </c>
      <c r="AF80" s="317">
        <v>0</v>
      </c>
      <c r="AG80" s="317">
        <v>2173130</v>
      </c>
      <c r="AH80" s="317">
        <v>0</v>
      </c>
      <c r="AI80" s="317">
        <v>0</v>
      </c>
      <c r="AJ80" s="317">
        <v>0</v>
      </c>
      <c r="AK80" s="317">
        <v>0</v>
      </c>
      <c r="AL80" s="317">
        <v>-480000</v>
      </c>
      <c r="AM80" s="317">
        <v>0</v>
      </c>
      <c r="AN80" s="317">
        <v>0</v>
      </c>
      <c r="AO80" s="317">
        <v>0</v>
      </c>
      <c r="AP80" s="317">
        <v>0</v>
      </c>
      <c r="AQ80" s="317">
        <v>-811230</v>
      </c>
      <c r="AR80" s="317">
        <v>0</v>
      </c>
      <c r="AS80" s="317">
        <v>0</v>
      </c>
      <c r="AT80" s="317">
        <v>0</v>
      </c>
      <c r="AU80" s="317">
        <v>0</v>
      </c>
      <c r="AV80" s="317">
        <v>-34120</v>
      </c>
      <c r="AW80" s="317">
        <v>0</v>
      </c>
      <c r="AX80" s="317">
        <v>0</v>
      </c>
      <c r="AY80" s="317">
        <v>0</v>
      </c>
      <c r="AZ80" s="317">
        <v>0</v>
      </c>
      <c r="BA80" s="317">
        <v>557000</v>
      </c>
      <c r="BB80" s="317">
        <v>0</v>
      </c>
      <c r="BC80" s="317">
        <v>0</v>
      </c>
      <c r="BD80" s="317">
        <v>0</v>
      </c>
      <c r="BE80" s="317">
        <v>0</v>
      </c>
      <c r="BF80" s="317">
        <v>2215030</v>
      </c>
      <c r="BG80" s="317">
        <v>0</v>
      </c>
      <c r="BH80" s="317">
        <v>0</v>
      </c>
      <c r="BI80" s="317">
        <v>0</v>
      </c>
      <c r="BJ80" s="317">
        <v>0</v>
      </c>
      <c r="BK80" s="317">
        <v>683870</v>
      </c>
      <c r="BL80" s="317">
        <v>0</v>
      </c>
      <c r="BM80" s="317">
        <v>0</v>
      </c>
      <c r="BN80" s="317">
        <v>0</v>
      </c>
      <c r="BO80" s="317">
        <v>0</v>
      </c>
      <c r="BP80" s="317">
        <v>750850</v>
      </c>
      <c r="BQ80" s="317">
        <v>0</v>
      </c>
      <c r="BR80" s="317">
        <v>0</v>
      </c>
      <c r="BS80" s="317">
        <v>0</v>
      </c>
      <c r="BT80" s="317">
        <v>0</v>
      </c>
      <c r="BU80" s="317">
        <v>4093470</v>
      </c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317"/>
      <c r="CH80" s="317"/>
      <c r="CI80" s="317"/>
      <c r="CJ80" s="317"/>
      <c r="CK80" s="317"/>
      <c r="CL80" s="317"/>
      <c r="CM80" s="317"/>
      <c r="CN80" s="317"/>
      <c r="CO80" s="317"/>
      <c r="CP80" s="317"/>
      <c r="CQ80" s="317"/>
      <c r="CR80" s="317"/>
      <c r="CS80" s="317"/>
      <c r="CT80" s="317"/>
      <c r="CU80" s="317"/>
      <c r="CV80" s="317"/>
      <c r="CW80" s="317"/>
      <c r="CX80" s="317"/>
      <c r="CY80" s="317"/>
      <c r="CZ80" s="317"/>
      <c r="DA80" s="317"/>
      <c r="DB80" s="317"/>
      <c r="DC80" s="317"/>
      <c r="DD80" s="317"/>
      <c r="DE80" s="317"/>
      <c r="DF80" s="317"/>
      <c r="DG80" s="317"/>
      <c r="DH80" s="317"/>
      <c r="DI80" s="317"/>
      <c r="DJ80" s="317"/>
      <c r="DK80" s="317"/>
      <c r="DL80" s="317"/>
      <c r="DM80" s="317"/>
      <c r="DN80" s="317"/>
      <c r="DO80" s="317"/>
      <c r="DP80" s="317"/>
      <c r="DQ80" s="317"/>
      <c r="DR80" s="317"/>
      <c r="DS80" s="317"/>
      <c r="DT80" s="317"/>
      <c r="DU80" s="317"/>
      <c r="DV80" s="317"/>
      <c r="DW80" s="317"/>
      <c r="DX80" s="317"/>
      <c r="DY80" s="317"/>
      <c r="DZ80" s="317"/>
      <c r="EA80" s="317"/>
      <c r="EB80" s="317"/>
      <c r="EC80" s="317"/>
      <c r="ED80" s="317"/>
      <c r="EE80" s="317"/>
      <c r="EF80" s="317"/>
      <c r="EG80" s="317"/>
      <c r="EH80" s="317"/>
      <c r="EI80" s="317"/>
      <c r="EJ80" s="317"/>
      <c r="EK80" s="317"/>
      <c r="EL80" s="317"/>
      <c r="EM80" s="317"/>
      <c r="EN80" s="317"/>
      <c r="EO80" s="317"/>
    </row>
    <row r="81" spans="2:146" ht="15" hidden="1" customHeight="1" x14ac:dyDescent="0.2">
      <c r="B81" s="317"/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>
        <v>-325630</v>
      </c>
      <c r="N81" s="317">
        <v>0</v>
      </c>
      <c r="O81" s="317">
        <v>0</v>
      </c>
      <c r="P81" s="317">
        <v>0</v>
      </c>
      <c r="Q81" s="317">
        <v>0</v>
      </c>
      <c r="R81" s="317">
        <v>2624700</v>
      </c>
      <c r="S81" s="317">
        <v>0</v>
      </c>
      <c r="T81" s="317">
        <v>0</v>
      </c>
      <c r="U81" s="317">
        <v>0</v>
      </c>
      <c r="V81" s="317">
        <v>0</v>
      </c>
      <c r="W81" s="317">
        <v>-7555400</v>
      </c>
      <c r="X81" s="317">
        <v>0</v>
      </c>
      <c r="Y81" s="317">
        <v>0</v>
      </c>
      <c r="Z81" s="317">
        <v>0</v>
      </c>
      <c r="AA81" s="317">
        <v>0</v>
      </c>
      <c r="AB81" s="317">
        <v>316200</v>
      </c>
      <c r="AC81" s="317">
        <v>0</v>
      </c>
      <c r="AD81" s="317">
        <v>0</v>
      </c>
      <c r="AE81" s="317">
        <v>0</v>
      </c>
      <c r="AF81" s="317">
        <v>0</v>
      </c>
      <c r="AG81" s="317">
        <v>1384380</v>
      </c>
      <c r="AH81" s="317">
        <v>0</v>
      </c>
      <c r="AI81" s="317">
        <v>0</v>
      </c>
      <c r="AJ81" s="317">
        <v>0</v>
      </c>
      <c r="AK81" s="317">
        <v>0</v>
      </c>
      <c r="AL81" s="317">
        <v>-2003100</v>
      </c>
      <c r="AM81" s="317">
        <v>0</v>
      </c>
      <c r="AN81" s="317">
        <v>0</v>
      </c>
      <c r="AO81" s="317">
        <v>0</v>
      </c>
      <c r="AP81" s="317">
        <v>0</v>
      </c>
      <c r="AQ81" s="317">
        <v>-2271570</v>
      </c>
      <c r="AR81" s="317">
        <v>0</v>
      </c>
      <c r="AS81" s="317">
        <v>0</v>
      </c>
      <c r="AT81" s="317">
        <v>0</v>
      </c>
      <c r="AU81" s="317">
        <v>0</v>
      </c>
      <c r="AV81" s="317">
        <v>1391570</v>
      </c>
      <c r="AW81" s="317">
        <v>0</v>
      </c>
      <c r="AX81" s="317">
        <v>0</v>
      </c>
      <c r="AY81" s="317">
        <v>0</v>
      </c>
      <c r="AZ81" s="317">
        <v>0</v>
      </c>
      <c r="BA81" s="317">
        <v>2287990</v>
      </c>
      <c r="BB81" s="317">
        <v>0</v>
      </c>
      <c r="BC81" s="317">
        <v>0</v>
      </c>
      <c r="BD81" s="317">
        <v>0</v>
      </c>
      <c r="BE81" s="317">
        <v>0</v>
      </c>
      <c r="BF81" s="317">
        <v>469350</v>
      </c>
      <c r="BG81" s="317">
        <v>0</v>
      </c>
      <c r="BH81" s="317">
        <v>0</v>
      </c>
      <c r="BI81" s="317">
        <v>0</v>
      </c>
      <c r="BJ81" s="317">
        <v>0</v>
      </c>
      <c r="BK81" s="317">
        <v>-1787880</v>
      </c>
      <c r="BL81" s="317">
        <v>0</v>
      </c>
      <c r="BM81" s="317">
        <v>0</v>
      </c>
      <c r="BN81" s="317">
        <v>0</v>
      </c>
      <c r="BO81" s="317">
        <v>0</v>
      </c>
      <c r="BP81" s="317">
        <v>-2771820</v>
      </c>
      <c r="BQ81" s="317">
        <v>0</v>
      </c>
      <c r="BR81" s="317">
        <v>0</v>
      </c>
      <c r="BS81" s="317">
        <v>0</v>
      </c>
      <c r="BT81" s="317">
        <v>0</v>
      </c>
      <c r="BU81" s="317">
        <v>-7830420</v>
      </c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317"/>
      <c r="CH81" s="317"/>
      <c r="CI81" s="317"/>
      <c r="CJ81" s="317"/>
      <c r="CK81" s="317"/>
      <c r="CL81" s="317"/>
      <c r="CM81" s="317"/>
      <c r="CN81" s="317"/>
      <c r="CO81" s="317"/>
      <c r="CP81" s="317"/>
      <c r="CQ81" s="317"/>
      <c r="CR81" s="317"/>
      <c r="CS81" s="317"/>
      <c r="CT81" s="317"/>
      <c r="CU81" s="317"/>
      <c r="CV81" s="317"/>
      <c r="CW81" s="317"/>
      <c r="CX81" s="317"/>
      <c r="CY81" s="317"/>
      <c r="CZ81" s="317"/>
      <c r="DA81" s="317"/>
      <c r="DB81" s="317"/>
      <c r="DC81" s="317"/>
      <c r="DD81" s="317"/>
      <c r="DE81" s="317"/>
      <c r="DF81" s="317"/>
      <c r="DG81" s="317"/>
      <c r="DH81" s="317"/>
      <c r="DI81" s="317"/>
      <c r="DJ81" s="317"/>
      <c r="DK81" s="317"/>
      <c r="DL81" s="317"/>
      <c r="DM81" s="317"/>
      <c r="DN81" s="317"/>
      <c r="DO81" s="317"/>
      <c r="DP81" s="317"/>
      <c r="DQ81" s="317"/>
      <c r="DR81" s="317"/>
      <c r="DS81" s="317"/>
      <c r="DT81" s="317"/>
      <c r="DU81" s="317"/>
      <c r="DV81" s="317"/>
      <c r="DW81" s="317"/>
      <c r="DX81" s="317"/>
      <c r="DY81" s="317"/>
      <c r="DZ81" s="317"/>
      <c r="EA81" s="317"/>
      <c r="EB81" s="317"/>
      <c r="EC81" s="317"/>
      <c r="ED81" s="317"/>
      <c r="EE81" s="317"/>
      <c r="EF81" s="317"/>
      <c r="EG81" s="317"/>
      <c r="EH81" s="317"/>
      <c r="EI81" s="317"/>
      <c r="EJ81" s="317"/>
      <c r="EK81" s="317"/>
      <c r="EL81" s="317"/>
      <c r="EM81" s="317"/>
      <c r="EN81" s="317"/>
      <c r="EO81" s="317"/>
    </row>
    <row r="82" spans="2:146" hidden="1" x14ac:dyDescent="0.2">
      <c r="M82" s="317">
        <v>5465800</v>
      </c>
      <c r="N82" s="317">
        <v>0</v>
      </c>
      <c r="O82" s="317">
        <v>0</v>
      </c>
      <c r="P82" s="317">
        <v>0</v>
      </c>
      <c r="Q82" s="317">
        <v>0</v>
      </c>
      <c r="R82" s="317">
        <v>1056980</v>
      </c>
      <c r="S82" s="317">
        <v>0</v>
      </c>
      <c r="T82" s="317">
        <v>0</v>
      </c>
      <c r="U82" s="317">
        <v>0</v>
      </c>
      <c r="V82" s="317">
        <v>0</v>
      </c>
      <c r="W82" s="317">
        <v>1895270</v>
      </c>
      <c r="X82" s="317">
        <v>0</v>
      </c>
      <c r="Y82" s="317">
        <v>0</v>
      </c>
      <c r="Z82" s="317">
        <v>0</v>
      </c>
      <c r="AA82" s="317">
        <v>0</v>
      </c>
      <c r="AB82" s="317">
        <v>2231500</v>
      </c>
      <c r="AC82" s="317">
        <v>0</v>
      </c>
      <c r="AD82" s="317">
        <v>0</v>
      </c>
      <c r="AE82" s="317">
        <v>0</v>
      </c>
      <c r="AF82" s="317">
        <v>0</v>
      </c>
      <c r="AG82" s="317">
        <v>710000</v>
      </c>
      <c r="AH82" s="317">
        <v>0</v>
      </c>
      <c r="AI82" s="317">
        <v>0</v>
      </c>
      <c r="AJ82" s="317">
        <v>0</v>
      </c>
      <c r="AK82" s="317">
        <v>0</v>
      </c>
      <c r="AL82" s="317">
        <v>-2661910</v>
      </c>
      <c r="AM82" s="317">
        <v>0</v>
      </c>
      <c r="AN82" s="317">
        <v>0</v>
      </c>
      <c r="AO82" s="317">
        <v>0</v>
      </c>
      <c r="AP82" s="317">
        <v>0</v>
      </c>
      <c r="AQ82" s="317">
        <v>-2637570</v>
      </c>
      <c r="AR82" s="317">
        <v>0</v>
      </c>
      <c r="AS82" s="317">
        <v>0</v>
      </c>
      <c r="AT82" s="317">
        <v>0</v>
      </c>
      <c r="AU82" s="317">
        <v>0</v>
      </c>
      <c r="AV82" s="317">
        <v>654690</v>
      </c>
      <c r="AW82" s="317">
        <v>0</v>
      </c>
      <c r="AX82" s="317">
        <v>0</v>
      </c>
      <c r="AY82" s="317">
        <v>0</v>
      </c>
      <c r="AZ82" s="317">
        <v>0</v>
      </c>
      <c r="BA82" s="317">
        <v>1050590</v>
      </c>
      <c r="BB82" s="317">
        <v>0</v>
      </c>
      <c r="BC82" s="317">
        <v>0</v>
      </c>
      <c r="BD82" s="317">
        <v>0</v>
      </c>
      <c r="BE82" s="317">
        <v>0</v>
      </c>
      <c r="BF82" s="317">
        <v>-2970970</v>
      </c>
      <c r="BG82" s="317">
        <v>0</v>
      </c>
      <c r="BH82" s="317">
        <v>0</v>
      </c>
      <c r="BI82" s="317">
        <v>0</v>
      </c>
      <c r="BJ82" s="317">
        <v>0</v>
      </c>
      <c r="BK82" s="317">
        <v>328400</v>
      </c>
      <c r="BL82" s="317">
        <v>0</v>
      </c>
      <c r="BM82" s="317">
        <v>0</v>
      </c>
      <c r="BN82" s="317">
        <v>0</v>
      </c>
      <c r="BO82" s="317">
        <v>0</v>
      </c>
      <c r="BP82" s="317">
        <v>667020</v>
      </c>
      <c r="BQ82" s="317">
        <v>0</v>
      </c>
      <c r="BR82" s="317">
        <v>0</v>
      </c>
      <c r="BS82" s="317">
        <v>0</v>
      </c>
      <c r="BT82" s="317">
        <v>0</v>
      </c>
      <c r="BU82" s="317">
        <v>6060070</v>
      </c>
      <c r="BV82" s="317"/>
      <c r="BW82" s="317"/>
      <c r="BX82" s="317"/>
      <c r="BY82" s="317"/>
    </row>
    <row r="83" spans="2:146" hidden="1" x14ac:dyDescent="0.2">
      <c r="M83" s="317">
        <v>-7583870</v>
      </c>
      <c r="N83" s="317">
        <v>0</v>
      </c>
      <c r="O83" s="317">
        <v>0</v>
      </c>
      <c r="P83" s="317">
        <v>0</v>
      </c>
      <c r="Q83" s="317">
        <v>0</v>
      </c>
      <c r="R83" s="317">
        <v>-6470000</v>
      </c>
      <c r="S83" s="317">
        <v>0</v>
      </c>
      <c r="T83" s="317">
        <v>0</v>
      </c>
      <c r="U83" s="317">
        <v>0</v>
      </c>
      <c r="V83" s="317">
        <v>0</v>
      </c>
      <c r="W83" s="317">
        <v>4426620</v>
      </c>
      <c r="X83" s="317">
        <v>0</v>
      </c>
      <c r="Y83" s="317">
        <v>0</v>
      </c>
      <c r="Z83" s="317">
        <v>0</v>
      </c>
      <c r="AA83" s="317">
        <v>0</v>
      </c>
      <c r="AB83" s="317">
        <v>4857770</v>
      </c>
      <c r="AC83" s="317">
        <v>0</v>
      </c>
      <c r="AD83" s="317">
        <v>0</v>
      </c>
      <c r="AE83" s="317">
        <v>0</v>
      </c>
      <c r="AF83" s="317">
        <v>0</v>
      </c>
      <c r="AG83" s="317">
        <v>-4459280</v>
      </c>
      <c r="AH83" s="317">
        <v>0</v>
      </c>
      <c r="AI83" s="317">
        <v>0</v>
      </c>
      <c r="AJ83" s="317">
        <v>0</v>
      </c>
      <c r="AK83" s="317">
        <v>0</v>
      </c>
      <c r="AL83" s="317">
        <v>-800000</v>
      </c>
      <c r="AM83" s="317">
        <v>0</v>
      </c>
      <c r="AN83" s="317">
        <v>0</v>
      </c>
      <c r="AO83" s="317">
        <v>0</v>
      </c>
      <c r="AP83" s="317">
        <v>0</v>
      </c>
      <c r="AQ83" s="317">
        <v>1279760</v>
      </c>
      <c r="AR83" s="317">
        <v>0</v>
      </c>
      <c r="AS83" s="317">
        <v>0</v>
      </c>
      <c r="AT83" s="317">
        <v>0</v>
      </c>
      <c r="AU83" s="317">
        <v>0</v>
      </c>
      <c r="AV83" s="317">
        <v>-253080</v>
      </c>
      <c r="AW83" s="317">
        <v>0</v>
      </c>
      <c r="AX83" s="317">
        <v>0</v>
      </c>
      <c r="AY83" s="317">
        <v>0</v>
      </c>
      <c r="AZ83" s="317">
        <v>0</v>
      </c>
      <c r="BA83" s="317">
        <v>-2509260</v>
      </c>
      <c r="BB83" s="317">
        <v>0</v>
      </c>
      <c r="BC83" s="317">
        <v>0</v>
      </c>
      <c r="BD83" s="317">
        <v>0</v>
      </c>
      <c r="BE83" s="317">
        <v>0</v>
      </c>
      <c r="BF83" s="317">
        <v>-172450</v>
      </c>
      <c r="BG83" s="317">
        <v>0</v>
      </c>
      <c r="BH83" s="317">
        <v>0</v>
      </c>
      <c r="BI83" s="317">
        <v>0</v>
      </c>
      <c r="BJ83" s="317">
        <v>0</v>
      </c>
      <c r="BK83" s="317">
        <v>-818600</v>
      </c>
      <c r="BL83" s="317">
        <v>0</v>
      </c>
      <c r="BM83" s="317">
        <v>0</v>
      </c>
      <c r="BN83" s="317">
        <v>0</v>
      </c>
      <c r="BO83" s="317">
        <v>0</v>
      </c>
      <c r="BP83" s="317">
        <v>3198000</v>
      </c>
      <c r="BQ83" s="317">
        <v>0</v>
      </c>
      <c r="BR83" s="317">
        <v>0</v>
      </c>
      <c r="BS83" s="317">
        <v>0</v>
      </c>
      <c r="BT83" s="317">
        <v>0</v>
      </c>
      <c r="BU83" s="317">
        <v>-8749000</v>
      </c>
      <c r="BV83" s="317"/>
      <c r="BW83" s="317"/>
      <c r="BX83" s="317"/>
      <c r="BY83" s="317"/>
    </row>
    <row r="84" spans="2:146" hidden="1" x14ac:dyDescent="0.2">
      <c r="M84" s="317">
        <v>0</v>
      </c>
      <c r="N84" s="317">
        <v>0</v>
      </c>
      <c r="O84" s="317">
        <v>0</v>
      </c>
      <c r="P84" s="317">
        <v>0</v>
      </c>
      <c r="Q84" s="317">
        <v>0</v>
      </c>
      <c r="R84" s="317">
        <v>0</v>
      </c>
      <c r="S84" s="317">
        <v>0</v>
      </c>
      <c r="T84" s="317">
        <v>0</v>
      </c>
      <c r="U84" s="317">
        <v>0</v>
      </c>
      <c r="V84" s="317">
        <v>0</v>
      </c>
      <c r="W84" s="317">
        <v>0</v>
      </c>
      <c r="X84" s="317">
        <v>0</v>
      </c>
      <c r="Y84" s="317">
        <v>0</v>
      </c>
      <c r="Z84" s="317">
        <v>0</v>
      </c>
      <c r="AA84" s="317">
        <v>0</v>
      </c>
      <c r="AB84" s="317">
        <v>0</v>
      </c>
      <c r="AC84" s="317">
        <v>0</v>
      </c>
      <c r="AD84" s="317">
        <v>0</v>
      </c>
      <c r="AE84" s="317">
        <v>0</v>
      </c>
      <c r="AF84" s="317">
        <v>0</v>
      </c>
      <c r="AG84" s="317">
        <v>0</v>
      </c>
      <c r="AH84" s="317">
        <v>0</v>
      </c>
      <c r="AI84" s="317">
        <v>0</v>
      </c>
      <c r="AJ84" s="317">
        <v>0</v>
      </c>
      <c r="AK84" s="317">
        <v>0</v>
      </c>
      <c r="AL84" s="317">
        <v>0</v>
      </c>
      <c r="AM84" s="317">
        <v>0</v>
      </c>
      <c r="AN84" s="317">
        <v>0</v>
      </c>
      <c r="AO84" s="317">
        <v>0</v>
      </c>
      <c r="AP84" s="317">
        <v>0</v>
      </c>
      <c r="AQ84" s="317">
        <v>0</v>
      </c>
      <c r="AR84" s="317">
        <v>0</v>
      </c>
      <c r="AS84" s="317">
        <v>0</v>
      </c>
      <c r="AT84" s="317">
        <v>0</v>
      </c>
      <c r="AU84" s="317">
        <v>0</v>
      </c>
      <c r="AV84" s="317">
        <v>0</v>
      </c>
      <c r="AW84" s="317">
        <v>0</v>
      </c>
      <c r="AX84" s="317">
        <v>0</v>
      </c>
      <c r="AY84" s="317">
        <v>0</v>
      </c>
      <c r="AZ84" s="317">
        <v>0</v>
      </c>
      <c r="BA84" s="317">
        <v>0</v>
      </c>
      <c r="BB84" s="317">
        <v>0</v>
      </c>
      <c r="BC84" s="317">
        <v>0</v>
      </c>
      <c r="BD84" s="317">
        <v>0</v>
      </c>
      <c r="BE84" s="317">
        <v>0</v>
      </c>
      <c r="BF84" s="317">
        <v>0</v>
      </c>
      <c r="BG84" s="317">
        <v>0</v>
      </c>
      <c r="BH84" s="317">
        <v>0</v>
      </c>
      <c r="BI84" s="317">
        <v>0</v>
      </c>
      <c r="BJ84" s="317">
        <v>0</v>
      </c>
      <c r="BK84" s="317">
        <v>0</v>
      </c>
      <c r="BL84" s="317">
        <v>0</v>
      </c>
      <c r="BM84" s="317">
        <v>0</v>
      </c>
      <c r="BN84" s="317">
        <v>0</v>
      </c>
      <c r="BO84" s="317">
        <v>0</v>
      </c>
      <c r="BP84" s="317">
        <v>0</v>
      </c>
      <c r="BQ84" s="317">
        <v>0</v>
      </c>
      <c r="BR84" s="317">
        <v>0</v>
      </c>
      <c r="BS84" s="317">
        <v>0</v>
      </c>
      <c r="BT84" s="317">
        <v>0</v>
      </c>
      <c r="BU84" s="317">
        <v>0</v>
      </c>
      <c r="BV84" s="317"/>
      <c r="BW84" s="317"/>
      <c r="BX84" s="317"/>
      <c r="BY84" s="317"/>
    </row>
    <row r="85" spans="2:146" hidden="1" x14ac:dyDescent="0.2">
      <c r="M85" s="317">
        <v>-6713800</v>
      </c>
      <c r="N85" s="317">
        <v>0</v>
      </c>
      <c r="O85" s="317">
        <v>0</v>
      </c>
      <c r="P85" s="317">
        <v>0</v>
      </c>
      <c r="Q85" s="317">
        <v>0</v>
      </c>
      <c r="R85" s="317">
        <v>6933896</v>
      </c>
      <c r="S85" s="317">
        <v>0</v>
      </c>
      <c r="T85" s="317">
        <v>0</v>
      </c>
      <c r="U85" s="317">
        <v>0</v>
      </c>
      <c r="V85" s="317">
        <v>0</v>
      </c>
      <c r="W85" s="317">
        <v>-224210</v>
      </c>
      <c r="X85" s="317">
        <v>0</v>
      </c>
      <c r="Y85" s="317">
        <v>0</v>
      </c>
      <c r="Z85" s="317">
        <v>0</v>
      </c>
      <c r="AA85" s="317">
        <v>0</v>
      </c>
      <c r="AB85" s="317">
        <v>935949</v>
      </c>
      <c r="AC85" s="317">
        <v>0</v>
      </c>
      <c r="AD85" s="317">
        <v>0</v>
      </c>
      <c r="AE85" s="317">
        <v>0</v>
      </c>
      <c r="AF85" s="317">
        <v>0</v>
      </c>
      <c r="AG85" s="317">
        <v>-939939</v>
      </c>
      <c r="AH85" s="317">
        <v>0</v>
      </c>
      <c r="AI85" s="317">
        <v>0</v>
      </c>
      <c r="AJ85" s="317">
        <v>0</v>
      </c>
      <c r="AK85" s="317">
        <v>0</v>
      </c>
      <c r="AL85" s="317">
        <v>-2507362</v>
      </c>
      <c r="AM85" s="317">
        <v>0</v>
      </c>
      <c r="AN85" s="317">
        <v>0</v>
      </c>
      <c r="AO85" s="317">
        <v>0</v>
      </c>
      <c r="AP85" s="317">
        <v>0</v>
      </c>
      <c r="AQ85" s="317">
        <v>586504</v>
      </c>
      <c r="AR85" s="317">
        <v>0</v>
      </c>
      <c r="AS85" s="317">
        <v>0</v>
      </c>
      <c r="AT85" s="317">
        <v>0</v>
      </c>
      <c r="AU85" s="317">
        <v>0</v>
      </c>
      <c r="AV85" s="317">
        <v>1983149</v>
      </c>
      <c r="AW85" s="317">
        <v>0</v>
      </c>
      <c r="AX85" s="317">
        <v>0</v>
      </c>
      <c r="AY85" s="317">
        <v>0</v>
      </c>
      <c r="AZ85" s="317">
        <v>0</v>
      </c>
      <c r="BA85" s="317">
        <v>-1374</v>
      </c>
      <c r="BB85" s="317">
        <v>0</v>
      </c>
      <c r="BC85" s="317">
        <v>0</v>
      </c>
      <c r="BD85" s="317">
        <v>0</v>
      </c>
      <c r="BE85" s="317">
        <v>0</v>
      </c>
      <c r="BF85" s="317">
        <v>29355</v>
      </c>
      <c r="BG85" s="317">
        <v>0</v>
      </c>
      <c r="BH85" s="317">
        <v>0</v>
      </c>
      <c r="BI85" s="317">
        <v>0</v>
      </c>
      <c r="BJ85" s="317">
        <v>0</v>
      </c>
      <c r="BK85" s="317">
        <v>-530737</v>
      </c>
      <c r="BL85" s="317">
        <v>0</v>
      </c>
      <c r="BM85" s="317">
        <v>0</v>
      </c>
      <c r="BN85" s="317">
        <v>0</v>
      </c>
      <c r="BO85" s="317">
        <v>0</v>
      </c>
      <c r="BP85" s="317">
        <v>460066</v>
      </c>
      <c r="BQ85" s="317">
        <v>0</v>
      </c>
      <c r="BR85" s="317">
        <v>0</v>
      </c>
      <c r="BS85" s="317">
        <v>0</v>
      </c>
      <c r="BT85" s="317">
        <v>0</v>
      </c>
      <c r="BU85" s="317">
        <v>-1928962</v>
      </c>
      <c r="BV85" s="317"/>
      <c r="BW85" s="317"/>
      <c r="BX85" s="317"/>
      <c r="BY85" s="317"/>
    </row>
    <row r="86" spans="2:146" hidden="1" x14ac:dyDescent="0.2">
      <c r="M86" s="317">
        <v>0</v>
      </c>
      <c r="N86" s="317">
        <v>0</v>
      </c>
      <c r="O86" s="317">
        <v>0</v>
      </c>
      <c r="P86" s="317">
        <v>0</v>
      </c>
      <c r="Q86" s="317">
        <v>0</v>
      </c>
      <c r="R86" s="317">
        <v>0</v>
      </c>
      <c r="S86" s="317">
        <v>0</v>
      </c>
      <c r="T86" s="317">
        <v>0</v>
      </c>
      <c r="U86" s="317">
        <v>0</v>
      </c>
      <c r="V86" s="317">
        <v>0</v>
      </c>
      <c r="W86" s="317">
        <v>0</v>
      </c>
      <c r="X86" s="317">
        <v>0</v>
      </c>
      <c r="Y86" s="317">
        <v>0</v>
      </c>
      <c r="Z86" s="317">
        <v>0</v>
      </c>
      <c r="AA86" s="317">
        <v>0</v>
      </c>
      <c r="AB86" s="317">
        <v>0</v>
      </c>
      <c r="AC86" s="317">
        <v>0</v>
      </c>
      <c r="AD86" s="317">
        <v>0</v>
      </c>
      <c r="AE86" s="317">
        <v>0</v>
      </c>
      <c r="AF86" s="317">
        <v>0</v>
      </c>
      <c r="AG86" s="317">
        <v>0</v>
      </c>
      <c r="AH86" s="317">
        <v>0</v>
      </c>
      <c r="AI86" s="317">
        <v>0</v>
      </c>
      <c r="AJ86" s="317">
        <v>0</v>
      </c>
      <c r="AK86" s="317">
        <v>0</v>
      </c>
      <c r="AL86" s="317">
        <v>0</v>
      </c>
      <c r="AM86" s="317">
        <v>0</v>
      </c>
      <c r="AN86" s="317">
        <v>0</v>
      </c>
      <c r="AO86" s="317">
        <v>0</v>
      </c>
      <c r="AP86" s="317">
        <v>0</v>
      </c>
      <c r="AQ86" s="317">
        <v>0</v>
      </c>
      <c r="AR86" s="317">
        <v>0</v>
      </c>
      <c r="AS86" s="317">
        <v>0</v>
      </c>
      <c r="AT86" s="317">
        <v>0</v>
      </c>
      <c r="AU86" s="317">
        <v>0</v>
      </c>
      <c r="AV86" s="317">
        <v>0</v>
      </c>
      <c r="AW86" s="317">
        <v>0</v>
      </c>
      <c r="AX86" s="317">
        <v>0</v>
      </c>
      <c r="AY86" s="317">
        <v>0</v>
      </c>
      <c r="AZ86" s="317">
        <v>0</v>
      </c>
      <c r="BA86" s="317">
        <v>0</v>
      </c>
      <c r="BB86" s="317">
        <v>0</v>
      </c>
      <c r="BC86" s="317">
        <v>0</v>
      </c>
      <c r="BD86" s="317">
        <v>0</v>
      </c>
      <c r="BE86" s="317">
        <v>0</v>
      </c>
      <c r="BF86" s="317">
        <v>0</v>
      </c>
      <c r="BG86" s="317">
        <v>0</v>
      </c>
      <c r="BH86" s="317">
        <v>0</v>
      </c>
      <c r="BI86" s="317">
        <v>0</v>
      </c>
      <c r="BJ86" s="317">
        <v>0</v>
      </c>
      <c r="BK86" s="317">
        <v>0</v>
      </c>
      <c r="BL86" s="317">
        <v>0</v>
      </c>
      <c r="BM86" s="317">
        <v>0</v>
      </c>
      <c r="BN86" s="317">
        <v>0</v>
      </c>
      <c r="BO86" s="317">
        <v>0</v>
      </c>
      <c r="BP86" s="317">
        <v>0</v>
      </c>
      <c r="BQ86" s="317">
        <v>0</v>
      </c>
      <c r="BR86" s="317">
        <v>0</v>
      </c>
      <c r="BS86" s="317">
        <v>0</v>
      </c>
      <c r="BT86" s="317">
        <v>0</v>
      </c>
      <c r="BU86" s="317">
        <v>0</v>
      </c>
      <c r="BV86" s="317"/>
      <c r="BW86" s="317"/>
      <c r="BX86" s="317"/>
      <c r="BY86" s="317"/>
    </row>
    <row r="87" spans="2:146" hidden="1" x14ac:dyDescent="0.2">
      <c r="M87" s="317">
        <v>-6640866</v>
      </c>
      <c r="N87" s="317">
        <v>0</v>
      </c>
      <c r="O87" s="317">
        <v>0</v>
      </c>
      <c r="P87" s="317">
        <v>0</v>
      </c>
      <c r="Q87" s="317">
        <v>0</v>
      </c>
      <c r="R87" s="317">
        <v>-677390</v>
      </c>
      <c r="S87" s="317">
        <v>0</v>
      </c>
      <c r="T87" s="317">
        <v>0</v>
      </c>
      <c r="U87" s="317">
        <v>0</v>
      </c>
      <c r="V87" s="317">
        <v>0</v>
      </c>
      <c r="W87" s="317">
        <v>5899</v>
      </c>
      <c r="X87" s="317">
        <v>0</v>
      </c>
      <c r="Y87" s="317">
        <v>0</v>
      </c>
      <c r="Z87" s="317">
        <v>0</v>
      </c>
      <c r="AA87" s="317">
        <v>0</v>
      </c>
      <c r="AB87" s="317">
        <v>17036223</v>
      </c>
      <c r="AC87" s="317">
        <v>0</v>
      </c>
      <c r="AD87" s="317">
        <v>0</v>
      </c>
      <c r="AE87" s="317">
        <v>0</v>
      </c>
      <c r="AF87" s="317">
        <v>0</v>
      </c>
      <c r="AG87" s="317">
        <v>5920267</v>
      </c>
      <c r="AH87" s="317">
        <v>0</v>
      </c>
      <c r="AI87" s="317">
        <v>0</v>
      </c>
      <c r="AJ87" s="317">
        <v>0</v>
      </c>
      <c r="AK87" s="317">
        <v>0</v>
      </c>
      <c r="AL87" s="317">
        <v>11794376</v>
      </c>
      <c r="AM87" s="317">
        <v>0</v>
      </c>
      <c r="AN87" s="317">
        <v>0</v>
      </c>
      <c r="AO87" s="317">
        <v>0</v>
      </c>
      <c r="AP87" s="317">
        <v>0</v>
      </c>
      <c r="AQ87" s="317">
        <v>702940</v>
      </c>
      <c r="AR87" s="317">
        <v>0</v>
      </c>
      <c r="AS87" s="317">
        <v>0</v>
      </c>
      <c r="AT87" s="317">
        <v>0</v>
      </c>
      <c r="AU87" s="317">
        <v>0</v>
      </c>
      <c r="AV87" s="317">
        <v>-19605231</v>
      </c>
      <c r="AW87" s="317">
        <v>0</v>
      </c>
      <c r="AX87" s="317">
        <v>0</v>
      </c>
      <c r="AY87" s="317">
        <v>0</v>
      </c>
      <c r="AZ87" s="317">
        <v>0</v>
      </c>
      <c r="BA87" s="317">
        <v>-20296122</v>
      </c>
      <c r="BB87" s="317">
        <v>0</v>
      </c>
      <c r="BC87" s="317">
        <v>0</v>
      </c>
      <c r="BD87" s="317">
        <v>0</v>
      </c>
      <c r="BE87" s="317">
        <v>0</v>
      </c>
      <c r="BF87" s="317">
        <v>39139018</v>
      </c>
      <c r="BG87" s="317">
        <v>0</v>
      </c>
      <c r="BH87" s="317">
        <v>0</v>
      </c>
      <c r="BI87" s="317">
        <v>0</v>
      </c>
      <c r="BJ87" s="317">
        <v>0</v>
      </c>
      <c r="BK87" s="317">
        <v>-25287603</v>
      </c>
      <c r="BL87" s="317">
        <v>0</v>
      </c>
      <c r="BM87" s="317">
        <v>0</v>
      </c>
      <c r="BN87" s="317">
        <v>0</v>
      </c>
      <c r="BO87" s="317">
        <v>0</v>
      </c>
      <c r="BP87" s="317">
        <v>-24968353</v>
      </c>
      <c r="BQ87" s="317">
        <v>0</v>
      </c>
      <c r="BR87" s="317">
        <v>0</v>
      </c>
      <c r="BS87" s="317">
        <v>0</v>
      </c>
      <c r="BT87" s="317">
        <v>0</v>
      </c>
      <c r="BU87" s="317">
        <v>28141449</v>
      </c>
      <c r="BV87" s="317"/>
      <c r="BW87" s="317"/>
      <c r="BX87" s="317"/>
      <c r="BY87" s="317"/>
    </row>
    <row r="88" spans="2:146" hidden="1" x14ac:dyDescent="0.2">
      <c r="M88" s="317">
        <v>-6555393</v>
      </c>
      <c r="N88" s="317">
        <v>0</v>
      </c>
      <c r="O88" s="317">
        <v>0</v>
      </c>
      <c r="P88" s="317">
        <v>0</v>
      </c>
      <c r="Q88" s="317">
        <v>0</v>
      </c>
      <c r="R88" s="317">
        <v>-685403</v>
      </c>
      <c r="S88" s="317">
        <v>0</v>
      </c>
      <c r="T88" s="317">
        <v>0</v>
      </c>
      <c r="U88" s="317">
        <v>0</v>
      </c>
      <c r="V88" s="317">
        <v>0</v>
      </c>
      <c r="W88" s="317">
        <v>97622</v>
      </c>
      <c r="X88" s="317">
        <v>0</v>
      </c>
      <c r="Y88" s="317">
        <v>0</v>
      </c>
      <c r="Z88" s="317">
        <v>0</v>
      </c>
      <c r="AA88" s="317">
        <v>0</v>
      </c>
      <c r="AB88" s="317">
        <v>17055748</v>
      </c>
      <c r="AC88" s="317">
        <v>0</v>
      </c>
      <c r="AD88" s="317">
        <v>0</v>
      </c>
      <c r="AE88" s="317">
        <v>0</v>
      </c>
      <c r="AF88" s="317">
        <v>0</v>
      </c>
      <c r="AG88" s="317">
        <v>5890264</v>
      </c>
      <c r="AH88" s="317">
        <v>0</v>
      </c>
      <c r="AI88" s="317">
        <v>0</v>
      </c>
      <c r="AJ88" s="317">
        <v>0</v>
      </c>
      <c r="AK88" s="317">
        <v>0</v>
      </c>
      <c r="AL88" s="317">
        <v>11779528</v>
      </c>
      <c r="AM88" s="317">
        <v>0</v>
      </c>
      <c r="AN88" s="317">
        <v>0</v>
      </c>
      <c r="AO88" s="317">
        <v>0</v>
      </c>
      <c r="AP88" s="317">
        <v>0</v>
      </c>
      <c r="AQ88" s="317">
        <v>722710</v>
      </c>
      <c r="AR88" s="317">
        <v>0</v>
      </c>
      <c r="AS88" s="317">
        <v>0</v>
      </c>
      <c r="AT88" s="317">
        <v>0</v>
      </c>
      <c r="AU88" s="317">
        <v>0</v>
      </c>
      <c r="AV88" s="317">
        <v>-19576600</v>
      </c>
      <c r="AW88" s="317">
        <v>0</v>
      </c>
      <c r="AX88" s="317">
        <v>0</v>
      </c>
      <c r="AY88" s="317">
        <v>0</v>
      </c>
      <c r="AZ88" s="317">
        <v>0</v>
      </c>
      <c r="BA88" s="317">
        <v>-20282793</v>
      </c>
      <c r="BB88" s="317">
        <v>0</v>
      </c>
      <c r="BC88" s="317">
        <v>0</v>
      </c>
      <c r="BD88" s="317">
        <v>0</v>
      </c>
      <c r="BE88" s="317">
        <v>0</v>
      </c>
      <c r="BF88" s="317">
        <v>39151262</v>
      </c>
      <c r="BG88" s="317">
        <v>0</v>
      </c>
      <c r="BH88" s="317">
        <v>0</v>
      </c>
      <c r="BI88" s="317">
        <v>0</v>
      </c>
      <c r="BJ88" s="317">
        <v>0</v>
      </c>
      <c r="BK88" s="317">
        <v>-25073273</v>
      </c>
      <c r="BL88" s="317">
        <v>0</v>
      </c>
      <c r="BM88" s="317">
        <v>0</v>
      </c>
      <c r="BN88" s="317">
        <v>0</v>
      </c>
      <c r="BO88" s="317">
        <v>0</v>
      </c>
      <c r="BP88" s="317">
        <v>-25180568</v>
      </c>
      <c r="BQ88" s="317">
        <v>0</v>
      </c>
      <c r="BR88" s="317">
        <v>0</v>
      </c>
      <c r="BS88" s="317">
        <v>0</v>
      </c>
      <c r="BT88" s="317">
        <v>0</v>
      </c>
      <c r="BU88" s="317">
        <v>28305076</v>
      </c>
      <c r="BV88" s="317"/>
      <c r="BW88" s="317"/>
      <c r="BX88" s="317"/>
      <c r="BY88" s="317"/>
      <c r="EP88" s="315"/>
    </row>
    <row r="89" spans="2:146" hidden="1" x14ac:dyDescent="0.2">
      <c r="M89" s="317">
        <v>-8497467</v>
      </c>
      <c r="N89" s="317">
        <v>0</v>
      </c>
      <c r="O89" s="317">
        <v>0</v>
      </c>
      <c r="P89" s="317">
        <v>0</v>
      </c>
      <c r="Q89" s="317">
        <v>0</v>
      </c>
      <c r="R89" s="317">
        <v>-794622</v>
      </c>
      <c r="S89" s="317">
        <v>0</v>
      </c>
      <c r="T89" s="317">
        <v>0</v>
      </c>
      <c r="U89" s="317">
        <v>0</v>
      </c>
      <c r="V89" s="317">
        <v>0</v>
      </c>
      <c r="W89" s="317">
        <v>1818932</v>
      </c>
      <c r="X89" s="317">
        <v>0</v>
      </c>
      <c r="Y89" s="317">
        <v>0</v>
      </c>
      <c r="Z89" s="317">
        <v>0</v>
      </c>
      <c r="AA89" s="317">
        <v>0</v>
      </c>
      <c r="AB89" s="317">
        <v>19399721</v>
      </c>
      <c r="AC89" s="317">
        <v>0</v>
      </c>
      <c r="AD89" s="317">
        <v>0</v>
      </c>
      <c r="AE89" s="317">
        <v>0</v>
      </c>
      <c r="AF89" s="317">
        <v>0</v>
      </c>
      <c r="AG89" s="317">
        <v>7888697</v>
      </c>
      <c r="AH89" s="317">
        <v>0</v>
      </c>
      <c r="AI89" s="317">
        <v>0</v>
      </c>
      <c r="AJ89" s="317">
        <v>0</v>
      </c>
      <c r="AK89" s="317">
        <v>0</v>
      </c>
      <c r="AL89" s="317">
        <v>13609131</v>
      </c>
      <c r="AM89" s="317">
        <v>0</v>
      </c>
      <c r="AN89" s="317">
        <v>0</v>
      </c>
      <c r="AO89" s="317">
        <v>0</v>
      </c>
      <c r="AP89" s="317">
        <v>0</v>
      </c>
      <c r="AQ89" s="317">
        <v>643936</v>
      </c>
      <c r="AR89" s="317">
        <v>0</v>
      </c>
      <c r="AS89" s="317">
        <v>0</v>
      </c>
      <c r="AT89" s="317">
        <v>0</v>
      </c>
      <c r="AU89" s="317">
        <v>0</v>
      </c>
      <c r="AV89" s="317">
        <v>-23303905</v>
      </c>
      <c r="AW89" s="317">
        <v>0</v>
      </c>
      <c r="AX89" s="317">
        <v>0</v>
      </c>
      <c r="AY89" s="317">
        <v>0</v>
      </c>
      <c r="AZ89" s="317">
        <v>0</v>
      </c>
      <c r="BA89" s="317">
        <v>-24962859</v>
      </c>
      <c r="BB89" s="317">
        <v>0</v>
      </c>
      <c r="BC89" s="317">
        <v>0</v>
      </c>
      <c r="BD89" s="317">
        <v>0</v>
      </c>
      <c r="BE89" s="317">
        <v>0</v>
      </c>
      <c r="BF89" s="317">
        <v>-21654275</v>
      </c>
      <c r="BG89" s="317">
        <v>0</v>
      </c>
      <c r="BH89" s="317">
        <v>0</v>
      </c>
      <c r="BI89" s="317">
        <v>0</v>
      </c>
      <c r="BJ89" s="317">
        <v>0</v>
      </c>
      <c r="BK89" s="317">
        <v>-28691924</v>
      </c>
      <c r="BL89" s="317">
        <v>0</v>
      </c>
      <c r="BM89" s="317">
        <v>0</v>
      </c>
      <c r="BN89" s="317">
        <v>0</v>
      </c>
      <c r="BO89" s="317">
        <v>0</v>
      </c>
      <c r="BP89" s="317">
        <v>-28529070</v>
      </c>
      <c r="BQ89" s="317">
        <v>0</v>
      </c>
      <c r="BR89" s="317">
        <v>0</v>
      </c>
      <c r="BS89" s="317">
        <v>0</v>
      </c>
      <c r="BT89" s="317">
        <v>0</v>
      </c>
      <c r="BU89" s="317">
        <v>34068328</v>
      </c>
      <c r="BV89" s="317"/>
      <c r="EP89" s="315"/>
    </row>
    <row r="90" spans="2:146" hidden="1" x14ac:dyDescent="0.2">
      <c r="M90" s="317">
        <v>2287368</v>
      </c>
      <c r="N90" s="317">
        <v>0</v>
      </c>
      <c r="O90" s="317">
        <v>0</v>
      </c>
      <c r="P90" s="317">
        <v>0</v>
      </c>
      <c r="Q90" s="317">
        <v>0</v>
      </c>
      <c r="R90" s="317">
        <v>129454</v>
      </c>
      <c r="S90" s="317">
        <v>0</v>
      </c>
      <c r="T90" s="317">
        <v>0</v>
      </c>
      <c r="U90" s="317">
        <v>0</v>
      </c>
      <c r="V90" s="317">
        <v>0</v>
      </c>
      <c r="W90" s="317">
        <v>-1502564</v>
      </c>
      <c r="X90" s="317">
        <v>0</v>
      </c>
      <c r="Y90" s="317">
        <v>0</v>
      </c>
      <c r="Z90" s="317">
        <v>0</v>
      </c>
      <c r="AA90" s="317">
        <v>0</v>
      </c>
      <c r="AB90" s="317">
        <v>-2134378</v>
      </c>
      <c r="AC90" s="317">
        <v>0</v>
      </c>
      <c r="AD90" s="317">
        <v>0</v>
      </c>
      <c r="AE90" s="317">
        <v>0</v>
      </c>
      <c r="AF90" s="317">
        <v>0</v>
      </c>
      <c r="AG90" s="317">
        <v>-1459595</v>
      </c>
      <c r="AH90" s="317">
        <v>0</v>
      </c>
      <c r="AI90" s="317">
        <v>0</v>
      </c>
      <c r="AJ90" s="317">
        <v>0</v>
      </c>
      <c r="AK90" s="317">
        <v>0</v>
      </c>
      <c r="AL90" s="317">
        <v>-1506772</v>
      </c>
      <c r="AM90" s="317">
        <v>0</v>
      </c>
      <c r="AN90" s="317">
        <v>0</v>
      </c>
      <c r="AO90" s="317">
        <v>0</v>
      </c>
      <c r="AP90" s="317">
        <v>0</v>
      </c>
      <c r="AQ90" s="317">
        <v>304560</v>
      </c>
      <c r="AR90" s="317">
        <v>0</v>
      </c>
      <c r="AS90" s="317">
        <v>0</v>
      </c>
      <c r="AT90" s="317">
        <v>0</v>
      </c>
      <c r="AU90" s="317">
        <v>0</v>
      </c>
      <c r="AV90" s="317">
        <v>3339881</v>
      </c>
      <c r="AW90" s="317">
        <v>0</v>
      </c>
      <c r="AX90" s="317">
        <v>0</v>
      </c>
      <c r="AY90" s="317">
        <v>0</v>
      </c>
      <c r="AZ90" s="317">
        <v>0</v>
      </c>
      <c r="BA90" s="317">
        <v>4186870</v>
      </c>
      <c r="BB90" s="317">
        <v>0</v>
      </c>
      <c r="BC90" s="317">
        <v>0</v>
      </c>
      <c r="BD90" s="317">
        <v>0</v>
      </c>
      <c r="BE90" s="317">
        <v>0</v>
      </c>
      <c r="BF90" s="317">
        <v>2875651</v>
      </c>
      <c r="BG90" s="317">
        <v>0</v>
      </c>
      <c r="BH90" s="317">
        <v>0</v>
      </c>
      <c r="BI90" s="317">
        <v>0</v>
      </c>
      <c r="BJ90" s="317">
        <v>0</v>
      </c>
      <c r="BK90" s="317">
        <v>3208682</v>
      </c>
      <c r="BL90" s="317">
        <v>0</v>
      </c>
      <c r="BM90" s="317">
        <v>0</v>
      </c>
      <c r="BN90" s="317">
        <v>0</v>
      </c>
      <c r="BO90" s="317">
        <v>0</v>
      </c>
      <c r="BP90" s="317">
        <v>3095740</v>
      </c>
      <c r="BQ90" s="317">
        <v>0</v>
      </c>
      <c r="BR90" s="317">
        <v>0</v>
      </c>
      <c r="BS90" s="317">
        <v>0</v>
      </c>
      <c r="BT90" s="317">
        <v>0</v>
      </c>
      <c r="BU90" s="317">
        <v>-3881927</v>
      </c>
      <c r="BV90" s="317"/>
      <c r="EP90" s="315"/>
    </row>
    <row r="91" spans="2:146" hidden="1" x14ac:dyDescent="0.2">
      <c r="M91" s="317" t="e">
        <v>#REF!</v>
      </c>
      <c r="N91" s="317" t="e">
        <v>#REF!</v>
      </c>
      <c r="O91" s="317" t="e">
        <v>#REF!</v>
      </c>
      <c r="P91" s="317" t="e">
        <v>#REF!</v>
      </c>
      <c r="Q91" s="317" t="e">
        <v>#REF!</v>
      </c>
      <c r="R91" s="317" t="e">
        <v>#REF!</v>
      </c>
      <c r="S91" s="317" t="e">
        <v>#REF!</v>
      </c>
      <c r="T91" s="317" t="e">
        <v>#REF!</v>
      </c>
      <c r="U91" s="317" t="e">
        <v>#REF!</v>
      </c>
      <c r="V91" s="317" t="e">
        <v>#REF!</v>
      </c>
      <c r="W91" s="317" t="e">
        <v>#REF!</v>
      </c>
      <c r="X91" s="317" t="e">
        <v>#REF!</v>
      </c>
      <c r="Y91" s="317" t="e">
        <v>#REF!</v>
      </c>
      <c r="Z91" s="317" t="e">
        <v>#REF!</v>
      </c>
      <c r="AA91" s="317" t="e">
        <v>#REF!</v>
      </c>
      <c r="AB91" s="317" t="e">
        <v>#REF!</v>
      </c>
      <c r="AC91" s="317" t="e">
        <v>#REF!</v>
      </c>
      <c r="AD91" s="317" t="e">
        <v>#REF!</v>
      </c>
      <c r="AE91" s="317" t="e">
        <v>#REF!</v>
      </c>
      <c r="AF91" s="317" t="e">
        <v>#REF!</v>
      </c>
      <c r="AG91" s="317" t="e">
        <v>#REF!</v>
      </c>
      <c r="AH91" s="317" t="e">
        <v>#REF!</v>
      </c>
      <c r="AI91" s="317" t="e">
        <v>#REF!</v>
      </c>
      <c r="AJ91" s="317" t="e">
        <v>#REF!</v>
      </c>
      <c r="AK91" s="317" t="e">
        <v>#REF!</v>
      </c>
      <c r="AL91" s="317" t="e">
        <v>#REF!</v>
      </c>
      <c r="AM91" s="317" t="e">
        <v>#REF!</v>
      </c>
      <c r="AN91" s="317" t="e">
        <v>#REF!</v>
      </c>
      <c r="AO91" s="317" t="e">
        <v>#REF!</v>
      </c>
      <c r="AP91" s="317" t="e">
        <v>#REF!</v>
      </c>
      <c r="AQ91" s="317" t="e">
        <v>#REF!</v>
      </c>
      <c r="AR91" s="317" t="e">
        <v>#REF!</v>
      </c>
      <c r="AS91" s="317" t="e">
        <v>#REF!</v>
      </c>
      <c r="AT91" s="317" t="e">
        <v>#REF!</v>
      </c>
      <c r="AU91" s="317" t="e">
        <v>#REF!</v>
      </c>
      <c r="AV91" s="317" t="e">
        <v>#REF!</v>
      </c>
      <c r="AW91" s="317" t="e">
        <v>#REF!</v>
      </c>
      <c r="AX91" s="317" t="e">
        <v>#REF!</v>
      </c>
      <c r="AY91" s="317" t="e">
        <v>#REF!</v>
      </c>
      <c r="AZ91" s="317" t="e">
        <v>#REF!</v>
      </c>
      <c r="BA91" s="317" t="e">
        <v>#REF!</v>
      </c>
      <c r="BB91" s="317" t="e">
        <v>#REF!</v>
      </c>
      <c r="BC91" s="317" t="e">
        <v>#REF!</v>
      </c>
      <c r="BD91" s="317" t="e">
        <v>#REF!</v>
      </c>
      <c r="BE91" s="317" t="e">
        <v>#REF!</v>
      </c>
      <c r="BF91" s="317" t="e">
        <v>#REF!</v>
      </c>
      <c r="BG91" s="317" t="e">
        <v>#REF!</v>
      </c>
      <c r="BH91" s="317" t="e">
        <v>#REF!</v>
      </c>
      <c r="BI91" s="317" t="e">
        <v>#REF!</v>
      </c>
      <c r="BJ91" s="317" t="e">
        <v>#REF!</v>
      </c>
      <c r="BK91" s="317" t="e">
        <v>#REF!</v>
      </c>
      <c r="BL91" s="317" t="e">
        <v>#REF!</v>
      </c>
      <c r="BM91" s="317" t="e">
        <v>#REF!</v>
      </c>
      <c r="BN91" s="317" t="e">
        <v>#REF!</v>
      </c>
      <c r="BO91" s="317" t="e">
        <v>#REF!</v>
      </c>
      <c r="BP91" s="317" t="e">
        <v>#REF!</v>
      </c>
      <c r="BQ91" s="317" t="e">
        <v>#REF!</v>
      </c>
      <c r="BR91" s="317" t="e">
        <v>#REF!</v>
      </c>
      <c r="BS91" s="317" t="e">
        <v>#REF!</v>
      </c>
      <c r="BT91" s="317" t="e">
        <v>#REF!</v>
      </c>
      <c r="BU91" s="317" t="e">
        <v>#REF!</v>
      </c>
      <c r="BV91" s="317"/>
      <c r="EP91" s="315"/>
    </row>
    <row r="92" spans="2:146" hidden="1" x14ac:dyDescent="0.2">
      <c r="M92" s="317">
        <v>-345294</v>
      </c>
      <c r="N92" s="317">
        <v>0</v>
      </c>
      <c r="O92" s="317">
        <v>0</v>
      </c>
      <c r="P92" s="317">
        <v>0</v>
      </c>
      <c r="Q92" s="317">
        <v>0</v>
      </c>
      <c r="R92" s="317">
        <v>-20235</v>
      </c>
      <c r="S92" s="317">
        <v>0</v>
      </c>
      <c r="T92" s="317">
        <v>0</v>
      </c>
      <c r="U92" s="317">
        <v>0</v>
      </c>
      <c r="V92" s="317">
        <v>0</v>
      </c>
      <c r="W92" s="317">
        <v>-218746</v>
      </c>
      <c r="X92" s="317">
        <v>0</v>
      </c>
      <c r="Y92" s="317">
        <v>0</v>
      </c>
      <c r="Z92" s="317">
        <v>0</v>
      </c>
      <c r="AA92" s="317">
        <v>0</v>
      </c>
      <c r="AB92" s="317">
        <v>-209595</v>
      </c>
      <c r="AC92" s="317">
        <v>0</v>
      </c>
      <c r="AD92" s="317">
        <v>0</v>
      </c>
      <c r="AE92" s="317">
        <v>0</v>
      </c>
      <c r="AF92" s="317">
        <v>0</v>
      </c>
      <c r="AG92" s="317">
        <v>-538838</v>
      </c>
      <c r="AH92" s="317">
        <v>0</v>
      </c>
      <c r="AI92" s="317">
        <v>0</v>
      </c>
      <c r="AJ92" s="317">
        <v>0</v>
      </c>
      <c r="AK92" s="317">
        <v>0</v>
      </c>
      <c r="AL92" s="317">
        <v>-322831</v>
      </c>
      <c r="AM92" s="317">
        <v>0</v>
      </c>
      <c r="AN92" s="317">
        <v>0</v>
      </c>
      <c r="AO92" s="317">
        <v>0</v>
      </c>
      <c r="AP92" s="317">
        <v>0</v>
      </c>
      <c r="AQ92" s="317">
        <v>-225786</v>
      </c>
      <c r="AR92" s="317">
        <v>0</v>
      </c>
      <c r="AS92" s="317">
        <v>0</v>
      </c>
      <c r="AT92" s="317">
        <v>0</v>
      </c>
      <c r="AU92" s="317">
        <v>0</v>
      </c>
      <c r="AV92" s="317">
        <v>387424</v>
      </c>
      <c r="AW92" s="317">
        <v>0</v>
      </c>
      <c r="AX92" s="317">
        <v>0</v>
      </c>
      <c r="AY92" s="317">
        <v>0</v>
      </c>
      <c r="AZ92" s="317">
        <v>0</v>
      </c>
      <c r="BA92" s="317">
        <v>493196</v>
      </c>
      <c r="BB92" s="317">
        <v>0</v>
      </c>
      <c r="BC92" s="317">
        <v>0</v>
      </c>
      <c r="BD92" s="317">
        <v>0</v>
      </c>
      <c r="BE92" s="317">
        <v>0</v>
      </c>
      <c r="BF92" s="317">
        <v>57929886</v>
      </c>
      <c r="BG92" s="317">
        <v>0</v>
      </c>
      <c r="BH92" s="317">
        <v>0</v>
      </c>
      <c r="BI92" s="317">
        <v>0</v>
      </c>
      <c r="BJ92" s="317">
        <v>0</v>
      </c>
      <c r="BK92" s="317">
        <v>409969</v>
      </c>
      <c r="BL92" s="317">
        <v>0</v>
      </c>
      <c r="BM92" s="317">
        <v>0</v>
      </c>
      <c r="BN92" s="317">
        <v>0</v>
      </c>
      <c r="BO92" s="317">
        <v>0</v>
      </c>
      <c r="BP92" s="317">
        <v>252762</v>
      </c>
      <c r="BQ92" s="317">
        <v>0</v>
      </c>
      <c r="BR92" s="317">
        <v>0</v>
      </c>
      <c r="BS92" s="317">
        <v>0</v>
      </c>
      <c r="BT92" s="317">
        <v>0</v>
      </c>
      <c r="BU92" s="317">
        <v>-1881325</v>
      </c>
      <c r="BV92" s="317"/>
      <c r="EP92" s="315"/>
    </row>
    <row r="93" spans="2:146" hidden="1" x14ac:dyDescent="0.2">
      <c r="M93" s="317">
        <v>0</v>
      </c>
      <c r="N93" s="317">
        <v>0</v>
      </c>
      <c r="O93" s="317">
        <v>0</v>
      </c>
      <c r="P93" s="317">
        <v>0</v>
      </c>
      <c r="Q93" s="317">
        <v>0</v>
      </c>
      <c r="R93" s="317">
        <v>0</v>
      </c>
      <c r="S93" s="317">
        <v>0</v>
      </c>
      <c r="T93" s="317">
        <v>0</v>
      </c>
      <c r="U93" s="317">
        <v>0</v>
      </c>
      <c r="V93" s="317">
        <v>0</v>
      </c>
      <c r="W93" s="317">
        <v>0</v>
      </c>
      <c r="X93" s="317">
        <v>0</v>
      </c>
      <c r="Y93" s="317">
        <v>0</v>
      </c>
      <c r="Z93" s="317">
        <v>0</v>
      </c>
      <c r="AA93" s="317">
        <v>0</v>
      </c>
      <c r="AB93" s="317">
        <v>0</v>
      </c>
      <c r="AC93" s="317">
        <v>0</v>
      </c>
      <c r="AD93" s="317">
        <v>0</v>
      </c>
      <c r="AE93" s="317">
        <v>0</v>
      </c>
      <c r="AF93" s="317">
        <v>0</v>
      </c>
      <c r="AG93" s="317">
        <v>0</v>
      </c>
      <c r="AH93" s="317">
        <v>0</v>
      </c>
      <c r="AI93" s="317">
        <v>0</v>
      </c>
      <c r="AJ93" s="317">
        <v>0</v>
      </c>
      <c r="AK93" s="317">
        <v>0</v>
      </c>
      <c r="AL93" s="317">
        <v>0</v>
      </c>
      <c r="AM93" s="317">
        <v>0</v>
      </c>
      <c r="AN93" s="317">
        <v>0</v>
      </c>
      <c r="AO93" s="317">
        <v>0</v>
      </c>
      <c r="AP93" s="317">
        <v>0</v>
      </c>
      <c r="AQ93" s="317">
        <v>0</v>
      </c>
      <c r="AR93" s="317">
        <v>0</v>
      </c>
      <c r="AS93" s="317">
        <v>0</v>
      </c>
      <c r="AT93" s="317">
        <v>0</v>
      </c>
      <c r="AU93" s="317">
        <v>0</v>
      </c>
      <c r="AV93" s="317">
        <v>0</v>
      </c>
      <c r="AW93" s="317">
        <v>0</v>
      </c>
      <c r="AX93" s="317">
        <v>0</v>
      </c>
      <c r="AY93" s="317">
        <v>0</v>
      </c>
      <c r="AZ93" s="317">
        <v>0</v>
      </c>
      <c r="BA93" s="317">
        <v>0</v>
      </c>
      <c r="BB93" s="317">
        <v>0</v>
      </c>
      <c r="BC93" s="317">
        <v>0</v>
      </c>
      <c r="BD93" s="317">
        <v>0</v>
      </c>
      <c r="BE93" s="317">
        <v>0</v>
      </c>
      <c r="BF93" s="317">
        <v>0</v>
      </c>
      <c r="BG93" s="317">
        <v>0</v>
      </c>
      <c r="BH93" s="317">
        <v>0</v>
      </c>
      <c r="BI93" s="317">
        <v>0</v>
      </c>
      <c r="BJ93" s="317">
        <v>0</v>
      </c>
      <c r="BK93" s="317">
        <v>0</v>
      </c>
      <c r="BL93" s="317">
        <v>0</v>
      </c>
      <c r="BM93" s="317">
        <v>0</v>
      </c>
      <c r="BN93" s="317">
        <v>0</v>
      </c>
      <c r="BO93" s="317">
        <v>0</v>
      </c>
      <c r="BP93" s="317">
        <v>0</v>
      </c>
      <c r="BQ93" s="317">
        <v>0</v>
      </c>
      <c r="BR93" s="317">
        <v>0</v>
      </c>
      <c r="BS93" s="317">
        <v>0</v>
      </c>
      <c r="BT93" s="317">
        <v>0</v>
      </c>
      <c r="BU93" s="317">
        <v>0</v>
      </c>
      <c r="BV93" s="317"/>
      <c r="EP93" s="315"/>
    </row>
    <row r="94" spans="2:146" hidden="1" x14ac:dyDescent="0.2">
      <c r="M94" s="317">
        <v>0</v>
      </c>
      <c r="N94" s="317">
        <v>0</v>
      </c>
      <c r="O94" s="317">
        <v>0</v>
      </c>
      <c r="P94" s="317">
        <v>0</v>
      </c>
      <c r="Q94" s="317">
        <v>0</v>
      </c>
      <c r="R94" s="317">
        <v>0</v>
      </c>
      <c r="S94" s="317">
        <v>0</v>
      </c>
      <c r="T94" s="317">
        <v>0</v>
      </c>
      <c r="U94" s="317">
        <v>0</v>
      </c>
      <c r="V94" s="317">
        <v>0</v>
      </c>
      <c r="W94" s="317">
        <v>0</v>
      </c>
      <c r="X94" s="317">
        <v>0</v>
      </c>
      <c r="Y94" s="317">
        <v>0</v>
      </c>
      <c r="Z94" s="317">
        <v>0</v>
      </c>
      <c r="AA94" s="317">
        <v>0</v>
      </c>
      <c r="AB94" s="317">
        <v>0</v>
      </c>
      <c r="AC94" s="317">
        <v>0</v>
      </c>
      <c r="AD94" s="317">
        <v>0</v>
      </c>
      <c r="AE94" s="317">
        <v>0</v>
      </c>
      <c r="AF94" s="317">
        <v>0</v>
      </c>
      <c r="AG94" s="317">
        <v>0</v>
      </c>
      <c r="AH94" s="317">
        <v>0</v>
      </c>
      <c r="AI94" s="317">
        <v>0</v>
      </c>
      <c r="AJ94" s="317">
        <v>0</v>
      </c>
      <c r="AK94" s="317">
        <v>0</v>
      </c>
      <c r="AL94" s="317">
        <v>0</v>
      </c>
      <c r="AM94" s="317">
        <v>0</v>
      </c>
      <c r="AN94" s="317">
        <v>0</v>
      </c>
      <c r="AO94" s="317">
        <v>0</v>
      </c>
      <c r="AP94" s="317">
        <v>0</v>
      </c>
      <c r="AQ94" s="317">
        <v>0</v>
      </c>
      <c r="AR94" s="317">
        <v>0</v>
      </c>
      <c r="AS94" s="317">
        <v>0</v>
      </c>
      <c r="AT94" s="317">
        <v>0</v>
      </c>
      <c r="AU94" s="317">
        <v>0</v>
      </c>
      <c r="AV94" s="317">
        <v>0</v>
      </c>
      <c r="AW94" s="317">
        <v>0</v>
      </c>
      <c r="AX94" s="317">
        <v>0</v>
      </c>
      <c r="AY94" s="317">
        <v>0</v>
      </c>
      <c r="AZ94" s="317">
        <v>0</v>
      </c>
      <c r="BA94" s="317">
        <v>0</v>
      </c>
      <c r="BB94" s="317">
        <v>0</v>
      </c>
      <c r="BC94" s="317">
        <v>0</v>
      </c>
      <c r="BD94" s="317">
        <v>0</v>
      </c>
      <c r="BE94" s="317">
        <v>0</v>
      </c>
      <c r="BF94" s="317">
        <v>0</v>
      </c>
      <c r="BG94" s="317">
        <v>0</v>
      </c>
      <c r="BH94" s="317">
        <v>0</v>
      </c>
      <c r="BI94" s="317">
        <v>0</v>
      </c>
      <c r="BJ94" s="317">
        <v>0</v>
      </c>
      <c r="BK94" s="317">
        <v>0</v>
      </c>
      <c r="BL94" s="317">
        <v>0</v>
      </c>
      <c r="BM94" s="317">
        <v>0</v>
      </c>
      <c r="BN94" s="317">
        <v>0</v>
      </c>
      <c r="BO94" s="317">
        <v>0</v>
      </c>
      <c r="BP94" s="317">
        <v>0</v>
      </c>
      <c r="BQ94" s="317">
        <v>0</v>
      </c>
      <c r="BR94" s="317">
        <v>0</v>
      </c>
      <c r="BS94" s="317">
        <v>0</v>
      </c>
      <c r="BT94" s="317">
        <v>0</v>
      </c>
      <c r="BU94" s="317">
        <v>0</v>
      </c>
      <c r="BV94" s="317"/>
      <c r="EP94" s="315"/>
    </row>
    <row r="95" spans="2:146" hidden="1" x14ac:dyDescent="0.2">
      <c r="M95" s="317">
        <v>-85473</v>
      </c>
      <c r="N95" s="317">
        <v>0</v>
      </c>
      <c r="O95" s="317">
        <v>0</v>
      </c>
      <c r="P95" s="317">
        <v>0</v>
      </c>
      <c r="Q95" s="317">
        <v>0</v>
      </c>
      <c r="R95" s="317">
        <v>-38248</v>
      </c>
      <c r="S95" s="317">
        <v>0</v>
      </c>
      <c r="T95" s="317">
        <v>0</v>
      </c>
      <c r="U95" s="317">
        <v>0</v>
      </c>
      <c r="V95" s="317">
        <v>0</v>
      </c>
      <c r="W95" s="317">
        <v>-45462</v>
      </c>
      <c r="X95" s="317">
        <v>0</v>
      </c>
      <c r="Y95" s="317">
        <v>0</v>
      </c>
      <c r="Z95" s="317">
        <v>0</v>
      </c>
      <c r="AA95" s="317">
        <v>0</v>
      </c>
      <c r="AB95" s="317">
        <v>-19525</v>
      </c>
      <c r="AC95" s="317">
        <v>0</v>
      </c>
      <c r="AD95" s="317">
        <v>0</v>
      </c>
      <c r="AE95" s="317">
        <v>0</v>
      </c>
      <c r="AF95" s="317">
        <v>0</v>
      </c>
      <c r="AG95" s="317">
        <v>-115193</v>
      </c>
      <c r="AH95" s="317">
        <v>0</v>
      </c>
      <c r="AI95" s="317">
        <v>0</v>
      </c>
      <c r="AJ95" s="317">
        <v>0</v>
      </c>
      <c r="AK95" s="317">
        <v>0</v>
      </c>
      <c r="AL95" s="317">
        <v>160044</v>
      </c>
      <c r="AM95" s="317">
        <v>0</v>
      </c>
      <c r="AN95" s="317">
        <v>0</v>
      </c>
      <c r="AO95" s="317">
        <v>0</v>
      </c>
      <c r="AP95" s="317">
        <v>0</v>
      </c>
      <c r="AQ95" s="317">
        <v>-74963</v>
      </c>
      <c r="AR95" s="317">
        <v>0</v>
      </c>
      <c r="AS95" s="317">
        <v>0</v>
      </c>
      <c r="AT95" s="317">
        <v>0</v>
      </c>
      <c r="AU95" s="317">
        <v>0</v>
      </c>
      <c r="AV95" s="317">
        <v>-28631</v>
      </c>
      <c r="AW95" s="317">
        <v>0</v>
      </c>
      <c r="AX95" s="317">
        <v>0</v>
      </c>
      <c r="AY95" s="317">
        <v>0</v>
      </c>
      <c r="AZ95" s="317">
        <v>0</v>
      </c>
      <c r="BA95" s="317">
        <v>-13329</v>
      </c>
      <c r="BB95" s="317">
        <v>0</v>
      </c>
      <c r="BC95" s="317">
        <v>0</v>
      </c>
      <c r="BD95" s="317">
        <v>0</v>
      </c>
      <c r="BE95" s="317">
        <v>0</v>
      </c>
      <c r="BF95" s="317">
        <v>-12244</v>
      </c>
      <c r="BG95" s="317">
        <v>0</v>
      </c>
      <c r="BH95" s="317">
        <v>0</v>
      </c>
      <c r="BI95" s="317">
        <v>0</v>
      </c>
      <c r="BJ95" s="317">
        <v>0</v>
      </c>
      <c r="BK95" s="317">
        <v>-124085</v>
      </c>
      <c r="BL95" s="317">
        <v>0</v>
      </c>
      <c r="BM95" s="317">
        <v>0</v>
      </c>
      <c r="BN95" s="317">
        <v>0</v>
      </c>
      <c r="BO95" s="317">
        <v>0</v>
      </c>
      <c r="BP95" s="317">
        <v>121970</v>
      </c>
      <c r="BQ95" s="317">
        <v>0</v>
      </c>
      <c r="BR95" s="317">
        <v>0</v>
      </c>
      <c r="BS95" s="317">
        <v>0</v>
      </c>
      <c r="BT95" s="317">
        <v>0</v>
      </c>
      <c r="BU95" s="317">
        <v>-218820</v>
      </c>
      <c r="BV95" s="317"/>
      <c r="EP95" s="315"/>
    </row>
    <row r="96" spans="2:146" hidden="1" x14ac:dyDescent="0.2">
      <c r="M96" s="317">
        <v>-8253520</v>
      </c>
      <c r="N96" s="317">
        <v>0</v>
      </c>
      <c r="O96" s="317">
        <v>0</v>
      </c>
      <c r="P96" s="317">
        <v>0</v>
      </c>
      <c r="Q96" s="317">
        <v>0</v>
      </c>
      <c r="R96" s="317">
        <v>286578</v>
      </c>
      <c r="S96" s="317">
        <v>0</v>
      </c>
      <c r="T96" s="317">
        <v>0</v>
      </c>
      <c r="U96" s="317">
        <v>0</v>
      </c>
      <c r="V96" s="317">
        <v>0</v>
      </c>
      <c r="W96" s="317">
        <v>-6299769</v>
      </c>
      <c r="X96" s="317">
        <v>0</v>
      </c>
      <c r="Y96" s="317">
        <v>0</v>
      </c>
      <c r="Z96" s="317">
        <v>0</v>
      </c>
      <c r="AA96" s="317">
        <v>0</v>
      </c>
      <c r="AB96" s="317">
        <v>-3456518</v>
      </c>
      <c r="AC96" s="317">
        <v>0</v>
      </c>
      <c r="AD96" s="317">
        <v>0</v>
      </c>
      <c r="AE96" s="317">
        <v>0</v>
      </c>
      <c r="AF96" s="317">
        <v>0</v>
      </c>
      <c r="AG96" s="317">
        <v>-4835965</v>
      </c>
      <c r="AH96" s="317">
        <v>0</v>
      </c>
      <c r="AI96" s="317">
        <v>0</v>
      </c>
      <c r="AJ96" s="317">
        <v>0</v>
      </c>
      <c r="AK96" s="317">
        <v>0</v>
      </c>
      <c r="AL96" s="317">
        <v>-2187184</v>
      </c>
      <c r="AM96" s="317">
        <v>0</v>
      </c>
      <c r="AN96" s="317">
        <v>0</v>
      </c>
      <c r="AO96" s="317">
        <v>0</v>
      </c>
      <c r="AP96" s="317">
        <v>0</v>
      </c>
      <c r="AQ96" s="317">
        <v>-5017820</v>
      </c>
      <c r="AR96" s="317">
        <v>0</v>
      </c>
      <c r="AS96" s="317">
        <v>0</v>
      </c>
      <c r="AT96" s="317">
        <v>0</v>
      </c>
      <c r="AU96" s="317">
        <v>0</v>
      </c>
      <c r="AV96" s="317">
        <v>-4108885</v>
      </c>
      <c r="AW96" s="317">
        <v>0</v>
      </c>
      <c r="AX96" s="317">
        <v>0</v>
      </c>
      <c r="AY96" s="317">
        <v>0</v>
      </c>
      <c r="AZ96" s="317">
        <v>0</v>
      </c>
      <c r="BA96" s="317">
        <v>-3708680</v>
      </c>
      <c r="BB96" s="317">
        <v>0</v>
      </c>
      <c r="BC96" s="317">
        <v>0</v>
      </c>
      <c r="BD96" s="317">
        <v>0</v>
      </c>
      <c r="BE96" s="317">
        <v>0</v>
      </c>
      <c r="BF96" s="317">
        <v>-2673022</v>
      </c>
      <c r="BG96" s="317">
        <v>0</v>
      </c>
      <c r="BH96" s="317">
        <v>0</v>
      </c>
      <c r="BI96" s="317">
        <v>0</v>
      </c>
      <c r="BJ96" s="317">
        <v>0</v>
      </c>
      <c r="BK96" s="317">
        <v>-3014010</v>
      </c>
      <c r="BL96" s="317">
        <v>0</v>
      </c>
      <c r="BM96" s="317">
        <v>0</v>
      </c>
      <c r="BN96" s="317">
        <v>0</v>
      </c>
      <c r="BO96" s="317">
        <v>0</v>
      </c>
      <c r="BP96" s="317">
        <v>-1829008</v>
      </c>
      <c r="BQ96" s="317">
        <v>0</v>
      </c>
      <c r="BR96" s="317">
        <v>0</v>
      </c>
      <c r="BS96" s="317">
        <v>0</v>
      </c>
      <c r="BT96" s="317">
        <v>0</v>
      </c>
      <c r="BU96" s="317">
        <v>-29764198</v>
      </c>
      <c r="BV96" s="317"/>
      <c r="EP96" s="315"/>
    </row>
    <row r="97" spans="13:146" hidden="1" x14ac:dyDescent="0.2">
      <c r="M97" s="317">
        <v>1023047</v>
      </c>
      <c r="N97" s="317">
        <v>0</v>
      </c>
      <c r="O97" s="317">
        <v>0</v>
      </c>
      <c r="P97" s="317">
        <v>0</v>
      </c>
      <c r="Q97" s="317">
        <v>0</v>
      </c>
      <c r="R97" s="317">
        <v>-89826</v>
      </c>
      <c r="S97" s="317">
        <v>0</v>
      </c>
      <c r="T97" s="317">
        <v>0</v>
      </c>
      <c r="U97" s="317">
        <v>0</v>
      </c>
      <c r="V97" s="317">
        <v>0</v>
      </c>
      <c r="W97" s="317">
        <v>519307</v>
      </c>
      <c r="X97" s="317">
        <v>0</v>
      </c>
      <c r="Y97" s="317">
        <v>0</v>
      </c>
      <c r="Z97" s="317">
        <v>0</v>
      </c>
      <c r="AA97" s="317">
        <v>0</v>
      </c>
      <c r="AB97" s="317">
        <v>271993</v>
      </c>
      <c r="AC97" s="317">
        <v>0</v>
      </c>
      <c r="AD97" s="317">
        <v>0</v>
      </c>
      <c r="AE97" s="317">
        <v>0</v>
      </c>
      <c r="AF97" s="317">
        <v>0</v>
      </c>
      <c r="AG97" s="317">
        <v>350772</v>
      </c>
      <c r="AH97" s="317">
        <v>0</v>
      </c>
      <c r="AI97" s="317">
        <v>0</v>
      </c>
      <c r="AJ97" s="317">
        <v>0</v>
      </c>
      <c r="AK97" s="317">
        <v>0</v>
      </c>
      <c r="AL97" s="317">
        <v>77228</v>
      </c>
      <c r="AM97" s="317">
        <v>0</v>
      </c>
      <c r="AN97" s="317">
        <v>0</v>
      </c>
      <c r="AO97" s="317">
        <v>0</v>
      </c>
      <c r="AP97" s="317">
        <v>0</v>
      </c>
      <c r="AQ97" s="317">
        <v>682857</v>
      </c>
      <c r="AR97" s="317">
        <v>0</v>
      </c>
      <c r="AS97" s="317">
        <v>0</v>
      </c>
      <c r="AT97" s="317">
        <v>0</v>
      </c>
      <c r="AU97" s="317">
        <v>0</v>
      </c>
      <c r="AV97" s="317">
        <v>605254</v>
      </c>
      <c r="AW97" s="317">
        <v>0</v>
      </c>
      <c r="AX97" s="317">
        <v>0</v>
      </c>
      <c r="AY97" s="317">
        <v>0</v>
      </c>
      <c r="AZ97" s="317">
        <v>0</v>
      </c>
      <c r="BA97" s="317">
        <v>375351</v>
      </c>
      <c r="BB97" s="317">
        <v>0</v>
      </c>
      <c r="BC97" s="317">
        <v>0</v>
      </c>
      <c r="BD97" s="317">
        <v>0</v>
      </c>
      <c r="BE97" s="317">
        <v>0</v>
      </c>
      <c r="BF97" s="317">
        <v>335778</v>
      </c>
      <c r="BG97" s="317">
        <v>0</v>
      </c>
      <c r="BH97" s="317">
        <v>0</v>
      </c>
      <c r="BI97" s="317">
        <v>0</v>
      </c>
      <c r="BJ97" s="317">
        <v>0</v>
      </c>
      <c r="BK97" s="317">
        <v>274925</v>
      </c>
      <c r="BL97" s="317">
        <v>0</v>
      </c>
      <c r="BM97" s="317">
        <v>0</v>
      </c>
      <c r="BN97" s="317">
        <v>0</v>
      </c>
      <c r="BO97" s="317">
        <v>0</v>
      </c>
      <c r="BP97" s="317">
        <v>65978</v>
      </c>
      <c r="BQ97" s="317">
        <v>0</v>
      </c>
      <c r="BR97" s="317">
        <v>0</v>
      </c>
      <c r="BS97" s="317">
        <v>0</v>
      </c>
      <c r="BT97" s="317">
        <v>0</v>
      </c>
      <c r="BU97" s="317">
        <v>2835378</v>
      </c>
      <c r="BV97" s="317"/>
      <c r="EP97" s="315"/>
    </row>
    <row r="98" spans="13:146" hidden="1" x14ac:dyDescent="0.2">
      <c r="M98" s="317">
        <v>7145000</v>
      </c>
      <c r="N98" s="317">
        <v>0</v>
      </c>
      <c r="O98" s="317">
        <v>0</v>
      </c>
      <c r="P98" s="317">
        <v>0</v>
      </c>
      <c r="Q98" s="317">
        <v>0</v>
      </c>
      <c r="R98" s="317">
        <v>-235000</v>
      </c>
      <c r="S98" s="317">
        <v>0</v>
      </c>
      <c r="T98" s="317">
        <v>0</v>
      </c>
      <c r="U98" s="317">
        <v>0</v>
      </c>
      <c r="V98" s="317">
        <v>0</v>
      </c>
      <c r="W98" s="317">
        <v>5735000</v>
      </c>
      <c r="X98" s="317">
        <v>0</v>
      </c>
      <c r="Y98" s="317">
        <v>0</v>
      </c>
      <c r="Z98" s="317">
        <v>0</v>
      </c>
      <c r="AA98" s="317">
        <v>0</v>
      </c>
      <c r="AB98" s="317">
        <v>3165000</v>
      </c>
      <c r="AC98" s="317">
        <v>0</v>
      </c>
      <c r="AD98" s="317">
        <v>0</v>
      </c>
      <c r="AE98" s="317">
        <v>0</v>
      </c>
      <c r="AF98" s="317">
        <v>0</v>
      </c>
      <c r="AG98" s="317">
        <v>4370000</v>
      </c>
      <c r="AH98" s="317">
        <v>0</v>
      </c>
      <c r="AI98" s="317">
        <v>0</v>
      </c>
      <c r="AJ98" s="317">
        <v>0</v>
      </c>
      <c r="AK98" s="317">
        <v>0</v>
      </c>
      <c r="AL98" s="317">
        <v>2270000</v>
      </c>
      <c r="AM98" s="317">
        <v>0</v>
      </c>
      <c r="AN98" s="317">
        <v>0</v>
      </c>
      <c r="AO98" s="317">
        <v>0</v>
      </c>
      <c r="AP98" s="317">
        <v>0</v>
      </c>
      <c r="AQ98" s="317">
        <v>4260000</v>
      </c>
      <c r="AR98" s="317">
        <v>0</v>
      </c>
      <c r="AS98" s="317">
        <v>0</v>
      </c>
      <c r="AT98" s="317">
        <v>0</v>
      </c>
      <c r="AU98" s="317">
        <v>0</v>
      </c>
      <c r="AV98" s="317">
        <v>3475000</v>
      </c>
      <c r="AW98" s="317">
        <v>0</v>
      </c>
      <c r="AX98" s="317">
        <v>0</v>
      </c>
      <c r="AY98" s="317">
        <v>0</v>
      </c>
      <c r="AZ98" s="317">
        <v>0</v>
      </c>
      <c r="BA98" s="317">
        <v>3320000</v>
      </c>
      <c r="BB98" s="317">
        <v>0</v>
      </c>
      <c r="BC98" s="317">
        <v>0</v>
      </c>
      <c r="BD98" s="317">
        <v>0</v>
      </c>
      <c r="BE98" s="317">
        <v>0</v>
      </c>
      <c r="BF98" s="317">
        <v>2325000</v>
      </c>
      <c r="BG98" s="317">
        <v>0</v>
      </c>
      <c r="BH98" s="317">
        <v>0</v>
      </c>
      <c r="BI98" s="317">
        <v>0</v>
      </c>
      <c r="BJ98" s="317">
        <v>0</v>
      </c>
      <c r="BK98" s="317">
        <v>2615000</v>
      </c>
      <c r="BL98" s="317">
        <v>0</v>
      </c>
      <c r="BM98" s="317">
        <v>0</v>
      </c>
      <c r="BN98" s="317">
        <v>0</v>
      </c>
      <c r="BO98" s="317">
        <v>0</v>
      </c>
      <c r="BP98" s="317">
        <v>1885000</v>
      </c>
      <c r="BQ98" s="317">
        <v>0</v>
      </c>
      <c r="BR98" s="317">
        <v>0</v>
      </c>
      <c r="BS98" s="317">
        <v>0</v>
      </c>
      <c r="BT98" s="317">
        <v>0</v>
      </c>
      <c r="BU98" s="317">
        <v>26710000</v>
      </c>
      <c r="BV98" s="317"/>
      <c r="EP98" s="315"/>
    </row>
    <row r="99" spans="13:146" hidden="1" x14ac:dyDescent="0.2">
      <c r="M99" s="317">
        <v>0</v>
      </c>
      <c r="N99" s="317">
        <v>0</v>
      </c>
      <c r="O99" s="317">
        <v>0</v>
      </c>
      <c r="P99" s="317">
        <v>0</v>
      </c>
      <c r="Q99" s="317">
        <v>0</v>
      </c>
      <c r="R99" s="317">
        <v>0</v>
      </c>
      <c r="S99" s="317">
        <v>0</v>
      </c>
      <c r="T99" s="317">
        <v>0</v>
      </c>
      <c r="U99" s="317">
        <v>0</v>
      </c>
      <c r="V99" s="317">
        <v>0</v>
      </c>
      <c r="W99" s="317">
        <v>0</v>
      </c>
      <c r="X99" s="317">
        <v>0</v>
      </c>
      <c r="Y99" s="317">
        <v>0</v>
      </c>
      <c r="Z99" s="317">
        <v>0</v>
      </c>
      <c r="AA99" s="317">
        <v>0</v>
      </c>
      <c r="AB99" s="317">
        <v>0</v>
      </c>
      <c r="AC99" s="317">
        <v>0</v>
      </c>
      <c r="AD99" s="317">
        <v>0</v>
      </c>
      <c r="AE99" s="317">
        <v>0</v>
      </c>
      <c r="AF99" s="317">
        <v>0</v>
      </c>
      <c r="AG99" s="317">
        <v>0</v>
      </c>
      <c r="AH99" s="317">
        <v>0</v>
      </c>
      <c r="AI99" s="317">
        <v>0</v>
      </c>
      <c r="AJ99" s="317">
        <v>0</v>
      </c>
      <c r="AK99" s="317">
        <v>0</v>
      </c>
      <c r="AL99" s="317">
        <v>0</v>
      </c>
      <c r="AM99" s="317">
        <v>0</v>
      </c>
      <c r="AN99" s="317">
        <v>0</v>
      </c>
      <c r="AO99" s="317">
        <v>0</v>
      </c>
      <c r="AP99" s="317">
        <v>0</v>
      </c>
      <c r="AQ99" s="317">
        <v>0</v>
      </c>
      <c r="AR99" s="317">
        <v>0</v>
      </c>
      <c r="AS99" s="317">
        <v>0</v>
      </c>
      <c r="AT99" s="317">
        <v>0</v>
      </c>
      <c r="AU99" s="317">
        <v>0</v>
      </c>
      <c r="AV99" s="317">
        <v>0</v>
      </c>
      <c r="AW99" s="317">
        <v>0</v>
      </c>
      <c r="AX99" s="317">
        <v>0</v>
      </c>
      <c r="AY99" s="317">
        <v>0</v>
      </c>
      <c r="AZ99" s="317">
        <v>0</v>
      </c>
      <c r="BA99" s="317">
        <v>0</v>
      </c>
      <c r="BB99" s="317">
        <v>0</v>
      </c>
      <c r="BC99" s="317">
        <v>0</v>
      </c>
      <c r="BD99" s="317">
        <v>0</v>
      </c>
      <c r="BE99" s="317">
        <v>0</v>
      </c>
      <c r="BF99" s="317">
        <v>0</v>
      </c>
      <c r="BG99" s="317">
        <v>0</v>
      </c>
      <c r="BH99" s="317">
        <v>0</v>
      </c>
      <c r="BI99" s="317">
        <v>0</v>
      </c>
      <c r="BJ99" s="317">
        <v>0</v>
      </c>
      <c r="BK99" s="317">
        <v>0</v>
      </c>
      <c r="BL99" s="317">
        <v>0</v>
      </c>
      <c r="BM99" s="317">
        <v>0</v>
      </c>
      <c r="BN99" s="317">
        <v>0</v>
      </c>
      <c r="BO99" s="317">
        <v>0</v>
      </c>
      <c r="BP99" s="317">
        <v>0</v>
      </c>
      <c r="BQ99" s="317">
        <v>0</v>
      </c>
      <c r="BR99" s="317">
        <v>0</v>
      </c>
      <c r="BS99" s="317">
        <v>0</v>
      </c>
      <c r="BT99" s="317">
        <v>0</v>
      </c>
      <c r="BU99" s="317">
        <v>0</v>
      </c>
      <c r="BV99" s="317"/>
      <c r="EP99" s="315"/>
    </row>
  </sheetData>
  <mergeCells count="2">
    <mergeCell ref="H8:BU8"/>
    <mergeCell ref="BY8:EL8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T742"/>
  <sheetViews>
    <sheetView view="pageBreakPreview" topLeftCell="C7" zoomScaleNormal="100" zoomScaleSheetLayoutView="100" workbookViewId="0">
      <selection activeCell="AP46" sqref="AP46"/>
    </sheetView>
  </sheetViews>
  <sheetFormatPr defaultColWidth="10" defaultRowHeight="12.75" x14ac:dyDescent="0.2"/>
  <cols>
    <col min="1" max="1" width="1.85546875" style="315" hidden="1" customWidth="1"/>
    <col min="2" max="2" width="1.140625" style="315" hidden="1" customWidth="1"/>
    <col min="3" max="3" width="1" style="315" customWidth="1"/>
    <col min="4" max="4" width="56" style="315" customWidth="1"/>
    <col min="5" max="5" width="1" style="347" customWidth="1"/>
    <col min="6" max="6" width="1" style="315" customWidth="1"/>
    <col min="7" max="7" width="17.85546875" style="315" customWidth="1"/>
    <col min="8" max="9" width="1" style="315" customWidth="1"/>
    <col min="10" max="11" width="1" style="315" hidden="1" customWidth="1"/>
    <col min="12" max="12" width="17.85546875" style="315" hidden="1" customWidth="1"/>
    <col min="13" max="16" width="1" style="315" hidden="1" customWidth="1"/>
    <col min="17" max="17" width="14.42578125" style="315" hidden="1" customWidth="1"/>
    <col min="18" max="21" width="1" style="315" hidden="1" customWidth="1"/>
    <col min="22" max="22" width="17.85546875" style="315" hidden="1" customWidth="1"/>
    <col min="23" max="26" width="1" style="315" hidden="1" customWidth="1"/>
    <col min="27" max="27" width="17.85546875" style="315" hidden="1" customWidth="1"/>
    <col min="28" max="31" width="1" style="315" hidden="1" customWidth="1"/>
    <col min="32" max="32" width="17.85546875" style="315" hidden="1" customWidth="1"/>
    <col min="33" max="35" width="1" style="315" hidden="1" customWidth="1"/>
    <col min="36" max="36" width="1.140625" style="315" hidden="1" customWidth="1"/>
    <col min="37" max="37" width="17.85546875" style="315" hidden="1" customWidth="1"/>
    <col min="38" max="39" width="1" style="315" hidden="1" customWidth="1"/>
    <col min="40" max="41" width="1" style="315" customWidth="1"/>
    <col min="42" max="42" width="17.85546875" style="315" customWidth="1"/>
    <col min="43" max="44" width="1" style="315" customWidth="1"/>
    <col min="45" max="46" width="1" style="315" hidden="1" customWidth="1"/>
    <col min="47" max="47" width="17.85546875" style="315" hidden="1" customWidth="1"/>
    <col min="48" max="51" width="1" style="315" hidden="1" customWidth="1"/>
    <col min="52" max="52" width="17.85546875" style="315" hidden="1" customWidth="1"/>
    <col min="53" max="56" width="1" style="315" hidden="1" customWidth="1"/>
    <col min="57" max="57" width="17.85546875" style="315" hidden="1" customWidth="1"/>
    <col min="58" max="61" width="1" style="315" hidden="1" customWidth="1"/>
    <col min="62" max="62" width="17.85546875" style="315" hidden="1" customWidth="1"/>
    <col min="63" max="66" width="1" style="315" hidden="1" customWidth="1"/>
    <col min="67" max="67" width="17.85546875" style="315" hidden="1" customWidth="1"/>
    <col min="68" max="69" width="1" style="315" hidden="1" customWidth="1"/>
    <col min="70" max="71" width="1" style="315" customWidth="1"/>
    <col min="72" max="72" width="17.85546875" style="315" customWidth="1"/>
    <col min="73" max="76" width="1" style="315" customWidth="1"/>
    <col min="77" max="77" width="17.85546875" style="315" customWidth="1"/>
    <col min="78" max="79" width="1" style="315" customWidth="1"/>
    <col min="80" max="81" width="1" style="315" hidden="1" customWidth="1"/>
    <col min="82" max="82" width="17.85546875" style="315" hidden="1" customWidth="1"/>
    <col min="83" max="86" width="1" style="315" hidden="1" customWidth="1"/>
    <col min="87" max="87" width="14.42578125" style="315" hidden="1" customWidth="1"/>
    <col min="88" max="91" width="1" style="315" hidden="1" customWidth="1"/>
    <col min="92" max="92" width="17.85546875" style="315" hidden="1" customWidth="1"/>
    <col min="93" max="96" width="1" style="315" hidden="1" customWidth="1"/>
    <col min="97" max="97" width="17.85546875" style="315" hidden="1" customWidth="1"/>
    <col min="98" max="98" width="0.7109375" style="315" hidden="1" customWidth="1"/>
    <col min="99" max="101" width="1" style="315" hidden="1" customWidth="1"/>
    <col min="102" max="102" width="17.85546875" style="315" hidden="1" customWidth="1"/>
    <col min="103" max="106" width="1" style="315" hidden="1" customWidth="1"/>
    <col min="107" max="107" width="17.85546875" style="315" hidden="1" customWidth="1"/>
    <col min="108" max="109" width="1" style="315" hidden="1" customWidth="1"/>
    <col min="110" max="111" width="1" style="315" customWidth="1"/>
    <col min="112" max="112" width="17.85546875" style="315" customWidth="1"/>
    <col min="113" max="114" width="1" style="315" customWidth="1"/>
    <col min="115" max="116" width="1" style="315" hidden="1" customWidth="1"/>
    <col min="117" max="117" width="17.85546875" style="315" hidden="1" customWidth="1"/>
    <col min="118" max="121" width="1" style="315" hidden="1" customWidth="1"/>
    <col min="122" max="122" width="17.85546875" style="315" hidden="1" customWidth="1"/>
    <col min="123" max="126" width="1" style="315" hidden="1" customWidth="1"/>
    <col min="127" max="127" width="17.85546875" style="315" hidden="1" customWidth="1"/>
    <col min="128" max="131" width="1" style="315" hidden="1" customWidth="1"/>
    <col min="132" max="132" width="17.85546875" style="315" hidden="1" customWidth="1"/>
    <col min="133" max="136" width="1" style="315" hidden="1" customWidth="1"/>
    <col min="137" max="137" width="17.85546875" style="315" hidden="1" customWidth="1"/>
    <col min="138" max="139" width="1" style="315" hidden="1" customWidth="1"/>
    <col min="140" max="141" width="1" style="315" customWidth="1"/>
    <col min="142" max="142" width="17.85546875" style="315" customWidth="1"/>
    <col min="143" max="144" width="1" style="315" customWidth="1"/>
    <col min="145" max="145" width="2" style="315" customWidth="1"/>
    <col min="146" max="146" width="3.85546875" style="315" customWidth="1"/>
    <col min="147" max="147" width="15.7109375" style="315" customWidth="1"/>
    <col min="148" max="148" width="13.42578125" style="315" customWidth="1"/>
    <col min="149" max="149" width="13.85546875" style="315" customWidth="1"/>
    <col min="150" max="150" width="13.42578125" style="315" customWidth="1"/>
    <col min="151" max="16384" width="10" style="315"/>
  </cols>
  <sheetData>
    <row r="1" spans="1:149" x14ac:dyDescent="0.2"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>
        <f>1770000000+11234076861+1105000000</f>
        <v>14109076861</v>
      </c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  <c r="DP1" s="317"/>
      <c r="DQ1" s="317"/>
      <c r="DR1" s="317"/>
      <c r="DS1" s="317"/>
      <c r="DT1" s="317"/>
      <c r="DU1" s="317"/>
      <c r="DV1" s="317"/>
      <c r="DW1" s="317"/>
      <c r="DX1" s="317"/>
      <c r="DY1" s="317"/>
      <c r="DZ1" s="317"/>
      <c r="EA1" s="317"/>
      <c r="EB1" s="317"/>
      <c r="EC1" s="317"/>
      <c r="ED1" s="317"/>
      <c r="EE1" s="317"/>
      <c r="EF1" s="317"/>
      <c r="EG1" s="317"/>
      <c r="EH1" s="317"/>
      <c r="EI1" s="317"/>
      <c r="EJ1" s="317"/>
      <c r="EK1" s="317"/>
      <c r="EL1" s="317"/>
      <c r="EM1" s="317"/>
      <c r="EN1" s="317"/>
      <c r="EO1" s="317"/>
    </row>
    <row r="2" spans="1:149" ht="5.25" customHeight="1" x14ac:dyDescent="0.2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  <c r="DP2" s="317"/>
      <c r="DQ2" s="317"/>
      <c r="DR2" s="317"/>
      <c r="DS2" s="317"/>
      <c r="DT2" s="317"/>
      <c r="DU2" s="317"/>
      <c r="DV2" s="317"/>
      <c r="DW2" s="317"/>
      <c r="DX2" s="317"/>
      <c r="DY2" s="317"/>
      <c r="DZ2" s="317"/>
      <c r="EA2" s="317"/>
      <c r="EB2" s="317"/>
      <c r="EC2" s="317"/>
      <c r="ED2" s="317"/>
      <c r="EE2" s="317"/>
      <c r="EF2" s="317"/>
      <c r="EG2" s="317"/>
      <c r="EH2" s="317"/>
      <c r="EI2" s="317"/>
      <c r="EJ2" s="317"/>
      <c r="EK2" s="317"/>
      <c r="EL2" s="317"/>
      <c r="EM2" s="317"/>
      <c r="EN2" s="317"/>
      <c r="EO2" s="317"/>
      <c r="EP2" s="317"/>
    </row>
    <row r="3" spans="1:149" x14ac:dyDescent="0.2">
      <c r="A3" s="317"/>
      <c r="B3" s="317"/>
      <c r="D3" s="317"/>
      <c r="E3" s="315"/>
      <c r="EO3" s="317"/>
    </row>
    <row r="4" spans="1:149" x14ac:dyDescent="0.2">
      <c r="A4" s="317"/>
      <c r="B4" s="317"/>
      <c r="D4" s="39"/>
      <c r="E4" s="39"/>
      <c r="F4" s="39"/>
      <c r="CN4" s="317"/>
      <c r="EO4" s="317"/>
    </row>
    <row r="5" spans="1:149" x14ac:dyDescent="0.2">
      <c r="A5" s="317"/>
      <c r="B5" s="317"/>
      <c r="E5" s="315"/>
      <c r="EO5" s="317"/>
    </row>
    <row r="6" spans="1:149" x14ac:dyDescent="0.2">
      <c r="A6" s="317"/>
      <c r="B6" s="317"/>
      <c r="E6" s="315">
        <v>0</v>
      </c>
      <c r="EO6" s="317"/>
    </row>
    <row r="7" spans="1:149" ht="15.75" x14ac:dyDescent="0.25">
      <c r="A7" s="317"/>
      <c r="B7" s="317"/>
      <c r="D7" s="410" t="s">
        <v>173</v>
      </c>
      <c r="E7" s="410">
        <v>0</v>
      </c>
      <c r="F7" s="410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EJ7" s="331"/>
      <c r="EK7" s="331"/>
      <c r="EL7" s="331"/>
      <c r="EM7" s="331"/>
      <c r="EN7" s="331"/>
      <c r="EO7" s="317"/>
    </row>
    <row r="8" spans="1:149" ht="15" customHeight="1" x14ac:dyDescent="0.25">
      <c r="A8" s="317"/>
      <c r="B8" s="317"/>
      <c r="D8" s="348"/>
      <c r="E8" s="411">
        <v>0</v>
      </c>
      <c r="F8" s="412"/>
      <c r="G8" s="675" t="str">
        <f>[12]Summary!H8</f>
        <v>2022/23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5"/>
      <c r="AI8" s="675"/>
      <c r="AJ8" s="675"/>
      <c r="AK8" s="675"/>
      <c r="AL8" s="675"/>
      <c r="AM8" s="675"/>
      <c r="AN8" s="675"/>
      <c r="AO8" s="675"/>
      <c r="AP8" s="675"/>
      <c r="AQ8" s="675"/>
      <c r="AR8" s="675"/>
      <c r="AS8" s="675"/>
      <c r="AT8" s="675"/>
      <c r="AU8" s="675"/>
      <c r="AV8" s="675"/>
      <c r="AW8" s="675"/>
      <c r="AX8" s="675"/>
      <c r="AY8" s="675"/>
      <c r="AZ8" s="675"/>
      <c r="BA8" s="675"/>
      <c r="BB8" s="675"/>
      <c r="BC8" s="675"/>
      <c r="BD8" s="675"/>
      <c r="BE8" s="675"/>
      <c r="BF8" s="675"/>
      <c r="BG8" s="675"/>
      <c r="BH8" s="675"/>
      <c r="BI8" s="675"/>
      <c r="BJ8" s="675"/>
      <c r="BK8" s="675"/>
      <c r="BL8" s="675"/>
      <c r="BM8" s="675"/>
      <c r="BN8" s="675"/>
      <c r="BO8" s="675"/>
      <c r="BP8" s="675"/>
      <c r="BQ8" s="675"/>
      <c r="BR8" s="675"/>
      <c r="BS8" s="675"/>
      <c r="BT8" s="675"/>
      <c r="BU8" s="675"/>
      <c r="BV8" s="707"/>
      <c r="BW8" s="413"/>
      <c r="BX8" s="414"/>
      <c r="BY8" s="708" t="str">
        <f>[12]Summary!BZ8</f>
        <v>2021/22</v>
      </c>
      <c r="BZ8" s="708"/>
      <c r="CA8" s="708"/>
      <c r="CB8" s="708"/>
      <c r="CC8" s="708"/>
      <c r="CD8" s="708"/>
      <c r="CE8" s="708"/>
      <c r="CF8" s="708"/>
      <c r="CG8" s="708"/>
      <c r="CH8" s="708"/>
      <c r="CI8" s="708"/>
      <c r="CJ8" s="708"/>
      <c r="CK8" s="708"/>
      <c r="CL8" s="708"/>
      <c r="CM8" s="708"/>
      <c r="CN8" s="708"/>
      <c r="CO8" s="708"/>
      <c r="CP8" s="708"/>
      <c r="CQ8" s="708"/>
      <c r="CR8" s="708"/>
      <c r="CS8" s="708"/>
      <c r="CT8" s="708"/>
      <c r="CU8" s="708"/>
      <c r="CV8" s="708"/>
      <c r="CW8" s="708"/>
      <c r="CX8" s="708"/>
      <c r="CY8" s="708"/>
      <c r="CZ8" s="708"/>
      <c r="DA8" s="708"/>
      <c r="DB8" s="708"/>
      <c r="DC8" s="708"/>
      <c r="DD8" s="708"/>
      <c r="DE8" s="708"/>
      <c r="DF8" s="708"/>
      <c r="DG8" s="708"/>
      <c r="DH8" s="708"/>
      <c r="DI8" s="708"/>
      <c r="DJ8" s="708"/>
      <c r="DK8" s="708"/>
      <c r="DL8" s="708"/>
      <c r="DM8" s="708"/>
      <c r="DN8" s="708"/>
      <c r="DO8" s="708"/>
      <c r="DP8" s="708"/>
      <c r="DQ8" s="708"/>
      <c r="DR8" s="708"/>
      <c r="DS8" s="708"/>
      <c r="DT8" s="708"/>
      <c r="DU8" s="708"/>
      <c r="DV8" s="708"/>
      <c r="DW8" s="708"/>
      <c r="DX8" s="708"/>
      <c r="DY8" s="708"/>
      <c r="DZ8" s="708"/>
      <c r="EA8" s="708"/>
      <c r="EB8" s="708"/>
      <c r="EC8" s="708"/>
      <c r="ED8" s="708"/>
      <c r="EE8" s="708"/>
      <c r="EF8" s="708"/>
      <c r="EG8" s="708"/>
      <c r="EH8" s="708"/>
      <c r="EI8" s="708"/>
      <c r="EJ8" s="708"/>
      <c r="EK8" s="708"/>
      <c r="EL8" s="708"/>
      <c r="EM8" s="708"/>
      <c r="EN8" s="415"/>
      <c r="EO8" s="340"/>
    </row>
    <row r="9" spans="1:149" ht="18" customHeight="1" x14ac:dyDescent="0.2">
      <c r="A9" s="317"/>
      <c r="B9" s="317"/>
      <c r="D9" s="340"/>
      <c r="E9" s="347">
        <v>0</v>
      </c>
      <c r="F9" s="317"/>
      <c r="G9" s="44" t="str">
        <f>[12]Summary!H9</f>
        <v>Revised</v>
      </c>
      <c r="H9" s="44"/>
      <c r="I9" s="44"/>
      <c r="J9" s="268"/>
      <c r="K9" s="44"/>
      <c r="L9" s="44" t="s">
        <v>4</v>
      </c>
      <c r="M9" s="44"/>
      <c r="N9" s="44"/>
      <c r="O9" s="268"/>
      <c r="P9" s="44"/>
      <c r="Q9" s="44" t="s">
        <v>5</v>
      </c>
      <c r="R9" s="44"/>
      <c r="S9" s="44"/>
      <c r="T9" s="268"/>
      <c r="U9" s="44"/>
      <c r="V9" s="44" t="s">
        <v>6</v>
      </c>
      <c r="W9" s="44"/>
      <c r="X9" s="44"/>
      <c r="Y9" s="268"/>
      <c r="Z9" s="44"/>
      <c r="AA9" s="44" t="s">
        <v>7</v>
      </c>
      <c r="AB9" s="44"/>
      <c r="AC9" s="44"/>
      <c r="AD9" s="268"/>
      <c r="AE9" s="44"/>
      <c r="AF9" s="44" t="s">
        <v>8</v>
      </c>
      <c r="AG9" s="44"/>
      <c r="AH9" s="44"/>
      <c r="AI9" s="268"/>
      <c r="AJ9" s="44"/>
      <c r="AK9" s="44" t="s">
        <v>9</v>
      </c>
      <c r="AL9" s="44"/>
      <c r="AM9" s="44"/>
      <c r="AN9" s="268"/>
      <c r="AO9" s="44"/>
      <c r="AP9" s="44" t="s">
        <v>10</v>
      </c>
      <c r="AQ9" s="44"/>
      <c r="AR9" s="44"/>
      <c r="AS9" s="268"/>
      <c r="AT9" s="44"/>
      <c r="AU9" s="44" t="s">
        <v>11</v>
      </c>
      <c r="AV9" s="44"/>
      <c r="AW9" s="44"/>
      <c r="AX9" s="268"/>
      <c r="AY9" s="44"/>
      <c r="AZ9" s="44" t="s">
        <v>12</v>
      </c>
      <c r="BA9" s="44"/>
      <c r="BB9" s="44"/>
      <c r="BC9" s="268"/>
      <c r="BD9" s="44"/>
      <c r="BE9" s="44" t="s">
        <v>13</v>
      </c>
      <c r="BF9" s="44"/>
      <c r="BG9" s="44"/>
      <c r="BH9" s="268"/>
      <c r="BI9" s="44"/>
      <c r="BJ9" s="44" t="s">
        <v>14</v>
      </c>
      <c r="BK9" s="44"/>
      <c r="BL9" s="44"/>
      <c r="BM9" s="268"/>
      <c r="BN9" s="44"/>
      <c r="BO9" s="44" t="s">
        <v>15</v>
      </c>
      <c r="BP9" s="44"/>
      <c r="BQ9" s="44"/>
      <c r="BR9" s="268"/>
      <c r="BS9" s="44"/>
      <c r="BT9" s="44" t="s">
        <v>16</v>
      </c>
      <c r="BU9" s="44"/>
      <c r="BV9" s="44"/>
      <c r="BW9" s="268"/>
      <c r="BX9" s="269"/>
      <c r="BY9" s="44" t="str">
        <f>[12]Summary!BZ9</f>
        <v>Preliminary</v>
      </c>
      <c r="BZ9" s="44"/>
      <c r="CA9" s="44"/>
      <c r="CB9" s="268"/>
      <c r="CC9" s="44"/>
      <c r="CD9" s="44" t="s">
        <v>4</v>
      </c>
      <c r="CE9" s="44"/>
      <c r="CF9" s="44"/>
      <c r="CG9" s="268"/>
      <c r="CH9" s="44"/>
      <c r="CI9" s="44" t="s">
        <v>5</v>
      </c>
      <c r="CJ9" s="44"/>
      <c r="CK9" s="44"/>
      <c r="CL9" s="268"/>
      <c r="CM9" s="44"/>
      <c r="CN9" s="44" t="s">
        <v>6</v>
      </c>
      <c r="CO9" s="44"/>
      <c r="CP9" s="44"/>
      <c r="CQ9" s="268"/>
      <c r="CR9" s="44"/>
      <c r="CS9" s="44" t="s">
        <v>7</v>
      </c>
      <c r="CT9" s="44"/>
      <c r="CU9" s="44"/>
      <c r="CV9" s="268"/>
      <c r="CW9" s="44"/>
      <c r="CX9" s="44" t="s">
        <v>8</v>
      </c>
      <c r="CY9" s="44"/>
      <c r="CZ9" s="44"/>
      <c r="DA9" s="268"/>
      <c r="DB9" s="44"/>
      <c r="DC9" s="44" t="s">
        <v>9</v>
      </c>
      <c r="DD9" s="44"/>
      <c r="DE9" s="44"/>
      <c r="DF9" s="268"/>
      <c r="DG9" s="44"/>
      <c r="DH9" s="44" t="s">
        <v>10</v>
      </c>
      <c r="DI9" s="44"/>
      <c r="DJ9" s="44"/>
      <c r="DK9" s="268"/>
      <c r="DL9" s="44"/>
      <c r="DM9" s="44" t="s">
        <v>11</v>
      </c>
      <c r="DN9" s="44"/>
      <c r="DO9" s="44"/>
      <c r="DP9" s="268"/>
      <c r="DQ9" s="44"/>
      <c r="DR9" s="44" t="s">
        <v>12</v>
      </c>
      <c r="DS9" s="44"/>
      <c r="DT9" s="44"/>
      <c r="DU9" s="268"/>
      <c r="DV9" s="44"/>
      <c r="DW9" s="44" t="s">
        <v>13</v>
      </c>
      <c r="DX9" s="44"/>
      <c r="DY9" s="44"/>
      <c r="DZ9" s="268"/>
      <c r="EA9" s="44"/>
      <c r="EB9" s="44" t="s">
        <v>14</v>
      </c>
      <c r="EC9" s="44"/>
      <c r="ED9" s="44"/>
      <c r="EE9" s="268"/>
      <c r="EF9" s="269"/>
      <c r="EG9" s="269" t="s">
        <v>15</v>
      </c>
      <c r="EH9" s="269"/>
      <c r="EI9" s="416"/>
      <c r="EJ9" s="268"/>
      <c r="EK9" s="269"/>
      <c r="EL9" s="44" t="s">
        <v>16</v>
      </c>
      <c r="EM9" s="44"/>
      <c r="EN9" s="44"/>
      <c r="EO9" s="340"/>
    </row>
    <row r="10" spans="1:149" x14ac:dyDescent="0.2">
      <c r="A10" s="317"/>
      <c r="B10" s="317"/>
      <c r="D10" s="341" t="s">
        <v>17</v>
      </c>
      <c r="E10" s="417">
        <v>0</v>
      </c>
      <c r="F10" s="418"/>
      <c r="G10" s="344" t="s">
        <v>19</v>
      </c>
      <c r="H10" s="344"/>
      <c r="I10" s="344"/>
      <c r="J10" s="343"/>
      <c r="K10" s="344"/>
      <c r="L10" s="342"/>
      <c r="M10" s="342"/>
      <c r="N10" s="342"/>
      <c r="O10" s="419"/>
      <c r="P10" s="342"/>
      <c r="Q10" s="342"/>
      <c r="R10" s="342"/>
      <c r="S10" s="342"/>
      <c r="T10" s="419"/>
      <c r="U10" s="342"/>
      <c r="V10" s="342"/>
      <c r="W10" s="342"/>
      <c r="X10" s="342"/>
      <c r="Y10" s="419"/>
      <c r="Z10" s="342"/>
      <c r="AA10" s="342"/>
      <c r="AB10" s="342"/>
      <c r="AC10" s="342"/>
      <c r="AD10" s="419"/>
      <c r="AE10" s="342"/>
      <c r="AF10" s="342"/>
      <c r="AG10" s="342"/>
      <c r="AH10" s="342"/>
      <c r="AI10" s="419"/>
      <c r="AJ10" s="342"/>
      <c r="AK10" s="342"/>
      <c r="AL10" s="342"/>
      <c r="AM10" s="342"/>
      <c r="AN10" s="419"/>
      <c r="AO10" s="342"/>
      <c r="AP10" s="342"/>
      <c r="AQ10" s="342"/>
      <c r="AR10" s="342"/>
      <c r="AS10" s="419"/>
      <c r="AT10" s="342"/>
      <c r="AU10" s="342"/>
      <c r="AV10" s="342"/>
      <c r="AW10" s="342"/>
      <c r="AX10" s="419"/>
      <c r="AY10" s="342"/>
      <c r="AZ10" s="342"/>
      <c r="BA10" s="342"/>
      <c r="BB10" s="342"/>
      <c r="BC10" s="419"/>
      <c r="BD10" s="342"/>
      <c r="BE10" s="342"/>
      <c r="BF10" s="342"/>
      <c r="BG10" s="342"/>
      <c r="BH10" s="419"/>
      <c r="BI10" s="342"/>
      <c r="BJ10" s="342"/>
      <c r="BK10" s="342"/>
      <c r="BL10" s="342"/>
      <c r="BM10" s="419"/>
      <c r="BN10" s="342"/>
      <c r="BO10" s="342"/>
      <c r="BP10" s="342"/>
      <c r="BQ10" s="342"/>
      <c r="BR10" s="419"/>
      <c r="BS10" s="342"/>
      <c r="BT10" s="342"/>
      <c r="BU10" s="44"/>
      <c r="BV10" s="44"/>
      <c r="BW10" s="202"/>
      <c r="BX10" s="344"/>
      <c r="BY10" s="44" t="s">
        <v>44</v>
      </c>
      <c r="BZ10" s="44"/>
      <c r="CA10" s="44"/>
      <c r="CB10" s="202"/>
      <c r="CC10" s="44"/>
      <c r="CD10" s="44"/>
      <c r="CE10" s="44"/>
      <c r="CF10" s="44"/>
      <c r="CG10" s="202"/>
      <c r="CH10" s="44"/>
      <c r="CI10" s="44"/>
      <c r="CJ10" s="44"/>
      <c r="CK10" s="44"/>
      <c r="CL10" s="202"/>
      <c r="CM10" s="44"/>
      <c r="CN10" s="44"/>
      <c r="CO10" s="44"/>
      <c r="CP10" s="44"/>
      <c r="CQ10" s="202"/>
      <c r="CR10" s="44"/>
      <c r="CS10" s="44"/>
      <c r="CT10" s="44"/>
      <c r="CU10" s="44"/>
      <c r="CV10" s="202"/>
      <c r="CW10" s="44"/>
      <c r="CX10" s="44"/>
      <c r="CY10" s="44"/>
      <c r="CZ10" s="44"/>
      <c r="DA10" s="202"/>
      <c r="DB10" s="44"/>
      <c r="DC10" s="44"/>
      <c r="DD10" s="44"/>
      <c r="DE10" s="44"/>
      <c r="DF10" s="202"/>
      <c r="DG10" s="44"/>
      <c r="DH10" s="44"/>
      <c r="DI10" s="44"/>
      <c r="DJ10" s="44"/>
      <c r="DK10" s="202"/>
      <c r="DL10" s="44"/>
      <c r="DM10" s="44"/>
      <c r="DN10" s="44"/>
      <c r="DO10" s="44"/>
      <c r="DP10" s="202"/>
      <c r="DQ10" s="44"/>
      <c r="DR10" s="44"/>
      <c r="DS10" s="44"/>
      <c r="DT10" s="44"/>
      <c r="DU10" s="202"/>
      <c r="DV10" s="44"/>
      <c r="DW10" s="44"/>
      <c r="DX10" s="44"/>
      <c r="DY10" s="44"/>
      <c r="DZ10" s="202"/>
      <c r="EA10" s="44"/>
      <c r="EB10" s="44"/>
      <c r="EC10" s="44"/>
      <c r="ED10" s="44"/>
      <c r="EE10" s="202"/>
      <c r="EF10" s="44"/>
      <c r="EG10" s="44"/>
      <c r="EH10" s="44"/>
      <c r="EI10" s="420"/>
      <c r="EJ10" s="343"/>
      <c r="EK10" s="44"/>
      <c r="EL10" s="44"/>
      <c r="EM10" s="44"/>
      <c r="EN10" s="44"/>
      <c r="EO10" s="340"/>
    </row>
    <row r="11" spans="1:149" x14ac:dyDescent="0.2">
      <c r="A11" s="317"/>
      <c r="B11" s="317"/>
      <c r="D11" s="421"/>
      <c r="E11" s="379"/>
      <c r="F11" s="422"/>
      <c r="G11" s="422"/>
      <c r="H11" s="422"/>
      <c r="I11" s="422"/>
      <c r="J11" s="379"/>
      <c r="K11" s="422"/>
      <c r="L11" s="422"/>
      <c r="M11" s="422"/>
      <c r="N11" s="422"/>
      <c r="O11" s="379"/>
      <c r="P11" s="422"/>
      <c r="Q11" s="422"/>
      <c r="R11" s="422"/>
      <c r="S11" s="422"/>
      <c r="T11" s="379"/>
      <c r="U11" s="422"/>
      <c r="V11" s="422"/>
      <c r="W11" s="422"/>
      <c r="X11" s="422"/>
      <c r="Y11" s="379"/>
      <c r="Z11" s="422"/>
      <c r="AA11" s="422"/>
      <c r="AB11" s="422"/>
      <c r="AC11" s="422"/>
      <c r="AD11" s="379"/>
      <c r="AE11" s="422"/>
      <c r="AF11" s="422"/>
      <c r="AG11" s="422"/>
      <c r="AH11" s="422"/>
      <c r="AI11" s="379"/>
      <c r="AJ11" s="422"/>
      <c r="AK11" s="422"/>
      <c r="AL11" s="422"/>
      <c r="AM11" s="422"/>
      <c r="AN11" s="379"/>
      <c r="AO11" s="422"/>
      <c r="AP11" s="422"/>
      <c r="AQ11" s="422"/>
      <c r="AR11" s="422"/>
      <c r="AS11" s="379"/>
      <c r="AT11" s="422"/>
      <c r="AU11" s="422"/>
      <c r="AV11" s="422"/>
      <c r="AW11" s="422"/>
      <c r="AX11" s="379"/>
      <c r="AY11" s="422"/>
      <c r="AZ11" s="422"/>
      <c r="BA11" s="422"/>
      <c r="BB11" s="422"/>
      <c r="BC11" s="379"/>
      <c r="BD11" s="422"/>
      <c r="BE11" s="422"/>
      <c r="BF11" s="422"/>
      <c r="BG11" s="422"/>
      <c r="BH11" s="379"/>
      <c r="BI11" s="422"/>
      <c r="BJ11" s="422"/>
      <c r="BK11" s="422"/>
      <c r="BL11" s="376"/>
      <c r="BM11" s="379"/>
      <c r="BN11" s="422"/>
      <c r="BO11" s="422"/>
      <c r="BP11" s="422"/>
      <c r="BQ11" s="422"/>
      <c r="BR11" s="379"/>
      <c r="BS11" s="376"/>
      <c r="BT11" s="355"/>
      <c r="BU11" s="355"/>
      <c r="BV11" s="355"/>
      <c r="BW11" s="354"/>
      <c r="BX11" s="355"/>
      <c r="BY11" s="422"/>
      <c r="BZ11" s="422"/>
      <c r="CA11" s="422"/>
      <c r="CB11" s="379"/>
      <c r="CC11" s="422"/>
      <c r="CD11" s="422"/>
      <c r="CE11" s="422"/>
      <c r="CF11" s="422"/>
      <c r="CG11" s="379"/>
      <c r="CH11" s="422"/>
      <c r="CI11" s="422"/>
      <c r="CJ11" s="422"/>
      <c r="CK11" s="422"/>
      <c r="CL11" s="379"/>
      <c r="CM11" s="422"/>
      <c r="CN11" s="422"/>
      <c r="CO11" s="422"/>
      <c r="CP11" s="422"/>
      <c r="CQ11" s="379"/>
      <c r="CR11" s="422"/>
      <c r="CS11" s="422"/>
      <c r="CT11" s="422"/>
      <c r="CU11" s="422"/>
      <c r="CV11" s="379"/>
      <c r="CW11" s="422"/>
      <c r="CX11" s="422"/>
      <c r="CY11" s="422"/>
      <c r="CZ11" s="422"/>
      <c r="DA11" s="379"/>
      <c r="DB11" s="422"/>
      <c r="DC11" s="422"/>
      <c r="DD11" s="422"/>
      <c r="DE11" s="422"/>
      <c r="DF11" s="379"/>
      <c r="DG11" s="422"/>
      <c r="DH11" s="422"/>
      <c r="DI11" s="422"/>
      <c r="DJ11" s="422"/>
      <c r="DK11" s="379"/>
      <c r="DL11" s="422"/>
      <c r="DM11" s="422"/>
      <c r="DN11" s="422"/>
      <c r="DO11" s="422"/>
      <c r="DP11" s="379"/>
      <c r="DQ11" s="422"/>
      <c r="DR11" s="422"/>
      <c r="DS11" s="422"/>
      <c r="DT11" s="422"/>
      <c r="DU11" s="379"/>
      <c r="DV11" s="422"/>
      <c r="DW11" s="422"/>
      <c r="DX11" s="422"/>
      <c r="DY11" s="422"/>
      <c r="DZ11" s="379"/>
      <c r="EA11" s="422"/>
      <c r="EB11" s="422"/>
      <c r="EC11" s="422"/>
      <c r="ED11" s="422"/>
      <c r="EE11" s="379"/>
      <c r="EF11" s="422"/>
      <c r="EG11" s="422"/>
      <c r="EH11" s="422"/>
      <c r="EI11" s="422"/>
      <c r="EJ11" s="375"/>
      <c r="EK11" s="422"/>
      <c r="EL11" s="355"/>
      <c r="EM11" s="355"/>
      <c r="EN11" s="423"/>
      <c r="EO11" s="340"/>
    </row>
    <row r="12" spans="1:149" s="39" customFormat="1" x14ac:dyDescent="0.2">
      <c r="A12" s="329"/>
      <c r="B12" s="329"/>
      <c r="D12" s="348" t="s">
        <v>174</v>
      </c>
      <c r="E12" s="350"/>
      <c r="F12" s="329"/>
      <c r="G12" s="378">
        <f>SUM(G13:G15)</f>
        <v>357736447</v>
      </c>
      <c r="H12" s="378"/>
      <c r="I12" s="378"/>
      <c r="J12" s="377"/>
      <c r="K12" s="378"/>
      <c r="L12" s="378">
        <f>SUM(L13:L15)</f>
        <v>28086572</v>
      </c>
      <c r="M12" s="378"/>
      <c r="N12" s="378"/>
      <c r="O12" s="377"/>
      <c r="P12" s="378"/>
      <c r="Q12" s="378">
        <f>SUM(Q13:Q15)</f>
        <v>37271586</v>
      </c>
      <c r="R12" s="378"/>
      <c r="S12" s="378"/>
      <c r="T12" s="377"/>
      <c r="U12" s="378"/>
      <c r="V12" s="378">
        <f>SUM(V13:V15)</f>
        <v>31666972</v>
      </c>
      <c r="W12" s="378"/>
      <c r="X12" s="378"/>
      <c r="Y12" s="377"/>
      <c r="Z12" s="378"/>
      <c r="AA12" s="378">
        <f>SUM(AA13:AA15)</f>
        <v>52471849</v>
      </c>
      <c r="AB12" s="378"/>
      <c r="AC12" s="378"/>
      <c r="AD12" s="377"/>
      <c r="AE12" s="378"/>
      <c r="AF12" s="378">
        <f>SUM(AF13:AF15)</f>
        <v>38504391</v>
      </c>
      <c r="AG12" s="378"/>
      <c r="AH12" s="378"/>
      <c r="AI12" s="377"/>
      <c r="AJ12" s="378"/>
      <c r="AK12" s="378">
        <f>SUM(AK13:AK15)</f>
        <v>39439913</v>
      </c>
      <c r="AL12" s="378"/>
      <c r="AM12" s="378"/>
      <c r="AN12" s="377"/>
      <c r="AO12" s="378"/>
      <c r="AP12" s="378">
        <f>SUM(AP13:AP15)</f>
        <v>34985437</v>
      </c>
      <c r="AQ12" s="378"/>
      <c r="AR12" s="378"/>
      <c r="AS12" s="377"/>
      <c r="AT12" s="378"/>
      <c r="AU12" s="378">
        <f>SUM(AU13:AU15)</f>
        <v>0</v>
      </c>
      <c r="AV12" s="378"/>
      <c r="AW12" s="378"/>
      <c r="AX12" s="377"/>
      <c r="AY12" s="378"/>
      <c r="AZ12" s="378">
        <f>SUM(AZ13:AZ15)</f>
        <v>0</v>
      </c>
      <c r="BA12" s="378"/>
      <c r="BB12" s="378"/>
      <c r="BC12" s="377"/>
      <c r="BD12" s="378"/>
      <c r="BE12" s="378">
        <f>SUM(BE13:BE15)</f>
        <v>0</v>
      </c>
      <c r="BF12" s="378"/>
      <c r="BG12" s="378"/>
      <c r="BH12" s="377"/>
      <c r="BI12" s="378"/>
      <c r="BJ12" s="378">
        <f>SUM(BJ13:BJ15)</f>
        <v>0</v>
      </c>
      <c r="BK12" s="378"/>
      <c r="BL12" s="378"/>
      <c r="BM12" s="377"/>
      <c r="BN12" s="378"/>
      <c r="BO12" s="378">
        <f>SUM(BO13:BO15)</f>
        <v>0</v>
      </c>
      <c r="BP12" s="378"/>
      <c r="BQ12" s="378"/>
      <c r="BR12" s="377"/>
      <c r="BS12" s="378"/>
      <c r="BT12" s="378">
        <f>SUM(BT13:BT15)</f>
        <v>262426720</v>
      </c>
      <c r="BU12" s="378"/>
      <c r="BV12" s="378"/>
      <c r="BW12" s="377"/>
      <c r="BX12" s="378"/>
      <c r="BY12" s="378">
        <f>SUM(BY13:BY15)</f>
        <v>399212305</v>
      </c>
      <c r="BZ12" s="378"/>
      <c r="CA12" s="378"/>
      <c r="CB12" s="377"/>
      <c r="CC12" s="378"/>
      <c r="CD12" s="378">
        <f>SUM(CD13:CD15)</f>
        <v>44205422</v>
      </c>
      <c r="CE12" s="378"/>
      <c r="CF12" s="378"/>
      <c r="CG12" s="377"/>
      <c r="CH12" s="378"/>
      <c r="CI12" s="378">
        <f>SUM(CI13:CI15)</f>
        <v>34665188</v>
      </c>
      <c r="CJ12" s="378"/>
      <c r="CK12" s="378"/>
      <c r="CL12" s="377"/>
      <c r="CM12" s="378"/>
      <c r="CN12" s="378">
        <f>SUM(CN13:CN15)</f>
        <v>36242984</v>
      </c>
      <c r="CO12" s="378"/>
      <c r="CP12" s="378"/>
      <c r="CQ12" s="377"/>
      <c r="CR12" s="378"/>
      <c r="CS12" s="378">
        <f>SUM(CS13:CS15)</f>
        <v>36813678</v>
      </c>
      <c r="CT12" s="378"/>
      <c r="CU12" s="378"/>
      <c r="CV12" s="377"/>
      <c r="CW12" s="378"/>
      <c r="CX12" s="378">
        <f>SUM(CX13:CX15)</f>
        <v>32590097</v>
      </c>
      <c r="CY12" s="378"/>
      <c r="CZ12" s="378"/>
      <c r="DA12" s="377"/>
      <c r="DB12" s="378"/>
      <c r="DC12" s="378">
        <f>SUM(DC13:DC15)</f>
        <v>27539270</v>
      </c>
      <c r="DD12" s="378"/>
      <c r="DE12" s="378"/>
      <c r="DF12" s="377"/>
      <c r="DG12" s="378"/>
      <c r="DH12" s="378">
        <f>SUM(DH13:DH15)</f>
        <v>39327697</v>
      </c>
      <c r="DI12" s="378"/>
      <c r="DJ12" s="378"/>
      <c r="DK12" s="377"/>
      <c r="DL12" s="378"/>
      <c r="DM12" s="378">
        <f>SUM(DM13:DM15)</f>
        <v>28616895</v>
      </c>
      <c r="DN12" s="378"/>
      <c r="DO12" s="378"/>
      <c r="DP12" s="377"/>
      <c r="DQ12" s="378"/>
      <c r="DR12" s="378">
        <f>SUM(DR13:DR15)</f>
        <v>29014323</v>
      </c>
      <c r="DS12" s="378"/>
      <c r="DT12" s="378"/>
      <c r="DU12" s="377"/>
      <c r="DV12" s="378"/>
      <c r="DW12" s="378">
        <f>SUM(DW13:DW15)</f>
        <v>24327297</v>
      </c>
      <c r="DX12" s="378"/>
      <c r="DY12" s="378"/>
      <c r="DZ12" s="377"/>
      <c r="EA12" s="378"/>
      <c r="EB12" s="378">
        <f>SUM(EB13:EB15)</f>
        <v>32478299</v>
      </c>
      <c r="EC12" s="378"/>
      <c r="ED12" s="378"/>
      <c r="EE12" s="377"/>
      <c r="EF12" s="378"/>
      <c r="EG12" s="378">
        <f>SUM(EG13:EG15)</f>
        <v>33391155</v>
      </c>
      <c r="EH12" s="378"/>
      <c r="EI12" s="378"/>
      <c r="EJ12" s="377"/>
      <c r="EK12" s="378"/>
      <c r="EL12" s="378">
        <f>SUM(EL13:EL15)</f>
        <v>251384336</v>
      </c>
      <c r="EM12" s="378"/>
      <c r="EN12" s="378"/>
      <c r="EO12" s="348"/>
    </row>
    <row r="13" spans="1:149" x14ac:dyDescent="0.2">
      <c r="A13" s="317"/>
      <c r="B13" s="317"/>
      <c r="D13" s="340" t="s">
        <v>175</v>
      </c>
      <c r="F13" s="354"/>
      <c r="G13" s="422">
        <f>+G17</f>
        <v>340512000</v>
      </c>
      <c r="H13" s="424"/>
      <c r="I13" s="376"/>
      <c r="J13" s="375"/>
      <c r="K13" s="379"/>
      <c r="L13" s="422">
        <f>+L17</f>
        <v>23849866</v>
      </c>
      <c r="M13" s="424"/>
      <c r="N13" s="376"/>
      <c r="O13" s="375"/>
      <c r="P13" s="379"/>
      <c r="Q13" s="422">
        <f>+Q17</f>
        <v>30102790</v>
      </c>
      <c r="R13" s="424"/>
      <c r="S13" s="376"/>
      <c r="T13" s="375"/>
      <c r="U13" s="379"/>
      <c r="V13" s="422">
        <f>+V17</f>
        <v>29395127</v>
      </c>
      <c r="W13" s="424"/>
      <c r="X13" s="376"/>
      <c r="Y13" s="375"/>
      <c r="Z13" s="379"/>
      <c r="AA13" s="422">
        <f>+AA17</f>
        <v>52376510</v>
      </c>
      <c r="AB13" s="424"/>
      <c r="AC13" s="376"/>
      <c r="AD13" s="375"/>
      <c r="AE13" s="379"/>
      <c r="AF13" s="422">
        <f>+AF17</f>
        <v>35558950</v>
      </c>
      <c r="AG13" s="424"/>
      <c r="AH13" s="376"/>
      <c r="AI13" s="375"/>
      <c r="AJ13" s="379"/>
      <c r="AK13" s="422">
        <f>+AK17</f>
        <v>38933593</v>
      </c>
      <c r="AL13" s="424"/>
      <c r="AM13" s="376"/>
      <c r="AN13" s="375"/>
      <c r="AO13" s="379"/>
      <c r="AP13" s="422">
        <f>+AP17</f>
        <v>34472211</v>
      </c>
      <c r="AQ13" s="424"/>
      <c r="AR13" s="376"/>
      <c r="AS13" s="375"/>
      <c r="AT13" s="379"/>
      <c r="AU13" s="422">
        <f>+AU17</f>
        <v>0</v>
      </c>
      <c r="AV13" s="424"/>
      <c r="AW13" s="376"/>
      <c r="AX13" s="375"/>
      <c r="AY13" s="379"/>
      <c r="AZ13" s="422">
        <f>+AZ17</f>
        <v>0</v>
      </c>
      <c r="BA13" s="424"/>
      <c r="BB13" s="376"/>
      <c r="BC13" s="375"/>
      <c r="BD13" s="379"/>
      <c r="BE13" s="422">
        <f>+BE17</f>
        <v>0</v>
      </c>
      <c r="BF13" s="424"/>
      <c r="BG13" s="376"/>
      <c r="BH13" s="375"/>
      <c r="BI13" s="379"/>
      <c r="BJ13" s="422">
        <f>+BJ17</f>
        <v>0</v>
      </c>
      <c r="BK13" s="424"/>
      <c r="BL13" s="376"/>
      <c r="BM13" s="375"/>
      <c r="BN13" s="379"/>
      <c r="BO13" s="422">
        <f>+BO17</f>
        <v>0</v>
      </c>
      <c r="BP13" s="424"/>
      <c r="BQ13" s="376"/>
      <c r="BR13" s="375"/>
      <c r="BS13" s="379"/>
      <c r="BT13" s="422">
        <f>+BT17</f>
        <v>244689047</v>
      </c>
      <c r="BU13" s="424"/>
      <c r="BV13" s="376"/>
      <c r="BW13" s="375"/>
      <c r="BX13" s="379"/>
      <c r="BY13" s="422">
        <f>+BY17</f>
        <v>337762752</v>
      </c>
      <c r="BZ13" s="424"/>
      <c r="CA13" s="376"/>
      <c r="CB13" s="375"/>
      <c r="CC13" s="379"/>
      <c r="CD13" s="422">
        <f>+CD17</f>
        <v>32347333</v>
      </c>
      <c r="CE13" s="424"/>
      <c r="CF13" s="376"/>
      <c r="CG13" s="375"/>
      <c r="CH13" s="379"/>
      <c r="CI13" s="422">
        <f>+CI17</f>
        <v>30897412</v>
      </c>
      <c r="CJ13" s="424"/>
      <c r="CK13" s="376"/>
      <c r="CL13" s="375"/>
      <c r="CM13" s="379"/>
      <c r="CN13" s="422">
        <f>+CN17</f>
        <v>27576195</v>
      </c>
      <c r="CO13" s="424"/>
      <c r="CP13" s="376"/>
      <c r="CQ13" s="375"/>
      <c r="CR13" s="379"/>
      <c r="CS13" s="422">
        <f>+CS17</f>
        <v>32976789</v>
      </c>
      <c r="CT13" s="424"/>
      <c r="CU13" s="376"/>
      <c r="CV13" s="375"/>
      <c r="CW13" s="379"/>
      <c r="CX13" s="422">
        <f>+CX17</f>
        <v>27670253</v>
      </c>
      <c r="CY13" s="424"/>
      <c r="CZ13" s="376"/>
      <c r="DA13" s="375"/>
      <c r="DB13" s="379"/>
      <c r="DC13" s="422">
        <f>+DC17</f>
        <v>25324462</v>
      </c>
      <c r="DD13" s="424"/>
      <c r="DE13" s="376"/>
      <c r="DF13" s="375"/>
      <c r="DG13" s="379"/>
      <c r="DH13" s="422">
        <f>+DH17</f>
        <v>33828275</v>
      </c>
      <c r="DI13" s="424"/>
      <c r="DJ13" s="376"/>
      <c r="DK13" s="375"/>
      <c r="DL13" s="379"/>
      <c r="DM13" s="422">
        <f>+DM17</f>
        <v>23303905</v>
      </c>
      <c r="DN13" s="424"/>
      <c r="DO13" s="376"/>
      <c r="DP13" s="375"/>
      <c r="DQ13" s="379"/>
      <c r="DR13" s="422">
        <f>+DR17</f>
        <v>24962859</v>
      </c>
      <c r="DS13" s="424"/>
      <c r="DT13" s="376"/>
      <c r="DU13" s="375"/>
      <c r="DV13" s="379"/>
      <c r="DW13" s="422">
        <f>+DW17</f>
        <v>21654275</v>
      </c>
      <c r="DX13" s="424"/>
      <c r="DY13" s="376"/>
      <c r="DZ13" s="375"/>
      <c r="EA13" s="379"/>
      <c r="EB13" s="422">
        <f>+EB17</f>
        <v>28691924</v>
      </c>
      <c r="EC13" s="424"/>
      <c r="ED13" s="376"/>
      <c r="EE13" s="375"/>
      <c r="EF13" s="379"/>
      <c r="EG13" s="422">
        <f>+EG17</f>
        <v>28529070</v>
      </c>
      <c r="EH13" s="424"/>
      <c r="EI13" s="376"/>
      <c r="EJ13" s="375"/>
      <c r="EK13" s="379"/>
      <c r="EL13" s="422">
        <f>+EL17</f>
        <v>210620719</v>
      </c>
      <c r="EM13" s="424"/>
      <c r="EN13" s="376"/>
      <c r="EO13" s="340"/>
      <c r="ER13" s="39"/>
      <c r="ES13" s="39"/>
    </row>
    <row r="14" spans="1:149" x14ac:dyDescent="0.2">
      <c r="A14" s="317"/>
      <c r="B14" s="317"/>
      <c r="D14" s="340" t="s">
        <v>176</v>
      </c>
      <c r="F14" s="347"/>
      <c r="G14" s="376">
        <f>G181</f>
        <v>8874774</v>
      </c>
      <c r="H14" s="425"/>
      <c r="I14" s="376"/>
      <c r="J14" s="375"/>
      <c r="K14" s="375"/>
      <c r="L14" s="376">
        <f>L181</f>
        <v>3409508</v>
      </c>
      <c r="M14" s="425"/>
      <c r="N14" s="376"/>
      <c r="O14" s="375"/>
      <c r="P14" s="375"/>
      <c r="Q14" s="376">
        <f>Q181</f>
        <v>4054354</v>
      </c>
      <c r="R14" s="425"/>
      <c r="S14" s="376"/>
      <c r="T14" s="375"/>
      <c r="U14" s="375"/>
      <c r="V14" s="376">
        <f>V181</f>
        <v>1410912</v>
      </c>
      <c r="W14" s="425"/>
      <c r="X14" s="376"/>
      <c r="Y14" s="375"/>
      <c r="Z14" s="375"/>
      <c r="AA14" s="376">
        <f>AA181</f>
        <v>0</v>
      </c>
      <c r="AB14" s="425"/>
      <c r="AC14" s="376"/>
      <c r="AD14" s="375"/>
      <c r="AE14" s="375"/>
      <c r="AF14" s="376">
        <f>AF181</f>
        <v>0</v>
      </c>
      <c r="AG14" s="425"/>
      <c r="AH14" s="376"/>
      <c r="AI14" s="375"/>
      <c r="AJ14" s="375"/>
      <c r="AK14" s="376">
        <f>AK181</f>
        <v>0</v>
      </c>
      <c r="AL14" s="425"/>
      <c r="AM14" s="376"/>
      <c r="AN14" s="375"/>
      <c r="AO14" s="375"/>
      <c r="AP14" s="376">
        <f>AP181</f>
        <v>0</v>
      </c>
      <c r="AQ14" s="425"/>
      <c r="AR14" s="376"/>
      <c r="AS14" s="375"/>
      <c r="AT14" s="375"/>
      <c r="AU14" s="376">
        <f>AU181</f>
        <v>0</v>
      </c>
      <c r="AV14" s="425"/>
      <c r="AW14" s="376"/>
      <c r="AX14" s="375"/>
      <c r="AY14" s="375"/>
      <c r="AZ14" s="376">
        <f>AZ181</f>
        <v>0</v>
      </c>
      <c r="BA14" s="425"/>
      <c r="BB14" s="376"/>
      <c r="BC14" s="375"/>
      <c r="BD14" s="375"/>
      <c r="BE14" s="376">
        <f>BE181</f>
        <v>0</v>
      </c>
      <c r="BF14" s="425"/>
      <c r="BH14" s="375"/>
      <c r="BI14" s="375"/>
      <c r="BJ14" s="376">
        <f>BJ181</f>
        <v>0</v>
      </c>
      <c r="BK14" s="425"/>
      <c r="BL14" s="376"/>
      <c r="BM14" s="375"/>
      <c r="BN14" s="375"/>
      <c r="BO14" s="376">
        <f>BO181</f>
        <v>0</v>
      </c>
      <c r="BP14" s="425"/>
      <c r="BQ14" s="376"/>
      <c r="BR14" s="375"/>
      <c r="BS14" s="375"/>
      <c r="BT14" s="376">
        <f>BT181</f>
        <v>8874774</v>
      </c>
      <c r="BU14" s="425"/>
      <c r="BV14" s="376"/>
      <c r="BW14" s="375"/>
      <c r="BX14" s="375"/>
      <c r="BY14" s="376">
        <f>BY181</f>
        <v>53972577</v>
      </c>
      <c r="BZ14" s="425"/>
      <c r="CA14" s="376"/>
      <c r="CB14" s="375"/>
      <c r="CC14" s="375"/>
      <c r="CD14" s="376">
        <f>CD181</f>
        <v>11663028</v>
      </c>
      <c r="CE14" s="425"/>
      <c r="CF14" s="376"/>
      <c r="CG14" s="375"/>
      <c r="CH14" s="375"/>
      <c r="CI14" s="376">
        <f>CI181</f>
        <v>3767776</v>
      </c>
      <c r="CJ14" s="425"/>
      <c r="CK14" s="376"/>
      <c r="CL14" s="375"/>
      <c r="CM14" s="375"/>
      <c r="CN14" s="376">
        <f>CN181</f>
        <v>7710681</v>
      </c>
      <c r="CO14" s="425"/>
      <c r="CP14" s="376"/>
      <c r="CQ14" s="375"/>
      <c r="CR14" s="375"/>
      <c r="CS14" s="376">
        <f>CS181</f>
        <v>3456518</v>
      </c>
      <c r="CT14" s="425"/>
      <c r="CU14" s="376"/>
      <c r="CV14" s="375"/>
      <c r="CW14" s="375"/>
      <c r="CX14" s="376">
        <f>CX181</f>
        <v>4835965</v>
      </c>
      <c r="CY14" s="425"/>
      <c r="CZ14" s="376"/>
      <c r="DA14" s="375"/>
      <c r="DB14" s="375"/>
      <c r="DC14" s="376">
        <f>DC181</f>
        <v>2187184</v>
      </c>
      <c r="DD14" s="425"/>
      <c r="DE14" s="376"/>
      <c r="DF14" s="375"/>
      <c r="DG14" s="375"/>
      <c r="DH14" s="376">
        <f>DH181</f>
        <v>5017820</v>
      </c>
      <c r="DI14" s="425"/>
      <c r="DJ14" s="376"/>
      <c r="DK14" s="375"/>
      <c r="DL14" s="375"/>
      <c r="DM14" s="376">
        <f>DM181</f>
        <v>4108885</v>
      </c>
      <c r="DN14" s="425"/>
      <c r="DO14" s="376"/>
      <c r="DP14" s="375"/>
      <c r="DQ14" s="375"/>
      <c r="DR14" s="376">
        <f>DR181</f>
        <v>3708680</v>
      </c>
      <c r="DS14" s="425"/>
      <c r="DT14" s="376"/>
      <c r="DU14" s="375"/>
      <c r="DV14" s="375"/>
      <c r="DW14" s="376">
        <f>DW181</f>
        <v>2673022</v>
      </c>
      <c r="DX14" s="425"/>
      <c r="DZ14" s="375"/>
      <c r="EA14" s="375"/>
      <c r="EB14" s="376">
        <f>EB181</f>
        <v>3014010</v>
      </c>
      <c r="EC14" s="425"/>
      <c r="ED14" s="376"/>
      <c r="EE14" s="375"/>
      <c r="EF14" s="375"/>
      <c r="EG14" s="376">
        <f>EG181</f>
        <v>1829008</v>
      </c>
      <c r="EH14" s="425"/>
      <c r="EI14" s="376"/>
      <c r="EJ14" s="375"/>
      <c r="EK14" s="375"/>
      <c r="EL14" s="376">
        <f>EL181</f>
        <v>38638972</v>
      </c>
      <c r="EM14" s="425"/>
      <c r="EN14" s="376"/>
      <c r="EO14" s="340"/>
      <c r="ER14" s="39"/>
      <c r="ES14" s="39"/>
    </row>
    <row r="15" spans="1:149" x14ac:dyDescent="0.2">
      <c r="A15" s="317"/>
      <c r="B15" s="317"/>
      <c r="D15" s="340" t="s">
        <v>177</v>
      </c>
      <c r="F15" s="371"/>
      <c r="G15" s="426">
        <f>G318</f>
        <v>8349673</v>
      </c>
      <c r="H15" s="427"/>
      <c r="I15" s="376"/>
      <c r="J15" s="375"/>
      <c r="K15" s="388"/>
      <c r="L15" s="426">
        <f>L318</f>
        <v>827198</v>
      </c>
      <c r="M15" s="427"/>
      <c r="N15" s="376"/>
      <c r="O15" s="375"/>
      <c r="P15" s="388"/>
      <c r="Q15" s="426">
        <f>Q318</f>
        <v>3114442</v>
      </c>
      <c r="R15" s="427"/>
      <c r="S15" s="376"/>
      <c r="T15" s="375"/>
      <c r="U15" s="388"/>
      <c r="V15" s="426">
        <f>V318</f>
        <v>860933</v>
      </c>
      <c r="W15" s="427"/>
      <c r="X15" s="376"/>
      <c r="Y15" s="375"/>
      <c r="Z15" s="388"/>
      <c r="AA15" s="426">
        <f>AA318</f>
        <v>95339</v>
      </c>
      <c r="AB15" s="427"/>
      <c r="AC15" s="376"/>
      <c r="AD15" s="375"/>
      <c r="AE15" s="388"/>
      <c r="AF15" s="426">
        <f>AF318</f>
        <v>2945441</v>
      </c>
      <c r="AG15" s="427"/>
      <c r="AH15" s="376"/>
      <c r="AI15" s="375"/>
      <c r="AJ15" s="388"/>
      <c r="AK15" s="426">
        <f>AK318</f>
        <v>506320</v>
      </c>
      <c r="AL15" s="427"/>
      <c r="AM15" s="376"/>
      <c r="AN15" s="375"/>
      <c r="AO15" s="388"/>
      <c r="AP15" s="426">
        <f>AP318</f>
        <v>513226</v>
      </c>
      <c r="AQ15" s="427"/>
      <c r="AR15" s="376"/>
      <c r="AS15" s="375"/>
      <c r="AT15" s="388"/>
      <c r="AU15" s="426">
        <f>AU318</f>
        <v>0</v>
      </c>
      <c r="AV15" s="427"/>
      <c r="AW15" s="376"/>
      <c r="AX15" s="375"/>
      <c r="AY15" s="388"/>
      <c r="AZ15" s="426">
        <f>AZ318</f>
        <v>0</v>
      </c>
      <c r="BA15" s="427"/>
      <c r="BB15" s="376"/>
      <c r="BC15" s="375"/>
      <c r="BD15" s="388"/>
      <c r="BE15" s="426">
        <f>BE318</f>
        <v>0</v>
      </c>
      <c r="BF15" s="427"/>
      <c r="BG15" s="376"/>
      <c r="BH15" s="375"/>
      <c r="BI15" s="388"/>
      <c r="BJ15" s="426">
        <f>BJ318</f>
        <v>0</v>
      </c>
      <c r="BK15" s="427"/>
      <c r="BL15" s="376"/>
      <c r="BM15" s="375"/>
      <c r="BN15" s="388"/>
      <c r="BO15" s="426">
        <f>BO318</f>
        <v>0</v>
      </c>
      <c r="BP15" s="427"/>
      <c r="BQ15" s="376"/>
      <c r="BR15" s="375"/>
      <c r="BS15" s="388"/>
      <c r="BT15" s="426">
        <f>BT318</f>
        <v>8862899</v>
      </c>
      <c r="BU15" s="427"/>
      <c r="BV15" s="376"/>
      <c r="BW15" s="375"/>
      <c r="BX15" s="388"/>
      <c r="BY15" s="426">
        <f>BY318</f>
        <v>7476976</v>
      </c>
      <c r="BZ15" s="427"/>
      <c r="CA15" s="376"/>
      <c r="CB15" s="375"/>
      <c r="CC15" s="388"/>
      <c r="CD15" s="426">
        <f>CD318</f>
        <v>195061</v>
      </c>
      <c r="CE15" s="427"/>
      <c r="CF15" s="376"/>
      <c r="CG15" s="375"/>
      <c r="CH15" s="388"/>
      <c r="CI15" s="426">
        <f>CI318</f>
        <v>0</v>
      </c>
      <c r="CJ15" s="427"/>
      <c r="CK15" s="376"/>
      <c r="CL15" s="375"/>
      <c r="CM15" s="388"/>
      <c r="CN15" s="426">
        <f>CN318</f>
        <v>956108</v>
      </c>
      <c r="CO15" s="427"/>
      <c r="CP15" s="376"/>
      <c r="CQ15" s="375"/>
      <c r="CR15" s="388"/>
      <c r="CS15" s="426">
        <f>CS318</f>
        <v>380371</v>
      </c>
      <c r="CT15" s="427"/>
      <c r="CU15" s="376"/>
      <c r="CV15" s="375"/>
      <c r="CW15" s="388"/>
      <c r="CX15" s="426">
        <f>CX318</f>
        <v>83879</v>
      </c>
      <c r="CY15" s="427"/>
      <c r="CZ15" s="376"/>
      <c r="DA15" s="375"/>
      <c r="DB15" s="388"/>
      <c r="DC15" s="426">
        <f>DC318</f>
        <v>27624</v>
      </c>
      <c r="DD15" s="427"/>
      <c r="DE15" s="376"/>
      <c r="DF15" s="375"/>
      <c r="DG15" s="388"/>
      <c r="DH15" s="426">
        <f>DH318</f>
        <v>481602</v>
      </c>
      <c r="DI15" s="427"/>
      <c r="DJ15" s="376"/>
      <c r="DK15" s="375"/>
      <c r="DL15" s="388"/>
      <c r="DM15" s="426">
        <f>DM318</f>
        <v>1204105</v>
      </c>
      <c r="DN15" s="427"/>
      <c r="DO15" s="376"/>
      <c r="DP15" s="375"/>
      <c r="DQ15" s="388"/>
      <c r="DR15" s="426">
        <f>DR318</f>
        <v>342784</v>
      </c>
      <c r="DS15" s="427"/>
      <c r="DT15" s="376"/>
      <c r="DU15" s="375"/>
      <c r="DV15" s="388"/>
      <c r="DW15" s="426">
        <f>DW318</f>
        <v>0</v>
      </c>
      <c r="DX15" s="427"/>
      <c r="DY15" s="376"/>
      <c r="DZ15" s="375"/>
      <c r="EA15" s="388"/>
      <c r="EB15" s="426">
        <f>EB318</f>
        <v>772365</v>
      </c>
      <c r="EC15" s="427"/>
      <c r="ED15" s="376"/>
      <c r="EE15" s="375"/>
      <c r="EF15" s="388"/>
      <c r="EG15" s="426">
        <f>EG318</f>
        <v>3033077</v>
      </c>
      <c r="EH15" s="427"/>
      <c r="EI15" s="376"/>
      <c r="EJ15" s="375"/>
      <c r="EK15" s="388"/>
      <c r="EL15" s="426">
        <f>EL318</f>
        <v>2124645</v>
      </c>
      <c r="EM15" s="427"/>
      <c r="EN15" s="376"/>
      <c r="EO15" s="340"/>
      <c r="ER15" s="39"/>
      <c r="ES15" s="39"/>
    </row>
    <row r="16" spans="1:149" x14ac:dyDescent="0.2">
      <c r="A16" s="317"/>
      <c r="B16" s="317"/>
      <c r="D16" s="340"/>
      <c r="F16" s="317"/>
      <c r="G16" s="376"/>
      <c r="H16" s="376"/>
      <c r="I16" s="376"/>
      <c r="J16" s="375"/>
      <c r="K16" s="376"/>
      <c r="L16" s="376"/>
      <c r="M16" s="376"/>
      <c r="N16" s="376"/>
      <c r="O16" s="375"/>
      <c r="P16" s="376"/>
      <c r="Q16" s="376"/>
      <c r="R16" s="376"/>
      <c r="S16" s="376"/>
      <c r="T16" s="375"/>
      <c r="U16" s="376"/>
      <c r="V16" s="376"/>
      <c r="W16" s="376"/>
      <c r="X16" s="376"/>
      <c r="Y16" s="375"/>
      <c r="Z16" s="376"/>
      <c r="AA16" s="376"/>
      <c r="AB16" s="376"/>
      <c r="AC16" s="376"/>
      <c r="AD16" s="375"/>
      <c r="AE16" s="376"/>
      <c r="AF16" s="376"/>
      <c r="AG16" s="376"/>
      <c r="AH16" s="376"/>
      <c r="AI16" s="375"/>
      <c r="AJ16" s="376"/>
      <c r="AK16" s="376"/>
      <c r="AL16" s="376"/>
      <c r="AM16" s="376"/>
      <c r="AN16" s="375"/>
      <c r="AO16" s="376"/>
      <c r="AP16" s="376"/>
      <c r="AQ16" s="376"/>
      <c r="AR16" s="376"/>
      <c r="AS16" s="375"/>
      <c r="AT16" s="376"/>
      <c r="AU16" s="376"/>
      <c r="AV16" s="376"/>
      <c r="AW16" s="376"/>
      <c r="AX16" s="375"/>
      <c r="AY16" s="376"/>
      <c r="AZ16" s="376"/>
      <c r="BA16" s="376"/>
      <c r="BB16" s="376"/>
      <c r="BC16" s="375"/>
      <c r="BD16" s="376"/>
      <c r="BE16" s="376"/>
      <c r="BF16" s="376"/>
      <c r="BG16" s="376"/>
      <c r="BH16" s="375"/>
      <c r="BI16" s="376"/>
      <c r="BJ16" s="376"/>
      <c r="BK16" s="376"/>
      <c r="BL16" s="376"/>
      <c r="BM16" s="375"/>
      <c r="BN16" s="376"/>
      <c r="BO16" s="376"/>
      <c r="BP16" s="376"/>
      <c r="BQ16" s="376"/>
      <c r="BR16" s="375"/>
      <c r="BS16" s="376"/>
      <c r="BT16" s="376"/>
      <c r="BU16" s="376"/>
      <c r="BV16" s="376"/>
      <c r="BW16" s="375"/>
      <c r="BX16" s="376"/>
      <c r="BY16" s="376"/>
      <c r="BZ16" s="376"/>
      <c r="CA16" s="376"/>
      <c r="CB16" s="375"/>
      <c r="CC16" s="376"/>
      <c r="CD16" s="376"/>
      <c r="CE16" s="376"/>
      <c r="CF16" s="376"/>
      <c r="CG16" s="375"/>
      <c r="CH16" s="376"/>
      <c r="CI16" s="376"/>
      <c r="CJ16" s="376"/>
      <c r="CK16" s="376"/>
      <c r="CL16" s="375"/>
      <c r="CM16" s="376"/>
      <c r="CN16" s="376"/>
      <c r="CO16" s="376"/>
      <c r="CP16" s="376"/>
      <c r="CQ16" s="375"/>
      <c r="CR16" s="376"/>
      <c r="CS16" s="376"/>
      <c r="CT16" s="376"/>
      <c r="CU16" s="376"/>
      <c r="CV16" s="375"/>
      <c r="CW16" s="376"/>
      <c r="CX16" s="376"/>
      <c r="CY16" s="376"/>
      <c r="CZ16" s="376"/>
      <c r="DA16" s="375"/>
      <c r="DB16" s="376"/>
      <c r="DC16" s="376"/>
      <c r="DD16" s="376"/>
      <c r="DE16" s="376"/>
      <c r="DF16" s="375"/>
      <c r="DG16" s="376"/>
      <c r="DH16" s="376"/>
      <c r="DI16" s="376"/>
      <c r="DJ16" s="376"/>
      <c r="DK16" s="375"/>
      <c r="DL16" s="376"/>
      <c r="DM16" s="376"/>
      <c r="DN16" s="376"/>
      <c r="DO16" s="376"/>
      <c r="DP16" s="375"/>
      <c r="DQ16" s="376"/>
      <c r="DR16" s="376"/>
      <c r="DS16" s="376"/>
      <c r="DT16" s="376"/>
      <c r="DU16" s="375"/>
      <c r="DV16" s="376"/>
      <c r="DW16" s="376"/>
      <c r="DX16" s="376"/>
      <c r="DY16" s="376"/>
      <c r="DZ16" s="375"/>
      <c r="EA16" s="376"/>
      <c r="EB16" s="376"/>
      <c r="EC16" s="376"/>
      <c r="ED16" s="376"/>
      <c r="EE16" s="375"/>
      <c r="EF16" s="376"/>
      <c r="EG16" s="376"/>
      <c r="EH16" s="376"/>
      <c r="EI16" s="376"/>
      <c r="EJ16" s="375"/>
      <c r="EK16" s="376"/>
      <c r="EL16" s="376"/>
      <c r="EM16" s="376"/>
      <c r="EN16" s="376"/>
      <c r="EO16" s="340"/>
      <c r="ER16" s="39"/>
      <c r="ES16" s="39"/>
    </row>
    <row r="17" spans="1:150" s="39" customFormat="1" x14ac:dyDescent="0.2">
      <c r="A17" s="329"/>
      <c r="B17" s="329"/>
      <c r="D17" s="348" t="s">
        <v>178</v>
      </c>
      <c r="E17" s="350"/>
      <c r="F17" s="329"/>
      <c r="G17" s="41">
        <f>SUM(G18:G21)</f>
        <v>340512000</v>
      </c>
      <c r="H17" s="41"/>
      <c r="I17" s="41"/>
      <c r="J17" s="428"/>
      <c r="K17" s="41"/>
      <c r="L17" s="41">
        <f>SUM(L18:L21)</f>
        <v>23849866</v>
      </c>
      <c r="M17" s="41"/>
      <c r="N17" s="41"/>
      <c r="O17" s="428"/>
      <c r="P17" s="41"/>
      <c r="Q17" s="41">
        <f>SUM(Q18:Q21)</f>
        <v>30102790</v>
      </c>
      <c r="R17" s="41"/>
      <c r="S17" s="41"/>
      <c r="T17" s="428"/>
      <c r="U17" s="41"/>
      <c r="V17" s="41">
        <f>SUM(V18:V21)</f>
        <v>29395127</v>
      </c>
      <c r="W17" s="41"/>
      <c r="X17" s="41"/>
      <c r="Y17" s="428"/>
      <c r="Z17" s="41"/>
      <c r="AA17" s="41">
        <f>SUM(AA18:AA21)</f>
        <v>52376510</v>
      </c>
      <c r="AB17" s="41"/>
      <c r="AC17" s="41"/>
      <c r="AD17" s="428"/>
      <c r="AE17" s="41"/>
      <c r="AF17" s="41">
        <f>SUM(AF18:AF21)</f>
        <v>35558950</v>
      </c>
      <c r="AG17" s="41"/>
      <c r="AH17" s="41"/>
      <c r="AI17" s="428"/>
      <c r="AJ17" s="41"/>
      <c r="AK17" s="41">
        <f>SUM(AK18:AK21)</f>
        <v>38933593</v>
      </c>
      <c r="AL17" s="41"/>
      <c r="AM17" s="41"/>
      <c r="AN17" s="428"/>
      <c r="AO17" s="41"/>
      <c r="AP17" s="41">
        <f>SUM(AP18:AP21)</f>
        <v>34472211</v>
      </c>
      <c r="AQ17" s="41"/>
      <c r="AR17" s="41"/>
      <c r="AS17" s="428"/>
      <c r="AT17" s="41"/>
      <c r="AU17" s="41">
        <f>SUM(AU18:AU21)</f>
        <v>0</v>
      </c>
      <c r="AV17" s="41"/>
      <c r="AW17" s="41"/>
      <c r="AX17" s="428"/>
      <c r="AY17" s="41"/>
      <c r="AZ17" s="41">
        <f>SUM(AZ18:AZ21)</f>
        <v>0</v>
      </c>
      <c r="BA17" s="41"/>
      <c r="BB17" s="41"/>
      <c r="BC17" s="428"/>
      <c r="BD17" s="41"/>
      <c r="BE17" s="41">
        <f>SUM(BE18:BE21)</f>
        <v>0</v>
      </c>
      <c r="BF17" s="41"/>
      <c r="BG17" s="41"/>
      <c r="BH17" s="428"/>
      <c r="BI17" s="41"/>
      <c r="BJ17" s="41">
        <f>SUM(BJ18:BJ21)</f>
        <v>0</v>
      </c>
      <c r="BK17" s="41"/>
      <c r="BL17" s="41"/>
      <c r="BM17" s="428"/>
      <c r="BN17" s="41"/>
      <c r="BO17" s="41">
        <f>SUM(BO18:BO21)</f>
        <v>0</v>
      </c>
      <c r="BP17" s="41"/>
      <c r="BQ17" s="41"/>
      <c r="BR17" s="428"/>
      <c r="BS17" s="41"/>
      <c r="BT17" s="41">
        <f>SUM(BT18:BT21)</f>
        <v>244689047</v>
      </c>
      <c r="BU17" s="41"/>
      <c r="BV17" s="41"/>
      <c r="BW17" s="428"/>
      <c r="BX17" s="41"/>
      <c r="BY17" s="41">
        <f>SUM(BY18:BY21)</f>
        <v>337762752</v>
      </c>
      <c r="BZ17" s="41"/>
      <c r="CA17" s="41"/>
      <c r="CB17" s="428"/>
      <c r="CC17" s="41"/>
      <c r="CD17" s="41">
        <f>SUM(CD18:CD21)</f>
        <v>32347333</v>
      </c>
      <c r="CE17" s="41"/>
      <c r="CF17" s="41"/>
      <c r="CG17" s="428"/>
      <c r="CH17" s="41"/>
      <c r="CI17" s="41">
        <f>SUM(CI18:CI21)</f>
        <v>30897412</v>
      </c>
      <c r="CJ17" s="41"/>
      <c r="CK17" s="41"/>
      <c r="CL17" s="428"/>
      <c r="CM17" s="41"/>
      <c r="CN17" s="41">
        <f>SUM(CN18:CN21)</f>
        <v>27576195</v>
      </c>
      <c r="CO17" s="41"/>
      <c r="CP17" s="41"/>
      <c r="CQ17" s="428"/>
      <c r="CR17" s="41"/>
      <c r="CS17" s="41">
        <f>SUM(CS18:CS21)</f>
        <v>32976789</v>
      </c>
      <c r="CT17" s="41"/>
      <c r="CU17" s="41"/>
      <c r="CV17" s="428"/>
      <c r="CW17" s="41"/>
      <c r="CX17" s="41">
        <f>SUM(CX18:CX21)</f>
        <v>27670253</v>
      </c>
      <c r="CY17" s="41"/>
      <c r="CZ17" s="41"/>
      <c r="DA17" s="428"/>
      <c r="DB17" s="41"/>
      <c r="DC17" s="41">
        <f>SUM(DC18:DC21)</f>
        <v>25324462</v>
      </c>
      <c r="DD17" s="41"/>
      <c r="DE17" s="41"/>
      <c r="DF17" s="428"/>
      <c r="DG17" s="41"/>
      <c r="DH17" s="41">
        <f>SUM(DH18:DH21)</f>
        <v>33828275</v>
      </c>
      <c r="DI17" s="41"/>
      <c r="DJ17" s="41"/>
      <c r="DK17" s="428"/>
      <c r="DL17" s="41"/>
      <c r="DM17" s="41">
        <f>SUM(DM18:DM21)</f>
        <v>23303905</v>
      </c>
      <c r="DN17" s="41"/>
      <c r="DO17" s="41"/>
      <c r="DP17" s="428"/>
      <c r="DQ17" s="41"/>
      <c r="DR17" s="41">
        <f>SUM(DR18:DR21)</f>
        <v>24962859</v>
      </c>
      <c r="DS17" s="41"/>
      <c r="DT17" s="41"/>
      <c r="DU17" s="428"/>
      <c r="DV17" s="41"/>
      <c r="DW17" s="41">
        <f>SUM(DW18:DW21)</f>
        <v>21654275</v>
      </c>
      <c r="DX17" s="41"/>
      <c r="DY17" s="41"/>
      <c r="DZ17" s="428"/>
      <c r="EA17" s="41"/>
      <c r="EB17" s="41">
        <f>SUM(EB18:EB21)</f>
        <v>28691924</v>
      </c>
      <c r="EC17" s="41"/>
      <c r="ED17" s="41"/>
      <c r="EE17" s="428"/>
      <c r="EF17" s="41"/>
      <c r="EG17" s="41">
        <f>SUM(EG18:EG21)</f>
        <v>28529070</v>
      </c>
      <c r="EH17" s="41"/>
      <c r="EI17" s="41"/>
      <c r="EJ17" s="428"/>
      <c r="EK17" s="41"/>
      <c r="EL17" s="41">
        <f>SUM(EL18:EL21)</f>
        <v>210620719</v>
      </c>
      <c r="EM17" s="41"/>
      <c r="EN17" s="41"/>
      <c r="EO17" s="348"/>
      <c r="ET17" s="429"/>
    </row>
    <row r="18" spans="1:150" x14ac:dyDescent="0.2">
      <c r="A18" s="317"/>
      <c r="B18" s="317"/>
      <c r="D18" s="340" t="s">
        <v>179</v>
      </c>
      <c r="F18" s="354"/>
      <c r="G18" s="430">
        <f>299400000-3500000</f>
        <v>295900000</v>
      </c>
      <c r="H18" s="431"/>
      <c r="I18" s="51"/>
      <c r="J18" s="144"/>
      <c r="K18" s="432"/>
      <c r="L18" s="430">
        <f>+L24+L58+L64+L70+L76+L82+L88+L95+L100+L105+L110+L115+L120+L125+L130+L135+L140+L168+L172+L145+L28+L34+L52+L40+L150+L155+L46</f>
        <v>18874340</v>
      </c>
      <c r="M18" s="431"/>
      <c r="N18" s="51"/>
      <c r="O18" s="144"/>
      <c r="P18" s="432"/>
      <c r="Q18" s="430">
        <f>+Q24+Q58+Q64+Q70+Q76+Q82+Q88+Q95+Q100+Q105+Q110+Q115+Q120+Q125+Q130+Q135+Q140+Q168+Q172+Q145+Q28+Q34+Q52+Q40+Q150+Q155+Q46</f>
        <v>24447416</v>
      </c>
      <c r="R18" s="431"/>
      <c r="S18" s="51"/>
      <c r="T18" s="144"/>
      <c r="U18" s="432"/>
      <c r="V18" s="430">
        <f>+V24+V58+V64+V70+V76+V82+V88+V95+V100+V105+V110+V115+V120+V125+V130+V135+V140+V168+V172+V145+V28+V34+V52+V40+V150+V155+V46</f>
        <v>21418919</v>
      </c>
      <c r="W18" s="431"/>
      <c r="X18" s="51"/>
      <c r="Y18" s="144"/>
      <c r="Z18" s="432"/>
      <c r="AA18" s="430">
        <f>+AA24+AA58+AA64+AA70+AA76+AA82+AA88+AA95+AA100+AA105+AA110+AA115+AA120+AA125+AA130+AA135+AA140+AA168+AA172+AA145+AA28+AA34+AA52+AA40+AA150+AA155+AA46</f>
        <v>44579269</v>
      </c>
      <c r="AB18" s="431"/>
      <c r="AC18" s="51"/>
      <c r="AD18" s="144"/>
      <c r="AE18" s="432"/>
      <c r="AF18" s="430">
        <f>+AF24+AF58+AF64+AF70+AF76+AF82+AF88+AF95+AF100+AF105+AF110+AF115+AF120+AF125+AF130+AF135+AF140+AF168+AF172+AF145+AF28+AF34+AF52+AF40+AF150+AF155+AF46</f>
        <v>27074156</v>
      </c>
      <c r="AG18" s="431"/>
      <c r="AH18" s="51"/>
      <c r="AI18" s="144"/>
      <c r="AJ18" s="432"/>
      <c r="AK18" s="430">
        <f>+AK24+AK58+AK64+AK70+AK76+AK82+AK88+AK95+AK100+AK105+AK110+AK115+AK120+AK125+AK130+AK135+AK140+AK168+AK172+AK145+AK28+AK34+AK52+AK40+AK150+AK155+AK46</f>
        <v>31465335</v>
      </c>
      <c r="AL18" s="431"/>
      <c r="AM18" s="51"/>
      <c r="AN18" s="144"/>
      <c r="AO18" s="432"/>
      <c r="AP18" s="430">
        <f>+AP24+AP58+AP64+AP70+AP76+AP82+AP88+AP95+AP100+AP105+AP110+AP115+AP120+AP125+AP130+AP135+AP140+AP168+AP172+AP145+AP28+AP34+AP52+AP40+AP150+AP155+AP46</f>
        <v>26739281</v>
      </c>
      <c r="AQ18" s="431"/>
      <c r="AR18" s="51"/>
      <c r="AS18" s="144"/>
      <c r="AT18" s="432"/>
      <c r="AU18" s="430">
        <f>+AU24+AU58+AU64+AU70+AU76+AU82+AU88+AU95+AU100+AU105+AU110+AU115+AU120+AU125+AU130+AU135+AU140+AU168+AU172+AU145+AU28+AU34+AU52+AU40+AU150+AU155+AU46</f>
        <v>0</v>
      </c>
      <c r="AV18" s="431"/>
      <c r="AW18" s="51"/>
      <c r="AX18" s="144"/>
      <c r="AY18" s="432"/>
      <c r="AZ18" s="430">
        <f>+AZ24+AZ58+AZ64+AZ70+AZ76+AZ82+AZ88+AZ95+AZ100+AZ105+AZ110+AZ115+AZ120+AZ125+AZ130+AZ135+AZ140+AZ168+AZ172+AZ145+AZ28+AZ34+AZ52+AZ40+AZ150+AZ155+AZ46</f>
        <v>0</v>
      </c>
      <c r="BA18" s="431"/>
      <c r="BB18" s="51"/>
      <c r="BC18" s="144"/>
      <c r="BD18" s="432"/>
      <c r="BE18" s="430">
        <f>+BE24+BE58+BE64+BE70+BE76+BE82+BE88+BE95+BE100+BE105+BE110+BE115+BE120+BE125+BE130+BE135+BE140+BE168+BE172+BE145+BE28+BE34+BE52+BE40+BE150+BE155+BE46</f>
        <v>0</v>
      </c>
      <c r="BF18" s="431"/>
      <c r="BG18" s="51"/>
      <c r="BH18" s="144"/>
      <c r="BI18" s="432"/>
      <c r="BJ18" s="430">
        <f>+BJ24+BJ58+BJ64+BJ70+BJ76+BJ82+BJ88+BJ95+BJ100+BJ105+BJ110+BJ115+BJ120+BJ125+BJ130+BJ135+BJ140+BJ168+BJ172+BJ145+BJ28+BJ34+BJ52+BJ40+BJ150+BJ155+BJ46</f>
        <v>0</v>
      </c>
      <c r="BK18" s="431"/>
      <c r="BL18" s="51"/>
      <c r="BM18" s="144"/>
      <c r="BN18" s="432"/>
      <c r="BO18" s="430">
        <f>+BO24+BO58+BO64+BO70+BO76+BO82+BO88+BO95+BO100+BO105+BO110+BO115+BO120+BO125+BO130+BO135+BO140+BO168+BO172+BO145+BO28+BO34+BO52+BO40+BO150+BO155+BO46</f>
        <v>0</v>
      </c>
      <c r="BP18" s="431"/>
      <c r="BQ18" s="51"/>
      <c r="BR18" s="144"/>
      <c r="BS18" s="432"/>
      <c r="BT18" s="430">
        <f>+BT24+BT58+BT64+BT70+BT76+BT82+BT88+BT95+BT100+BT105+BT110+BT115+BT120+BT125+BT130+BT135+BT140+BT168+BT172+BT145+BT28+BT34+BT52+BT40+BT150+BT155+BT46</f>
        <v>194598716</v>
      </c>
      <c r="BU18" s="431"/>
      <c r="BV18" s="51"/>
      <c r="BW18" s="144"/>
      <c r="BX18" s="432"/>
      <c r="BY18" s="430">
        <f>+BY24+BY58+BY64+BY70+BY76+BY82+BY88+BY95+BY100+BY105+BY110+BY115+BY120+BY125+BY130+BY135+BY140+BY168+BY172+BY145+BY28+BY34+BY52+BY40+BY150+BY155+BY46</f>
        <v>266987645</v>
      </c>
      <c r="BZ18" s="431"/>
      <c r="CA18" s="51"/>
      <c r="CB18" s="144"/>
      <c r="CC18" s="432"/>
      <c r="CD18" s="430">
        <f>+CD24+CD58+CD64+CD70+CD76+CD82+CD88+CD95+CD100+CD105+CD110+CD115+CD120+CD125+CD130+CD135+CD140+CD168+CD172+CD145+CD28+CD34+CD52+CD40+CD150+CD155+CD46</f>
        <v>25697745</v>
      </c>
      <c r="CE18" s="431"/>
      <c r="CF18" s="51"/>
      <c r="CG18" s="144"/>
      <c r="CH18" s="432"/>
      <c r="CI18" s="430">
        <f>+CI24+CI58+CI64+CI70+CI76+CI82+CI88+CI95+CI100+CI105+CI110+CI115+CI120+CI125+CI130+CI135+CI140+CI168+CI172+CI145+CI28+CI34+CI52+CI40+CI150+CI155+CI46</f>
        <v>24482156</v>
      </c>
      <c r="CJ18" s="431"/>
      <c r="CK18" s="51"/>
      <c r="CL18" s="144"/>
      <c r="CM18" s="432"/>
      <c r="CN18" s="430">
        <f>+CN24+CN58+CN64+CN70+CN76+CN82+CN88+CN95+CN100+CN105+CN110+CN115+CN120+CN125+CN130+CN135+CN140+CN168+CN172+CN145+CN28+CN34+CN52+CN40+CN150+CN155+CN46</f>
        <v>21524984</v>
      </c>
      <c r="CO18" s="431"/>
      <c r="CP18" s="51"/>
      <c r="CQ18" s="144"/>
      <c r="CR18" s="432"/>
      <c r="CS18" s="430">
        <f>+CS24+CS58+CS64+CS70+CS76+CS82+CS88+CS95+CS100+CS105+CS110+CS115+CS120+CS125+CS130+CS135+CS140+CS168+CS172+CS145+CS28+CS34+CS52+CS40+CS150+CS155+CS46</f>
        <v>27318567</v>
      </c>
      <c r="CT18" s="431"/>
      <c r="CU18" s="51"/>
      <c r="CV18" s="144"/>
      <c r="CW18" s="432"/>
      <c r="CX18" s="430">
        <f>+CX24+CX58+CX64+CX70+CX76+CX82+CX88+CX95+CX100+CX105+CX110+CX115+CX120+CX125+CX130+CX135+CX140+CX168+CX172+CX145+CX28+CX34+CX52+CX40+CX150+CX155+CX46</f>
        <v>21385621</v>
      </c>
      <c r="CY18" s="431"/>
      <c r="CZ18" s="51"/>
      <c r="DA18" s="144"/>
      <c r="DB18" s="432"/>
      <c r="DC18" s="430">
        <f>+DC24+DC58+DC64+DC70+DC76+DC82+DC88+DC95+DC100+DC105+DC110+DC115+DC120+DC125+DC130+DC135+DC140+DC168+DC172+DC145+DC28+DC34+DC52+DC40+DC150+DC155+DC46</f>
        <v>19251348</v>
      </c>
      <c r="DD18" s="431"/>
      <c r="DE18" s="51"/>
      <c r="DF18" s="144"/>
      <c r="DG18" s="432"/>
      <c r="DH18" s="430">
        <f>+DH24+DH58+DH64+DH70+DH76+DH82+DH88+DH95+DH100+DH105+DH110+DH115+DH120+DH125+DH130+DH135+DH140+DH168+DH172+DH145+DH28+DH34+DH52+DH40+DH150+DH155+DH46</f>
        <v>26059821</v>
      </c>
      <c r="DI18" s="431"/>
      <c r="DJ18" s="51"/>
      <c r="DK18" s="144"/>
      <c r="DL18" s="432"/>
      <c r="DM18" s="430">
        <f>+DM24+DM58+DM64+DM70+DM76+DM82+DM88+DM95+DM100+DM105+DM110+DM115+DM120+DM125+DM130+DM135+DM140+DM168+DM172+DM145+DM28+DM34+DM52+DM40+DM150+DM155+DM46</f>
        <v>18397319</v>
      </c>
      <c r="DN18" s="431"/>
      <c r="DO18" s="51"/>
      <c r="DP18" s="144"/>
      <c r="DQ18" s="432"/>
      <c r="DR18" s="430">
        <f>+DR24+DR58+DR64+DR70+DR76+DR82+DR88+DR95+DR100+DR105+DR110+DR115+DR120+DR125+DR130+DR135+DR140+DR168+DR172+DR145+DR28+DR34+DR52+DR40+DR150+DR155+DR46</f>
        <v>18587367</v>
      </c>
      <c r="DS18" s="431"/>
      <c r="DT18" s="51"/>
      <c r="DU18" s="144"/>
      <c r="DV18" s="432"/>
      <c r="DW18" s="430">
        <f>+DW24+DW58+DW64+DW70+DW76+DW82+DW88+DW95+DW100+DW105+DW110+DW115+DW120+DW125+DW130+DW135+DW140+DW168+DW172+DW145+DW28+DW34+DW52+DW40+DW150+DW155+DW46</f>
        <v>17193465</v>
      </c>
      <c r="DX18" s="431"/>
      <c r="DY18" s="51"/>
      <c r="DZ18" s="144"/>
      <c r="EA18" s="432"/>
      <c r="EB18" s="430">
        <f>+EB24+EB58+EB64+EB70+EB76+EB82+EB88+EB95+EB100+EB105+EB110+EB115+EB120+EB125+EB130+EB135+EB140+EB168+EB172+EB145+EB28+EB34+EB52+EB40+EB150+EB155+EB46</f>
        <v>23509279</v>
      </c>
      <c r="EC18" s="431"/>
      <c r="ED18" s="51"/>
      <c r="EE18" s="144"/>
      <c r="EF18" s="432"/>
      <c r="EG18" s="430">
        <f>+EG24+EG58+EG64+EG70+EG76+EG82+EG88+EG95+EG100+EG105+EG110+EG115+EG120+EG125+EG130+EG135+EG140+EG168+EG172+EG145+EG28+EG34+EG52+EG40+EG150+EG155+EG46</f>
        <v>23579973</v>
      </c>
      <c r="EH18" s="431"/>
      <c r="EI18" s="51"/>
      <c r="EJ18" s="144"/>
      <c r="EK18" s="432"/>
      <c r="EL18" s="430">
        <f>+EL24+EL58+EL64+EL70+EL76+EL82+EL88+EL95+EL100+EL105+EL110+EL115+EL120+EL125+EL130+EL135+EL140+EL168+EL172+EL145+EL28+EL34+EL52+EL40+EL150+EL155+EL46</f>
        <v>165720242</v>
      </c>
      <c r="EM18" s="431"/>
      <c r="EN18" s="51"/>
      <c r="EO18" s="340"/>
      <c r="ER18" s="39"/>
      <c r="ES18" s="39"/>
      <c r="ET18" s="433"/>
    </row>
    <row r="19" spans="1:150" x14ac:dyDescent="0.2">
      <c r="A19" s="317"/>
      <c r="B19" s="317"/>
      <c r="D19" s="340" t="s">
        <v>145</v>
      </c>
      <c r="F19" s="347"/>
      <c r="G19" s="51">
        <v>44612000</v>
      </c>
      <c r="H19" s="50"/>
      <c r="I19" s="51"/>
      <c r="J19" s="144"/>
      <c r="K19" s="144"/>
      <c r="L19" s="51">
        <f>+L59+L65+L71+L77+L83+L89+L96+L101+L106+L111+L116+L121+L126+L131+L136+L141+L146+L29+L35+L53+L41+L151+L156+L47</f>
        <v>3357671</v>
      </c>
      <c r="M19" s="50"/>
      <c r="N19" s="51"/>
      <c r="O19" s="144"/>
      <c r="P19" s="144"/>
      <c r="Q19" s="51">
        <f>+Q59+Q65+Q71+Q77+Q83+Q89+Q96+Q101+Q106+Q111+Q116+Q121+Q126+Q131+Q136+Q141+Q146+Q29+Q35+Q53+Q41+Q151+Q156+Q47</f>
        <v>4348042</v>
      </c>
      <c r="R19" s="50"/>
      <c r="S19" s="51"/>
      <c r="T19" s="144"/>
      <c r="U19" s="144"/>
      <c r="V19" s="51">
        <f>+V59+V65+V71+V77+V83+V89+V96+V101+V106+V111+V116+V121+V126+V131+V136+V141+V146+V29+V35+V53+V41+V151+V156+V47</f>
        <v>5199615</v>
      </c>
      <c r="W19" s="50"/>
      <c r="X19" s="51"/>
      <c r="Y19" s="144"/>
      <c r="Z19" s="144"/>
      <c r="AA19" s="51">
        <f>+AA59+AA65+AA71+AA77+AA83+AA89+AA96+AA101+AA106+AA111+AA116+AA121+AA126+AA131+AA136+AA141+AA146+AA29+AA35+AA53+AA41+AA151+AA156+AA47</f>
        <v>6163152</v>
      </c>
      <c r="AB19" s="50"/>
      <c r="AC19" s="51"/>
      <c r="AD19" s="144"/>
      <c r="AE19" s="144"/>
      <c r="AF19" s="51">
        <f>+AF59+AF65+AF71+AF77+AF83+AF89+AF96+AF101+AF106+AF111+AF116+AF121+AF126+AF131+AF136+AF141+AF146+AF29+AF35+AF53+AF41+AF151+AF156+AF47</f>
        <v>5523545</v>
      </c>
      <c r="AG19" s="50"/>
      <c r="AH19" s="51"/>
      <c r="AI19" s="144"/>
      <c r="AJ19" s="144"/>
      <c r="AK19" s="51">
        <f>+AK59+AK65+AK71+AK77+AK83+AK89+AK96+AK101+AK106+AK111+AK116+AK121+AK126+AK131+AK136+AK141+AK146+AK29+AK35+AK53+AK41+AK151+AK156+AK47</f>
        <v>5238994</v>
      </c>
      <c r="AL19" s="50"/>
      <c r="AM19" s="51"/>
      <c r="AN19" s="144"/>
      <c r="AO19" s="144"/>
      <c r="AP19" s="51">
        <f>+AP59+AP65+AP71+AP77+AP83+AP89+AP96+AP101+AP106+AP111+AP116+AP121+AP126+AP131+AP136+AP141+AP146+AP29+AP35+AP53+AP41+AP151+AP156+AP47</f>
        <v>5173710</v>
      </c>
      <c r="AQ19" s="50"/>
      <c r="AR19" s="51"/>
      <c r="AS19" s="144"/>
      <c r="AT19" s="144"/>
      <c r="AU19" s="51">
        <f>+AU59+AU65+AU71+AU77+AU83+AU89+AU96+AU101+AU106+AU111+AU116+AU121+AU126+AU131+AU136+AU141+AU146+AU29+AU35+AU53+AU41+AU151+AU156+AU47</f>
        <v>0</v>
      </c>
      <c r="AV19" s="50"/>
      <c r="AW19" s="51"/>
      <c r="AX19" s="144"/>
      <c r="AY19" s="144"/>
      <c r="AZ19" s="51">
        <f>+AZ59+AZ65+AZ71+AZ77+AZ83+AZ89+AZ96+AZ101+AZ106+AZ111+AZ116+AZ121+AZ126+AZ131+AZ136+AZ141+AZ146+AZ29+AZ35+AZ53+AZ41+AZ151+AZ156+AZ47</f>
        <v>0</v>
      </c>
      <c r="BA19" s="50"/>
      <c r="BB19" s="51"/>
      <c r="BC19" s="144"/>
      <c r="BD19" s="144"/>
      <c r="BE19" s="51">
        <f>+BE59+BE65+BE71+BE77+BE83+BE89+BE96+BE101+BE106+BE111+BE116+BE121+BE126+BE131+BE136+BE141+BE146+BE29+BE35+BE53+BE41+BE151+BE156+BE47</f>
        <v>0</v>
      </c>
      <c r="BF19" s="50"/>
      <c r="BG19" s="51"/>
      <c r="BH19" s="144"/>
      <c r="BI19" s="144"/>
      <c r="BJ19" s="51">
        <f>+BJ59+BJ65+BJ71+BJ77+BJ83+BJ89+BJ96+BJ101+BJ106+BJ111+BJ116+BJ121+BJ126+BJ131+BJ136+BJ141+BJ146+BJ29+BJ35+BJ53+BJ41+BJ151+BJ156+BJ47</f>
        <v>0</v>
      </c>
      <c r="BK19" s="50"/>
      <c r="BL19" s="51"/>
      <c r="BM19" s="144"/>
      <c r="BN19" s="144"/>
      <c r="BO19" s="51">
        <f>+BO59+BO65+BO71+BO77+BO83+BO89+BO96+BO101+BO106+BO111+BO116+BO121+BO126+BO131+BO136+BO141+BO146+BO29+BO35+BO53+BO41+BO151+BO156+BO47</f>
        <v>0</v>
      </c>
      <c r="BP19" s="50"/>
      <c r="BQ19" s="51"/>
      <c r="BR19" s="144"/>
      <c r="BS19" s="144"/>
      <c r="BT19" s="51">
        <f>+BT59+BT65+BT71+BT77+BT83+BT89+BT96+BT101+BT106+BT111+BT116+BT121+BT126+BT131+BT136+BT141+BT146+BT29+BT35+BT53+BT41+BT151+BT156+BT47</f>
        <v>35004729</v>
      </c>
      <c r="BU19" s="50"/>
      <c r="BV19" s="51"/>
      <c r="BW19" s="144"/>
      <c r="BX19" s="144"/>
      <c r="BY19" s="51">
        <f>+BY59+BY65+BY71+BY77+BY83+BY89+BY96+BY101+BY106+BY111+BY116+BY121+BY126+BY131+BY136+BY141+BY146+BY29+BY35+BY53+BY41+BY151+BY156+BY47</f>
        <v>47829626</v>
      </c>
      <c r="BZ19" s="50"/>
      <c r="CA19" s="51"/>
      <c r="CB19" s="144"/>
      <c r="CC19" s="144"/>
      <c r="CD19" s="51">
        <f>+CD59+CD65+CD71+CD77+CD83+CD89+CD96+CD101+CD106+CD111+CD116+CD121+CD126+CD131+CD136+CD141+CD146+CD29+CD35+CD53+CD41+CD151+CD156+CD47</f>
        <v>5645039</v>
      </c>
      <c r="CE19" s="50"/>
      <c r="CF19" s="51"/>
      <c r="CG19" s="144"/>
      <c r="CH19" s="144"/>
      <c r="CI19" s="51">
        <f>+CI59+CI65+CI71+CI77+CI83+CI89+CI96+CI101+CI106+CI111+CI116+CI121+CI126+CI131+CI136+CI141+CI146+CI29+CI35+CI53+CI41+CI151+CI156+CI47</f>
        <v>4477496</v>
      </c>
      <c r="CJ19" s="50"/>
      <c r="CK19" s="51"/>
      <c r="CL19" s="144"/>
      <c r="CM19" s="144"/>
      <c r="CN19" s="51">
        <f>+CN59+CN65+CN71+CN77+CN83+CN89+CN96+CN101+CN106+CN111+CN116+CN121+CN126+CN131+CN136+CN141+CN146+CN29+CN35+CN53+CN41+CN151+CN156+CN47</f>
        <v>3697051</v>
      </c>
      <c r="CO19" s="50"/>
      <c r="CP19" s="51"/>
      <c r="CQ19" s="144"/>
      <c r="CR19" s="144"/>
      <c r="CS19" s="51">
        <f>+CS59+CS65+CS71+CS77+CS83+CS89+CS96+CS101+CS106+CS111+CS116+CS121+CS126+CS131+CS136+CS141+CS146+CS29+CS35+CS53+CS41+CS151+CS156+CS47</f>
        <v>4028774</v>
      </c>
      <c r="CT19" s="50"/>
      <c r="CU19" s="51"/>
      <c r="CV19" s="144"/>
      <c r="CW19" s="144"/>
      <c r="CX19" s="51">
        <f>+CX59+CX65+CX71+CX77+CX83+CX89+CX96+CX101+CX106+CX111+CX116+CX121+CX126+CX131+CX136+CX141+CX146+CX29+CX35+CX53+CX41+CX151+CX156+CX47</f>
        <v>4063950</v>
      </c>
      <c r="CY19" s="50"/>
      <c r="CZ19" s="51"/>
      <c r="DA19" s="144"/>
      <c r="DB19" s="144"/>
      <c r="DC19" s="51">
        <f>+DC59+DC65+DC71+DC77+DC83+DC89+DC96+DC101+DC106+DC111+DC116+DC121+DC126+DC131+DC136+DC141+DC146+DC29+DC35+DC53+DC41+DC151+DC156+DC47</f>
        <v>3732222</v>
      </c>
      <c r="DD19" s="50"/>
      <c r="DE19" s="51"/>
      <c r="DF19" s="144"/>
      <c r="DG19" s="144"/>
      <c r="DH19" s="51">
        <f>+DH59+DH65+DH71+DH77+DH83+DH89+DH96+DH101+DH106+DH111+DH116+DH121+DH126+DH131+DH136+DH141+DH146+DH29+DH35+DH53+DH41+DH151+DH156+DH47</f>
        <v>5478270</v>
      </c>
      <c r="DI19" s="50"/>
      <c r="DJ19" s="51"/>
      <c r="DK19" s="144"/>
      <c r="DL19" s="144"/>
      <c r="DM19" s="51">
        <f>+DM59+DM65+DM71+DM77+DM83+DM89+DM96+DM101+DM106+DM111+DM116+DM121+DM126+DM131+DM136+DM141+DM146+DM29+DM35+DM53+DM41+DM151+DM156+DM47</f>
        <v>3339881</v>
      </c>
      <c r="DN19" s="50"/>
      <c r="DO19" s="51"/>
      <c r="DP19" s="144"/>
      <c r="DQ19" s="144"/>
      <c r="DR19" s="51">
        <f>+DR59+DR65+DR71+DR77+DR83+DR89+DR96+DR101+DR106+DR111+DR116+DR121+DR126+DR131+DR136+DR141+DR146+DR29+DR35+DR53+DR41+DR151+DR156+DR47</f>
        <v>4186870</v>
      </c>
      <c r="DS19" s="50"/>
      <c r="DT19" s="51"/>
      <c r="DU19" s="144"/>
      <c r="DV19" s="144"/>
      <c r="DW19" s="51">
        <f>+DW59+DW65+DW71+DW77+DW83+DW89+DW96+DW101+DW106+DW111+DW116+DW121+DW126+DW131+DW136+DW141+DW146+DW29+DW35+DW53+DW41+DW151+DW156+DW47</f>
        <v>2875651</v>
      </c>
      <c r="DX19" s="50"/>
      <c r="DY19" s="51"/>
      <c r="DZ19" s="144"/>
      <c r="EA19" s="144"/>
      <c r="EB19" s="51">
        <f>+EB59+EB65+EB71+EB77+EB83+EB89+EB96+EB101+EB106+EB111+EB116+EB121+EB126+EB131+EB136+EB141+EB146+EB29+EB35+EB53+EB41+EB151+EB156+EB47</f>
        <v>3208682</v>
      </c>
      <c r="EC19" s="50"/>
      <c r="ED19" s="51"/>
      <c r="EE19" s="144"/>
      <c r="EF19" s="144"/>
      <c r="EG19" s="51">
        <f>+EG59+EG65+EG71+EG77+EG83+EG89+EG96+EG101+EG106+EG111+EG116+EG121+EG126+EG131+EG136+EG141+EG146+EG29+EG35+EG53+EG41+EG151+EG156+EG47</f>
        <v>3095740</v>
      </c>
      <c r="EH19" s="50"/>
      <c r="EI19" s="51"/>
      <c r="EJ19" s="144"/>
      <c r="EK19" s="144"/>
      <c r="EL19" s="51">
        <f>+EL59+EL65+EL71+EL77+EL83+EL89+EL96+EL101+EL106+EL111+EL116+EL121+EL126+EL131+EL136+EL141+EL146+EL29+EL35+EL53+EL41+EL151+EL156+EL47</f>
        <v>31122802</v>
      </c>
      <c r="EM19" s="50"/>
      <c r="EN19" s="51"/>
      <c r="EO19" s="340"/>
      <c r="ER19" s="39"/>
      <c r="ES19" s="39"/>
      <c r="ET19" s="433"/>
    </row>
    <row r="20" spans="1:150" x14ac:dyDescent="0.2">
      <c r="A20" s="317"/>
      <c r="B20" s="317"/>
      <c r="D20" s="340" t="s">
        <v>180</v>
      </c>
      <c r="F20" s="347"/>
      <c r="G20" s="51">
        <f>+G60+G66+G72+G78+G84+G90+G97+G102+G107+G112+G117+G122+G127+G132+G137+G142+G147+G30+G36+G54+G42+G152+G157+G48</f>
        <v>0</v>
      </c>
      <c r="H20" s="363"/>
      <c r="I20" s="317"/>
      <c r="J20" s="347"/>
      <c r="K20" s="347"/>
      <c r="L20" s="51">
        <f>+L60+L66+L72+L78+L84+L90+L97+L102+L107+L112+L117+L122+L127+L132+L137+L142+L147+L30+L36+L54+L42+L152+L157+L48</f>
        <v>0</v>
      </c>
      <c r="M20" s="50"/>
      <c r="N20" s="51"/>
      <c r="O20" s="144"/>
      <c r="P20" s="144"/>
      <c r="Q20" s="51">
        <f>+Q60+Q66+Q72+Q78+Q84+Q90+Q97+Q102+Q107+Q112+Q117+Q122+Q127+Q132+Q137+Q142+Q147+Q30+Q36+Q54+Q42+Q152+Q157+Q48</f>
        <v>0</v>
      </c>
      <c r="R20" s="50"/>
      <c r="S20" s="51"/>
      <c r="T20" s="144"/>
      <c r="U20" s="144"/>
      <c r="V20" s="51">
        <f>+V60+V66+V72+V78+V84+V90+V97+V102+V107+V112+V117+V122+V127+V132+V137+V142+V147+V30+V36+V54+V42+V152+V157+V48</f>
        <v>0</v>
      </c>
      <c r="W20" s="50"/>
      <c r="X20" s="51"/>
      <c r="Y20" s="144"/>
      <c r="Z20" s="144"/>
      <c r="AA20" s="51">
        <f>+AA60+AA66+AA72+AA78+AA84+AA90+AA97+AA102+AA107+AA112+AA117+AA122+AA127+AA132+AA137+AA142+AA147+AA30+AA36+AA54+AA42+AA152+AA157+AA48</f>
        <v>0</v>
      </c>
      <c r="AB20" s="50"/>
      <c r="AC20" s="51"/>
      <c r="AD20" s="144"/>
      <c r="AE20" s="144"/>
      <c r="AF20" s="51">
        <f>+AF60+AF66+AF72+AF78+AF84+AF90+AF97+AF102+AF107+AF112+AF117+AF122+AF127+AF132+AF137+AF142+AF147+AF30+AF36+AF54+AF42+AF152+AF157+AF48</f>
        <v>-27779</v>
      </c>
      <c r="AG20" s="50"/>
      <c r="AH20" s="51"/>
      <c r="AI20" s="144"/>
      <c r="AJ20" s="144"/>
      <c r="AK20" s="51">
        <f>+AK60+AK66+AK72+AK78+AK84+AK90+AK97+AK102+AK107+AK112+AK117+AK122+AK127+AK132+AK137+AK142+AK147+AK30+AK36+AK54+AK42+AK152+AK157+AK48</f>
        <v>-116280</v>
      </c>
      <c r="AL20" s="50"/>
      <c r="AM20" s="51"/>
      <c r="AN20" s="144"/>
      <c r="AO20" s="144"/>
      <c r="AP20" s="51">
        <f>+AP60+AP66+AP72+AP78+AP84+AP90+AP97+AP102+AP107+AP112+AP117+AP122+AP127+AP132+AP137+AP142+AP147+AP30+AP36+AP54+AP42+AP152+AP157+AP48</f>
        <v>-158830</v>
      </c>
      <c r="AQ20" s="50"/>
      <c r="AR20" s="51"/>
      <c r="AS20" s="144"/>
      <c r="AT20" s="144"/>
      <c r="AU20" s="51">
        <f>+AU60+AU66+AU72+AU78+AU84+AU90+AU97+AU102+AU107+AU112+AU117+AU122+AU127+AU132+AU137+AU142+AU147+AU30+AU36+AU54+AU42+AU152+AU157+AU48</f>
        <v>0</v>
      </c>
      <c r="AV20" s="50"/>
      <c r="AW20" s="51"/>
      <c r="AX20" s="144"/>
      <c r="AY20" s="144"/>
      <c r="AZ20" s="51">
        <f>+AZ60+AZ66+AZ72+AZ78+AZ84+AZ90+AZ97+AZ102+AZ107+AZ112+AZ117+AZ122+AZ127+AZ132+AZ137+AZ142+AZ147+AZ30+AZ36+AZ54+AZ42+AZ152+AZ157+AZ48</f>
        <v>0</v>
      </c>
      <c r="BA20" s="50"/>
      <c r="BB20" s="51"/>
      <c r="BC20" s="144"/>
      <c r="BD20" s="144"/>
      <c r="BE20" s="51">
        <f>+BE60+BE66+BE72+BE78+BE84+BE90+BE97+BE102+BE107+BE112+BE117+BE122+BE127+BE132+BE137+BE142+BE147+BE30+BE36+BE54+BE42+BE152+BE157+BE48</f>
        <v>0</v>
      </c>
      <c r="BF20" s="50"/>
      <c r="BG20" s="51"/>
      <c r="BH20" s="144"/>
      <c r="BI20" s="144"/>
      <c r="BJ20" s="51">
        <f>+BJ60+BJ66+BJ72+BJ78+BJ84+BJ90+BJ97+BJ102+BJ107+BJ112+BJ117+BJ122+BJ127+BJ132+BJ137+BJ142+BJ147+BJ30+BJ36+BJ54+BJ42+BJ152+BJ157+BJ48</f>
        <v>0</v>
      </c>
      <c r="BK20" s="50"/>
      <c r="BL20" s="51"/>
      <c r="BM20" s="144"/>
      <c r="BN20" s="144"/>
      <c r="BO20" s="51">
        <f>+BO60+BO66+BO72+BO78+BO84+BO90+BO97+BO102+BO107+BO112+BO117+BO122+BO127+BO132+BO137+BO142+BO147+BO30+BO36+BO54+BO42+BO152+BO157+BO48</f>
        <v>0</v>
      </c>
      <c r="BP20" s="50"/>
      <c r="BQ20" s="51"/>
      <c r="BR20" s="144"/>
      <c r="BS20" s="144"/>
      <c r="BT20" s="51">
        <f>+BT60+BT66+BT72+BT78+BT84+BT90+BT97+BT102+BT107+BT112+BT117+BT122+BT127+BT132+BT137+BT142+BT147+BT30+BT36+BT54+BT42+BT152+BT157+BT48</f>
        <v>-302889</v>
      </c>
      <c r="BU20" s="50"/>
      <c r="BV20" s="51"/>
      <c r="BW20" s="144"/>
      <c r="BX20" s="144"/>
      <c r="BY20" s="51">
        <f>+BY60+BY66+BY72+BY78+BY84+BY90+BY97+BY102+BY107+BY112+BY117+BY122+BY127+BY132+BY137+BY142+BY147+BY30+BY36+BY54+BY42+BY152+BY157+BY48</f>
        <v>-1380512</v>
      </c>
      <c r="BZ20" s="363"/>
      <c r="CA20" s="317"/>
      <c r="CB20" s="347"/>
      <c r="CC20" s="347"/>
      <c r="CD20" s="51">
        <f>+CD60+CD66+CD72+CD78+CD84+CD90+CD97+CD102+CD107+CD112+CD117+CD122+CD127+CD132+CD137+CD142+CD147+CD30+CD36+CD54+CD42+CD152+CD157+CD48</f>
        <v>-493</v>
      </c>
      <c r="CE20" s="50"/>
      <c r="CF20" s="51"/>
      <c r="CG20" s="144"/>
      <c r="CH20" s="144"/>
      <c r="CI20" s="51">
        <f>+CI60+CI66+CI72+CI78+CI84+CI90+CI97+CI102+CI107+CI112+CI117+CI122+CI127+CI132+CI137+CI142+CI147+CI30+CI36+CI54+CI42+CI152+CI157+CI48</f>
        <v>-193807</v>
      </c>
      <c r="CJ20" s="50"/>
      <c r="CK20" s="51"/>
      <c r="CL20" s="144"/>
      <c r="CM20" s="144"/>
      <c r="CN20" s="51">
        <f>+CN60+CN66+CN72+CN78+CN84+CN90+CN97+CN102+CN107+CN112+CN117+CN122+CN127+CN132+CN137+CN142+CN147+CN30+CN36+CN54+CN42+CN152+CN157+CN48</f>
        <v>-200</v>
      </c>
      <c r="CO20" s="50"/>
      <c r="CP20" s="51"/>
      <c r="CQ20" s="144"/>
      <c r="CR20" s="144"/>
      <c r="CS20" s="51">
        <f>+CS60+CS66+CS72+CS78+CS84+CS90+CS97+CS102+CS107+CS112+CS117+CS122+CS127+CS132+CS137+CS142+CS147+CS30+CS36+CS54+CS42+CS152+CS157+CS48</f>
        <v>-182826</v>
      </c>
      <c r="CT20" s="50"/>
      <c r="CU20" s="51"/>
      <c r="CV20" s="144"/>
      <c r="CW20" s="144"/>
      <c r="CX20" s="51">
        <f>+CX60+CX66+CX72+CX78+CX84+CX90+CX97+CX102+CX107+CX112+CX117+CX122+CX127+CX132+CX137+CX142+CX147+CX30+CX36+CX54+CX42+CX152+CX157+CX48</f>
        <v>0</v>
      </c>
      <c r="CY20" s="50"/>
      <c r="CZ20" s="51"/>
      <c r="DA20" s="144"/>
      <c r="DB20" s="144"/>
      <c r="DC20" s="51">
        <f>+DC60+DC66+DC72+DC78+DC84+DC90+DC97+DC102+DC107+DC112+DC117+DC122+DC127+DC132+DC137+DC142+DC147+DC30+DC36+DC54+DC42+DC152+DC157+DC48</f>
        <v>0</v>
      </c>
      <c r="DD20" s="50"/>
      <c r="DE20" s="51"/>
      <c r="DF20" s="144"/>
      <c r="DG20" s="144"/>
      <c r="DH20" s="51">
        <f>+DH60+DH66+DH72+DH78+DH84+DH90+DH97+DH102+DH107+DH112+DH117+DH122+DH127+DH132+DH137+DH142+DH147+DH30+DH36+DH54+DH42+DH152+DH157+DH48</f>
        <v>0</v>
      </c>
      <c r="DI20" s="50"/>
      <c r="DJ20" s="51"/>
      <c r="DK20" s="144"/>
      <c r="DL20" s="144"/>
      <c r="DM20" s="51">
        <f>+DM60+DM66+DM72+DM78+DM84+DM90+DM97+DM102+DM107+DM112+DM117+DM122+DM127+DM132+DM137+DM142+DM147+DM30+DM36+DM54+DM42+DM152+DM157+DM48</f>
        <v>-18</v>
      </c>
      <c r="DN20" s="50"/>
      <c r="DO20" s="51"/>
      <c r="DP20" s="144"/>
      <c r="DQ20" s="144"/>
      <c r="DR20" s="51">
        <f>+DR60+DR66+DR72+DR78+DR84+DR90+DR97+DR102+DR107+DR112+DR117+DR122+DR127+DR132+DR137+DR142+DR147+DR30+DR36+DR54+DR42+DR152+DR157+DR48</f>
        <v>0</v>
      </c>
      <c r="DS20" s="50"/>
      <c r="DT20" s="51"/>
      <c r="DU20" s="144"/>
      <c r="DV20" s="144"/>
      <c r="DW20" s="51">
        <f>+DW60+DW66+DW72+DW78+DW84+DW90+DW97+DW102+DW107+DW112+DW117+DW122+DW127+DW132+DW137+DW142+DW147+DW30+DW36+DW54+DW42+DW152+DW157+DW48</f>
        <v>-361232</v>
      </c>
      <c r="DX20" s="50"/>
      <c r="DY20" s="51"/>
      <c r="DZ20" s="144"/>
      <c r="EA20" s="144"/>
      <c r="EB20" s="51">
        <f>+EB60+EB66+EB72+EB78+EB84+EB90+EB97+EB102+EB107+EB112+EB117+EB122+EB127+EB132+EB137+EB142+EB147+EB30+EB36+EB54+EB42+EB152+EB157+EB48</f>
        <v>-209896</v>
      </c>
      <c r="EC20" s="50"/>
      <c r="ED20" s="51"/>
      <c r="EE20" s="144"/>
      <c r="EF20" s="144"/>
      <c r="EG20" s="51">
        <f>+EG60+EG66+EG72+EG78+EG84+EG90+EG97+EG102+EG107+EG112+EG117+EG122+EG127+EG132+EG137+EG142+EG147+EG30+EG36+EG54+EG42+EG152+EG157+EG48</f>
        <v>-432040</v>
      </c>
      <c r="EH20" s="50"/>
      <c r="EI20" s="51"/>
      <c r="EJ20" s="144"/>
      <c r="EK20" s="144"/>
      <c r="EL20" s="51">
        <f>+EL60+EL66+EL72+EL78+EL84+EL90+EL97+EL102+EL107+EL112+EL117+EL122+EL127+EL132+EL137+EL142+EL147+EL30+EL36+EL54+EL42+EL152+EL157+EL48</f>
        <v>-377326</v>
      </c>
      <c r="EM20" s="50"/>
      <c r="EN20" s="51"/>
      <c r="EO20" s="340"/>
      <c r="ER20" s="39"/>
      <c r="ES20" s="39"/>
      <c r="ET20" s="433"/>
    </row>
    <row r="21" spans="1:150" x14ac:dyDescent="0.2">
      <c r="A21" s="317"/>
      <c r="B21" s="317"/>
      <c r="D21" s="340" t="s">
        <v>181</v>
      </c>
      <c r="F21" s="371"/>
      <c r="G21" s="374">
        <f>+G31+G37+G43+G49+G55+G61+G67+G73+G79+G85+G91</f>
        <v>0</v>
      </c>
      <c r="H21" s="373"/>
      <c r="I21" s="317"/>
      <c r="J21" s="347"/>
      <c r="K21" s="371"/>
      <c r="L21" s="374">
        <f>+L31+L37+L43+L49+L55+L61+L67+L73+L79+L85+L91</f>
        <v>1617855</v>
      </c>
      <c r="M21" s="373"/>
      <c r="N21" s="317"/>
      <c r="O21" s="347"/>
      <c r="P21" s="371"/>
      <c r="Q21" s="374">
        <f>+Q31+Q37+Q43+Q49+Q55+Q61+Q67+Q73+Q79+Q85+Q91</f>
        <v>1307332</v>
      </c>
      <c r="R21" s="373"/>
      <c r="S21" s="317"/>
      <c r="T21" s="347"/>
      <c r="U21" s="371"/>
      <c r="V21" s="374">
        <f>+V31+V37+V43+V49+V55+V61+V67+V73+V79+V85+V91</f>
        <v>2776593</v>
      </c>
      <c r="W21" s="373"/>
      <c r="X21" s="317"/>
      <c r="Y21" s="347"/>
      <c r="Z21" s="371"/>
      <c r="AA21" s="374">
        <f>+AA31+AA37+AA43+AA49+AA55+AA61+AA67+AA73+AA79+AA85+AA91</f>
        <v>1634089</v>
      </c>
      <c r="AB21" s="373"/>
      <c r="AC21" s="317"/>
      <c r="AD21" s="347"/>
      <c r="AE21" s="371"/>
      <c r="AF21" s="374">
        <f>+AF31+AF37+AF43+AF49+AF55+AF61+AF67+AF73+AF79+AF85+AF91</f>
        <v>2989028</v>
      </c>
      <c r="AG21" s="373"/>
      <c r="AH21" s="317"/>
      <c r="AI21" s="347"/>
      <c r="AJ21" s="371"/>
      <c r="AK21" s="374">
        <f>+AK31+AK37+AK43+AK49+AK55+AK61+AK67+AK73+AK79+AK85+AK91</f>
        <v>2345544</v>
      </c>
      <c r="AL21" s="373"/>
      <c r="AM21" s="317"/>
      <c r="AN21" s="347"/>
      <c r="AO21" s="371"/>
      <c r="AP21" s="374">
        <f>+AP31+AP37+AP43+AP49+AP55+AP61+AP67+AP73+AP79+AP85+AP91</f>
        <v>2718050</v>
      </c>
      <c r="AQ21" s="373"/>
      <c r="AR21" s="317"/>
      <c r="AS21" s="347"/>
      <c r="AT21" s="371"/>
      <c r="AU21" s="374">
        <f>+AU31+AU37+AU43+AU49+AU55+AU61+AU67+AU73+AU79+AU85+AU91</f>
        <v>0</v>
      </c>
      <c r="AV21" s="373"/>
      <c r="AW21" s="317"/>
      <c r="AX21" s="347"/>
      <c r="AY21" s="371"/>
      <c r="AZ21" s="374">
        <f>+AZ31+AZ37+AZ43+AZ49+AZ55+AZ61+AZ67+AZ73+AZ79+AZ85+AZ91</f>
        <v>0</v>
      </c>
      <c r="BA21" s="373"/>
      <c r="BB21" s="317"/>
      <c r="BC21" s="347"/>
      <c r="BD21" s="371"/>
      <c r="BE21" s="374">
        <f>+BE31+BE37+BE43+BE49+BE55+BE61+BE67+BE73+BE79+BE85+BE91</f>
        <v>0</v>
      </c>
      <c r="BF21" s="373"/>
      <c r="BG21" s="317"/>
      <c r="BH21" s="347"/>
      <c r="BI21" s="371"/>
      <c r="BJ21" s="374">
        <f>+BJ31+BJ37+BJ43+BJ49+BJ55+BJ61+BJ67+BJ73+BJ79+BJ85+BJ91</f>
        <v>0</v>
      </c>
      <c r="BK21" s="373"/>
      <c r="BL21" s="317"/>
      <c r="BM21" s="347"/>
      <c r="BN21" s="371"/>
      <c r="BO21" s="374">
        <f>+BO31+BO37+BO43+BO49+BO55+BO61+BO67+BO73+BO79+BO85+BO91</f>
        <v>0</v>
      </c>
      <c r="BP21" s="373"/>
      <c r="BQ21" s="317"/>
      <c r="BR21" s="347"/>
      <c r="BS21" s="371"/>
      <c r="BT21" s="374">
        <f>+BT31+BT37+BT43+BT49+BT55+BT61+BT67+BT73+BT79+BT85+BT91</f>
        <v>15388491</v>
      </c>
      <c r="BU21" s="373"/>
      <c r="BV21" s="317"/>
      <c r="BW21" s="347"/>
      <c r="BX21" s="371"/>
      <c r="BY21" s="374">
        <f>+BY31+BY37+BY43+BY49+BY55+BY61+BY67+BY73+BY79+BY85+BY91</f>
        <v>24325993</v>
      </c>
      <c r="BZ21" s="373"/>
      <c r="CA21" s="317"/>
      <c r="CB21" s="347"/>
      <c r="CC21" s="371"/>
      <c r="CD21" s="374">
        <f>+CD31+CD37+CD43+CD49+CD55+CD61+CD67+CD73+CD79+CD85+CD91</f>
        <v>1005042</v>
      </c>
      <c r="CE21" s="373"/>
      <c r="CF21" s="317"/>
      <c r="CG21" s="347"/>
      <c r="CH21" s="371"/>
      <c r="CI21" s="374">
        <f>+CI31+CI37+CI43+CI49+CI55+CI61+CI67+CI73+CI79+CI85+CI91</f>
        <v>2131567</v>
      </c>
      <c r="CJ21" s="373"/>
      <c r="CK21" s="317"/>
      <c r="CL21" s="347"/>
      <c r="CM21" s="371"/>
      <c r="CN21" s="374">
        <f>+CN31+CN37+CN43+CN49+CN55+CN61+CN67+CN73+CN79+CN85+CN91</f>
        <v>2354360</v>
      </c>
      <c r="CO21" s="373"/>
      <c r="CP21" s="317"/>
      <c r="CQ21" s="347"/>
      <c r="CR21" s="371"/>
      <c r="CS21" s="374">
        <f>+CS31+CS37+CS43+CS49+CS55+CS61+CS67+CS73+CS79+CS85+CS91</f>
        <v>1812274</v>
      </c>
      <c r="CT21" s="373"/>
      <c r="CU21" s="317"/>
      <c r="CV21" s="347"/>
      <c r="CW21" s="371"/>
      <c r="CX21" s="374">
        <f>+CX31+CX37+CX43+CX49+CX55+CX61+CX67+CX73+CX79+CX85+CX91</f>
        <v>2220682</v>
      </c>
      <c r="CY21" s="373"/>
      <c r="CZ21" s="317"/>
      <c r="DA21" s="347"/>
      <c r="DB21" s="371"/>
      <c r="DC21" s="374">
        <f>+DC31+DC37+DC43+DC49+DC55+DC61+DC67+DC73+DC79+DC85+DC91</f>
        <v>2340892</v>
      </c>
      <c r="DD21" s="373"/>
      <c r="DE21" s="317"/>
      <c r="DF21" s="347"/>
      <c r="DG21" s="371"/>
      <c r="DH21" s="374">
        <f>+DH31+DH37+DH43+DH49+DH55+DH61+DH67+DH73+DH79+DH85+DH91</f>
        <v>2290184</v>
      </c>
      <c r="DI21" s="373"/>
      <c r="DJ21" s="317"/>
      <c r="DK21" s="347"/>
      <c r="DL21" s="371"/>
      <c r="DM21" s="374">
        <f>+DM31+DM37+DM43+DM49+DM55+DM61+DM67+DM73+DM79+DM85+DM91</f>
        <v>1566723</v>
      </c>
      <c r="DN21" s="373"/>
      <c r="DO21" s="317"/>
      <c r="DP21" s="347"/>
      <c r="DQ21" s="371"/>
      <c r="DR21" s="374">
        <f>+DR31+DR37+DR43+DR49+DR55+DR61+DR67+DR73+DR79+DR85+DR91</f>
        <v>2188622</v>
      </c>
      <c r="DS21" s="373"/>
      <c r="DT21" s="317"/>
      <c r="DU21" s="347"/>
      <c r="DV21" s="371"/>
      <c r="DW21" s="374">
        <f>+DW31+DW37+DW43+DW49+DW55+DW61+DW67+DW73+DW79+DW85+DW91</f>
        <v>1946391</v>
      </c>
      <c r="DX21" s="373"/>
      <c r="DY21" s="317"/>
      <c r="DZ21" s="347"/>
      <c r="EA21" s="371"/>
      <c r="EB21" s="374">
        <f>+EB31+EB37+EB43+EB49+EB55+EB61+EB67+EB73+EB79+EB85+EB91</f>
        <v>2183859</v>
      </c>
      <c r="EC21" s="373"/>
      <c r="ED21" s="317"/>
      <c r="EE21" s="347"/>
      <c r="EF21" s="371"/>
      <c r="EG21" s="374">
        <f>+EG31+EG37+EG43+EG49+EG55+EG61+EG67+EG73+EG79+EG85+EG91</f>
        <v>2285397</v>
      </c>
      <c r="EH21" s="373"/>
      <c r="EI21" s="317"/>
      <c r="EJ21" s="347"/>
      <c r="EK21" s="371"/>
      <c r="EL21" s="374">
        <f>+EL31+EL37+EL43+EL49+EL55+EL61+EL67+EL73+EL79+EL85+EL91</f>
        <v>14155001</v>
      </c>
      <c r="EM21" s="373"/>
      <c r="EN21" s="317"/>
      <c r="EO21" s="340"/>
      <c r="ER21" s="39"/>
      <c r="ES21" s="39"/>
    </row>
    <row r="22" spans="1:150" x14ac:dyDescent="0.2">
      <c r="A22" s="317"/>
      <c r="B22" s="317"/>
      <c r="D22" s="340"/>
      <c r="F22" s="317"/>
      <c r="G22" s="51"/>
      <c r="H22" s="51"/>
      <c r="I22" s="51"/>
      <c r="J22" s="144"/>
      <c r="K22" s="51"/>
      <c r="L22" s="51"/>
      <c r="M22" s="51"/>
      <c r="N22" s="51"/>
      <c r="O22" s="144"/>
      <c r="P22" s="51"/>
      <c r="Q22" s="51"/>
      <c r="R22" s="51"/>
      <c r="S22" s="51"/>
      <c r="T22" s="144"/>
      <c r="U22" s="51"/>
      <c r="V22" s="51"/>
      <c r="W22" s="51"/>
      <c r="X22" s="51"/>
      <c r="Y22" s="144"/>
      <c r="Z22" s="51"/>
      <c r="AA22" s="51"/>
      <c r="AB22" s="51"/>
      <c r="AC22" s="51"/>
      <c r="AD22" s="144"/>
      <c r="AE22" s="51"/>
      <c r="AF22" s="51"/>
      <c r="AG22" s="51"/>
      <c r="AH22" s="51"/>
      <c r="AI22" s="144"/>
      <c r="AJ22" s="51"/>
      <c r="AK22" s="51"/>
      <c r="AL22" s="51"/>
      <c r="AM22" s="51"/>
      <c r="AN22" s="144"/>
      <c r="AO22" s="51"/>
      <c r="AP22" s="51"/>
      <c r="AQ22" s="51"/>
      <c r="AR22" s="51"/>
      <c r="AS22" s="144"/>
      <c r="AT22" s="51"/>
      <c r="AU22" s="51"/>
      <c r="AV22" s="51"/>
      <c r="AW22" s="51"/>
      <c r="AX22" s="144"/>
      <c r="AY22" s="51"/>
      <c r="AZ22" s="51"/>
      <c r="BA22" s="51"/>
      <c r="BB22" s="51"/>
      <c r="BC22" s="144"/>
      <c r="BD22" s="51"/>
      <c r="BE22" s="51"/>
      <c r="BF22" s="51"/>
      <c r="BG22" s="51"/>
      <c r="BH22" s="144"/>
      <c r="BI22" s="51"/>
      <c r="BJ22" s="51"/>
      <c r="BK22" s="51"/>
      <c r="BL22" s="51"/>
      <c r="BM22" s="144"/>
      <c r="BN22" s="51"/>
      <c r="BO22" s="51"/>
      <c r="BP22" s="51"/>
      <c r="BQ22" s="51"/>
      <c r="BR22" s="144"/>
      <c r="BS22" s="51"/>
      <c r="BT22" s="51"/>
      <c r="BU22" s="51"/>
      <c r="BV22" s="51"/>
      <c r="BW22" s="144"/>
      <c r="BX22" s="51"/>
      <c r="BY22" s="51"/>
      <c r="BZ22" s="51"/>
      <c r="CA22" s="51"/>
      <c r="CB22" s="144"/>
      <c r="CC22" s="51"/>
      <c r="CD22" s="51"/>
      <c r="CE22" s="51"/>
      <c r="CF22" s="51"/>
      <c r="CG22" s="144"/>
      <c r="CH22" s="51"/>
      <c r="CI22" s="51"/>
      <c r="CJ22" s="51"/>
      <c r="CK22" s="51"/>
      <c r="CL22" s="144"/>
      <c r="CM22" s="51"/>
      <c r="CN22" s="51"/>
      <c r="CO22" s="51"/>
      <c r="CP22" s="51"/>
      <c r="CQ22" s="144"/>
      <c r="CR22" s="51"/>
      <c r="CS22" s="51"/>
      <c r="CT22" s="51"/>
      <c r="CU22" s="51"/>
      <c r="CV22" s="144"/>
      <c r="CW22" s="51"/>
      <c r="CX22" s="51"/>
      <c r="CY22" s="51"/>
      <c r="CZ22" s="51"/>
      <c r="DA22" s="144"/>
      <c r="DB22" s="51"/>
      <c r="DC22" s="51"/>
      <c r="DD22" s="51"/>
      <c r="DE22" s="51"/>
      <c r="DF22" s="144"/>
      <c r="DG22" s="51"/>
      <c r="DH22" s="51"/>
      <c r="DI22" s="51"/>
      <c r="DJ22" s="51"/>
      <c r="DK22" s="144"/>
      <c r="DL22" s="51"/>
      <c r="DM22" s="51"/>
      <c r="DN22" s="51"/>
      <c r="DO22" s="51"/>
      <c r="DP22" s="144"/>
      <c r="DQ22" s="51"/>
      <c r="DR22" s="51"/>
      <c r="DS22" s="51"/>
      <c r="DT22" s="51"/>
      <c r="DU22" s="144"/>
      <c r="DV22" s="51"/>
      <c r="DW22" s="51"/>
      <c r="DX22" s="51"/>
      <c r="DY22" s="51"/>
      <c r="DZ22" s="144"/>
      <c r="EA22" s="51"/>
      <c r="EB22" s="51"/>
      <c r="EC22" s="51"/>
      <c r="ED22" s="51"/>
      <c r="EE22" s="144"/>
      <c r="EF22" s="51"/>
      <c r="EG22" s="51"/>
      <c r="EH22" s="51"/>
      <c r="EI22" s="51"/>
      <c r="EJ22" s="144"/>
      <c r="EK22" s="51"/>
      <c r="EL22" s="51"/>
      <c r="EM22" s="51"/>
      <c r="EN22" s="51"/>
      <c r="EO22" s="340"/>
      <c r="ER22" s="39"/>
      <c r="ES22" s="39"/>
    </row>
    <row r="23" spans="1:150" ht="12.75" customHeight="1" x14ac:dyDescent="0.2">
      <c r="A23" s="317"/>
      <c r="B23" s="317"/>
      <c r="D23" s="340" t="s">
        <v>182</v>
      </c>
      <c r="F23" s="317"/>
      <c r="G23" s="51">
        <f>SUM(G24:G24)</f>
        <v>3500000</v>
      </c>
      <c r="H23" s="51"/>
      <c r="I23" s="51"/>
      <c r="J23" s="144"/>
      <c r="K23" s="51"/>
      <c r="L23" s="51">
        <f>SUM(L24:L24)</f>
        <v>979066</v>
      </c>
      <c r="M23" s="51"/>
      <c r="N23" s="51"/>
      <c r="O23" s="144"/>
      <c r="P23" s="51"/>
      <c r="Q23" s="51">
        <f>SUM(Q24:Q24)</f>
        <v>826458</v>
      </c>
      <c r="R23" s="51"/>
      <c r="S23" s="51"/>
      <c r="T23" s="144"/>
      <c r="U23" s="51"/>
      <c r="V23" s="51">
        <f>SUM(V24:V24)</f>
        <v>694534</v>
      </c>
      <c r="W23" s="51"/>
      <c r="X23" s="51"/>
      <c r="Y23" s="144"/>
      <c r="Z23" s="51"/>
      <c r="AA23" s="51">
        <f>SUM(AA24:AA24)</f>
        <v>820421</v>
      </c>
      <c r="AB23" s="51"/>
      <c r="AC23" s="51"/>
      <c r="AD23" s="144"/>
      <c r="AE23" s="51"/>
      <c r="AF23" s="51">
        <f>SUM(AF24:AF24)</f>
        <v>1758922</v>
      </c>
      <c r="AG23" s="51"/>
      <c r="AH23" s="51"/>
      <c r="AI23" s="144"/>
      <c r="AJ23" s="51"/>
      <c r="AK23" s="51">
        <f>SUM(AK24:AK24)</f>
        <v>940049</v>
      </c>
      <c r="AL23" s="51"/>
      <c r="AM23" s="51"/>
      <c r="AN23" s="144"/>
      <c r="AO23" s="51"/>
      <c r="AP23" s="51">
        <f>SUM(AP24:AP24)</f>
        <v>1714161</v>
      </c>
      <c r="AQ23" s="51"/>
      <c r="AR23" s="51"/>
      <c r="AS23" s="144"/>
      <c r="AT23" s="51"/>
      <c r="AU23" s="51">
        <f>SUM(AU24:AU24)</f>
        <v>0</v>
      </c>
      <c r="AV23" s="51"/>
      <c r="AW23" s="51"/>
      <c r="AX23" s="144"/>
      <c r="AY23" s="51"/>
      <c r="AZ23" s="51">
        <f>SUM(AZ24:AZ24)</f>
        <v>0</v>
      </c>
      <c r="BA23" s="51"/>
      <c r="BB23" s="51"/>
      <c r="BC23" s="144"/>
      <c r="BD23" s="51"/>
      <c r="BE23" s="51">
        <f>SUM(BE24:BE24)</f>
        <v>0</v>
      </c>
      <c r="BF23" s="51"/>
      <c r="BG23" s="51"/>
      <c r="BH23" s="144"/>
      <c r="BI23" s="51"/>
      <c r="BJ23" s="51">
        <f>SUM(BJ24:BJ24)</f>
        <v>0</v>
      </c>
      <c r="BK23" s="51"/>
      <c r="BL23" s="51"/>
      <c r="BM23" s="144"/>
      <c r="BN23" s="51"/>
      <c r="BO23" s="51">
        <f>SUM(BO24:BO24)</f>
        <v>0</v>
      </c>
      <c r="BP23" s="51"/>
      <c r="BQ23" s="51"/>
      <c r="BR23" s="144"/>
      <c r="BS23" s="51"/>
      <c r="BT23" s="51">
        <f>SUM(BT24:BT24)</f>
        <v>7733611</v>
      </c>
      <c r="BU23" s="51"/>
      <c r="BV23" s="51"/>
      <c r="BW23" s="144"/>
      <c r="BX23" s="51"/>
      <c r="BY23" s="51">
        <f>SUM(BY24:BY24)</f>
        <v>6143108</v>
      </c>
      <c r="BZ23" s="51"/>
      <c r="CA23" s="51"/>
      <c r="CB23" s="144"/>
      <c r="CC23" s="51"/>
      <c r="CD23" s="51">
        <f>SUM(CD24:CD24)</f>
        <v>475483</v>
      </c>
      <c r="CE23" s="51"/>
      <c r="CF23" s="51"/>
      <c r="CG23" s="144"/>
      <c r="CH23" s="51"/>
      <c r="CI23" s="51">
        <f>SUM(CI24:CI24)</f>
        <v>400868</v>
      </c>
      <c r="CJ23" s="51"/>
      <c r="CK23" s="51"/>
      <c r="CL23" s="144"/>
      <c r="CM23" s="51"/>
      <c r="CN23" s="51">
        <f>SUM(CN24:CN24)</f>
        <v>392835</v>
      </c>
      <c r="CO23" s="51"/>
      <c r="CP23" s="51"/>
      <c r="CQ23" s="144"/>
      <c r="CR23" s="51"/>
      <c r="CS23" s="51">
        <f>SUM(CS24:CS24)</f>
        <v>421515</v>
      </c>
      <c r="CT23" s="51"/>
      <c r="CU23" s="51"/>
      <c r="CV23" s="144"/>
      <c r="CW23" s="51"/>
      <c r="CX23" s="51">
        <f>SUM(CX24:CX24)</f>
        <v>436571</v>
      </c>
      <c r="CY23" s="51"/>
      <c r="CZ23" s="51"/>
      <c r="DA23" s="144"/>
      <c r="DB23" s="51"/>
      <c r="DC23" s="51">
        <f>SUM(DC24:DC24)</f>
        <v>554570</v>
      </c>
      <c r="DD23" s="51"/>
      <c r="DE23" s="51"/>
      <c r="DF23" s="144"/>
      <c r="DG23" s="51"/>
      <c r="DH23" s="51">
        <f>SUM(DH24:DH24)</f>
        <v>554091</v>
      </c>
      <c r="DI23" s="51"/>
      <c r="DJ23" s="51"/>
      <c r="DK23" s="144"/>
      <c r="DL23" s="51"/>
      <c r="DM23" s="51">
        <f>SUM(DM24:DM24)</f>
        <v>628069</v>
      </c>
      <c r="DN23" s="51"/>
      <c r="DO23" s="51"/>
      <c r="DP23" s="144"/>
      <c r="DQ23" s="51"/>
      <c r="DR23" s="51">
        <f>SUM(DR24:DR24)</f>
        <v>721031</v>
      </c>
      <c r="DS23" s="51"/>
      <c r="DT23" s="51"/>
      <c r="DU23" s="144"/>
      <c r="DV23" s="51"/>
      <c r="DW23" s="51">
        <f>SUM(DW24:DW24)</f>
        <v>488907</v>
      </c>
      <c r="DX23" s="51"/>
      <c r="DY23" s="51"/>
      <c r="DZ23" s="144"/>
      <c r="EA23" s="51"/>
      <c r="EB23" s="51">
        <f>SUM(EB24:EB24)</f>
        <v>545495</v>
      </c>
      <c r="EC23" s="51"/>
      <c r="ED23" s="51"/>
      <c r="EE23" s="144"/>
      <c r="EF23" s="51"/>
      <c r="EG23" s="51">
        <f>SUM(EG24:EG24)</f>
        <v>523673</v>
      </c>
      <c r="EH23" s="51"/>
      <c r="EI23" s="51"/>
      <c r="EJ23" s="144"/>
      <c r="EK23" s="51"/>
      <c r="EL23" s="51">
        <f>SUM(EL24:EL24)</f>
        <v>3235933</v>
      </c>
      <c r="EM23" s="51"/>
      <c r="EN23" s="51"/>
      <c r="EO23" s="340"/>
      <c r="ER23" s="39"/>
      <c r="ES23" s="39"/>
    </row>
    <row r="24" spans="1:150" x14ac:dyDescent="0.2">
      <c r="A24" s="317"/>
      <c r="B24" s="317"/>
      <c r="D24" s="664" t="s">
        <v>183</v>
      </c>
      <c r="E24" s="144"/>
      <c r="F24" s="434"/>
      <c r="G24" s="435">
        <v>3500000</v>
      </c>
      <c r="H24" s="436"/>
      <c r="I24" s="51"/>
      <c r="J24" s="144"/>
      <c r="K24" s="437"/>
      <c r="L24" s="435">
        <v>979066</v>
      </c>
      <c r="M24" s="436"/>
      <c r="N24" s="51"/>
      <c r="O24" s="144"/>
      <c r="P24" s="437"/>
      <c r="Q24" s="435">
        <v>826458</v>
      </c>
      <c r="R24" s="436"/>
      <c r="S24" s="51"/>
      <c r="T24" s="144"/>
      <c r="U24" s="437"/>
      <c r="V24" s="435">
        <v>694534</v>
      </c>
      <c r="W24" s="436"/>
      <c r="X24" s="51"/>
      <c r="Y24" s="144"/>
      <c r="Z24" s="437"/>
      <c r="AA24" s="435">
        <v>820421</v>
      </c>
      <c r="AB24" s="436"/>
      <c r="AC24" s="51"/>
      <c r="AD24" s="144"/>
      <c r="AE24" s="437"/>
      <c r="AF24" s="435">
        <v>1758922</v>
      </c>
      <c r="AG24" s="436"/>
      <c r="AH24" s="51"/>
      <c r="AI24" s="144"/>
      <c r="AJ24" s="437"/>
      <c r="AK24" s="435">
        <v>940049</v>
      </c>
      <c r="AL24" s="436"/>
      <c r="AM24" s="51"/>
      <c r="AN24" s="144"/>
      <c r="AO24" s="437"/>
      <c r="AP24" s="435">
        <v>1714161</v>
      </c>
      <c r="AQ24" s="436"/>
      <c r="AR24" s="51"/>
      <c r="AS24" s="144"/>
      <c r="AT24" s="437"/>
      <c r="AU24" s="435">
        <v>0</v>
      </c>
      <c r="AV24" s="436"/>
      <c r="AW24" s="51"/>
      <c r="AX24" s="144"/>
      <c r="AY24" s="437"/>
      <c r="AZ24" s="435">
        <v>0</v>
      </c>
      <c r="BA24" s="436"/>
      <c r="BB24" s="51"/>
      <c r="BC24" s="144"/>
      <c r="BD24" s="437"/>
      <c r="BE24" s="435">
        <v>0</v>
      </c>
      <c r="BF24" s="436"/>
      <c r="BG24" s="51"/>
      <c r="BH24" s="144"/>
      <c r="BI24" s="437"/>
      <c r="BJ24" s="435">
        <v>0</v>
      </c>
      <c r="BK24" s="436"/>
      <c r="BL24" s="51"/>
      <c r="BM24" s="144"/>
      <c r="BN24" s="437"/>
      <c r="BO24" s="435">
        <v>0</v>
      </c>
      <c r="BP24" s="436"/>
      <c r="BQ24" s="51"/>
      <c r="BR24" s="144"/>
      <c r="BS24" s="437"/>
      <c r="BT24" s="438">
        <f>SUM(L24:BO24)</f>
        <v>7733611</v>
      </c>
      <c r="BU24" s="436"/>
      <c r="BV24" s="51"/>
      <c r="BW24" s="144"/>
      <c r="BX24" s="437"/>
      <c r="BY24" s="435">
        <v>6143108</v>
      </c>
      <c r="BZ24" s="436"/>
      <c r="CA24" s="51"/>
      <c r="CB24" s="144"/>
      <c r="CC24" s="437"/>
      <c r="CD24" s="435">
        <v>475483</v>
      </c>
      <c r="CE24" s="436"/>
      <c r="CF24" s="51"/>
      <c r="CG24" s="144"/>
      <c r="CH24" s="437"/>
      <c r="CI24" s="435">
        <v>400868</v>
      </c>
      <c r="CJ24" s="436"/>
      <c r="CK24" s="51"/>
      <c r="CL24" s="144"/>
      <c r="CM24" s="437"/>
      <c r="CN24" s="435">
        <v>392835</v>
      </c>
      <c r="CO24" s="436"/>
      <c r="CP24" s="51"/>
      <c r="CQ24" s="144"/>
      <c r="CR24" s="437"/>
      <c r="CS24" s="435">
        <v>421515</v>
      </c>
      <c r="CT24" s="436"/>
      <c r="CU24" s="51"/>
      <c r="CV24" s="144"/>
      <c r="CW24" s="437"/>
      <c r="CX24" s="435">
        <v>436571</v>
      </c>
      <c r="CY24" s="436"/>
      <c r="CZ24" s="51"/>
      <c r="DA24" s="144"/>
      <c r="DB24" s="437"/>
      <c r="DC24" s="435">
        <v>554570</v>
      </c>
      <c r="DD24" s="436"/>
      <c r="DE24" s="51"/>
      <c r="DF24" s="144"/>
      <c r="DG24" s="437"/>
      <c r="DH24" s="435">
        <v>554091</v>
      </c>
      <c r="DI24" s="436"/>
      <c r="DJ24" s="51"/>
      <c r="DK24" s="144"/>
      <c r="DL24" s="437"/>
      <c r="DM24" s="435">
        <v>628069</v>
      </c>
      <c r="DN24" s="436"/>
      <c r="DO24" s="51"/>
      <c r="DP24" s="144"/>
      <c r="DQ24" s="437"/>
      <c r="DR24" s="435">
        <v>721031</v>
      </c>
      <c r="DS24" s="436"/>
      <c r="DT24" s="51"/>
      <c r="DU24" s="144"/>
      <c r="DV24" s="437"/>
      <c r="DW24" s="435">
        <v>488907</v>
      </c>
      <c r="DX24" s="436"/>
      <c r="DY24" s="51"/>
      <c r="DZ24" s="144"/>
      <c r="EA24" s="437"/>
      <c r="EB24" s="435">
        <v>545495</v>
      </c>
      <c r="EC24" s="436"/>
      <c r="ED24" s="51"/>
      <c r="EE24" s="144"/>
      <c r="EF24" s="437"/>
      <c r="EG24" s="435">
        <v>523673</v>
      </c>
      <c r="EH24" s="436"/>
      <c r="EI24" s="51"/>
      <c r="EJ24" s="144"/>
      <c r="EK24" s="437"/>
      <c r="EL24" s="438">
        <f>SUM(CD24:DH24)</f>
        <v>3235933</v>
      </c>
      <c r="EM24" s="436"/>
      <c r="EN24" s="51"/>
      <c r="EO24" s="340"/>
      <c r="ER24" s="39"/>
      <c r="ES24" s="39"/>
    </row>
    <row r="25" spans="1:150" x14ac:dyDescent="0.2">
      <c r="A25" s="317"/>
      <c r="B25" s="317"/>
      <c r="D25" s="664"/>
      <c r="E25" s="144"/>
      <c r="F25" s="317"/>
      <c r="G25" s="439"/>
      <c r="H25" s="51"/>
      <c r="I25" s="51"/>
      <c r="J25" s="144"/>
      <c r="K25" s="51"/>
      <c r="L25" s="439"/>
      <c r="M25" s="51"/>
      <c r="N25" s="51"/>
      <c r="O25" s="144"/>
      <c r="P25" s="51"/>
      <c r="Q25" s="439"/>
      <c r="R25" s="51"/>
      <c r="S25" s="51"/>
      <c r="T25" s="144"/>
      <c r="U25" s="51"/>
      <c r="V25" s="439"/>
      <c r="W25" s="51"/>
      <c r="X25" s="51"/>
      <c r="Y25" s="144"/>
      <c r="Z25" s="51"/>
      <c r="AA25" s="439"/>
      <c r="AB25" s="51"/>
      <c r="AC25" s="51"/>
      <c r="AD25" s="144"/>
      <c r="AE25" s="51"/>
      <c r="AF25" s="439"/>
      <c r="AG25" s="51"/>
      <c r="AH25" s="51"/>
      <c r="AI25" s="144"/>
      <c r="AJ25" s="51"/>
      <c r="AK25" s="439"/>
      <c r="AL25" s="51"/>
      <c r="AM25" s="51"/>
      <c r="AN25" s="144"/>
      <c r="AO25" s="51"/>
      <c r="AP25" s="439"/>
      <c r="AQ25" s="51"/>
      <c r="AR25" s="51"/>
      <c r="AS25" s="144"/>
      <c r="AT25" s="51"/>
      <c r="AU25" s="439"/>
      <c r="AV25" s="51"/>
      <c r="AW25" s="51"/>
      <c r="AX25" s="144"/>
      <c r="AY25" s="51"/>
      <c r="AZ25" s="439"/>
      <c r="BA25" s="51"/>
      <c r="BB25" s="51"/>
      <c r="BC25" s="144"/>
      <c r="BD25" s="51"/>
      <c r="BE25" s="439"/>
      <c r="BF25" s="51"/>
      <c r="BG25" s="51"/>
      <c r="BH25" s="144"/>
      <c r="BI25" s="51"/>
      <c r="BJ25" s="439"/>
      <c r="BK25" s="51"/>
      <c r="BL25" s="51"/>
      <c r="BM25" s="144"/>
      <c r="BN25" s="51"/>
      <c r="BO25" s="439"/>
      <c r="BP25" s="51"/>
      <c r="BQ25" s="51"/>
      <c r="BR25" s="144"/>
      <c r="BS25" s="51"/>
      <c r="BT25" s="51"/>
      <c r="BU25" s="51"/>
      <c r="BV25" s="51"/>
      <c r="BW25" s="144"/>
      <c r="BX25" s="51"/>
      <c r="BY25" s="439"/>
      <c r="BZ25" s="51"/>
      <c r="CA25" s="51"/>
      <c r="CB25" s="144"/>
      <c r="CC25" s="51"/>
      <c r="CD25" s="439"/>
      <c r="CE25" s="51"/>
      <c r="CF25" s="51"/>
      <c r="CG25" s="144"/>
      <c r="CH25" s="51"/>
      <c r="CI25" s="439"/>
      <c r="CJ25" s="51"/>
      <c r="CK25" s="51"/>
      <c r="CL25" s="144"/>
      <c r="CM25" s="51"/>
      <c r="CN25" s="439"/>
      <c r="CO25" s="51"/>
      <c r="CP25" s="51"/>
      <c r="CQ25" s="144"/>
      <c r="CR25" s="51"/>
      <c r="CS25" s="439"/>
      <c r="CT25" s="51"/>
      <c r="CU25" s="51"/>
      <c r="CV25" s="144"/>
      <c r="CW25" s="51"/>
      <c r="CX25" s="439"/>
      <c r="CY25" s="51"/>
      <c r="CZ25" s="51"/>
      <c r="DA25" s="144"/>
      <c r="DB25" s="51"/>
      <c r="DC25" s="439"/>
      <c r="DD25" s="51"/>
      <c r="DE25" s="51"/>
      <c r="DF25" s="144"/>
      <c r="DG25" s="51"/>
      <c r="DH25" s="439"/>
      <c r="DI25" s="51"/>
      <c r="DJ25" s="51"/>
      <c r="DK25" s="144"/>
      <c r="DL25" s="51"/>
      <c r="DM25" s="439"/>
      <c r="DN25" s="51"/>
      <c r="DO25" s="51"/>
      <c r="DP25" s="144"/>
      <c r="DQ25" s="51"/>
      <c r="DR25" s="439"/>
      <c r="DS25" s="51"/>
      <c r="DT25" s="51"/>
      <c r="DU25" s="144"/>
      <c r="DV25" s="51"/>
      <c r="DW25" s="439"/>
      <c r="DX25" s="51"/>
      <c r="DY25" s="51"/>
      <c r="DZ25" s="144"/>
      <c r="EA25" s="51"/>
      <c r="EB25" s="439"/>
      <c r="EC25" s="51"/>
      <c r="ED25" s="51"/>
      <c r="EE25" s="144"/>
      <c r="EF25" s="51"/>
      <c r="EG25" s="439"/>
      <c r="EH25" s="51"/>
      <c r="EI25" s="51"/>
      <c r="EJ25" s="144"/>
      <c r="EK25" s="51"/>
      <c r="EL25" s="51"/>
      <c r="EM25" s="51"/>
      <c r="EN25" s="51"/>
      <c r="EO25" s="340"/>
      <c r="ER25" s="39"/>
      <c r="ES25" s="39"/>
    </row>
    <row r="26" spans="1:150" x14ac:dyDescent="0.2">
      <c r="A26" s="317"/>
      <c r="B26" s="317"/>
      <c r="D26" s="348" t="s">
        <v>184</v>
      </c>
      <c r="E26" s="144"/>
      <c r="F26" s="317"/>
      <c r="G26" s="51"/>
      <c r="H26" s="51"/>
      <c r="I26" s="51"/>
      <c r="J26" s="144"/>
      <c r="K26" s="51"/>
      <c r="L26" s="51"/>
      <c r="M26" s="51"/>
      <c r="N26" s="51"/>
      <c r="O26" s="144"/>
      <c r="P26" s="51"/>
      <c r="Q26" s="51"/>
      <c r="R26" s="51"/>
      <c r="S26" s="51"/>
      <c r="T26" s="144"/>
      <c r="U26" s="51"/>
      <c r="V26" s="51"/>
      <c r="W26" s="51"/>
      <c r="X26" s="51"/>
      <c r="Y26" s="144"/>
      <c r="Z26" s="51"/>
      <c r="AA26" s="51"/>
      <c r="AB26" s="51"/>
      <c r="AC26" s="51"/>
      <c r="AD26" s="144"/>
      <c r="AE26" s="51"/>
      <c r="AF26" s="51"/>
      <c r="AG26" s="51"/>
      <c r="AH26" s="51"/>
      <c r="AI26" s="144"/>
      <c r="AJ26" s="51"/>
      <c r="AK26" s="51"/>
      <c r="AL26" s="51"/>
      <c r="AM26" s="51"/>
      <c r="AN26" s="144"/>
      <c r="AO26" s="51"/>
      <c r="AP26" s="51"/>
      <c r="AQ26" s="51"/>
      <c r="AR26" s="51"/>
      <c r="AS26" s="144"/>
      <c r="AT26" s="51"/>
      <c r="AU26" s="51"/>
      <c r="AV26" s="51"/>
      <c r="AW26" s="51"/>
      <c r="AX26" s="144"/>
      <c r="AY26" s="51"/>
      <c r="AZ26" s="51"/>
      <c r="BA26" s="51"/>
      <c r="BB26" s="51"/>
      <c r="BC26" s="144"/>
      <c r="BD26" s="51"/>
      <c r="BE26" s="51"/>
      <c r="BF26" s="51"/>
      <c r="BG26" s="51"/>
      <c r="BH26" s="144"/>
      <c r="BI26" s="51"/>
      <c r="BJ26" s="51"/>
      <c r="BK26" s="51"/>
      <c r="BL26" s="51"/>
      <c r="BM26" s="144"/>
      <c r="BN26" s="51"/>
      <c r="BO26" s="51"/>
      <c r="BP26" s="51"/>
      <c r="BQ26" s="51"/>
      <c r="BR26" s="144"/>
      <c r="BS26" s="51"/>
      <c r="BT26" s="51"/>
      <c r="BU26" s="51"/>
      <c r="BV26" s="51"/>
      <c r="BW26" s="144"/>
      <c r="BX26" s="51"/>
      <c r="BY26" s="51"/>
      <c r="BZ26" s="51"/>
      <c r="CA26" s="51"/>
      <c r="CB26" s="144"/>
      <c r="CC26" s="51"/>
      <c r="CD26" s="51"/>
      <c r="CE26" s="51"/>
      <c r="CF26" s="51"/>
      <c r="CG26" s="144"/>
      <c r="CH26" s="51"/>
      <c r="CI26" s="51"/>
      <c r="CJ26" s="51"/>
      <c r="CK26" s="51"/>
      <c r="CL26" s="144"/>
      <c r="CM26" s="51"/>
      <c r="CN26" s="51"/>
      <c r="CO26" s="51"/>
      <c r="CP26" s="51"/>
      <c r="CQ26" s="144"/>
      <c r="CR26" s="51"/>
      <c r="CS26" s="51"/>
      <c r="CT26" s="51"/>
      <c r="CU26" s="51"/>
      <c r="CV26" s="144"/>
      <c r="CW26" s="51"/>
      <c r="CX26" s="51"/>
      <c r="CY26" s="51"/>
      <c r="CZ26" s="51"/>
      <c r="DA26" s="144"/>
      <c r="DB26" s="51"/>
      <c r="DC26" s="51"/>
      <c r="DD26" s="51"/>
      <c r="DE26" s="51"/>
      <c r="DF26" s="144"/>
      <c r="DG26" s="51"/>
      <c r="DH26" s="51"/>
      <c r="DI26" s="51"/>
      <c r="DJ26" s="51"/>
      <c r="DK26" s="144"/>
      <c r="DL26" s="51"/>
      <c r="DM26" s="51"/>
      <c r="DN26" s="51"/>
      <c r="DO26" s="51"/>
      <c r="DP26" s="144"/>
      <c r="DQ26" s="51"/>
      <c r="DR26" s="51"/>
      <c r="DS26" s="51"/>
      <c r="DT26" s="51"/>
      <c r="DU26" s="144"/>
      <c r="DV26" s="51"/>
      <c r="DW26" s="51"/>
      <c r="DX26" s="51"/>
      <c r="DY26" s="51"/>
      <c r="DZ26" s="144"/>
      <c r="EA26" s="51"/>
      <c r="EB26" s="51"/>
      <c r="EC26" s="51"/>
      <c r="ED26" s="51"/>
      <c r="EE26" s="144"/>
      <c r="EF26" s="51"/>
      <c r="EG26" s="51"/>
      <c r="EH26" s="51"/>
      <c r="EI26" s="51"/>
      <c r="EJ26" s="144"/>
      <c r="EK26" s="51"/>
      <c r="EL26" s="51"/>
      <c r="EM26" s="51"/>
      <c r="EN26" s="51"/>
      <c r="EO26" s="340"/>
      <c r="ER26" s="39"/>
      <c r="ES26" s="39"/>
    </row>
    <row r="27" spans="1:150" ht="12.75" hidden="1" customHeight="1" x14ac:dyDescent="0.2">
      <c r="A27" s="317"/>
      <c r="B27" s="317"/>
      <c r="D27" s="340" t="s">
        <v>185</v>
      </c>
      <c r="E27" s="144"/>
      <c r="F27" s="317"/>
      <c r="G27" s="51">
        <f>SUM(G28:G31)</f>
        <v>0</v>
      </c>
      <c r="H27" s="51"/>
      <c r="I27" s="51"/>
      <c r="J27" s="144"/>
      <c r="K27" s="51"/>
      <c r="L27" s="51">
        <f>SUM(L28:L31)</f>
        <v>0</v>
      </c>
      <c r="M27" s="51"/>
      <c r="N27" s="51"/>
      <c r="O27" s="144"/>
      <c r="P27" s="51"/>
      <c r="Q27" s="51">
        <f>SUM(Q28:Q31)</f>
        <v>0</v>
      </c>
      <c r="R27" s="51"/>
      <c r="S27" s="51"/>
      <c r="T27" s="144"/>
      <c r="U27" s="51"/>
      <c r="V27" s="51">
        <f>SUM(V28:V31)</f>
        <v>0</v>
      </c>
      <c r="W27" s="51"/>
      <c r="X27" s="51"/>
      <c r="Y27" s="144"/>
      <c r="Z27" s="51"/>
      <c r="AA27" s="51">
        <f>SUM(AA28:AA31)</f>
        <v>0</v>
      </c>
      <c r="AB27" s="51"/>
      <c r="AC27" s="51"/>
      <c r="AD27" s="144"/>
      <c r="AE27" s="51"/>
      <c r="AF27" s="51">
        <f>SUM(AF28:AF31)</f>
        <v>0</v>
      </c>
      <c r="AG27" s="51"/>
      <c r="AH27" s="51"/>
      <c r="AI27" s="144"/>
      <c r="AJ27" s="51"/>
      <c r="AK27" s="51">
        <f>SUM(AK28:AK31)</f>
        <v>0</v>
      </c>
      <c r="AL27" s="51"/>
      <c r="AM27" s="51"/>
      <c r="AN27" s="144"/>
      <c r="AO27" s="51"/>
      <c r="AP27" s="51">
        <f>SUM(AP28:AP31)</f>
        <v>0</v>
      </c>
      <c r="AQ27" s="51"/>
      <c r="AR27" s="51"/>
      <c r="AS27" s="144"/>
      <c r="AT27" s="51"/>
      <c r="AU27" s="51">
        <f>SUM(AU28:AU31)</f>
        <v>0</v>
      </c>
      <c r="AV27" s="51"/>
      <c r="AW27" s="51"/>
      <c r="AX27" s="144"/>
      <c r="AY27" s="51"/>
      <c r="AZ27" s="51">
        <f>SUM(AZ28:AZ31)</f>
        <v>0</v>
      </c>
      <c r="BA27" s="51"/>
      <c r="BB27" s="51"/>
      <c r="BC27" s="144"/>
      <c r="BD27" s="51"/>
      <c r="BE27" s="51">
        <f>SUM(BE28:BE31)</f>
        <v>0</v>
      </c>
      <c r="BF27" s="51"/>
      <c r="BG27" s="51"/>
      <c r="BH27" s="144"/>
      <c r="BI27" s="51"/>
      <c r="BJ27" s="51">
        <f>SUM(BJ28:BJ31)</f>
        <v>0</v>
      </c>
      <c r="BK27" s="51"/>
      <c r="BL27" s="51"/>
      <c r="BM27" s="144"/>
      <c r="BN27" s="51"/>
      <c r="BO27" s="51">
        <f>SUM(BO28:BO31)</f>
        <v>0</v>
      </c>
      <c r="BP27" s="51"/>
      <c r="BQ27" s="51"/>
      <c r="BR27" s="144"/>
      <c r="BS27" s="51"/>
      <c r="BT27" s="51">
        <f>SUM(BT28:BT31)</f>
        <v>0</v>
      </c>
      <c r="BU27" s="51"/>
      <c r="BV27" s="51"/>
      <c r="BW27" s="144"/>
      <c r="BX27" s="51"/>
      <c r="BY27" s="51">
        <f>SUM(BY28:BY31)</f>
        <v>0</v>
      </c>
      <c r="BZ27" s="51"/>
      <c r="CA27" s="51"/>
      <c r="CB27" s="144"/>
      <c r="CC27" s="51"/>
      <c r="CD27" s="51">
        <f>SUM(CD28:CD31)</f>
        <v>0</v>
      </c>
      <c r="CE27" s="51"/>
      <c r="CF27" s="51"/>
      <c r="CG27" s="144"/>
      <c r="CH27" s="51"/>
      <c r="CI27" s="51">
        <f>SUM(CI28:CI31)</f>
        <v>0</v>
      </c>
      <c r="CJ27" s="51"/>
      <c r="CK27" s="51"/>
      <c r="CL27" s="144"/>
      <c r="CM27" s="51"/>
      <c r="CN27" s="51">
        <f>SUM(CN28:CN31)</f>
        <v>0</v>
      </c>
      <c r="CO27" s="51"/>
      <c r="CP27" s="51"/>
      <c r="CQ27" s="144"/>
      <c r="CR27" s="51"/>
      <c r="CS27" s="51">
        <f>SUM(CS28:CS31)</f>
        <v>0</v>
      </c>
      <c r="CT27" s="51"/>
      <c r="CU27" s="51"/>
      <c r="CV27" s="144"/>
      <c r="CW27" s="51"/>
      <c r="CX27" s="51">
        <f>SUM(CX28:CX31)</f>
        <v>0</v>
      </c>
      <c r="CY27" s="51"/>
      <c r="CZ27" s="51"/>
      <c r="DA27" s="144"/>
      <c r="DB27" s="51"/>
      <c r="DC27" s="51">
        <f>SUM(DC28:DC31)</f>
        <v>0</v>
      </c>
      <c r="DD27" s="51"/>
      <c r="DE27" s="51"/>
      <c r="DF27" s="144"/>
      <c r="DG27" s="51"/>
      <c r="DH27" s="51">
        <f>SUM(DH28:DH31)</f>
        <v>0</v>
      </c>
      <c r="DI27" s="51"/>
      <c r="DJ27" s="51"/>
      <c r="DK27" s="144"/>
      <c r="DL27" s="51"/>
      <c r="DM27" s="51">
        <f>SUM(DM28:DM31)</f>
        <v>0</v>
      </c>
      <c r="DN27" s="51"/>
      <c r="DO27" s="51"/>
      <c r="DP27" s="144"/>
      <c r="DQ27" s="51"/>
      <c r="DR27" s="51">
        <f>SUM(DR28:DR31)</f>
        <v>0</v>
      </c>
      <c r="DS27" s="51"/>
      <c r="DT27" s="51"/>
      <c r="DU27" s="144"/>
      <c r="DV27" s="51"/>
      <c r="DW27" s="51">
        <f>SUM(DW28:DW31)</f>
        <v>0</v>
      </c>
      <c r="DX27" s="51"/>
      <c r="DY27" s="51"/>
      <c r="DZ27" s="144"/>
      <c r="EA27" s="51"/>
      <c r="EB27" s="51">
        <f>SUM(EB28:EB31)</f>
        <v>0</v>
      </c>
      <c r="EC27" s="51"/>
      <c r="ED27" s="51"/>
      <c r="EE27" s="144"/>
      <c r="EF27" s="51"/>
      <c r="EG27" s="51">
        <f>SUM(EG28:EG31)</f>
        <v>0</v>
      </c>
      <c r="EH27" s="51"/>
      <c r="EI27" s="51"/>
      <c r="EJ27" s="144"/>
      <c r="EK27" s="51"/>
      <c r="EL27" s="51">
        <f>SUM(EL28:EL31)</f>
        <v>0</v>
      </c>
      <c r="EM27" s="51"/>
      <c r="EN27" s="51"/>
      <c r="EO27" s="340"/>
      <c r="ER27" s="39"/>
      <c r="ES27" s="39"/>
    </row>
    <row r="28" spans="1:150" ht="12.75" hidden="1" customHeight="1" x14ac:dyDescent="0.2">
      <c r="A28" s="317"/>
      <c r="B28" s="317"/>
      <c r="D28" s="340" t="s">
        <v>183</v>
      </c>
      <c r="E28" s="47"/>
      <c r="F28" s="354"/>
      <c r="G28" s="430">
        <v>0</v>
      </c>
      <c r="H28" s="431"/>
      <c r="I28" s="51"/>
      <c r="J28" s="144"/>
      <c r="K28" s="432"/>
      <c r="L28" s="430">
        <v>0</v>
      </c>
      <c r="M28" s="431"/>
      <c r="N28" s="51"/>
      <c r="O28" s="144"/>
      <c r="P28" s="432"/>
      <c r="Q28" s="430">
        <v>0</v>
      </c>
      <c r="R28" s="431"/>
      <c r="S28" s="51"/>
      <c r="T28" s="144"/>
      <c r="U28" s="432"/>
      <c r="V28" s="430">
        <v>0</v>
      </c>
      <c r="W28" s="431"/>
      <c r="X28" s="51"/>
      <c r="Y28" s="144"/>
      <c r="Z28" s="432"/>
      <c r="AA28" s="430">
        <v>0</v>
      </c>
      <c r="AB28" s="431"/>
      <c r="AC28" s="51"/>
      <c r="AD28" s="144"/>
      <c r="AE28" s="432"/>
      <c r="AF28" s="430">
        <v>0</v>
      </c>
      <c r="AG28" s="431"/>
      <c r="AH28" s="51"/>
      <c r="AI28" s="144"/>
      <c r="AJ28" s="432"/>
      <c r="AK28" s="430">
        <v>0</v>
      </c>
      <c r="AL28" s="431"/>
      <c r="AM28" s="51"/>
      <c r="AN28" s="144"/>
      <c r="AO28" s="432"/>
      <c r="AP28" s="430">
        <v>0</v>
      </c>
      <c r="AQ28" s="431"/>
      <c r="AR28" s="51"/>
      <c r="AS28" s="144"/>
      <c r="AT28" s="432"/>
      <c r="AU28" s="430">
        <v>0</v>
      </c>
      <c r="AV28" s="431"/>
      <c r="AW28" s="51"/>
      <c r="AX28" s="144"/>
      <c r="AY28" s="432"/>
      <c r="AZ28" s="430">
        <v>0</v>
      </c>
      <c r="BA28" s="431"/>
      <c r="BB28" s="51"/>
      <c r="BC28" s="144"/>
      <c r="BD28" s="432"/>
      <c r="BE28" s="430">
        <v>0</v>
      </c>
      <c r="BF28" s="431"/>
      <c r="BG28" s="51"/>
      <c r="BH28" s="144"/>
      <c r="BI28" s="432"/>
      <c r="BJ28" s="430">
        <v>0</v>
      </c>
      <c r="BK28" s="431"/>
      <c r="BL28" s="51"/>
      <c r="BM28" s="144"/>
      <c r="BN28" s="432"/>
      <c r="BO28" s="430">
        <v>0</v>
      </c>
      <c r="BP28" s="431"/>
      <c r="BQ28" s="51"/>
      <c r="BR28" s="144"/>
      <c r="BS28" s="432"/>
      <c r="BT28" s="430">
        <f>SUM(L28:BO28)</f>
        <v>0</v>
      </c>
      <c r="BU28" s="431"/>
      <c r="BV28" s="51"/>
      <c r="BW28" s="144"/>
      <c r="BX28" s="432"/>
      <c r="BY28" s="430">
        <v>0</v>
      </c>
      <c r="BZ28" s="431"/>
      <c r="CA28" s="51"/>
      <c r="CB28" s="144"/>
      <c r="CC28" s="432"/>
      <c r="CD28" s="430">
        <v>0</v>
      </c>
      <c r="CE28" s="431"/>
      <c r="CF28" s="51"/>
      <c r="CG28" s="144"/>
      <c r="CH28" s="432"/>
      <c r="CI28" s="430">
        <v>0</v>
      </c>
      <c r="CJ28" s="431"/>
      <c r="CK28" s="51"/>
      <c r="CL28" s="144"/>
      <c r="CM28" s="432"/>
      <c r="CN28" s="430">
        <v>0</v>
      </c>
      <c r="CO28" s="431"/>
      <c r="CP28" s="51"/>
      <c r="CQ28" s="144"/>
      <c r="CR28" s="432"/>
      <c r="CS28" s="430">
        <v>0</v>
      </c>
      <c r="CT28" s="431"/>
      <c r="CU28" s="51"/>
      <c r="CV28" s="144"/>
      <c r="CW28" s="432"/>
      <c r="CX28" s="430">
        <v>0</v>
      </c>
      <c r="CY28" s="431"/>
      <c r="CZ28" s="51"/>
      <c r="DA28" s="144"/>
      <c r="DB28" s="432"/>
      <c r="DC28" s="430">
        <v>0</v>
      </c>
      <c r="DD28" s="431"/>
      <c r="DE28" s="51"/>
      <c r="DF28" s="144"/>
      <c r="DG28" s="432"/>
      <c r="DH28" s="430">
        <v>0</v>
      </c>
      <c r="DI28" s="431"/>
      <c r="DJ28" s="51"/>
      <c r="DK28" s="144"/>
      <c r="DL28" s="432"/>
      <c r="DM28" s="430">
        <v>0</v>
      </c>
      <c r="DN28" s="431"/>
      <c r="DO28" s="51"/>
      <c r="DP28" s="144"/>
      <c r="DQ28" s="432"/>
      <c r="DR28" s="430">
        <v>0</v>
      </c>
      <c r="DS28" s="431"/>
      <c r="DT28" s="51"/>
      <c r="DU28" s="144"/>
      <c r="DV28" s="432"/>
      <c r="DW28" s="430">
        <v>0</v>
      </c>
      <c r="DX28" s="431"/>
      <c r="DY28" s="51"/>
      <c r="DZ28" s="144"/>
      <c r="EA28" s="432"/>
      <c r="EB28" s="430">
        <v>0</v>
      </c>
      <c r="EC28" s="431"/>
      <c r="ED28" s="51"/>
      <c r="EE28" s="144"/>
      <c r="EF28" s="432"/>
      <c r="EG28" s="430">
        <v>0</v>
      </c>
      <c r="EH28" s="431"/>
      <c r="EI28" s="51"/>
      <c r="EJ28" s="144"/>
      <c r="EK28" s="432"/>
      <c r="EL28" s="430">
        <f>SUM(CD28:CD28)</f>
        <v>0</v>
      </c>
      <c r="EM28" s="431"/>
      <c r="EN28" s="51"/>
      <c r="EO28" s="340"/>
      <c r="ER28" s="39"/>
      <c r="ES28" s="39"/>
    </row>
    <row r="29" spans="1:150" ht="12.75" hidden="1" customHeight="1" x14ac:dyDescent="0.2">
      <c r="A29" s="317"/>
      <c r="B29" s="317"/>
      <c r="D29" s="340" t="s">
        <v>186</v>
      </c>
      <c r="E29" s="144"/>
      <c r="F29" s="347"/>
      <c r="G29" s="51">
        <v>0</v>
      </c>
      <c r="H29" s="50"/>
      <c r="I29" s="51"/>
      <c r="J29" s="144"/>
      <c r="K29" s="144"/>
      <c r="L29" s="51">
        <v>0</v>
      </c>
      <c r="M29" s="50"/>
      <c r="N29" s="51"/>
      <c r="O29" s="144"/>
      <c r="P29" s="144"/>
      <c r="Q29" s="51">
        <v>0</v>
      </c>
      <c r="R29" s="50"/>
      <c r="S29" s="51"/>
      <c r="T29" s="144"/>
      <c r="U29" s="144"/>
      <c r="V29" s="51">
        <v>0</v>
      </c>
      <c r="W29" s="50"/>
      <c r="X29" s="51"/>
      <c r="Y29" s="144"/>
      <c r="Z29" s="144"/>
      <c r="AA29" s="51">
        <v>0</v>
      </c>
      <c r="AB29" s="50"/>
      <c r="AC29" s="51"/>
      <c r="AD29" s="144"/>
      <c r="AE29" s="144"/>
      <c r="AF29" s="51">
        <v>0</v>
      </c>
      <c r="AG29" s="50"/>
      <c r="AH29" s="51"/>
      <c r="AI29" s="144"/>
      <c r="AJ29" s="144"/>
      <c r="AK29" s="51">
        <v>0</v>
      </c>
      <c r="AL29" s="50"/>
      <c r="AM29" s="51"/>
      <c r="AN29" s="144"/>
      <c r="AO29" s="144"/>
      <c r="AP29" s="51">
        <v>0</v>
      </c>
      <c r="AQ29" s="50"/>
      <c r="AR29" s="51"/>
      <c r="AS29" s="144"/>
      <c r="AT29" s="144"/>
      <c r="AU29" s="51">
        <v>0</v>
      </c>
      <c r="AV29" s="50"/>
      <c r="AW29" s="51"/>
      <c r="AX29" s="144"/>
      <c r="AY29" s="144"/>
      <c r="AZ29" s="51">
        <v>0</v>
      </c>
      <c r="BA29" s="50"/>
      <c r="BB29" s="51"/>
      <c r="BC29" s="144"/>
      <c r="BD29" s="144"/>
      <c r="BE29" s="51">
        <v>0</v>
      </c>
      <c r="BF29" s="50"/>
      <c r="BG29" s="51"/>
      <c r="BH29" s="144"/>
      <c r="BI29" s="144"/>
      <c r="BJ29" s="51">
        <v>0</v>
      </c>
      <c r="BK29" s="50"/>
      <c r="BL29" s="51"/>
      <c r="BM29" s="144"/>
      <c r="BN29" s="144"/>
      <c r="BO29" s="51">
        <v>0</v>
      </c>
      <c r="BP29" s="50"/>
      <c r="BQ29" s="51"/>
      <c r="BR29" s="144"/>
      <c r="BS29" s="144"/>
      <c r="BT29" s="51">
        <f>SUM(L29:BO29)</f>
        <v>0</v>
      </c>
      <c r="BU29" s="50"/>
      <c r="BV29" s="51"/>
      <c r="BW29" s="144"/>
      <c r="BX29" s="144"/>
      <c r="BY29" s="51">
        <v>0</v>
      </c>
      <c r="BZ29" s="50"/>
      <c r="CA29" s="51"/>
      <c r="CB29" s="144"/>
      <c r="CC29" s="144"/>
      <c r="CD29" s="51">
        <v>0</v>
      </c>
      <c r="CE29" s="50"/>
      <c r="CF29" s="51"/>
      <c r="CG29" s="144"/>
      <c r="CH29" s="144"/>
      <c r="CI29" s="51">
        <v>0</v>
      </c>
      <c r="CJ29" s="50"/>
      <c r="CK29" s="51"/>
      <c r="CL29" s="144"/>
      <c r="CM29" s="144"/>
      <c r="CN29" s="51">
        <v>0</v>
      </c>
      <c r="CO29" s="50"/>
      <c r="CP29" s="51"/>
      <c r="CQ29" s="144"/>
      <c r="CR29" s="144"/>
      <c r="CS29" s="51">
        <v>0</v>
      </c>
      <c r="CT29" s="50"/>
      <c r="CU29" s="51"/>
      <c r="CV29" s="144"/>
      <c r="CW29" s="144"/>
      <c r="CX29" s="51">
        <v>0</v>
      </c>
      <c r="CY29" s="50"/>
      <c r="CZ29" s="51"/>
      <c r="DA29" s="144"/>
      <c r="DB29" s="144"/>
      <c r="DC29" s="51">
        <v>0</v>
      </c>
      <c r="DD29" s="50"/>
      <c r="DE29" s="51"/>
      <c r="DF29" s="144"/>
      <c r="DG29" s="144"/>
      <c r="DH29" s="51">
        <v>0</v>
      </c>
      <c r="DI29" s="50"/>
      <c r="DJ29" s="51"/>
      <c r="DK29" s="144"/>
      <c r="DL29" s="144"/>
      <c r="DM29" s="51">
        <v>0</v>
      </c>
      <c r="DN29" s="50"/>
      <c r="DO29" s="51"/>
      <c r="DP29" s="144"/>
      <c r="DQ29" s="144"/>
      <c r="DR29" s="51">
        <v>0</v>
      </c>
      <c r="DS29" s="50"/>
      <c r="DT29" s="51"/>
      <c r="DU29" s="144"/>
      <c r="DV29" s="144"/>
      <c r="DW29" s="51">
        <v>0</v>
      </c>
      <c r="DX29" s="50"/>
      <c r="DY29" s="51"/>
      <c r="DZ29" s="144"/>
      <c r="EA29" s="144"/>
      <c r="EB29" s="51">
        <v>0</v>
      </c>
      <c r="EC29" s="50"/>
      <c r="ED29" s="51"/>
      <c r="EE29" s="144"/>
      <c r="EF29" s="144"/>
      <c r="EG29" s="51">
        <v>0</v>
      </c>
      <c r="EH29" s="50"/>
      <c r="EI29" s="51"/>
      <c r="EJ29" s="144"/>
      <c r="EK29" s="144"/>
      <c r="EL29" s="51">
        <f>SUM(CD29:CD29)</f>
        <v>0</v>
      </c>
      <c r="EM29" s="50"/>
      <c r="EN29" s="51"/>
      <c r="EO29" s="340"/>
      <c r="ER29" s="39"/>
      <c r="ES29" s="39"/>
    </row>
    <row r="30" spans="1:150" ht="12.75" hidden="1" customHeight="1" x14ac:dyDescent="0.2">
      <c r="A30" s="317"/>
      <c r="B30" s="317"/>
      <c r="D30" s="340" t="s">
        <v>187</v>
      </c>
      <c r="E30" s="144"/>
      <c r="F30" s="347"/>
      <c r="G30" s="51">
        <v>0</v>
      </c>
      <c r="H30" s="50"/>
      <c r="I30" s="51"/>
      <c r="J30" s="144"/>
      <c r="K30" s="144"/>
      <c r="L30" s="51">
        <v>0</v>
      </c>
      <c r="M30" s="50"/>
      <c r="N30" s="51"/>
      <c r="O30" s="144"/>
      <c r="P30" s="144"/>
      <c r="Q30" s="51">
        <v>0</v>
      </c>
      <c r="R30" s="50"/>
      <c r="S30" s="51"/>
      <c r="T30" s="144"/>
      <c r="U30" s="144"/>
      <c r="V30" s="51">
        <v>0</v>
      </c>
      <c r="W30" s="50"/>
      <c r="X30" s="51"/>
      <c r="Y30" s="144"/>
      <c r="Z30" s="144"/>
      <c r="AA30" s="51">
        <v>0</v>
      </c>
      <c r="AB30" s="50"/>
      <c r="AC30" s="51"/>
      <c r="AD30" s="144"/>
      <c r="AE30" s="144"/>
      <c r="AF30" s="51">
        <v>0</v>
      </c>
      <c r="AG30" s="50"/>
      <c r="AH30" s="51"/>
      <c r="AI30" s="144"/>
      <c r="AJ30" s="144"/>
      <c r="AK30" s="51">
        <v>0</v>
      </c>
      <c r="AL30" s="50"/>
      <c r="AM30" s="51"/>
      <c r="AN30" s="144"/>
      <c r="AO30" s="144"/>
      <c r="AP30" s="51">
        <v>0</v>
      </c>
      <c r="AQ30" s="50"/>
      <c r="AR30" s="51"/>
      <c r="AS30" s="144"/>
      <c r="AT30" s="144"/>
      <c r="AU30" s="51">
        <v>0</v>
      </c>
      <c r="AV30" s="50"/>
      <c r="AW30" s="51"/>
      <c r="AX30" s="144"/>
      <c r="AY30" s="144"/>
      <c r="AZ30" s="51">
        <v>0</v>
      </c>
      <c r="BA30" s="50"/>
      <c r="BB30" s="51"/>
      <c r="BC30" s="144"/>
      <c r="BD30" s="144"/>
      <c r="BE30" s="51">
        <v>0</v>
      </c>
      <c r="BF30" s="50"/>
      <c r="BG30" s="51"/>
      <c r="BH30" s="144"/>
      <c r="BI30" s="144"/>
      <c r="BJ30" s="51">
        <v>0</v>
      </c>
      <c r="BK30" s="50"/>
      <c r="BL30" s="51"/>
      <c r="BM30" s="144"/>
      <c r="BN30" s="144"/>
      <c r="BO30" s="51">
        <v>0</v>
      </c>
      <c r="BP30" s="50"/>
      <c r="BQ30" s="51"/>
      <c r="BR30" s="144"/>
      <c r="BS30" s="144"/>
      <c r="BT30" s="51">
        <f>SUM(L30:BO30)</f>
        <v>0</v>
      </c>
      <c r="BU30" s="50"/>
      <c r="BV30" s="51"/>
      <c r="BW30" s="144"/>
      <c r="BX30" s="144"/>
      <c r="BY30" s="51">
        <v>0</v>
      </c>
      <c r="BZ30" s="50"/>
      <c r="CA30" s="51"/>
      <c r="CB30" s="144"/>
      <c r="CC30" s="144"/>
      <c r="CD30" s="51">
        <v>0</v>
      </c>
      <c r="CE30" s="50"/>
      <c r="CF30" s="51"/>
      <c r="CG30" s="144"/>
      <c r="CH30" s="144"/>
      <c r="CI30" s="51">
        <v>0</v>
      </c>
      <c r="CJ30" s="50"/>
      <c r="CK30" s="51"/>
      <c r="CL30" s="144"/>
      <c r="CM30" s="144"/>
      <c r="CN30" s="51">
        <v>0</v>
      </c>
      <c r="CO30" s="50"/>
      <c r="CP30" s="51"/>
      <c r="CQ30" s="144"/>
      <c r="CR30" s="144"/>
      <c r="CS30" s="51">
        <v>0</v>
      </c>
      <c r="CT30" s="50"/>
      <c r="CU30" s="51"/>
      <c r="CV30" s="144"/>
      <c r="CW30" s="144"/>
      <c r="CX30" s="51">
        <v>0</v>
      </c>
      <c r="CY30" s="50"/>
      <c r="CZ30" s="51"/>
      <c r="DA30" s="144"/>
      <c r="DB30" s="144"/>
      <c r="DC30" s="51">
        <v>0</v>
      </c>
      <c r="DD30" s="50"/>
      <c r="DE30" s="51"/>
      <c r="DF30" s="144"/>
      <c r="DG30" s="144"/>
      <c r="DH30" s="51">
        <v>0</v>
      </c>
      <c r="DI30" s="50"/>
      <c r="DJ30" s="51"/>
      <c r="DK30" s="144"/>
      <c r="DL30" s="144"/>
      <c r="DM30" s="51">
        <v>0</v>
      </c>
      <c r="DN30" s="50"/>
      <c r="DO30" s="51"/>
      <c r="DP30" s="144"/>
      <c r="DQ30" s="144"/>
      <c r="DR30" s="51">
        <v>0</v>
      </c>
      <c r="DS30" s="50"/>
      <c r="DT30" s="51"/>
      <c r="DU30" s="144"/>
      <c r="DV30" s="144"/>
      <c r="DW30" s="51">
        <v>0</v>
      </c>
      <c r="DX30" s="50"/>
      <c r="DY30" s="51"/>
      <c r="DZ30" s="144"/>
      <c r="EA30" s="144"/>
      <c r="EB30" s="51">
        <v>0</v>
      </c>
      <c r="EC30" s="50"/>
      <c r="ED30" s="51"/>
      <c r="EE30" s="144"/>
      <c r="EF30" s="144"/>
      <c r="EG30" s="51">
        <v>0</v>
      </c>
      <c r="EH30" s="50"/>
      <c r="EI30" s="51"/>
      <c r="EJ30" s="144"/>
      <c r="EK30" s="144"/>
      <c r="EL30" s="51">
        <f>SUM(CD30:CD30)</f>
        <v>0</v>
      </c>
      <c r="EM30" s="50"/>
      <c r="EN30" s="51"/>
      <c r="EO30" s="340"/>
      <c r="ER30" s="39"/>
      <c r="ES30" s="39"/>
    </row>
    <row r="31" spans="1:150" ht="12.75" hidden="1" customHeight="1" x14ac:dyDescent="0.2">
      <c r="A31" s="317"/>
      <c r="B31" s="317"/>
      <c r="D31" s="340" t="s">
        <v>188</v>
      </c>
      <c r="E31" s="144"/>
      <c r="F31" s="371"/>
      <c r="G31" s="95">
        <v>0</v>
      </c>
      <c r="H31" s="94"/>
      <c r="I31" s="51"/>
      <c r="J31" s="144"/>
      <c r="K31" s="187"/>
      <c r="L31" s="95">
        <v>0</v>
      </c>
      <c r="M31" s="94"/>
      <c r="N31" s="51"/>
      <c r="O31" s="144"/>
      <c r="P31" s="187"/>
      <c r="Q31" s="95">
        <v>0</v>
      </c>
      <c r="R31" s="94"/>
      <c r="S31" s="51"/>
      <c r="T31" s="144"/>
      <c r="U31" s="187"/>
      <c r="V31" s="95">
        <v>0</v>
      </c>
      <c r="W31" s="94"/>
      <c r="X31" s="51"/>
      <c r="Y31" s="144"/>
      <c r="Z31" s="187"/>
      <c r="AA31" s="95">
        <v>0</v>
      </c>
      <c r="AB31" s="94"/>
      <c r="AC31" s="51"/>
      <c r="AD31" s="144"/>
      <c r="AE31" s="187"/>
      <c r="AF31" s="95">
        <v>0</v>
      </c>
      <c r="AG31" s="94"/>
      <c r="AH31" s="51"/>
      <c r="AI31" s="144"/>
      <c r="AJ31" s="187"/>
      <c r="AK31" s="95">
        <v>0</v>
      </c>
      <c r="AL31" s="94"/>
      <c r="AM31" s="51"/>
      <c r="AN31" s="144"/>
      <c r="AO31" s="187"/>
      <c r="AP31" s="95">
        <v>0</v>
      </c>
      <c r="AQ31" s="94"/>
      <c r="AR31" s="51"/>
      <c r="AS31" s="144"/>
      <c r="AT31" s="187"/>
      <c r="AU31" s="95">
        <v>0</v>
      </c>
      <c r="AV31" s="94"/>
      <c r="AW31" s="51"/>
      <c r="AX31" s="144"/>
      <c r="AY31" s="187"/>
      <c r="AZ31" s="95">
        <v>0</v>
      </c>
      <c r="BA31" s="94"/>
      <c r="BB31" s="51"/>
      <c r="BC31" s="144"/>
      <c r="BD31" s="187"/>
      <c r="BE31" s="95">
        <v>0</v>
      </c>
      <c r="BF31" s="94"/>
      <c r="BG31" s="51"/>
      <c r="BH31" s="144"/>
      <c r="BI31" s="187"/>
      <c r="BJ31" s="95">
        <v>0</v>
      </c>
      <c r="BK31" s="94"/>
      <c r="BL31" s="51"/>
      <c r="BM31" s="144"/>
      <c r="BN31" s="187"/>
      <c r="BO31" s="95">
        <v>0</v>
      </c>
      <c r="BP31" s="94"/>
      <c r="BQ31" s="51"/>
      <c r="BR31" s="144"/>
      <c r="BS31" s="187"/>
      <c r="BT31" s="95">
        <f>SUM(L31:BO31)</f>
        <v>0</v>
      </c>
      <c r="BU31" s="94"/>
      <c r="BV31" s="51"/>
      <c r="BW31" s="144"/>
      <c r="BX31" s="187"/>
      <c r="BY31" s="95">
        <v>0</v>
      </c>
      <c r="BZ31" s="94"/>
      <c r="CA31" s="51"/>
      <c r="CB31" s="144"/>
      <c r="CC31" s="187"/>
      <c r="CD31" s="95">
        <v>0</v>
      </c>
      <c r="CE31" s="94"/>
      <c r="CF31" s="51"/>
      <c r="CG31" s="144"/>
      <c r="CH31" s="187"/>
      <c r="CI31" s="95">
        <v>0</v>
      </c>
      <c r="CJ31" s="94"/>
      <c r="CK31" s="51"/>
      <c r="CL31" s="144"/>
      <c r="CM31" s="187"/>
      <c r="CN31" s="95">
        <v>0</v>
      </c>
      <c r="CO31" s="94"/>
      <c r="CP31" s="51"/>
      <c r="CQ31" s="144"/>
      <c r="CR31" s="187"/>
      <c r="CS31" s="95">
        <v>0</v>
      </c>
      <c r="CT31" s="94"/>
      <c r="CU31" s="51"/>
      <c r="CV31" s="144"/>
      <c r="CW31" s="187"/>
      <c r="CX31" s="95">
        <v>0</v>
      </c>
      <c r="CY31" s="94"/>
      <c r="CZ31" s="51"/>
      <c r="DA31" s="144"/>
      <c r="DB31" s="187"/>
      <c r="DC31" s="95">
        <v>0</v>
      </c>
      <c r="DD31" s="94"/>
      <c r="DE31" s="51"/>
      <c r="DF31" s="144"/>
      <c r="DG31" s="187"/>
      <c r="DH31" s="95">
        <v>0</v>
      </c>
      <c r="DI31" s="94"/>
      <c r="DJ31" s="51"/>
      <c r="DK31" s="144"/>
      <c r="DL31" s="187"/>
      <c r="DM31" s="95">
        <v>0</v>
      </c>
      <c r="DN31" s="94"/>
      <c r="DO31" s="51"/>
      <c r="DP31" s="144"/>
      <c r="DQ31" s="187"/>
      <c r="DR31" s="95">
        <v>0</v>
      </c>
      <c r="DS31" s="94"/>
      <c r="DT31" s="51"/>
      <c r="DU31" s="144"/>
      <c r="DV31" s="187"/>
      <c r="DW31" s="95">
        <v>0</v>
      </c>
      <c r="DX31" s="94"/>
      <c r="DY31" s="51"/>
      <c r="DZ31" s="144"/>
      <c r="EA31" s="187"/>
      <c r="EB31" s="95">
        <v>0</v>
      </c>
      <c r="EC31" s="94"/>
      <c r="ED31" s="51"/>
      <c r="EE31" s="144"/>
      <c r="EF31" s="187"/>
      <c r="EG31" s="95">
        <v>0</v>
      </c>
      <c r="EH31" s="94"/>
      <c r="EI31" s="51"/>
      <c r="EJ31" s="144"/>
      <c r="EK31" s="440"/>
      <c r="EL31" s="95">
        <f>SUM(CD31:CD31)</f>
        <v>0</v>
      </c>
      <c r="EM31" s="441"/>
      <c r="EN31" s="51"/>
      <c r="EO31" s="340"/>
      <c r="ER31" s="39"/>
      <c r="ES31" s="39"/>
    </row>
    <row r="32" spans="1:150" hidden="1" x14ac:dyDescent="0.2">
      <c r="A32" s="317"/>
      <c r="B32" s="317"/>
      <c r="D32" s="340"/>
      <c r="E32" s="144"/>
      <c r="F32" s="317"/>
      <c r="G32" s="51"/>
      <c r="H32" s="51"/>
      <c r="I32" s="51"/>
      <c r="J32" s="144"/>
      <c r="K32" s="51"/>
      <c r="L32" s="51"/>
      <c r="M32" s="51"/>
      <c r="N32" s="51"/>
      <c r="O32" s="144"/>
      <c r="P32" s="51"/>
      <c r="Q32" s="51"/>
      <c r="R32" s="51"/>
      <c r="S32" s="51"/>
      <c r="T32" s="144"/>
      <c r="U32" s="51"/>
      <c r="V32" s="51"/>
      <c r="W32" s="51"/>
      <c r="X32" s="51"/>
      <c r="Y32" s="144"/>
      <c r="Z32" s="51"/>
      <c r="AA32" s="51"/>
      <c r="AB32" s="51"/>
      <c r="AC32" s="51"/>
      <c r="AD32" s="144"/>
      <c r="AE32" s="51"/>
      <c r="AF32" s="51"/>
      <c r="AG32" s="51"/>
      <c r="AH32" s="51"/>
      <c r="AI32" s="144"/>
      <c r="AJ32" s="51"/>
      <c r="AK32" s="51"/>
      <c r="AL32" s="51"/>
      <c r="AM32" s="51"/>
      <c r="AN32" s="144"/>
      <c r="AO32" s="51"/>
      <c r="AP32" s="51"/>
      <c r="AQ32" s="51"/>
      <c r="AR32" s="51"/>
      <c r="AS32" s="144"/>
      <c r="AT32" s="51"/>
      <c r="AU32" s="51"/>
      <c r="AV32" s="51"/>
      <c r="AW32" s="51"/>
      <c r="AX32" s="144"/>
      <c r="AY32" s="51"/>
      <c r="AZ32" s="51"/>
      <c r="BA32" s="51"/>
      <c r="BB32" s="51"/>
      <c r="BC32" s="144"/>
      <c r="BD32" s="51"/>
      <c r="BE32" s="51"/>
      <c r="BF32" s="51"/>
      <c r="BG32" s="51"/>
      <c r="BH32" s="144"/>
      <c r="BI32" s="51"/>
      <c r="BJ32" s="51"/>
      <c r="BK32" s="51"/>
      <c r="BL32" s="51"/>
      <c r="BM32" s="144"/>
      <c r="BN32" s="51"/>
      <c r="BO32" s="51"/>
      <c r="BP32" s="51"/>
      <c r="BQ32" s="51"/>
      <c r="BR32" s="144"/>
      <c r="BS32" s="51"/>
      <c r="BT32" s="51"/>
      <c r="BU32" s="51"/>
      <c r="BV32" s="51"/>
      <c r="BW32" s="144"/>
      <c r="BX32" s="51"/>
      <c r="BY32" s="51"/>
      <c r="BZ32" s="51"/>
      <c r="CA32" s="51"/>
      <c r="CB32" s="144"/>
      <c r="CC32" s="51"/>
      <c r="CD32" s="51"/>
      <c r="CE32" s="51"/>
      <c r="CF32" s="51"/>
      <c r="CG32" s="144"/>
      <c r="CH32" s="51"/>
      <c r="CI32" s="51"/>
      <c r="CJ32" s="51"/>
      <c r="CK32" s="51"/>
      <c r="CL32" s="144"/>
      <c r="CM32" s="51"/>
      <c r="CN32" s="51"/>
      <c r="CO32" s="51"/>
      <c r="CP32" s="51"/>
      <c r="CQ32" s="144"/>
      <c r="CR32" s="51"/>
      <c r="CS32" s="51"/>
      <c r="CT32" s="51"/>
      <c r="CU32" s="51"/>
      <c r="CV32" s="144"/>
      <c r="CW32" s="51"/>
      <c r="CX32" s="51"/>
      <c r="CY32" s="51"/>
      <c r="CZ32" s="51"/>
      <c r="DA32" s="144"/>
      <c r="DB32" s="51"/>
      <c r="DC32" s="51"/>
      <c r="DD32" s="51"/>
      <c r="DE32" s="51"/>
      <c r="DF32" s="144"/>
      <c r="DG32" s="51"/>
      <c r="DH32" s="51"/>
      <c r="DI32" s="51"/>
      <c r="DJ32" s="51"/>
      <c r="DK32" s="144"/>
      <c r="DL32" s="51"/>
      <c r="DM32" s="51"/>
      <c r="DN32" s="51"/>
      <c r="DO32" s="51"/>
      <c r="DP32" s="144"/>
      <c r="DQ32" s="51"/>
      <c r="DR32" s="51"/>
      <c r="DS32" s="51"/>
      <c r="DT32" s="51"/>
      <c r="DU32" s="144"/>
      <c r="DV32" s="51"/>
      <c r="DW32" s="51"/>
      <c r="DX32" s="51"/>
      <c r="DY32" s="51"/>
      <c r="DZ32" s="144"/>
      <c r="EA32" s="51"/>
      <c r="EB32" s="51"/>
      <c r="EC32" s="51"/>
      <c r="ED32" s="51"/>
      <c r="EE32" s="144"/>
      <c r="EF32" s="51"/>
      <c r="EG32" s="51"/>
      <c r="EH32" s="51"/>
      <c r="EI32" s="51"/>
      <c r="EJ32" s="144"/>
      <c r="EK32" s="51"/>
      <c r="EL32" s="51"/>
      <c r="EM32" s="51"/>
      <c r="EN32" s="51"/>
      <c r="EO32" s="340"/>
      <c r="ER32" s="39"/>
      <c r="ES32" s="39"/>
    </row>
    <row r="33" spans="1:149" ht="12.75" customHeight="1" x14ac:dyDescent="0.2">
      <c r="A33" s="317"/>
      <c r="B33" s="317"/>
      <c r="D33" s="340" t="s">
        <v>189</v>
      </c>
      <c r="E33" s="144"/>
      <c r="F33" s="317"/>
      <c r="G33" s="51">
        <f>SUM(G34:G37)</f>
        <v>0</v>
      </c>
      <c r="H33" s="51"/>
      <c r="I33" s="51"/>
      <c r="J33" s="144"/>
      <c r="K33" s="51"/>
      <c r="L33" s="51">
        <f>SUM(L34:L37)</f>
        <v>0</v>
      </c>
      <c r="M33" s="51"/>
      <c r="N33" s="51"/>
      <c r="O33" s="144"/>
      <c r="P33" s="51"/>
      <c r="Q33" s="51">
        <f>SUM(Q34:Q37)</f>
        <v>0</v>
      </c>
      <c r="R33" s="51"/>
      <c r="S33" s="51"/>
      <c r="T33" s="144"/>
      <c r="U33" s="51"/>
      <c r="V33" s="51">
        <f>SUM(V34:V37)</f>
        <v>0</v>
      </c>
      <c r="W33" s="51"/>
      <c r="X33" s="51"/>
      <c r="Y33" s="144"/>
      <c r="Z33" s="51"/>
      <c r="AA33" s="51">
        <f>SUM(AA34:AA37)</f>
        <v>0</v>
      </c>
      <c r="AB33" s="51"/>
      <c r="AC33" s="51"/>
      <c r="AD33" s="144"/>
      <c r="AE33" s="51"/>
      <c r="AF33" s="51">
        <f>SUM(AF34:AF37)</f>
        <v>0</v>
      </c>
      <c r="AG33" s="51"/>
      <c r="AH33" s="51"/>
      <c r="AI33" s="144"/>
      <c r="AJ33" s="51"/>
      <c r="AK33" s="51">
        <f>SUM(AK34:AK37)</f>
        <v>0</v>
      </c>
      <c r="AL33" s="51"/>
      <c r="AM33" s="51"/>
      <c r="AN33" s="144"/>
      <c r="AO33" s="51"/>
      <c r="AP33" s="51">
        <f>SUM(AP34:AP37)</f>
        <v>0</v>
      </c>
      <c r="AQ33" s="51"/>
      <c r="AR33" s="51"/>
      <c r="AS33" s="144"/>
      <c r="AT33" s="51"/>
      <c r="AU33" s="51">
        <f>SUM(AU34:AU37)</f>
        <v>0</v>
      </c>
      <c r="AV33" s="51"/>
      <c r="AW33" s="51"/>
      <c r="AX33" s="144"/>
      <c r="AY33" s="51"/>
      <c r="AZ33" s="51">
        <f>SUM(AZ34:AZ37)</f>
        <v>0</v>
      </c>
      <c r="BA33" s="51"/>
      <c r="BB33" s="51"/>
      <c r="BC33" s="144"/>
      <c r="BD33" s="51"/>
      <c r="BE33" s="51">
        <f>SUM(BE34:BE37)</f>
        <v>0</v>
      </c>
      <c r="BF33" s="51"/>
      <c r="BG33" s="51"/>
      <c r="BH33" s="144"/>
      <c r="BI33" s="51"/>
      <c r="BJ33" s="51">
        <f>SUM(BJ34:BJ37)</f>
        <v>0</v>
      </c>
      <c r="BK33" s="51"/>
      <c r="BL33" s="51"/>
      <c r="BM33" s="144"/>
      <c r="BN33" s="51"/>
      <c r="BO33" s="51">
        <f>SUM(BO34:BO37)</f>
        <v>0</v>
      </c>
      <c r="BP33" s="51"/>
      <c r="BQ33" s="51"/>
      <c r="BR33" s="144"/>
      <c r="BS33" s="51"/>
      <c r="BT33" s="51">
        <f>SUM(BT34:BT37)</f>
        <v>0</v>
      </c>
      <c r="BU33" s="51"/>
      <c r="BV33" s="51"/>
      <c r="BW33" s="144"/>
      <c r="BX33" s="51"/>
      <c r="BY33" s="51">
        <f>SUM(BY34:BY37)</f>
        <v>6825659</v>
      </c>
      <c r="BZ33" s="51"/>
      <c r="CA33" s="51"/>
      <c r="CB33" s="144"/>
      <c r="CC33" s="51"/>
      <c r="CD33" s="51">
        <f>SUM(CD34:CD37)</f>
        <v>484328</v>
      </c>
      <c r="CE33" s="51"/>
      <c r="CF33" s="51"/>
      <c r="CG33" s="144"/>
      <c r="CH33" s="51"/>
      <c r="CI33" s="51">
        <f>SUM(CI34:CI37)</f>
        <v>850726</v>
      </c>
      <c r="CJ33" s="51"/>
      <c r="CK33" s="51"/>
      <c r="CL33" s="144"/>
      <c r="CM33" s="51"/>
      <c r="CN33" s="51">
        <f>SUM(CN34:CN37)</f>
        <v>390117</v>
      </c>
      <c r="CO33" s="51"/>
      <c r="CP33" s="51"/>
      <c r="CQ33" s="144"/>
      <c r="CR33" s="51"/>
      <c r="CS33" s="51">
        <f>SUM(CS34:CS37)</f>
        <v>0</v>
      </c>
      <c r="CT33" s="51"/>
      <c r="CU33" s="51"/>
      <c r="CV33" s="144"/>
      <c r="CW33" s="51"/>
      <c r="CX33" s="51">
        <f>SUM(CX34:CX37)</f>
        <v>286240</v>
      </c>
      <c r="CY33" s="51"/>
      <c r="CZ33" s="51"/>
      <c r="DA33" s="144"/>
      <c r="DB33" s="51"/>
      <c r="DC33" s="51">
        <f>SUM(DC34:DC37)</f>
        <v>123945</v>
      </c>
      <c r="DD33" s="51"/>
      <c r="DE33" s="51"/>
      <c r="DF33" s="144"/>
      <c r="DG33" s="51"/>
      <c r="DH33" s="51">
        <f>SUM(DH34:DH37)</f>
        <v>15625</v>
      </c>
      <c r="DI33" s="51"/>
      <c r="DJ33" s="51"/>
      <c r="DK33" s="144"/>
      <c r="DL33" s="51"/>
      <c r="DM33" s="51">
        <f>SUM(DM34:DM37)</f>
        <v>0</v>
      </c>
      <c r="DN33" s="51"/>
      <c r="DO33" s="51"/>
      <c r="DP33" s="144"/>
      <c r="DQ33" s="51"/>
      <c r="DR33" s="51">
        <f>SUM(DR34:DR37)</f>
        <v>0</v>
      </c>
      <c r="DS33" s="51"/>
      <c r="DT33" s="51"/>
      <c r="DU33" s="144"/>
      <c r="DV33" s="51"/>
      <c r="DW33" s="51">
        <f>SUM(DW34:DW37)</f>
        <v>0</v>
      </c>
      <c r="DX33" s="51"/>
      <c r="DY33" s="51"/>
      <c r="DZ33" s="144"/>
      <c r="EA33" s="51"/>
      <c r="EB33" s="51">
        <f>SUM(EB34:EB37)</f>
        <v>1079385</v>
      </c>
      <c r="EC33" s="51"/>
      <c r="ED33" s="51"/>
      <c r="EE33" s="144"/>
      <c r="EF33" s="51"/>
      <c r="EG33" s="51">
        <f>SUM(EG34:EG37)</f>
        <v>3595293</v>
      </c>
      <c r="EH33" s="51"/>
      <c r="EI33" s="51"/>
      <c r="EJ33" s="144"/>
      <c r="EK33" s="51"/>
      <c r="EL33" s="51">
        <f>SUM(EL34:EL37)</f>
        <v>2150981</v>
      </c>
      <c r="EM33" s="51"/>
      <c r="EN33" s="51"/>
      <c r="EO33" s="340"/>
      <c r="ER33" s="39"/>
      <c r="ES33" s="39"/>
    </row>
    <row r="34" spans="1:149" ht="12.75" customHeight="1" x14ac:dyDescent="0.2">
      <c r="A34" s="317"/>
      <c r="B34" s="317"/>
      <c r="D34" s="340" t="s">
        <v>183</v>
      </c>
      <c r="E34" s="47"/>
      <c r="F34" s="354"/>
      <c r="G34" s="430">
        <v>0</v>
      </c>
      <c r="H34" s="431"/>
      <c r="I34" s="51"/>
      <c r="J34" s="144"/>
      <c r="K34" s="432"/>
      <c r="L34" s="430">
        <v>0</v>
      </c>
      <c r="M34" s="431"/>
      <c r="N34" s="51"/>
      <c r="O34" s="144"/>
      <c r="P34" s="432"/>
      <c r="Q34" s="430">
        <v>0</v>
      </c>
      <c r="R34" s="431"/>
      <c r="S34" s="51"/>
      <c r="T34" s="144"/>
      <c r="U34" s="432"/>
      <c r="V34" s="430">
        <v>0</v>
      </c>
      <c r="W34" s="431"/>
      <c r="X34" s="51"/>
      <c r="Y34" s="144"/>
      <c r="Z34" s="432"/>
      <c r="AA34" s="430">
        <v>0</v>
      </c>
      <c r="AB34" s="431"/>
      <c r="AC34" s="51"/>
      <c r="AD34" s="144"/>
      <c r="AE34" s="432"/>
      <c r="AF34" s="430">
        <v>0</v>
      </c>
      <c r="AG34" s="431"/>
      <c r="AH34" s="51"/>
      <c r="AI34" s="144"/>
      <c r="AJ34" s="432"/>
      <c r="AK34" s="430">
        <v>0</v>
      </c>
      <c r="AL34" s="431"/>
      <c r="AM34" s="51"/>
      <c r="AN34" s="144"/>
      <c r="AO34" s="432"/>
      <c r="AP34" s="430">
        <v>0</v>
      </c>
      <c r="AQ34" s="431"/>
      <c r="AR34" s="51"/>
      <c r="AS34" s="144"/>
      <c r="AT34" s="432"/>
      <c r="AU34" s="430">
        <v>0</v>
      </c>
      <c r="AV34" s="431"/>
      <c r="AW34" s="51"/>
      <c r="AX34" s="144"/>
      <c r="AY34" s="432"/>
      <c r="AZ34" s="430">
        <v>0</v>
      </c>
      <c r="BA34" s="431"/>
      <c r="BB34" s="51"/>
      <c r="BC34" s="144"/>
      <c r="BD34" s="432"/>
      <c r="BE34" s="430">
        <v>0</v>
      </c>
      <c r="BF34" s="431"/>
      <c r="BG34" s="51"/>
      <c r="BH34" s="144"/>
      <c r="BI34" s="432"/>
      <c r="BJ34" s="430">
        <v>0</v>
      </c>
      <c r="BK34" s="431"/>
      <c r="BL34" s="51"/>
      <c r="BM34" s="144"/>
      <c r="BN34" s="432"/>
      <c r="BO34" s="430">
        <v>0</v>
      </c>
      <c r="BP34" s="431"/>
      <c r="BQ34" s="51"/>
      <c r="BR34" s="144"/>
      <c r="BS34" s="432"/>
      <c r="BT34" s="430">
        <f>SUM(L34:BO34)</f>
        <v>0</v>
      </c>
      <c r="BU34" s="431"/>
      <c r="BV34" s="51"/>
      <c r="BW34" s="144"/>
      <c r="BX34" s="432"/>
      <c r="BY34" s="430">
        <v>4283892</v>
      </c>
      <c r="BZ34" s="431"/>
      <c r="CA34" s="51"/>
      <c r="CB34" s="144"/>
      <c r="CC34" s="432"/>
      <c r="CD34" s="430">
        <f>320000-5573</f>
        <v>314427</v>
      </c>
      <c r="CE34" s="431"/>
      <c r="CF34" s="51"/>
      <c r="CG34" s="144"/>
      <c r="CH34" s="432"/>
      <c r="CI34" s="430">
        <f>560000-3717</f>
        <v>556283</v>
      </c>
      <c r="CJ34" s="431"/>
      <c r="CK34" s="51"/>
      <c r="CL34" s="144"/>
      <c r="CM34" s="432"/>
      <c r="CN34" s="430">
        <f>255000-584+200</f>
        <v>254616</v>
      </c>
      <c r="CO34" s="431"/>
      <c r="CP34" s="51"/>
      <c r="CQ34" s="144"/>
      <c r="CR34" s="432"/>
      <c r="CS34" s="430">
        <v>0</v>
      </c>
      <c r="CT34" s="431"/>
      <c r="CU34" s="51"/>
      <c r="CV34" s="144"/>
      <c r="CW34" s="432"/>
      <c r="CX34" s="430">
        <f>185000-2864</f>
        <v>182136</v>
      </c>
      <c r="CY34" s="431"/>
      <c r="CZ34" s="51"/>
      <c r="DA34" s="144"/>
      <c r="DB34" s="432"/>
      <c r="DC34" s="430">
        <f>80000-820</f>
        <v>79180</v>
      </c>
      <c r="DD34" s="431"/>
      <c r="DE34" s="51"/>
      <c r="DF34" s="144"/>
      <c r="DG34" s="432"/>
      <c r="DH34" s="430">
        <f>10000-172</f>
        <v>9828</v>
      </c>
      <c r="DI34" s="431"/>
      <c r="DJ34" s="51"/>
      <c r="DK34" s="144"/>
      <c r="DL34" s="432"/>
      <c r="DM34" s="430">
        <v>0</v>
      </c>
      <c r="DN34" s="431"/>
      <c r="DO34" s="51"/>
      <c r="DP34" s="144"/>
      <c r="DQ34" s="432"/>
      <c r="DR34" s="430">
        <v>0</v>
      </c>
      <c r="DS34" s="431"/>
      <c r="DT34" s="51"/>
      <c r="DU34" s="144"/>
      <c r="DV34" s="432"/>
      <c r="DW34" s="430">
        <v>0</v>
      </c>
      <c r="DX34" s="431"/>
      <c r="DY34" s="51"/>
      <c r="DZ34" s="144"/>
      <c r="EA34" s="432"/>
      <c r="EB34" s="430">
        <f>680000-15283</f>
        <v>664717</v>
      </c>
      <c r="EC34" s="431"/>
      <c r="ED34" s="51"/>
      <c r="EE34" s="144"/>
      <c r="EF34" s="432"/>
      <c r="EG34" s="430">
        <f>2255000-32295</f>
        <v>2222705</v>
      </c>
      <c r="EH34" s="431"/>
      <c r="EI34" s="51"/>
      <c r="EJ34" s="144"/>
      <c r="EK34" s="432"/>
      <c r="EL34" s="430">
        <f t="shared" ref="EL34:EL37" si="0">SUM(CD34:DH34)</f>
        <v>1396470</v>
      </c>
      <c r="EM34" s="431"/>
      <c r="EN34" s="51"/>
      <c r="EO34" s="340"/>
      <c r="ER34" s="39"/>
      <c r="ES34" s="39"/>
    </row>
    <row r="35" spans="1:149" ht="12.75" customHeight="1" x14ac:dyDescent="0.2">
      <c r="A35" s="317"/>
      <c r="B35" s="317"/>
      <c r="D35" s="340" t="s">
        <v>186</v>
      </c>
      <c r="E35" s="144"/>
      <c r="F35" s="347"/>
      <c r="G35" s="51">
        <v>0</v>
      </c>
      <c r="H35" s="50"/>
      <c r="I35" s="51"/>
      <c r="J35" s="144"/>
      <c r="K35" s="144"/>
      <c r="L35" s="51">
        <v>0</v>
      </c>
      <c r="M35" s="50"/>
      <c r="N35" s="51"/>
      <c r="O35" s="144"/>
      <c r="P35" s="144"/>
      <c r="Q35" s="51">
        <v>0</v>
      </c>
      <c r="R35" s="50"/>
      <c r="S35" s="51"/>
      <c r="T35" s="144"/>
      <c r="U35" s="144"/>
      <c r="V35" s="51">
        <v>0</v>
      </c>
      <c r="W35" s="50"/>
      <c r="X35" s="51"/>
      <c r="Y35" s="144"/>
      <c r="Z35" s="144"/>
      <c r="AA35" s="51">
        <v>0</v>
      </c>
      <c r="AB35" s="50"/>
      <c r="AC35" s="51"/>
      <c r="AD35" s="144"/>
      <c r="AE35" s="144"/>
      <c r="AF35" s="51">
        <v>0</v>
      </c>
      <c r="AG35" s="50"/>
      <c r="AH35" s="51"/>
      <c r="AI35" s="144"/>
      <c r="AJ35" s="144"/>
      <c r="AK35" s="51">
        <v>0</v>
      </c>
      <c r="AL35" s="50"/>
      <c r="AM35" s="51"/>
      <c r="AN35" s="144"/>
      <c r="AO35" s="144"/>
      <c r="AP35" s="51">
        <v>0</v>
      </c>
      <c r="AQ35" s="50"/>
      <c r="AR35" s="51"/>
      <c r="AS35" s="144"/>
      <c r="AT35" s="144"/>
      <c r="AU35" s="51">
        <v>0</v>
      </c>
      <c r="AV35" s="50"/>
      <c r="AW35" s="51"/>
      <c r="AX35" s="144"/>
      <c r="AY35" s="144"/>
      <c r="AZ35" s="51">
        <v>0</v>
      </c>
      <c r="BA35" s="50"/>
      <c r="BB35" s="51"/>
      <c r="BC35" s="144"/>
      <c r="BD35" s="144"/>
      <c r="BE35" s="51">
        <v>0</v>
      </c>
      <c r="BF35" s="50"/>
      <c r="BG35" s="51"/>
      <c r="BH35" s="144"/>
      <c r="BI35" s="144"/>
      <c r="BJ35" s="51">
        <v>0</v>
      </c>
      <c r="BK35" s="50"/>
      <c r="BL35" s="51"/>
      <c r="BM35" s="144"/>
      <c r="BN35" s="144"/>
      <c r="BO35" s="51">
        <v>0</v>
      </c>
      <c r="BP35" s="50"/>
      <c r="BQ35" s="51"/>
      <c r="BR35" s="144"/>
      <c r="BS35" s="144"/>
      <c r="BT35" s="51">
        <f>SUM(L35:BO35)</f>
        <v>0</v>
      </c>
      <c r="BU35" s="50"/>
      <c r="BV35" s="51"/>
      <c r="BW35" s="144"/>
      <c r="BX35" s="144"/>
      <c r="BY35" s="51">
        <v>61308</v>
      </c>
      <c r="BZ35" s="50"/>
      <c r="CA35" s="51"/>
      <c r="CB35" s="144"/>
      <c r="CC35" s="144"/>
      <c r="CD35" s="51">
        <v>5573</v>
      </c>
      <c r="CE35" s="50"/>
      <c r="CF35" s="51"/>
      <c r="CG35" s="144"/>
      <c r="CH35" s="144"/>
      <c r="CI35" s="51">
        <v>3717</v>
      </c>
      <c r="CJ35" s="50"/>
      <c r="CK35" s="51"/>
      <c r="CL35" s="144"/>
      <c r="CM35" s="144"/>
      <c r="CN35" s="51">
        <v>584</v>
      </c>
      <c r="CO35" s="50"/>
      <c r="CP35" s="51"/>
      <c r="CQ35" s="144"/>
      <c r="CR35" s="144"/>
      <c r="CS35" s="51">
        <v>0</v>
      </c>
      <c r="CT35" s="50"/>
      <c r="CU35" s="51"/>
      <c r="CV35" s="144"/>
      <c r="CW35" s="144"/>
      <c r="CX35" s="51">
        <v>2864</v>
      </c>
      <c r="CY35" s="50"/>
      <c r="CZ35" s="51"/>
      <c r="DA35" s="144"/>
      <c r="DB35" s="144"/>
      <c r="DC35" s="51">
        <v>820</v>
      </c>
      <c r="DD35" s="50"/>
      <c r="DE35" s="51"/>
      <c r="DF35" s="144"/>
      <c r="DG35" s="144"/>
      <c r="DH35" s="51">
        <v>172</v>
      </c>
      <c r="DI35" s="50"/>
      <c r="DJ35" s="51"/>
      <c r="DK35" s="144"/>
      <c r="DL35" s="144"/>
      <c r="DM35" s="51">
        <v>0</v>
      </c>
      <c r="DN35" s="50"/>
      <c r="DO35" s="51"/>
      <c r="DP35" s="144"/>
      <c r="DQ35" s="144"/>
      <c r="DR35" s="51">
        <v>0</v>
      </c>
      <c r="DS35" s="50"/>
      <c r="DT35" s="51"/>
      <c r="DU35" s="144"/>
      <c r="DV35" s="144"/>
      <c r="DW35" s="51">
        <v>0</v>
      </c>
      <c r="DX35" s="50"/>
      <c r="DY35" s="51"/>
      <c r="DZ35" s="144"/>
      <c r="EA35" s="144"/>
      <c r="EB35" s="51">
        <v>15283</v>
      </c>
      <c r="EC35" s="50"/>
      <c r="ED35" s="51"/>
      <c r="EE35" s="144"/>
      <c r="EF35" s="144"/>
      <c r="EG35" s="51">
        <v>32295</v>
      </c>
      <c r="EH35" s="50"/>
      <c r="EI35" s="51"/>
      <c r="EJ35" s="144"/>
      <c r="EK35" s="144"/>
      <c r="EL35" s="51">
        <f t="shared" si="0"/>
        <v>13730</v>
      </c>
      <c r="EM35" s="50"/>
      <c r="EN35" s="51"/>
      <c r="EO35" s="340"/>
      <c r="ER35" s="39"/>
      <c r="ES35" s="39"/>
    </row>
    <row r="36" spans="1:149" ht="12.75" customHeight="1" x14ac:dyDescent="0.2">
      <c r="A36" s="317"/>
      <c r="B36" s="317"/>
      <c r="D36" s="340" t="s">
        <v>187</v>
      </c>
      <c r="E36" s="144"/>
      <c r="F36" s="347"/>
      <c r="G36" s="51">
        <v>0</v>
      </c>
      <c r="H36" s="50"/>
      <c r="I36" s="51"/>
      <c r="J36" s="144"/>
      <c r="K36" s="144"/>
      <c r="L36" s="51">
        <v>0</v>
      </c>
      <c r="M36" s="50"/>
      <c r="N36" s="51"/>
      <c r="O36" s="144"/>
      <c r="P36" s="144"/>
      <c r="Q36" s="51">
        <v>0</v>
      </c>
      <c r="R36" s="50"/>
      <c r="S36" s="51"/>
      <c r="T36" s="144"/>
      <c r="U36" s="144"/>
      <c r="V36" s="51">
        <v>0</v>
      </c>
      <c r="W36" s="50"/>
      <c r="X36" s="51"/>
      <c r="Y36" s="144"/>
      <c r="Z36" s="144"/>
      <c r="AA36" s="51">
        <v>0</v>
      </c>
      <c r="AB36" s="50"/>
      <c r="AC36" s="51"/>
      <c r="AD36" s="144"/>
      <c r="AE36" s="144"/>
      <c r="AF36" s="51">
        <v>0</v>
      </c>
      <c r="AG36" s="50"/>
      <c r="AH36" s="51"/>
      <c r="AI36" s="144"/>
      <c r="AJ36" s="144"/>
      <c r="AK36" s="51">
        <v>0</v>
      </c>
      <c r="AL36" s="50"/>
      <c r="AM36" s="51"/>
      <c r="AN36" s="144"/>
      <c r="AO36" s="144"/>
      <c r="AP36" s="51">
        <v>0</v>
      </c>
      <c r="AQ36" s="50"/>
      <c r="AR36" s="51"/>
      <c r="AS36" s="144"/>
      <c r="AT36" s="144"/>
      <c r="AU36" s="51">
        <v>0</v>
      </c>
      <c r="AV36" s="50"/>
      <c r="AW36" s="51"/>
      <c r="AX36" s="144"/>
      <c r="AY36" s="144"/>
      <c r="AZ36" s="51">
        <v>0</v>
      </c>
      <c r="BA36" s="50"/>
      <c r="BB36" s="51"/>
      <c r="BC36" s="144"/>
      <c r="BD36" s="144"/>
      <c r="BE36" s="51">
        <v>0</v>
      </c>
      <c r="BF36" s="50"/>
      <c r="BG36" s="51"/>
      <c r="BH36" s="144"/>
      <c r="BI36" s="144"/>
      <c r="BJ36" s="51">
        <v>0</v>
      </c>
      <c r="BK36" s="50"/>
      <c r="BL36" s="51"/>
      <c r="BM36" s="144"/>
      <c r="BN36" s="144"/>
      <c r="BO36" s="51">
        <v>0</v>
      </c>
      <c r="BP36" s="50"/>
      <c r="BQ36" s="51"/>
      <c r="BR36" s="144"/>
      <c r="BS36" s="144"/>
      <c r="BT36" s="51">
        <f>SUM(L36:BO36)</f>
        <v>0</v>
      </c>
      <c r="BU36" s="50"/>
      <c r="BV36" s="51"/>
      <c r="BW36" s="144"/>
      <c r="BX36" s="144"/>
      <c r="BY36" s="51">
        <v>-200</v>
      </c>
      <c r="BZ36" s="50"/>
      <c r="CA36" s="51"/>
      <c r="CB36" s="144"/>
      <c r="CC36" s="144"/>
      <c r="CD36" s="51">
        <v>0</v>
      </c>
      <c r="CE36" s="50"/>
      <c r="CF36" s="51"/>
      <c r="CG36" s="144"/>
      <c r="CH36" s="144"/>
      <c r="CI36" s="51">
        <v>0</v>
      </c>
      <c r="CJ36" s="50"/>
      <c r="CK36" s="51"/>
      <c r="CL36" s="144"/>
      <c r="CM36" s="144"/>
      <c r="CN36" s="51">
        <v>-200</v>
      </c>
      <c r="CO36" s="50"/>
      <c r="CP36" s="51"/>
      <c r="CQ36" s="144"/>
      <c r="CR36" s="144"/>
      <c r="CS36" s="51">
        <v>0</v>
      </c>
      <c r="CT36" s="50"/>
      <c r="CU36" s="51"/>
      <c r="CV36" s="144"/>
      <c r="CW36" s="144"/>
      <c r="CX36" s="51">
        <v>0</v>
      </c>
      <c r="CY36" s="50"/>
      <c r="CZ36" s="51"/>
      <c r="DA36" s="144"/>
      <c r="DB36" s="144"/>
      <c r="DC36" s="51">
        <v>0</v>
      </c>
      <c r="DD36" s="50"/>
      <c r="DE36" s="51"/>
      <c r="DF36" s="144"/>
      <c r="DG36" s="144"/>
      <c r="DH36" s="51">
        <v>0</v>
      </c>
      <c r="DI36" s="50"/>
      <c r="DJ36" s="51"/>
      <c r="DK36" s="144"/>
      <c r="DL36" s="144"/>
      <c r="DM36" s="51">
        <v>0</v>
      </c>
      <c r="DN36" s="50"/>
      <c r="DO36" s="51"/>
      <c r="DP36" s="144"/>
      <c r="DQ36" s="144"/>
      <c r="DR36" s="51">
        <v>0</v>
      </c>
      <c r="DS36" s="50"/>
      <c r="DT36" s="51"/>
      <c r="DU36" s="144"/>
      <c r="DV36" s="144"/>
      <c r="DW36" s="51">
        <v>0</v>
      </c>
      <c r="DX36" s="50"/>
      <c r="DY36" s="51"/>
      <c r="DZ36" s="144"/>
      <c r="EA36" s="144"/>
      <c r="EB36" s="51">
        <v>0</v>
      </c>
      <c r="EC36" s="50"/>
      <c r="ED36" s="51"/>
      <c r="EE36" s="144"/>
      <c r="EF36" s="144"/>
      <c r="EG36" s="51">
        <v>0</v>
      </c>
      <c r="EH36" s="50"/>
      <c r="EI36" s="51"/>
      <c r="EJ36" s="144"/>
      <c r="EK36" s="144"/>
      <c r="EL36" s="51">
        <f t="shared" si="0"/>
        <v>-200</v>
      </c>
      <c r="EM36" s="50"/>
      <c r="EN36" s="51"/>
      <c r="EO36" s="340"/>
      <c r="ER36" s="39"/>
      <c r="ES36" s="39"/>
    </row>
    <row r="37" spans="1:149" ht="12.75" customHeight="1" x14ac:dyDescent="0.2">
      <c r="A37" s="317"/>
      <c r="B37" s="317"/>
      <c r="D37" s="340" t="s">
        <v>188</v>
      </c>
      <c r="E37" s="144"/>
      <c r="F37" s="371"/>
      <c r="G37" s="95">
        <v>0</v>
      </c>
      <c r="H37" s="94"/>
      <c r="I37" s="51"/>
      <c r="J37" s="144"/>
      <c r="K37" s="187"/>
      <c r="L37" s="95">
        <v>0</v>
      </c>
      <c r="M37" s="94"/>
      <c r="N37" s="51"/>
      <c r="O37" s="144"/>
      <c r="P37" s="187"/>
      <c r="Q37" s="95">
        <v>0</v>
      </c>
      <c r="R37" s="94"/>
      <c r="S37" s="51"/>
      <c r="T37" s="144"/>
      <c r="U37" s="187"/>
      <c r="V37" s="95">
        <v>0</v>
      </c>
      <c r="W37" s="94"/>
      <c r="X37" s="51"/>
      <c r="Y37" s="144"/>
      <c r="Z37" s="187"/>
      <c r="AA37" s="95">
        <v>0</v>
      </c>
      <c r="AB37" s="94"/>
      <c r="AC37" s="51"/>
      <c r="AD37" s="144"/>
      <c r="AE37" s="187"/>
      <c r="AF37" s="95">
        <v>0</v>
      </c>
      <c r="AG37" s="94"/>
      <c r="AH37" s="51"/>
      <c r="AI37" s="144"/>
      <c r="AJ37" s="187"/>
      <c r="AK37" s="95">
        <v>0</v>
      </c>
      <c r="AL37" s="94"/>
      <c r="AM37" s="51"/>
      <c r="AN37" s="144"/>
      <c r="AO37" s="187"/>
      <c r="AP37" s="95">
        <v>0</v>
      </c>
      <c r="AQ37" s="94"/>
      <c r="AR37" s="51"/>
      <c r="AS37" s="144"/>
      <c r="AT37" s="187"/>
      <c r="AU37" s="95">
        <v>0</v>
      </c>
      <c r="AV37" s="94"/>
      <c r="AW37" s="51"/>
      <c r="AX37" s="144"/>
      <c r="AY37" s="187"/>
      <c r="AZ37" s="95">
        <v>0</v>
      </c>
      <c r="BA37" s="94"/>
      <c r="BB37" s="51"/>
      <c r="BC37" s="144"/>
      <c r="BD37" s="187"/>
      <c r="BE37" s="95">
        <v>0</v>
      </c>
      <c r="BF37" s="94"/>
      <c r="BG37" s="51"/>
      <c r="BH37" s="144"/>
      <c r="BI37" s="187"/>
      <c r="BJ37" s="95">
        <v>0</v>
      </c>
      <c r="BK37" s="94"/>
      <c r="BL37" s="51"/>
      <c r="BM37" s="144"/>
      <c r="BN37" s="187"/>
      <c r="BO37" s="95">
        <v>0</v>
      </c>
      <c r="BP37" s="94"/>
      <c r="BQ37" s="51"/>
      <c r="BR37" s="144"/>
      <c r="BS37" s="187"/>
      <c r="BT37" s="95">
        <f>SUM(L37:BO37)</f>
        <v>0</v>
      </c>
      <c r="BU37" s="94"/>
      <c r="BV37" s="51"/>
      <c r="BW37" s="144"/>
      <c r="BX37" s="187"/>
      <c r="BY37" s="95">
        <v>2480659</v>
      </c>
      <c r="BZ37" s="94"/>
      <c r="CA37" s="51"/>
      <c r="CB37" s="144"/>
      <c r="CC37" s="187"/>
      <c r="CD37" s="95">
        <v>164328</v>
      </c>
      <c r="CE37" s="94"/>
      <c r="CF37" s="51"/>
      <c r="CG37" s="144"/>
      <c r="CH37" s="187"/>
      <c r="CI37" s="95">
        <v>290726</v>
      </c>
      <c r="CJ37" s="94"/>
      <c r="CK37" s="51"/>
      <c r="CL37" s="144"/>
      <c r="CM37" s="187"/>
      <c r="CN37" s="95">
        <v>135117</v>
      </c>
      <c r="CO37" s="94"/>
      <c r="CP37" s="51"/>
      <c r="CQ37" s="144"/>
      <c r="CR37" s="187"/>
      <c r="CS37" s="95">
        <v>0</v>
      </c>
      <c r="CT37" s="94"/>
      <c r="CU37" s="51"/>
      <c r="CV37" s="144"/>
      <c r="CW37" s="187"/>
      <c r="CX37" s="95">
        <v>101240</v>
      </c>
      <c r="CY37" s="94"/>
      <c r="CZ37" s="51"/>
      <c r="DA37" s="144"/>
      <c r="DB37" s="187"/>
      <c r="DC37" s="95">
        <v>43945</v>
      </c>
      <c r="DD37" s="94"/>
      <c r="DE37" s="51"/>
      <c r="DF37" s="144"/>
      <c r="DG37" s="187"/>
      <c r="DH37" s="95">
        <v>5625</v>
      </c>
      <c r="DI37" s="94"/>
      <c r="DJ37" s="51"/>
      <c r="DK37" s="144"/>
      <c r="DL37" s="187"/>
      <c r="DM37" s="95">
        <v>0</v>
      </c>
      <c r="DN37" s="94"/>
      <c r="DO37" s="51"/>
      <c r="DP37" s="144"/>
      <c r="DQ37" s="187"/>
      <c r="DR37" s="95">
        <v>0</v>
      </c>
      <c r="DS37" s="94"/>
      <c r="DT37" s="51"/>
      <c r="DU37" s="144"/>
      <c r="DV37" s="187"/>
      <c r="DW37" s="95">
        <v>0</v>
      </c>
      <c r="DX37" s="94"/>
      <c r="DY37" s="51"/>
      <c r="DZ37" s="144"/>
      <c r="EA37" s="187"/>
      <c r="EB37" s="95">
        <v>399385</v>
      </c>
      <c r="EC37" s="94"/>
      <c r="ED37" s="51"/>
      <c r="EE37" s="144"/>
      <c r="EF37" s="187"/>
      <c r="EG37" s="95">
        <v>1340293</v>
      </c>
      <c r="EH37" s="94"/>
      <c r="EI37" s="51"/>
      <c r="EJ37" s="144"/>
      <c r="EK37" s="187"/>
      <c r="EL37" s="95">
        <f t="shared" si="0"/>
        <v>740981</v>
      </c>
      <c r="EM37" s="94"/>
      <c r="EN37" s="51"/>
      <c r="EO37" s="340"/>
      <c r="ER37" s="39"/>
      <c r="ES37" s="39"/>
    </row>
    <row r="38" spans="1:149" ht="12.75" customHeight="1" x14ac:dyDescent="0.2">
      <c r="A38" s="317"/>
      <c r="B38" s="317"/>
      <c r="D38" s="340"/>
      <c r="E38" s="144"/>
      <c r="F38" s="317"/>
      <c r="G38" s="51"/>
      <c r="H38" s="51"/>
      <c r="I38" s="51"/>
      <c r="J38" s="144"/>
      <c r="K38" s="51"/>
      <c r="L38" s="51"/>
      <c r="M38" s="51"/>
      <c r="N38" s="51"/>
      <c r="O38" s="144"/>
      <c r="P38" s="51"/>
      <c r="Q38" s="51"/>
      <c r="R38" s="51"/>
      <c r="S38" s="51"/>
      <c r="T38" s="144"/>
      <c r="U38" s="51"/>
      <c r="V38" s="51"/>
      <c r="W38" s="51"/>
      <c r="X38" s="51"/>
      <c r="Y38" s="144"/>
      <c r="Z38" s="51"/>
      <c r="AA38" s="51"/>
      <c r="AB38" s="51"/>
      <c r="AC38" s="51"/>
      <c r="AD38" s="144"/>
      <c r="AE38" s="51"/>
      <c r="AF38" s="51"/>
      <c r="AG38" s="51"/>
      <c r="AH38" s="51"/>
      <c r="AI38" s="144"/>
      <c r="AJ38" s="51"/>
      <c r="AK38" s="51"/>
      <c r="AL38" s="51"/>
      <c r="AM38" s="51"/>
      <c r="AN38" s="144"/>
      <c r="AO38" s="51"/>
      <c r="AP38" s="51"/>
      <c r="AQ38" s="51"/>
      <c r="AR38" s="51"/>
      <c r="AS38" s="144"/>
      <c r="AT38" s="51"/>
      <c r="AU38" s="51"/>
      <c r="AV38" s="51"/>
      <c r="AW38" s="51"/>
      <c r="AX38" s="144"/>
      <c r="AY38" s="51"/>
      <c r="AZ38" s="51"/>
      <c r="BA38" s="51"/>
      <c r="BB38" s="51"/>
      <c r="BC38" s="144"/>
      <c r="BD38" s="51"/>
      <c r="BE38" s="51"/>
      <c r="BF38" s="51"/>
      <c r="BG38" s="51"/>
      <c r="BH38" s="144"/>
      <c r="BI38" s="51"/>
      <c r="BJ38" s="51"/>
      <c r="BK38" s="51"/>
      <c r="BL38" s="51"/>
      <c r="BM38" s="144"/>
      <c r="BN38" s="51"/>
      <c r="BO38" s="51"/>
      <c r="BP38" s="51"/>
      <c r="BQ38" s="51"/>
      <c r="BR38" s="144"/>
      <c r="BS38" s="51"/>
      <c r="BT38" s="51"/>
      <c r="BU38" s="51"/>
      <c r="BV38" s="51"/>
      <c r="BW38" s="144"/>
      <c r="BX38" s="51"/>
      <c r="BY38" s="51"/>
      <c r="BZ38" s="51"/>
      <c r="CA38" s="51"/>
      <c r="CB38" s="144"/>
      <c r="CC38" s="51"/>
      <c r="CD38" s="51"/>
      <c r="CE38" s="51"/>
      <c r="CF38" s="51"/>
      <c r="CG38" s="144"/>
      <c r="CH38" s="51"/>
      <c r="CI38" s="51"/>
      <c r="CJ38" s="51"/>
      <c r="CK38" s="51"/>
      <c r="CL38" s="144"/>
      <c r="CM38" s="51"/>
      <c r="CN38" s="51"/>
      <c r="CO38" s="51"/>
      <c r="CP38" s="51"/>
      <c r="CQ38" s="144"/>
      <c r="CR38" s="51"/>
      <c r="CS38" s="51"/>
      <c r="CT38" s="51"/>
      <c r="CU38" s="51"/>
      <c r="CV38" s="144"/>
      <c r="CW38" s="51"/>
      <c r="CX38" s="51"/>
      <c r="CY38" s="51"/>
      <c r="CZ38" s="51"/>
      <c r="DA38" s="144"/>
      <c r="DB38" s="51"/>
      <c r="DC38" s="51"/>
      <c r="DD38" s="51"/>
      <c r="DE38" s="51"/>
      <c r="DF38" s="144"/>
      <c r="DG38" s="51"/>
      <c r="DH38" s="51"/>
      <c r="DI38" s="51"/>
      <c r="DJ38" s="51"/>
      <c r="DK38" s="144"/>
      <c r="DL38" s="51"/>
      <c r="DM38" s="51"/>
      <c r="DN38" s="51"/>
      <c r="DO38" s="51"/>
      <c r="DP38" s="144"/>
      <c r="DQ38" s="51"/>
      <c r="DR38" s="51"/>
      <c r="DS38" s="51"/>
      <c r="DT38" s="51"/>
      <c r="DU38" s="144"/>
      <c r="DV38" s="51"/>
      <c r="DW38" s="51"/>
      <c r="DX38" s="51"/>
      <c r="DY38" s="51"/>
      <c r="DZ38" s="144"/>
      <c r="EA38" s="51"/>
      <c r="EB38" s="51"/>
      <c r="EC38" s="51"/>
      <c r="ED38" s="51"/>
      <c r="EE38" s="144"/>
      <c r="EF38" s="51"/>
      <c r="EG38" s="51"/>
      <c r="EH38" s="51"/>
      <c r="EI38" s="51"/>
      <c r="EJ38" s="144"/>
      <c r="EK38" s="51"/>
      <c r="EL38" s="51"/>
      <c r="EM38" s="51"/>
      <c r="EN38" s="51"/>
      <c r="EO38" s="340"/>
      <c r="ER38" s="39"/>
      <c r="ES38" s="39"/>
    </row>
    <row r="39" spans="1:149" ht="12.75" hidden="1" customHeight="1" x14ac:dyDescent="0.2">
      <c r="A39" s="317"/>
      <c r="B39" s="317"/>
      <c r="D39" s="340" t="s">
        <v>190</v>
      </c>
      <c r="E39" s="144"/>
      <c r="F39" s="317"/>
      <c r="G39" s="51">
        <f>SUM(G40:G43)</f>
        <v>0</v>
      </c>
      <c r="H39" s="51"/>
      <c r="I39" s="51"/>
      <c r="J39" s="144"/>
      <c r="K39" s="51"/>
      <c r="L39" s="51">
        <f>SUM(L40:L43)</f>
        <v>0</v>
      </c>
      <c r="M39" s="51"/>
      <c r="N39" s="51"/>
      <c r="O39" s="144"/>
      <c r="P39" s="51"/>
      <c r="Q39" s="51">
        <f>SUM(Q40:Q43)</f>
        <v>0</v>
      </c>
      <c r="R39" s="51"/>
      <c r="S39" s="51"/>
      <c r="T39" s="144"/>
      <c r="U39" s="51"/>
      <c r="V39" s="51">
        <f>SUM(V40:V43)</f>
        <v>0</v>
      </c>
      <c r="W39" s="51"/>
      <c r="X39" s="51"/>
      <c r="Y39" s="144"/>
      <c r="Z39" s="51"/>
      <c r="AA39" s="51">
        <f>SUM(AA40:AA43)</f>
        <v>0</v>
      </c>
      <c r="AB39" s="51"/>
      <c r="AC39" s="51"/>
      <c r="AD39" s="144"/>
      <c r="AE39" s="51"/>
      <c r="AF39" s="51">
        <f>SUM(AF40:AF43)</f>
        <v>0</v>
      </c>
      <c r="AG39" s="51"/>
      <c r="AH39" s="51"/>
      <c r="AI39" s="144"/>
      <c r="AJ39" s="51"/>
      <c r="AK39" s="51">
        <f>SUM(AK40:AK43)</f>
        <v>0</v>
      </c>
      <c r="AL39" s="51"/>
      <c r="AM39" s="51"/>
      <c r="AN39" s="144"/>
      <c r="AO39" s="51"/>
      <c r="AP39" s="51">
        <f>SUM(AP40:AP43)</f>
        <v>0</v>
      </c>
      <c r="AQ39" s="51"/>
      <c r="AR39" s="51"/>
      <c r="AS39" s="144"/>
      <c r="AT39" s="51"/>
      <c r="AU39" s="51">
        <f>SUM(AU40:AU43)</f>
        <v>0</v>
      </c>
      <c r="AV39" s="51"/>
      <c r="AW39" s="51"/>
      <c r="AX39" s="144"/>
      <c r="AY39" s="51"/>
      <c r="AZ39" s="51">
        <f>SUM(AZ40:AZ43)</f>
        <v>0</v>
      </c>
      <c r="BA39" s="51"/>
      <c r="BB39" s="51"/>
      <c r="BC39" s="144"/>
      <c r="BD39" s="51"/>
      <c r="BE39" s="51">
        <f>SUM(BE40:BE43)</f>
        <v>0</v>
      </c>
      <c r="BF39" s="51"/>
      <c r="BG39" s="51"/>
      <c r="BH39" s="144"/>
      <c r="BI39" s="51"/>
      <c r="BJ39" s="51">
        <f>SUM(BJ40:BJ43)</f>
        <v>0</v>
      </c>
      <c r="BK39" s="51"/>
      <c r="BL39" s="51"/>
      <c r="BM39" s="144"/>
      <c r="BN39" s="51"/>
      <c r="BO39" s="51">
        <f>SUM(BO40:BO43)</f>
        <v>0</v>
      </c>
      <c r="BP39" s="51"/>
      <c r="BQ39" s="51"/>
      <c r="BR39" s="144"/>
      <c r="BS39" s="51"/>
      <c r="BT39" s="51">
        <f>SUM(BT40:BT43)</f>
        <v>0</v>
      </c>
      <c r="BU39" s="51"/>
      <c r="BV39" s="51"/>
      <c r="BW39" s="144"/>
      <c r="BX39" s="51"/>
      <c r="BY39" s="51">
        <f>SUM(BY40:BY43)</f>
        <v>0</v>
      </c>
      <c r="BZ39" s="51"/>
      <c r="CA39" s="51"/>
      <c r="CB39" s="144"/>
      <c r="CC39" s="51"/>
      <c r="CD39" s="51">
        <f>SUM(CD40:CD43)</f>
        <v>0</v>
      </c>
      <c r="CE39" s="51"/>
      <c r="CF39" s="51"/>
      <c r="CG39" s="144"/>
      <c r="CH39" s="51"/>
      <c r="CI39" s="51">
        <f>SUM(CI40:CI43)</f>
        <v>0</v>
      </c>
      <c r="CJ39" s="51"/>
      <c r="CK39" s="51"/>
      <c r="CL39" s="144"/>
      <c r="CM39" s="51"/>
      <c r="CN39" s="51">
        <f>SUM(CN40:CN43)</f>
        <v>0</v>
      </c>
      <c r="CO39" s="51"/>
      <c r="CP39" s="51"/>
      <c r="CQ39" s="144"/>
      <c r="CR39" s="51"/>
      <c r="CS39" s="51">
        <f>SUM(CS40:CS43)</f>
        <v>0</v>
      </c>
      <c r="CT39" s="51"/>
      <c r="CU39" s="51"/>
      <c r="CV39" s="144"/>
      <c r="CW39" s="51"/>
      <c r="CX39" s="51">
        <f>SUM(CX40:CX43)</f>
        <v>0</v>
      </c>
      <c r="CY39" s="51"/>
      <c r="CZ39" s="51"/>
      <c r="DA39" s="144"/>
      <c r="DB39" s="51"/>
      <c r="DC39" s="51">
        <f>SUM(DC40:DC43)</f>
        <v>0</v>
      </c>
      <c r="DD39" s="51"/>
      <c r="DE39" s="51"/>
      <c r="DF39" s="144"/>
      <c r="DG39" s="51"/>
      <c r="DH39" s="51">
        <f>SUM(DH40:DH43)</f>
        <v>0</v>
      </c>
      <c r="DI39" s="51"/>
      <c r="DJ39" s="51"/>
      <c r="DK39" s="144"/>
      <c r="DL39" s="51"/>
      <c r="DM39" s="51">
        <f>SUM(DM40:DM43)</f>
        <v>0</v>
      </c>
      <c r="DN39" s="51"/>
      <c r="DO39" s="51"/>
      <c r="DP39" s="144"/>
      <c r="DQ39" s="51"/>
      <c r="DR39" s="51">
        <f>SUM(DR40:DR43)</f>
        <v>0</v>
      </c>
      <c r="DS39" s="51"/>
      <c r="DT39" s="51"/>
      <c r="DU39" s="144"/>
      <c r="DV39" s="51"/>
      <c r="DW39" s="51">
        <f>SUM(DW40:DW43)</f>
        <v>0</v>
      </c>
      <c r="DX39" s="51"/>
      <c r="DY39" s="51"/>
      <c r="DZ39" s="144"/>
      <c r="EA39" s="51"/>
      <c r="EB39" s="51">
        <f>SUM(EB40:EB43)</f>
        <v>0</v>
      </c>
      <c r="EC39" s="51"/>
      <c r="ED39" s="51"/>
      <c r="EE39" s="144"/>
      <c r="EF39" s="51"/>
      <c r="EG39" s="51">
        <f>SUM(EG40:EG43)</f>
        <v>0</v>
      </c>
      <c r="EH39" s="51"/>
      <c r="EI39" s="51"/>
      <c r="EJ39" s="144"/>
      <c r="EK39" s="51"/>
      <c r="EL39" s="51">
        <f>SUM(EL40:EL43)</f>
        <v>0</v>
      </c>
      <c r="EM39" s="51"/>
      <c r="EN39" s="51"/>
      <c r="EO39" s="340"/>
      <c r="ER39" s="39"/>
      <c r="ES39" s="39"/>
    </row>
    <row r="40" spans="1:149" ht="12.75" hidden="1" customHeight="1" x14ac:dyDescent="0.2">
      <c r="A40" s="317"/>
      <c r="B40" s="317"/>
      <c r="D40" s="340" t="s">
        <v>183</v>
      </c>
      <c r="E40" s="144"/>
      <c r="F40" s="354"/>
      <c r="G40" s="430">
        <v>0</v>
      </c>
      <c r="H40" s="431"/>
      <c r="I40" s="51"/>
      <c r="J40" s="144"/>
      <c r="K40" s="432"/>
      <c r="L40" s="430">
        <v>0</v>
      </c>
      <c r="M40" s="431"/>
      <c r="N40" s="51"/>
      <c r="O40" s="144"/>
      <c r="P40" s="432"/>
      <c r="Q40" s="430">
        <v>0</v>
      </c>
      <c r="R40" s="431"/>
      <c r="S40" s="51"/>
      <c r="T40" s="144"/>
      <c r="U40" s="432"/>
      <c r="V40" s="430">
        <v>0</v>
      </c>
      <c r="W40" s="431"/>
      <c r="X40" s="51"/>
      <c r="Y40" s="144"/>
      <c r="Z40" s="432"/>
      <c r="AA40" s="430">
        <v>0</v>
      </c>
      <c r="AB40" s="431"/>
      <c r="AC40" s="51"/>
      <c r="AD40" s="144"/>
      <c r="AE40" s="432"/>
      <c r="AF40" s="430">
        <v>0</v>
      </c>
      <c r="AG40" s="431"/>
      <c r="AH40" s="51"/>
      <c r="AI40" s="144"/>
      <c r="AJ40" s="432"/>
      <c r="AK40" s="430">
        <v>0</v>
      </c>
      <c r="AL40" s="431"/>
      <c r="AM40" s="51"/>
      <c r="AN40" s="144"/>
      <c r="AO40" s="432"/>
      <c r="AP40" s="430">
        <v>0</v>
      </c>
      <c r="AQ40" s="431"/>
      <c r="AR40" s="51"/>
      <c r="AS40" s="144"/>
      <c r="AT40" s="432"/>
      <c r="AU40" s="430">
        <v>0</v>
      </c>
      <c r="AV40" s="431"/>
      <c r="AW40" s="51"/>
      <c r="AX40" s="144"/>
      <c r="AY40" s="432"/>
      <c r="AZ40" s="430">
        <v>0</v>
      </c>
      <c r="BA40" s="431"/>
      <c r="BB40" s="51"/>
      <c r="BC40" s="144"/>
      <c r="BD40" s="432"/>
      <c r="BE40" s="430">
        <v>0</v>
      </c>
      <c r="BF40" s="431"/>
      <c r="BG40" s="51"/>
      <c r="BH40" s="144"/>
      <c r="BI40" s="432"/>
      <c r="BJ40" s="430">
        <v>0</v>
      </c>
      <c r="BK40" s="431"/>
      <c r="BL40" s="51"/>
      <c r="BM40" s="144"/>
      <c r="BN40" s="432"/>
      <c r="BO40" s="430">
        <v>0</v>
      </c>
      <c r="BP40" s="431"/>
      <c r="BQ40" s="51"/>
      <c r="BR40" s="144"/>
      <c r="BS40" s="432"/>
      <c r="BT40" s="430">
        <f>SUM(L40:BO40)</f>
        <v>0</v>
      </c>
      <c r="BU40" s="431"/>
      <c r="BV40" s="51"/>
      <c r="BW40" s="144"/>
      <c r="BX40" s="432"/>
      <c r="BY40" s="430">
        <v>0</v>
      </c>
      <c r="BZ40" s="431"/>
      <c r="CA40" s="51"/>
      <c r="CB40" s="144"/>
      <c r="CC40" s="432"/>
      <c r="CD40" s="430">
        <v>0</v>
      </c>
      <c r="CE40" s="431"/>
      <c r="CF40" s="51"/>
      <c r="CG40" s="144"/>
      <c r="CH40" s="432"/>
      <c r="CI40" s="430">
        <v>0</v>
      </c>
      <c r="CJ40" s="431"/>
      <c r="CK40" s="51"/>
      <c r="CL40" s="144"/>
      <c r="CM40" s="432"/>
      <c r="CN40" s="430">
        <v>0</v>
      </c>
      <c r="CO40" s="431"/>
      <c r="CP40" s="51"/>
      <c r="CQ40" s="144"/>
      <c r="CR40" s="432"/>
      <c r="CS40" s="430">
        <v>0</v>
      </c>
      <c r="CT40" s="431"/>
      <c r="CU40" s="51"/>
      <c r="CV40" s="144"/>
      <c r="CW40" s="432"/>
      <c r="CX40" s="430">
        <v>0</v>
      </c>
      <c r="CY40" s="431"/>
      <c r="CZ40" s="51"/>
      <c r="DA40" s="144"/>
      <c r="DB40" s="432"/>
      <c r="DC40" s="430">
        <v>0</v>
      </c>
      <c r="DD40" s="431"/>
      <c r="DE40" s="51"/>
      <c r="DF40" s="144"/>
      <c r="DG40" s="432"/>
      <c r="DH40" s="430">
        <v>0</v>
      </c>
      <c r="DI40" s="431"/>
      <c r="DJ40" s="51"/>
      <c r="DK40" s="144"/>
      <c r="DL40" s="432"/>
      <c r="DM40" s="430">
        <v>0</v>
      </c>
      <c r="DN40" s="431"/>
      <c r="DO40" s="51"/>
      <c r="DP40" s="144"/>
      <c r="DQ40" s="432"/>
      <c r="DR40" s="430">
        <v>0</v>
      </c>
      <c r="DS40" s="431"/>
      <c r="DT40" s="51"/>
      <c r="DU40" s="144"/>
      <c r="DV40" s="432"/>
      <c r="DW40" s="430">
        <v>0</v>
      </c>
      <c r="DX40" s="431"/>
      <c r="DY40" s="51"/>
      <c r="DZ40" s="144"/>
      <c r="EA40" s="432"/>
      <c r="EB40" s="430">
        <v>0</v>
      </c>
      <c r="EC40" s="431"/>
      <c r="ED40" s="51"/>
      <c r="EE40" s="144"/>
      <c r="EF40" s="432"/>
      <c r="EG40" s="430">
        <v>0</v>
      </c>
      <c r="EH40" s="431"/>
      <c r="EI40" s="51"/>
      <c r="EJ40" s="144"/>
      <c r="EK40" s="432"/>
      <c r="EL40" s="430">
        <f>SUM(CD40:CD40)</f>
        <v>0</v>
      </c>
      <c r="EM40" s="431"/>
      <c r="EN40" s="51"/>
      <c r="EO40" s="340"/>
      <c r="ER40" s="39"/>
      <c r="ES40" s="39"/>
    </row>
    <row r="41" spans="1:149" ht="12.75" hidden="1" customHeight="1" x14ac:dyDescent="0.2">
      <c r="A41" s="317"/>
      <c r="B41" s="317"/>
      <c r="D41" s="340" t="s">
        <v>186</v>
      </c>
      <c r="E41" s="144"/>
      <c r="F41" s="347"/>
      <c r="G41" s="51">
        <v>0</v>
      </c>
      <c r="H41" s="50"/>
      <c r="I41" s="51"/>
      <c r="J41" s="144"/>
      <c r="K41" s="144"/>
      <c r="L41" s="51">
        <v>0</v>
      </c>
      <c r="M41" s="50"/>
      <c r="N41" s="51"/>
      <c r="O41" s="144"/>
      <c r="P41" s="144"/>
      <c r="Q41" s="51">
        <v>0</v>
      </c>
      <c r="R41" s="50"/>
      <c r="S41" s="51"/>
      <c r="T41" s="144"/>
      <c r="U41" s="144"/>
      <c r="V41" s="51">
        <v>0</v>
      </c>
      <c r="W41" s="50"/>
      <c r="X41" s="51"/>
      <c r="Y41" s="144"/>
      <c r="Z41" s="144"/>
      <c r="AA41" s="51">
        <v>0</v>
      </c>
      <c r="AB41" s="50"/>
      <c r="AC41" s="51"/>
      <c r="AD41" s="144"/>
      <c r="AE41" s="144"/>
      <c r="AF41" s="51">
        <v>0</v>
      </c>
      <c r="AG41" s="50"/>
      <c r="AH41" s="51"/>
      <c r="AI41" s="144"/>
      <c r="AJ41" s="144"/>
      <c r="AK41" s="51">
        <v>0</v>
      </c>
      <c r="AL41" s="50"/>
      <c r="AM41" s="51"/>
      <c r="AN41" s="144"/>
      <c r="AO41" s="144"/>
      <c r="AP41" s="51">
        <v>0</v>
      </c>
      <c r="AQ41" s="50"/>
      <c r="AR41" s="51"/>
      <c r="AS41" s="144"/>
      <c r="AT41" s="144"/>
      <c r="AU41" s="51">
        <v>0</v>
      </c>
      <c r="AV41" s="50"/>
      <c r="AW41" s="51"/>
      <c r="AX41" s="144"/>
      <c r="AY41" s="144"/>
      <c r="AZ41" s="51">
        <v>0</v>
      </c>
      <c r="BA41" s="50"/>
      <c r="BB41" s="51"/>
      <c r="BC41" s="144"/>
      <c r="BD41" s="144"/>
      <c r="BE41" s="51">
        <v>0</v>
      </c>
      <c r="BF41" s="50"/>
      <c r="BG41" s="51"/>
      <c r="BH41" s="144"/>
      <c r="BI41" s="144"/>
      <c r="BJ41" s="51">
        <v>0</v>
      </c>
      <c r="BK41" s="50"/>
      <c r="BL41" s="51"/>
      <c r="BM41" s="144"/>
      <c r="BN41" s="144"/>
      <c r="BO41" s="51">
        <v>0</v>
      </c>
      <c r="BP41" s="50"/>
      <c r="BQ41" s="51"/>
      <c r="BR41" s="144"/>
      <c r="BS41" s="144"/>
      <c r="BT41" s="51">
        <f>SUM(L41:BO41)</f>
        <v>0</v>
      </c>
      <c r="BU41" s="50"/>
      <c r="BV41" s="51"/>
      <c r="BW41" s="144"/>
      <c r="BX41" s="144"/>
      <c r="BY41" s="51">
        <v>0</v>
      </c>
      <c r="BZ41" s="50"/>
      <c r="CA41" s="51"/>
      <c r="CB41" s="144"/>
      <c r="CC41" s="144"/>
      <c r="CD41" s="51">
        <v>0</v>
      </c>
      <c r="CE41" s="50"/>
      <c r="CF41" s="51"/>
      <c r="CG41" s="144"/>
      <c r="CH41" s="144"/>
      <c r="CI41" s="51">
        <v>0</v>
      </c>
      <c r="CJ41" s="50"/>
      <c r="CK41" s="51"/>
      <c r="CL41" s="144"/>
      <c r="CM41" s="144"/>
      <c r="CN41" s="51">
        <v>0</v>
      </c>
      <c r="CO41" s="50"/>
      <c r="CP41" s="51"/>
      <c r="CQ41" s="144"/>
      <c r="CR41" s="144"/>
      <c r="CS41" s="51">
        <v>0</v>
      </c>
      <c r="CT41" s="50"/>
      <c r="CU41" s="51"/>
      <c r="CV41" s="144"/>
      <c r="CW41" s="144"/>
      <c r="CX41" s="51">
        <v>0</v>
      </c>
      <c r="CY41" s="50"/>
      <c r="CZ41" s="51"/>
      <c r="DA41" s="144"/>
      <c r="DB41" s="144"/>
      <c r="DC41" s="51">
        <v>0</v>
      </c>
      <c r="DD41" s="50"/>
      <c r="DE41" s="51"/>
      <c r="DF41" s="144"/>
      <c r="DG41" s="144"/>
      <c r="DH41" s="51">
        <v>0</v>
      </c>
      <c r="DI41" s="50"/>
      <c r="DJ41" s="51"/>
      <c r="DK41" s="144"/>
      <c r="DL41" s="144"/>
      <c r="DM41" s="51">
        <v>0</v>
      </c>
      <c r="DN41" s="50"/>
      <c r="DO41" s="51"/>
      <c r="DP41" s="144"/>
      <c r="DQ41" s="144"/>
      <c r="DR41" s="51">
        <v>0</v>
      </c>
      <c r="DS41" s="50"/>
      <c r="DT41" s="51"/>
      <c r="DU41" s="144"/>
      <c r="DV41" s="144"/>
      <c r="DW41" s="51">
        <v>0</v>
      </c>
      <c r="DX41" s="50"/>
      <c r="DY41" s="51"/>
      <c r="DZ41" s="144"/>
      <c r="EA41" s="144"/>
      <c r="EB41" s="51">
        <v>0</v>
      </c>
      <c r="EC41" s="50"/>
      <c r="ED41" s="51"/>
      <c r="EE41" s="144"/>
      <c r="EF41" s="144"/>
      <c r="EG41" s="51">
        <v>0</v>
      </c>
      <c r="EH41" s="50"/>
      <c r="EI41" s="51"/>
      <c r="EJ41" s="144"/>
      <c r="EK41" s="144"/>
      <c r="EL41" s="51">
        <f>SUM(CD41:CD41)</f>
        <v>0</v>
      </c>
      <c r="EM41" s="50"/>
      <c r="EN41" s="51"/>
      <c r="EO41" s="340"/>
      <c r="ER41" s="39"/>
      <c r="ES41" s="39"/>
    </row>
    <row r="42" spans="1:149" ht="12.75" hidden="1" customHeight="1" x14ac:dyDescent="0.2">
      <c r="A42" s="317"/>
      <c r="B42" s="317"/>
      <c r="D42" s="340" t="s">
        <v>187</v>
      </c>
      <c r="E42" s="144"/>
      <c r="F42" s="347"/>
      <c r="G42" s="51">
        <v>0</v>
      </c>
      <c r="H42" s="50"/>
      <c r="I42" s="51"/>
      <c r="J42" s="144"/>
      <c r="K42" s="144"/>
      <c r="L42" s="51">
        <v>0</v>
      </c>
      <c r="M42" s="50"/>
      <c r="N42" s="51"/>
      <c r="O42" s="144"/>
      <c r="P42" s="144"/>
      <c r="Q42" s="51">
        <v>0</v>
      </c>
      <c r="R42" s="50"/>
      <c r="S42" s="51"/>
      <c r="T42" s="144"/>
      <c r="U42" s="144"/>
      <c r="V42" s="51">
        <v>0</v>
      </c>
      <c r="W42" s="50"/>
      <c r="X42" s="51"/>
      <c r="Y42" s="144"/>
      <c r="Z42" s="144"/>
      <c r="AA42" s="51">
        <v>0</v>
      </c>
      <c r="AB42" s="50"/>
      <c r="AC42" s="51"/>
      <c r="AD42" s="144"/>
      <c r="AE42" s="144"/>
      <c r="AF42" s="51">
        <v>0</v>
      </c>
      <c r="AG42" s="50"/>
      <c r="AH42" s="51"/>
      <c r="AI42" s="144"/>
      <c r="AJ42" s="144"/>
      <c r="AK42" s="51">
        <v>0</v>
      </c>
      <c r="AL42" s="50"/>
      <c r="AM42" s="51"/>
      <c r="AN42" s="144"/>
      <c r="AO42" s="144"/>
      <c r="AP42" s="51">
        <v>0</v>
      </c>
      <c r="AQ42" s="50"/>
      <c r="AR42" s="51"/>
      <c r="AS42" s="144"/>
      <c r="AT42" s="144"/>
      <c r="AU42" s="51">
        <v>0</v>
      </c>
      <c r="AV42" s="50"/>
      <c r="AW42" s="51"/>
      <c r="AX42" s="144"/>
      <c r="AY42" s="144"/>
      <c r="AZ42" s="51">
        <v>0</v>
      </c>
      <c r="BA42" s="50"/>
      <c r="BB42" s="51"/>
      <c r="BC42" s="144"/>
      <c r="BD42" s="144"/>
      <c r="BE42" s="51">
        <v>0</v>
      </c>
      <c r="BF42" s="50"/>
      <c r="BG42" s="51"/>
      <c r="BH42" s="144"/>
      <c r="BI42" s="144"/>
      <c r="BJ42" s="51">
        <v>0</v>
      </c>
      <c r="BK42" s="50"/>
      <c r="BL42" s="51"/>
      <c r="BM42" s="144"/>
      <c r="BN42" s="144"/>
      <c r="BO42" s="51">
        <v>0</v>
      </c>
      <c r="BP42" s="50"/>
      <c r="BQ42" s="51"/>
      <c r="BR42" s="144"/>
      <c r="BS42" s="144"/>
      <c r="BT42" s="51">
        <f>SUM(L42:BO42)</f>
        <v>0</v>
      </c>
      <c r="BU42" s="50"/>
      <c r="BV42" s="51"/>
      <c r="BW42" s="144"/>
      <c r="BX42" s="144"/>
      <c r="BY42" s="51">
        <v>0</v>
      </c>
      <c r="BZ42" s="50"/>
      <c r="CA42" s="51"/>
      <c r="CB42" s="144"/>
      <c r="CC42" s="144"/>
      <c r="CD42" s="51">
        <v>0</v>
      </c>
      <c r="CE42" s="50"/>
      <c r="CF42" s="51"/>
      <c r="CG42" s="144"/>
      <c r="CH42" s="144"/>
      <c r="CI42" s="51">
        <v>0</v>
      </c>
      <c r="CJ42" s="50"/>
      <c r="CK42" s="51"/>
      <c r="CL42" s="144"/>
      <c r="CM42" s="144"/>
      <c r="CN42" s="51">
        <v>0</v>
      </c>
      <c r="CO42" s="50"/>
      <c r="CP42" s="51"/>
      <c r="CQ42" s="144"/>
      <c r="CR42" s="144"/>
      <c r="CS42" s="51">
        <v>0</v>
      </c>
      <c r="CT42" s="50"/>
      <c r="CU42" s="51"/>
      <c r="CV42" s="144"/>
      <c r="CW42" s="144"/>
      <c r="CX42" s="51">
        <v>0</v>
      </c>
      <c r="CY42" s="50"/>
      <c r="CZ42" s="51"/>
      <c r="DA42" s="144"/>
      <c r="DB42" s="144"/>
      <c r="DC42" s="51">
        <v>0</v>
      </c>
      <c r="DD42" s="50"/>
      <c r="DE42" s="51"/>
      <c r="DF42" s="144"/>
      <c r="DG42" s="144"/>
      <c r="DH42" s="51">
        <v>0</v>
      </c>
      <c r="DI42" s="50"/>
      <c r="DJ42" s="51"/>
      <c r="DK42" s="144"/>
      <c r="DL42" s="144"/>
      <c r="DM42" s="51">
        <v>0</v>
      </c>
      <c r="DN42" s="50"/>
      <c r="DO42" s="51"/>
      <c r="DP42" s="144"/>
      <c r="DQ42" s="144"/>
      <c r="DR42" s="51">
        <v>0</v>
      </c>
      <c r="DS42" s="50"/>
      <c r="DT42" s="51"/>
      <c r="DU42" s="144"/>
      <c r="DV42" s="144"/>
      <c r="DW42" s="51">
        <v>0</v>
      </c>
      <c r="DX42" s="50"/>
      <c r="DY42" s="51"/>
      <c r="DZ42" s="144"/>
      <c r="EA42" s="144"/>
      <c r="EB42" s="51">
        <v>0</v>
      </c>
      <c r="EC42" s="50"/>
      <c r="ED42" s="51"/>
      <c r="EE42" s="144"/>
      <c r="EF42" s="144"/>
      <c r="EG42" s="51">
        <v>0</v>
      </c>
      <c r="EH42" s="50"/>
      <c r="EI42" s="51"/>
      <c r="EJ42" s="144"/>
      <c r="EK42" s="144"/>
      <c r="EL42" s="51">
        <f>SUM(CD42:CD42)</f>
        <v>0</v>
      </c>
      <c r="EM42" s="50"/>
      <c r="EN42" s="51"/>
      <c r="EO42" s="340"/>
      <c r="ER42" s="39"/>
      <c r="ES42" s="39"/>
    </row>
    <row r="43" spans="1:149" ht="12.75" hidden="1" customHeight="1" x14ac:dyDescent="0.2">
      <c r="A43" s="317"/>
      <c r="B43" s="317"/>
      <c r="D43" s="340" t="s">
        <v>188</v>
      </c>
      <c r="E43" s="144"/>
      <c r="F43" s="371"/>
      <c r="G43" s="95">
        <v>0</v>
      </c>
      <c r="H43" s="94"/>
      <c r="I43" s="51"/>
      <c r="J43" s="144"/>
      <c r="K43" s="187"/>
      <c r="L43" s="95">
        <v>0</v>
      </c>
      <c r="M43" s="94"/>
      <c r="N43" s="51"/>
      <c r="O43" s="144"/>
      <c r="P43" s="187"/>
      <c r="Q43" s="95">
        <v>0</v>
      </c>
      <c r="R43" s="94"/>
      <c r="S43" s="51"/>
      <c r="T43" s="144"/>
      <c r="U43" s="187"/>
      <c r="V43" s="95">
        <v>0</v>
      </c>
      <c r="W43" s="94"/>
      <c r="X43" s="51"/>
      <c r="Y43" s="144"/>
      <c r="Z43" s="187"/>
      <c r="AA43" s="95">
        <v>0</v>
      </c>
      <c r="AB43" s="94"/>
      <c r="AC43" s="51"/>
      <c r="AD43" s="144"/>
      <c r="AE43" s="187"/>
      <c r="AF43" s="95">
        <v>0</v>
      </c>
      <c r="AG43" s="94"/>
      <c r="AH43" s="51"/>
      <c r="AI43" s="144"/>
      <c r="AJ43" s="187"/>
      <c r="AK43" s="95">
        <v>0</v>
      </c>
      <c r="AL43" s="94"/>
      <c r="AM43" s="51"/>
      <c r="AN43" s="144"/>
      <c r="AO43" s="187"/>
      <c r="AP43" s="95">
        <v>0</v>
      </c>
      <c r="AQ43" s="94"/>
      <c r="AR43" s="51"/>
      <c r="AS43" s="144"/>
      <c r="AT43" s="187"/>
      <c r="AU43" s="95">
        <v>0</v>
      </c>
      <c r="AV43" s="94"/>
      <c r="AW43" s="51"/>
      <c r="AX43" s="144"/>
      <c r="AY43" s="187"/>
      <c r="AZ43" s="95">
        <v>0</v>
      </c>
      <c r="BA43" s="94"/>
      <c r="BB43" s="51"/>
      <c r="BC43" s="144"/>
      <c r="BD43" s="187"/>
      <c r="BE43" s="95">
        <v>0</v>
      </c>
      <c r="BF43" s="94"/>
      <c r="BG43" s="51"/>
      <c r="BH43" s="144"/>
      <c r="BI43" s="187"/>
      <c r="BJ43" s="95">
        <v>0</v>
      </c>
      <c r="BK43" s="94"/>
      <c r="BL43" s="51"/>
      <c r="BM43" s="144"/>
      <c r="BN43" s="187"/>
      <c r="BO43" s="95">
        <v>0</v>
      </c>
      <c r="BP43" s="94"/>
      <c r="BQ43" s="51"/>
      <c r="BR43" s="144"/>
      <c r="BS43" s="187"/>
      <c r="BT43" s="95">
        <f>SUM(L43:BO43)</f>
        <v>0</v>
      </c>
      <c r="BU43" s="94"/>
      <c r="BV43" s="51"/>
      <c r="BW43" s="144"/>
      <c r="BX43" s="187"/>
      <c r="BY43" s="95">
        <v>0</v>
      </c>
      <c r="BZ43" s="94"/>
      <c r="CA43" s="51"/>
      <c r="CB43" s="144"/>
      <c r="CC43" s="187"/>
      <c r="CD43" s="95">
        <v>0</v>
      </c>
      <c r="CE43" s="94"/>
      <c r="CF43" s="51"/>
      <c r="CG43" s="144"/>
      <c r="CH43" s="187"/>
      <c r="CI43" s="95">
        <v>0</v>
      </c>
      <c r="CJ43" s="94"/>
      <c r="CK43" s="51"/>
      <c r="CL43" s="144"/>
      <c r="CM43" s="187"/>
      <c r="CN43" s="95">
        <v>0</v>
      </c>
      <c r="CO43" s="94"/>
      <c r="CP43" s="51"/>
      <c r="CQ43" s="144"/>
      <c r="CR43" s="187"/>
      <c r="CS43" s="95">
        <v>0</v>
      </c>
      <c r="CT43" s="94"/>
      <c r="CU43" s="51"/>
      <c r="CV43" s="144"/>
      <c r="CW43" s="187"/>
      <c r="CX43" s="95">
        <v>0</v>
      </c>
      <c r="CY43" s="94"/>
      <c r="CZ43" s="51"/>
      <c r="DA43" s="144"/>
      <c r="DB43" s="187"/>
      <c r="DC43" s="95">
        <v>0</v>
      </c>
      <c r="DD43" s="94"/>
      <c r="DE43" s="51"/>
      <c r="DF43" s="144"/>
      <c r="DG43" s="187"/>
      <c r="DH43" s="95">
        <v>0</v>
      </c>
      <c r="DI43" s="94"/>
      <c r="DJ43" s="51"/>
      <c r="DK43" s="144"/>
      <c r="DL43" s="187"/>
      <c r="DM43" s="95">
        <v>0</v>
      </c>
      <c r="DN43" s="94"/>
      <c r="DO43" s="51"/>
      <c r="DP43" s="144"/>
      <c r="DQ43" s="187"/>
      <c r="DR43" s="95">
        <v>0</v>
      </c>
      <c r="DS43" s="94"/>
      <c r="DT43" s="51"/>
      <c r="DU43" s="144"/>
      <c r="DV43" s="187"/>
      <c r="DW43" s="95">
        <v>0</v>
      </c>
      <c r="DX43" s="94"/>
      <c r="DY43" s="51"/>
      <c r="DZ43" s="144"/>
      <c r="EA43" s="187"/>
      <c r="EB43" s="95">
        <v>0</v>
      </c>
      <c r="EC43" s="94"/>
      <c r="ED43" s="51"/>
      <c r="EE43" s="144"/>
      <c r="EF43" s="187"/>
      <c r="EG43" s="95">
        <v>0</v>
      </c>
      <c r="EH43" s="94"/>
      <c r="EI43" s="51"/>
      <c r="EJ43" s="144"/>
      <c r="EK43" s="187"/>
      <c r="EL43" s="95">
        <f>SUM(CD43:CD43)</f>
        <v>0</v>
      </c>
      <c r="EM43" s="94"/>
      <c r="EN43" s="51"/>
      <c r="EO43" s="340"/>
      <c r="ER43" s="39"/>
      <c r="ES43" s="39"/>
    </row>
    <row r="44" spans="1:149" hidden="1" x14ac:dyDescent="0.2">
      <c r="A44" s="317"/>
      <c r="B44" s="317"/>
      <c r="D44" s="340"/>
      <c r="E44" s="144"/>
      <c r="F44" s="317"/>
      <c r="G44" s="51"/>
      <c r="H44" s="51"/>
      <c r="I44" s="51"/>
      <c r="J44" s="144"/>
      <c r="K44" s="51"/>
      <c r="L44" s="51"/>
      <c r="M44" s="51"/>
      <c r="N44" s="51"/>
      <c r="O44" s="144"/>
      <c r="P44" s="51"/>
      <c r="Q44" s="51"/>
      <c r="R44" s="51"/>
      <c r="S44" s="51"/>
      <c r="T44" s="144"/>
      <c r="U44" s="51"/>
      <c r="V44" s="51"/>
      <c r="W44" s="51"/>
      <c r="X44" s="51"/>
      <c r="Y44" s="144"/>
      <c r="Z44" s="51"/>
      <c r="AA44" s="51"/>
      <c r="AB44" s="51"/>
      <c r="AC44" s="51"/>
      <c r="AD44" s="144"/>
      <c r="AE44" s="51"/>
      <c r="AF44" s="51"/>
      <c r="AG44" s="51"/>
      <c r="AH44" s="51"/>
      <c r="AI44" s="144"/>
      <c r="AJ44" s="51"/>
      <c r="AK44" s="51"/>
      <c r="AL44" s="51"/>
      <c r="AM44" s="51"/>
      <c r="AN44" s="144"/>
      <c r="AO44" s="51"/>
      <c r="AP44" s="51"/>
      <c r="AQ44" s="51"/>
      <c r="AR44" s="51"/>
      <c r="AS44" s="144"/>
      <c r="AT44" s="51"/>
      <c r="AU44" s="51"/>
      <c r="AV44" s="51"/>
      <c r="AW44" s="51"/>
      <c r="AX44" s="144"/>
      <c r="AY44" s="51"/>
      <c r="AZ44" s="51"/>
      <c r="BA44" s="51"/>
      <c r="BB44" s="51"/>
      <c r="BC44" s="144"/>
      <c r="BD44" s="51"/>
      <c r="BE44" s="51"/>
      <c r="BF44" s="51"/>
      <c r="BG44" s="51"/>
      <c r="BH44" s="144"/>
      <c r="BI44" s="51"/>
      <c r="BJ44" s="51"/>
      <c r="BK44" s="51"/>
      <c r="BL44" s="51"/>
      <c r="BM44" s="144"/>
      <c r="BN44" s="51"/>
      <c r="BO44" s="51"/>
      <c r="BP44" s="51"/>
      <c r="BQ44" s="51"/>
      <c r="BR44" s="144"/>
      <c r="BS44" s="51"/>
      <c r="BT44" s="51"/>
      <c r="BU44" s="51"/>
      <c r="BV44" s="51"/>
      <c r="BW44" s="144"/>
      <c r="BX44" s="51"/>
      <c r="BY44" s="51"/>
      <c r="BZ44" s="51"/>
      <c r="CA44" s="51"/>
      <c r="CB44" s="144"/>
      <c r="CC44" s="51"/>
      <c r="CD44" s="51"/>
      <c r="CE44" s="51"/>
      <c r="CF44" s="51"/>
      <c r="CG44" s="144"/>
      <c r="CH44" s="51"/>
      <c r="CI44" s="51"/>
      <c r="CJ44" s="51"/>
      <c r="CK44" s="51"/>
      <c r="CL44" s="144"/>
      <c r="CM44" s="51"/>
      <c r="CN44" s="51"/>
      <c r="CO44" s="51"/>
      <c r="CP44" s="51"/>
      <c r="CQ44" s="144"/>
      <c r="CR44" s="51"/>
      <c r="CS44" s="51"/>
      <c r="CT44" s="51"/>
      <c r="CU44" s="51"/>
      <c r="CV44" s="144"/>
      <c r="CW44" s="51"/>
      <c r="CX44" s="51"/>
      <c r="CY44" s="51"/>
      <c r="CZ44" s="51"/>
      <c r="DA44" s="144"/>
      <c r="DB44" s="51"/>
      <c r="DC44" s="51"/>
      <c r="DD44" s="51"/>
      <c r="DE44" s="51"/>
      <c r="DF44" s="144"/>
      <c r="DG44" s="51"/>
      <c r="DH44" s="51"/>
      <c r="DI44" s="51"/>
      <c r="DJ44" s="51"/>
      <c r="DK44" s="144"/>
      <c r="DL44" s="51"/>
      <c r="DM44" s="51"/>
      <c r="DN44" s="51"/>
      <c r="DO44" s="51"/>
      <c r="DP44" s="144"/>
      <c r="DQ44" s="51"/>
      <c r="DR44" s="51"/>
      <c r="DS44" s="51"/>
      <c r="DT44" s="51"/>
      <c r="DU44" s="144"/>
      <c r="DV44" s="51"/>
      <c r="DW44" s="51"/>
      <c r="DX44" s="51"/>
      <c r="DY44" s="51"/>
      <c r="DZ44" s="144"/>
      <c r="EA44" s="51"/>
      <c r="EB44" s="51"/>
      <c r="EC44" s="51"/>
      <c r="ED44" s="51"/>
      <c r="EE44" s="144"/>
      <c r="EF44" s="51"/>
      <c r="EG44" s="51"/>
      <c r="EH44" s="51"/>
      <c r="EI44" s="51"/>
      <c r="EJ44" s="144"/>
      <c r="EK44" s="51"/>
      <c r="EL44" s="51"/>
      <c r="EM44" s="51"/>
      <c r="EN44" s="51"/>
      <c r="EO44" s="340"/>
      <c r="ER44" s="39"/>
      <c r="ES44" s="39"/>
    </row>
    <row r="45" spans="1:149" ht="12.75" customHeight="1" x14ac:dyDescent="0.2">
      <c r="A45" s="317"/>
      <c r="B45" s="317"/>
      <c r="D45" s="340" t="s">
        <v>191</v>
      </c>
      <c r="E45" s="144"/>
      <c r="F45" s="317"/>
      <c r="G45" s="51">
        <f>SUM(G46:G49)</f>
        <v>0</v>
      </c>
      <c r="H45" s="51"/>
      <c r="I45" s="51"/>
      <c r="J45" s="144"/>
      <c r="K45" s="51"/>
      <c r="L45" s="51">
        <f>SUM(L46:L49)</f>
        <v>0</v>
      </c>
      <c r="M45" s="51"/>
      <c r="N45" s="51"/>
      <c r="O45" s="144"/>
      <c r="P45" s="51"/>
      <c r="Q45" s="51">
        <f>SUM(Q46:Q49)</f>
        <v>2132749</v>
      </c>
      <c r="R45" s="51"/>
      <c r="S45" s="51"/>
      <c r="T45" s="144"/>
      <c r="U45" s="51"/>
      <c r="V45" s="51">
        <f>SUM(V46:V49)</f>
        <v>1572085</v>
      </c>
      <c r="W45" s="51"/>
      <c r="X45" s="51"/>
      <c r="Y45" s="144"/>
      <c r="Z45" s="51"/>
      <c r="AA45" s="51">
        <f>SUM(AA46:AA49)</f>
        <v>202633</v>
      </c>
      <c r="AB45" s="51"/>
      <c r="AC45" s="51"/>
      <c r="AD45" s="144"/>
      <c r="AE45" s="51"/>
      <c r="AF45" s="51">
        <f>SUM(AF46:AF49)</f>
        <v>688200</v>
      </c>
      <c r="AG45" s="51"/>
      <c r="AH45" s="51"/>
      <c r="AI45" s="144"/>
      <c r="AJ45" s="51"/>
      <c r="AK45" s="51">
        <f>SUM(AK46:AK49)</f>
        <v>0</v>
      </c>
      <c r="AL45" s="51"/>
      <c r="AM45" s="51"/>
      <c r="AN45" s="144"/>
      <c r="AO45" s="51"/>
      <c r="AP45" s="51">
        <f>SUM(AP46:AP49)</f>
        <v>898186</v>
      </c>
      <c r="AQ45" s="51"/>
      <c r="AR45" s="51"/>
      <c r="AS45" s="144"/>
      <c r="AT45" s="51"/>
      <c r="AU45" s="51">
        <f>SUM(AU46:AU49)</f>
        <v>0</v>
      </c>
      <c r="AV45" s="51"/>
      <c r="AW45" s="51"/>
      <c r="AX45" s="144"/>
      <c r="AY45" s="51"/>
      <c r="AZ45" s="51">
        <f>SUM(AZ46:AZ49)</f>
        <v>0</v>
      </c>
      <c r="BA45" s="51"/>
      <c r="BB45" s="51"/>
      <c r="BC45" s="144"/>
      <c r="BD45" s="51"/>
      <c r="BE45" s="51">
        <f>SUM(BE46:BE49)</f>
        <v>0</v>
      </c>
      <c r="BF45" s="51"/>
      <c r="BG45" s="51"/>
      <c r="BH45" s="144"/>
      <c r="BI45" s="51"/>
      <c r="BJ45" s="51">
        <f>SUM(BJ46:BJ49)</f>
        <v>0</v>
      </c>
      <c r="BK45" s="51"/>
      <c r="BL45" s="51"/>
      <c r="BM45" s="144"/>
      <c r="BN45" s="51"/>
      <c r="BO45" s="51">
        <f>SUM(BO46:BO49)</f>
        <v>0</v>
      </c>
      <c r="BP45" s="51"/>
      <c r="BQ45" s="51"/>
      <c r="BR45" s="144"/>
      <c r="BS45" s="51"/>
      <c r="BT45" s="51">
        <f>SUM(BT46:BT49)</f>
        <v>5493853</v>
      </c>
      <c r="BU45" s="51"/>
      <c r="BV45" s="51"/>
      <c r="BW45" s="144"/>
      <c r="BX45" s="51"/>
      <c r="BY45" s="51">
        <f>SUM(BY46:BY49)</f>
        <v>8418715</v>
      </c>
      <c r="BZ45" s="51"/>
      <c r="CA45" s="51"/>
      <c r="CB45" s="144"/>
      <c r="CC45" s="51"/>
      <c r="CD45" s="51">
        <f>SUM(CD46:CD49)</f>
        <v>133235</v>
      </c>
      <c r="CE45" s="51"/>
      <c r="CF45" s="51"/>
      <c r="CG45" s="144"/>
      <c r="CH45" s="51"/>
      <c r="CI45" s="51">
        <f>SUM(CI46:CI49)</f>
        <v>967163</v>
      </c>
      <c r="CJ45" s="51"/>
      <c r="CK45" s="51"/>
      <c r="CL45" s="144"/>
      <c r="CM45" s="51"/>
      <c r="CN45" s="51">
        <f>SUM(CN46:CN49)</f>
        <v>813686</v>
      </c>
      <c r="CO45" s="51"/>
      <c r="CP45" s="51"/>
      <c r="CQ45" s="144"/>
      <c r="CR45" s="51"/>
      <c r="CS45" s="51">
        <f>SUM(CS46:CS49)</f>
        <v>2665979</v>
      </c>
      <c r="CT45" s="51"/>
      <c r="CU45" s="51"/>
      <c r="CV45" s="144"/>
      <c r="CW45" s="51"/>
      <c r="CX45" s="51">
        <f>SUM(CX46:CX49)</f>
        <v>810714</v>
      </c>
      <c r="CY45" s="51"/>
      <c r="CZ45" s="51"/>
      <c r="DA45" s="144"/>
      <c r="DB45" s="51"/>
      <c r="DC45" s="51">
        <f>SUM(DC46:DC49)</f>
        <v>223294</v>
      </c>
      <c r="DD45" s="51"/>
      <c r="DE45" s="51"/>
      <c r="DF45" s="144"/>
      <c r="DG45" s="51"/>
      <c r="DH45" s="51">
        <f>SUM(DH46:DH49)</f>
        <v>0</v>
      </c>
      <c r="DI45" s="51"/>
      <c r="DJ45" s="51"/>
      <c r="DK45" s="144"/>
      <c r="DL45" s="51"/>
      <c r="DM45" s="51">
        <f>SUM(DM46:DM49)</f>
        <v>370634</v>
      </c>
      <c r="DN45" s="51"/>
      <c r="DO45" s="51"/>
      <c r="DP45" s="144"/>
      <c r="DQ45" s="51"/>
      <c r="DR45" s="51">
        <f>SUM(DR46:DR49)</f>
        <v>18910</v>
      </c>
      <c r="DS45" s="51"/>
      <c r="DT45" s="51"/>
      <c r="DU45" s="144"/>
      <c r="DV45" s="51"/>
      <c r="DW45" s="51">
        <f>SUM(DW46:DW49)</f>
        <v>0</v>
      </c>
      <c r="DX45" s="51"/>
      <c r="DY45" s="51"/>
      <c r="DZ45" s="144"/>
      <c r="EA45" s="51"/>
      <c r="EB45" s="51">
        <f>SUM(EB46:EB49)</f>
        <v>1713808</v>
      </c>
      <c r="EC45" s="51"/>
      <c r="ED45" s="51"/>
      <c r="EE45" s="144"/>
      <c r="EF45" s="51"/>
      <c r="EG45" s="51">
        <f>SUM(EG46:EG49)</f>
        <v>701292</v>
      </c>
      <c r="EH45" s="51"/>
      <c r="EI45" s="51"/>
      <c r="EJ45" s="144"/>
      <c r="EK45" s="51"/>
      <c r="EL45" s="51">
        <f>SUM(EL46:EL49)</f>
        <v>5614071</v>
      </c>
      <c r="EM45" s="51"/>
      <c r="EN45" s="51"/>
      <c r="EO45" s="340"/>
      <c r="ER45" s="39"/>
      <c r="ES45" s="39"/>
    </row>
    <row r="46" spans="1:149" ht="12.75" customHeight="1" x14ac:dyDescent="0.2">
      <c r="A46" s="317"/>
      <c r="B46" s="317"/>
      <c r="D46" s="340" t="s">
        <v>183</v>
      </c>
      <c r="E46" s="144"/>
      <c r="F46" s="354"/>
      <c r="G46" s="430">
        <v>0</v>
      </c>
      <c r="H46" s="431"/>
      <c r="I46" s="51"/>
      <c r="J46" s="144"/>
      <c r="K46" s="432"/>
      <c r="L46" s="430">
        <v>0</v>
      </c>
      <c r="M46" s="431"/>
      <c r="N46" s="51"/>
      <c r="O46" s="144"/>
      <c r="P46" s="432"/>
      <c r="Q46" s="430">
        <f>1660000-187133</f>
        <v>1472867</v>
      </c>
      <c r="R46" s="431"/>
      <c r="S46" s="51"/>
      <c r="T46" s="144"/>
      <c r="U46" s="432"/>
      <c r="V46" s="430">
        <f>1215000-117223</f>
        <v>1097777</v>
      </c>
      <c r="W46" s="431"/>
      <c r="X46" s="51"/>
      <c r="Y46" s="144"/>
      <c r="Z46" s="432"/>
      <c r="AA46" s="430">
        <f>155000-19627</f>
        <v>135373</v>
      </c>
      <c r="AB46" s="431"/>
      <c r="AC46" s="51"/>
      <c r="AD46" s="144"/>
      <c r="AE46" s="432"/>
      <c r="AF46" s="430">
        <f>525000-68994</f>
        <v>456006</v>
      </c>
      <c r="AG46" s="431"/>
      <c r="AH46" s="51"/>
      <c r="AI46" s="144"/>
      <c r="AJ46" s="432"/>
      <c r="AK46" s="430">
        <v>0</v>
      </c>
      <c r="AL46" s="431"/>
      <c r="AM46" s="51"/>
      <c r="AN46" s="144"/>
      <c r="AO46" s="432"/>
      <c r="AP46" s="430">
        <f>670000-105458</f>
        <v>564542</v>
      </c>
      <c r="AQ46" s="431"/>
      <c r="AR46" s="51"/>
      <c r="AS46" s="144"/>
      <c r="AT46" s="432"/>
      <c r="AU46" s="430">
        <v>0</v>
      </c>
      <c r="AV46" s="431"/>
      <c r="AW46" s="51"/>
      <c r="AX46" s="144"/>
      <c r="AY46" s="432"/>
      <c r="AZ46" s="430">
        <v>0</v>
      </c>
      <c r="BA46" s="431"/>
      <c r="BB46" s="51"/>
      <c r="BC46" s="144"/>
      <c r="BD46" s="432"/>
      <c r="BE46" s="430">
        <v>0</v>
      </c>
      <c r="BF46" s="431"/>
      <c r="BG46" s="51"/>
      <c r="BH46" s="144"/>
      <c r="BI46" s="432"/>
      <c r="BJ46" s="430">
        <v>0</v>
      </c>
      <c r="BK46" s="431"/>
      <c r="BL46" s="51"/>
      <c r="BM46" s="144"/>
      <c r="BN46" s="432"/>
      <c r="BO46" s="430">
        <v>0</v>
      </c>
      <c r="BP46" s="431"/>
      <c r="BQ46" s="51"/>
      <c r="BR46" s="144"/>
      <c r="BS46" s="432"/>
      <c r="BT46" s="430">
        <f>SUM(L46:BO46)</f>
        <v>3726565</v>
      </c>
      <c r="BU46" s="431"/>
      <c r="BV46" s="51"/>
      <c r="BW46" s="144"/>
      <c r="BX46" s="432"/>
      <c r="BY46" s="430">
        <v>6023979</v>
      </c>
      <c r="BZ46" s="431"/>
      <c r="CA46" s="51"/>
      <c r="CB46" s="144"/>
      <c r="CC46" s="432"/>
      <c r="CD46" s="430">
        <f>110000-11945</f>
        <v>98055</v>
      </c>
      <c r="CE46" s="431"/>
      <c r="CF46" s="51"/>
      <c r="CG46" s="144"/>
      <c r="CH46" s="432"/>
      <c r="CI46" s="430">
        <f>795000-85527</f>
        <v>709473</v>
      </c>
      <c r="CJ46" s="431"/>
      <c r="CK46" s="51"/>
      <c r="CL46" s="144"/>
      <c r="CM46" s="432"/>
      <c r="CN46" s="430">
        <f>665000-60996</f>
        <v>604004</v>
      </c>
      <c r="CO46" s="431"/>
      <c r="CP46" s="51"/>
      <c r="CQ46" s="144"/>
      <c r="CR46" s="432"/>
      <c r="CS46" s="430">
        <f>2160000-235729</f>
        <v>1924271</v>
      </c>
      <c r="CT46" s="431"/>
      <c r="CU46" s="51"/>
      <c r="CV46" s="144"/>
      <c r="CW46" s="432"/>
      <c r="CX46" s="430">
        <f>655000-70649</f>
        <v>584351</v>
      </c>
      <c r="CY46" s="431"/>
      <c r="CZ46" s="51"/>
      <c r="DA46" s="144"/>
      <c r="DB46" s="432"/>
      <c r="DC46" s="430">
        <f>180000-17942</f>
        <v>162058</v>
      </c>
      <c r="DD46" s="431"/>
      <c r="DE46" s="51"/>
      <c r="DF46" s="144"/>
      <c r="DG46" s="432"/>
      <c r="DH46" s="430">
        <v>0</v>
      </c>
      <c r="DI46" s="431"/>
      <c r="DJ46" s="51"/>
      <c r="DK46" s="144"/>
      <c r="DL46" s="432"/>
      <c r="DM46" s="430">
        <f>295000-40258</f>
        <v>254742</v>
      </c>
      <c r="DN46" s="431"/>
      <c r="DO46" s="51"/>
      <c r="DP46" s="144"/>
      <c r="DQ46" s="432"/>
      <c r="DR46" s="430">
        <f>15000-2283</f>
        <v>12717</v>
      </c>
      <c r="DS46" s="431"/>
      <c r="DT46" s="51"/>
      <c r="DU46" s="144"/>
      <c r="DV46" s="432"/>
      <c r="DW46" s="430">
        <v>0</v>
      </c>
      <c r="DX46" s="431"/>
      <c r="DY46" s="51"/>
      <c r="DZ46" s="144"/>
      <c r="EA46" s="432"/>
      <c r="EB46" s="430">
        <f>1350000-164295</f>
        <v>1185705</v>
      </c>
      <c r="EC46" s="431"/>
      <c r="ED46" s="51"/>
      <c r="EE46" s="144"/>
      <c r="EF46" s="432"/>
      <c r="EG46" s="430">
        <f>550000-61397</f>
        <v>488603</v>
      </c>
      <c r="EH46" s="431"/>
      <c r="EI46" s="51"/>
      <c r="EJ46" s="144"/>
      <c r="EK46" s="432"/>
      <c r="EL46" s="430">
        <f t="shared" ref="EL46:EL49" si="1">SUM(CD46:DH46)</f>
        <v>4082212</v>
      </c>
      <c r="EM46" s="431"/>
      <c r="EN46" s="51"/>
      <c r="EO46" s="340"/>
      <c r="ER46" s="39"/>
      <c r="ES46" s="39"/>
    </row>
    <row r="47" spans="1:149" ht="12.75" customHeight="1" x14ac:dyDescent="0.2">
      <c r="A47" s="317"/>
      <c r="B47" s="317"/>
      <c r="D47" s="340" t="s">
        <v>186</v>
      </c>
      <c r="E47" s="144"/>
      <c r="F47" s="347"/>
      <c r="G47" s="51">
        <v>0</v>
      </c>
      <c r="H47" s="50"/>
      <c r="I47" s="51"/>
      <c r="J47" s="144"/>
      <c r="K47" s="144"/>
      <c r="L47" s="51">
        <v>0</v>
      </c>
      <c r="M47" s="50"/>
      <c r="N47" s="51"/>
      <c r="O47" s="144"/>
      <c r="P47" s="144"/>
      <c r="Q47" s="51">
        <v>187133</v>
      </c>
      <c r="R47" s="50"/>
      <c r="S47" s="51"/>
      <c r="T47" s="144"/>
      <c r="U47" s="144"/>
      <c r="V47" s="51">
        <v>117223</v>
      </c>
      <c r="W47" s="50"/>
      <c r="X47" s="51"/>
      <c r="Y47" s="144"/>
      <c r="Z47" s="144"/>
      <c r="AA47" s="51">
        <v>19627</v>
      </c>
      <c r="AB47" s="50"/>
      <c r="AC47" s="51"/>
      <c r="AD47" s="144"/>
      <c r="AE47" s="144"/>
      <c r="AF47" s="51">
        <v>68994</v>
      </c>
      <c r="AG47" s="50"/>
      <c r="AH47" s="51"/>
      <c r="AI47" s="144"/>
      <c r="AJ47" s="144"/>
      <c r="AK47" s="51">
        <v>0</v>
      </c>
      <c r="AL47" s="50"/>
      <c r="AM47" s="51"/>
      <c r="AN47" s="144"/>
      <c r="AO47" s="144"/>
      <c r="AP47" s="51">
        <v>105458</v>
      </c>
      <c r="AQ47" s="50"/>
      <c r="AR47" s="51"/>
      <c r="AS47" s="144"/>
      <c r="AT47" s="144"/>
      <c r="AU47" s="51">
        <v>0</v>
      </c>
      <c r="AV47" s="50"/>
      <c r="AW47" s="51"/>
      <c r="AX47" s="144"/>
      <c r="AY47" s="144"/>
      <c r="AZ47" s="51">
        <v>0</v>
      </c>
      <c r="BA47" s="50"/>
      <c r="BB47" s="51"/>
      <c r="BC47" s="144"/>
      <c r="BD47" s="144"/>
      <c r="BE47" s="51">
        <v>0</v>
      </c>
      <c r="BF47" s="50"/>
      <c r="BG47" s="51"/>
      <c r="BH47" s="144"/>
      <c r="BI47" s="144"/>
      <c r="BJ47" s="51">
        <v>0</v>
      </c>
      <c r="BK47" s="50"/>
      <c r="BL47" s="51"/>
      <c r="BM47" s="144"/>
      <c r="BN47" s="144"/>
      <c r="BO47" s="51">
        <v>0</v>
      </c>
      <c r="BP47" s="50"/>
      <c r="BQ47" s="51"/>
      <c r="BR47" s="144"/>
      <c r="BS47" s="144"/>
      <c r="BT47" s="51">
        <f>SUM(L47:BO47)</f>
        <v>498435</v>
      </c>
      <c r="BU47" s="50"/>
      <c r="BV47" s="51"/>
      <c r="BW47" s="144"/>
      <c r="BX47" s="144"/>
      <c r="BY47" s="51">
        <v>751021</v>
      </c>
      <c r="BZ47" s="50"/>
      <c r="CA47" s="51"/>
      <c r="CB47" s="144"/>
      <c r="CC47" s="144"/>
      <c r="CD47" s="51">
        <v>11945</v>
      </c>
      <c r="CE47" s="50"/>
      <c r="CF47" s="51"/>
      <c r="CG47" s="144"/>
      <c r="CH47" s="144"/>
      <c r="CI47" s="51">
        <v>85527</v>
      </c>
      <c r="CJ47" s="50"/>
      <c r="CK47" s="51"/>
      <c r="CL47" s="144"/>
      <c r="CM47" s="144"/>
      <c r="CN47" s="51">
        <v>60996</v>
      </c>
      <c r="CO47" s="50"/>
      <c r="CP47" s="51"/>
      <c r="CQ47" s="144"/>
      <c r="CR47" s="144"/>
      <c r="CS47" s="51">
        <v>235729</v>
      </c>
      <c r="CT47" s="50"/>
      <c r="CU47" s="51"/>
      <c r="CV47" s="144"/>
      <c r="CW47" s="144"/>
      <c r="CX47" s="51">
        <v>70649</v>
      </c>
      <c r="CY47" s="50"/>
      <c r="CZ47" s="51"/>
      <c r="DA47" s="144"/>
      <c r="DB47" s="144"/>
      <c r="DC47" s="51">
        <v>17942</v>
      </c>
      <c r="DD47" s="50"/>
      <c r="DE47" s="51"/>
      <c r="DF47" s="144"/>
      <c r="DG47" s="144"/>
      <c r="DH47" s="51">
        <v>0</v>
      </c>
      <c r="DI47" s="50"/>
      <c r="DJ47" s="51"/>
      <c r="DK47" s="144"/>
      <c r="DL47" s="144"/>
      <c r="DM47" s="51">
        <v>40258</v>
      </c>
      <c r="DN47" s="50"/>
      <c r="DO47" s="51"/>
      <c r="DP47" s="144"/>
      <c r="DQ47" s="144"/>
      <c r="DR47" s="51">
        <v>2283</v>
      </c>
      <c r="DS47" s="50"/>
      <c r="DT47" s="51"/>
      <c r="DU47" s="144"/>
      <c r="DV47" s="144"/>
      <c r="DW47" s="51">
        <v>0</v>
      </c>
      <c r="DX47" s="50"/>
      <c r="DY47" s="51"/>
      <c r="DZ47" s="144"/>
      <c r="EA47" s="144"/>
      <c r="EB47" s="51">
        <v>164295</v>
      </c>
      <c r="EC47" s="50"/>
      <c r="ED47" s="51"/>
      <c r="EE47" s="144"/>
      <c r="EF47" s="144"/>
      <c r="EG47" s="51">
        <v>61397</v>
      </c>
      <c r="EH47" s="50"/>
      <c r="EI47" s="51"/>
      <c r="EJ47" s="144"/>
      <c r="EK47" s="144"/>
      <c r="EL47" s="51">
        <f t="shared" si="1"/>
        <v>482788</v>
      </c>
      <c r="EM47" s="50"/>
      <c r="EN47" s="51"/>
      <c r="EO47" s="340"/>
      <c r="ER47" s="39"/>
      <c r="ES47" s="39"/>
    </row>
    <row r="48" spans="1:149" ht="12.75" customHeight="1" x14ac:dyDescent="0.2">
      <c r="A48" s="317"/>
      <c r="B48" s="317"/>
      <c r="D48" s="340" t="s">
        <v>187</v>
      </c>
      <c r="E48" s="144"/>
      <c r="F48" s="347"/>
      <c r="G48" s="51">
        <v>0</v>
      </c>
      <c r="H48" s="50"/>
      <c r="I48" s="51"/>
      <c r="J48" s="144"/>
      <c r="K48" s="144"/>
      <c r="L48" s="51">
        <v>0</v>
      </c>
      <c r="M48" s="50"/>
      <c r="N48" s="51"/>
      <c r="O48" s="144"/>
      <c r="P48" s="144"/>
      <c r="Q48" s="51">
        <v>0</v>
      </c>
      <c r="R48" s="50"/>
      <c r="S48" s="51"/>
      <c r="T48" s="144"/>
      <c r="U48" s="144"/>
      <c r="V48" s="51">
        <v>0</v>
      </c>
      <c r="W48" s="50"/>
      <c r="X48" s="51"/>
      <c r="Y48" s="144"/>
      <c r="Z48" s="144"/>
      <c r="AA48" s="51">
        <v>0</v>
      </c>
      <c r="AB48" s="50"/>
      <c r="AC48" s="51"/>
      <c r="AD48" s="144"/>
      <c r="AE48" s="144"/>
      <c r="AF48" s="51">
        <v>0</v>
      </c>
      <c r="AG48" s="50"/>
      <c r="AH48" s="51"/>
      <c r="AI48" s="144"/>
      <c r="AJ48" s="144"/>
      <c r="AK48" s="51">
        <v>0</v>
      </c>
      <c r="AL48" s="50"/>
      <c r="AM48" s="51"/>
      <c r="AN48" s="144"/>
      <c r="AO48" s="144"/>
      <c r="AP48" s="51">
        <v>0</v>
      </c>
      <c r="AQ48" s="50"/>
      <c r="AR48" s="51"/>
      <c r="AS48" s="144"/>
      <c r="AT48" s="144"/>
      <c r="AU48" s="51">
        <v>0</v>
      </c>
      <c r="AV48" s="50"/>
      <c r="AW48" s="51"/>
      <c r="AX48" s="144"/>
      <c r="AY48" s="144"/>
      <c r="AZ48" s="51">
        <v>0</v>
      </c>
      <c r="BA48" s="50"/>
      <c r="BB48" s="51"/>
      <c r="BC48" s="144"/>
      <c r="BD48" s="144"/>
      <c r="BE48" s="51">
        <v>0</v>
      </c>
      <c r="BF48" s="50"/>
      <c r="BG48" s="51"/>
      <c r="BH48" s="144"/>
      <c r="BI48" s="144"/>
      <c r="BJ48" s="51">
        <v>0</v>
      </c>
      <c r="BK48" s="50"/>
      <c r="BL48" s="51"/>
      <c r="BM48" s="144"/>
      <c r="BN48" s="144"/>
      <c r="BO48" s="51">
        <v>0</v>
      </c>
      <c r="BP48" s="50"/>
      <c r="BQ48" s="51"/>
      <c r="BR48" s="144"/>
      <c r="BS48" s="144"/>
      <c r="BT48" s="51">
        <f>SUM(L48:BO48)</f>
        <v>0</v>
      </c>
      <c r="BU48" s="50"/>
      <c r="BV48" s="51"/>
      <c r="BW48" s="144"/>
      <c r="BX48" s="144"/>
      <c r="BY48" s="51">
        <v>0</v>
      </c>
      <c r="BZ48" s="50"/>
      <c r="CA48" s="51"/>
      <c r="CB48" s="144"/>
      <c r="CC48" s="144"/>
      <c r="CD48" s="51">
        <v>0</v>
      </c>
      <c r="CE48" s="50"/>
      <c r="CF48" s="51"/>
      <c r="CG48" s="144"/>
      <c r="CH48" s="144"/>
      <c r="CI48" s="51">
        <v>0</v>
      </c>
      <c r="CJ48" s="50"/>
      <c r="CK48" s="51"/>
      <c r="CL48" s="144"/>
      <c r="CM48" s="144"/>
      <c r="CN48" s="51">
        <v>0</v>
      </c>
      <c r="CO48" s="50"/>
      <c r="CP48" s="51"/>
      <c r="CQ48" s="144"/>
      <c r="CR48" s="144"/>
      <c r="CS48" s="51">
        <v>0</v>
      </c>
      <c r="CT48" s="50"/>
      <c r="CU48" s="51"/>
      <c r="CV48" s="144"/>
      <c r="CW48" s="144"/>
      <c r="CX48" s="51">
        <v>0</v>
      </c>
      <c r="CY48" s="50"/>
      <c r="CZ48" s="51"/>
      <c r="DA48" s="144"/>
      <c r="DB48" s="144"/>
      <c r="DC48" s="51">
        <v>0</v>
      </c>
      <c r="DD48" s="50"/>
      <c r="DE48" s="51"/>
      <c r="DF48" s="144"/>
      <c r="DG48" s="144"/>
      <c r="DH48" s="51">
        <v>0</v>
      </c>
      <c r="DI48" s="50"/>
      <c r="DJ48" s="51"/>
      <c r="DK48" s="144"/>
      <c r="DL48" s="144"/>
      <c r="DM48" s="51">
        <v>0</v>
      </c>
      <c r="DN48" s="50"/>
      <c r="DO48" s="51"/>
      <c r="DP48" s="144"/>
      <c r="DQ48" s="144"/>
      <c r="DR48" s="51">
        <v>0</v>
      </c>
      <c r="DS48" s="50"/>
      <c r="DT48" s="51"/>
      <c r="DU48" s="144"/>
      <c r="DV48" s="144"/>
      <c r="DW48" s="51">
        <v>0</v>
      </c>
      <c r="DX48" s="50"/>
      <c r="DY48" s="51"/>
      <c r="DZ48" s="144"/>
      <c r="EA48" s="144"/>
      <c r="EB48" s="51">
        <v>0</v>
      </c>
      <c r="EC48" s="50"/>
      <c r="ED48" s="51"/>
      <c r="EE48" s="144"/>
      <c r="EF48" s="144"/>
      <c r="EG48" s="51">
        <v>0</v>
      </c>
      <c r="EH48" s="50"/>
      <c r="EI48" s="51"/>
      <c r="EJ48" s="144"/>
      <c r="EK48" s="144"/>
      <c r="EL48" s="51">
        <f t="shared" si="1"/>
        <v>0</v>
      </c>
      <c r="EM48" s="50"/>
      <c r="EN48" s="51"/>
      <c r="EO48" s="340"/>
      <c r="ER48" s="39"/>
      <c r="ES48" s="39"/>
    </row>
    <row r="49" spans="1:150" ht="12.75" customHeight="1" x14ac:dyDescent="0.2">
      <c r="A49" s="317"/>
      <c r="B49" s="317"/>
      <c r="D49" s="340" t="s">
        <v>188</v>
      </c>
      <c r="E49" s="144"/>
      <c r="F49" s="371"/>
      <c r="G49" s="95">
        <v>0</v>
      </c>
      <c r="H49" s="94"/>
      <c r="I49" s="51"/>
      <c r="J49" s="144"/>
      <c r="K49" s="187"/>
      <c r="L49" s="95">
        <v>0</v>
      </c>
      <c r="M49" s="94"/>
      <c r="N49" s="51"/>
      <c r="O49" s="144"/>
      <c r="P49" s="187"/>
      <c r="Q49" s="95">
        <v>472749</v>
      </c>
      <c r="R49" s="94"/>
      <c r="S49" s="51"/>
      <c r="T49" s="144"/>
      <c r="U49" s="187"/>
      <c r="V49" s="95">
        <v>357085</v>
      </c>
      <c r="W49" s="94"/>
      <c r="X49" s="51"/>
      <c r="Y49" s="144"/>
      <c r="Z49" s="187"/>
      <c r="AA49" s="95">
        <v>47633</v>
      </c>
      <c r="AB49" s="94"/>
      <c r="AC49" s="51"/>
      <c r="AD49" s="144"/>
      <c r="AE49" s="187"/>
      <c r="AF49" s="95">
        <v>163200</v>
      </c>
      <c r="AG49" s="94"/>
      <c r="AH49" s="51"/>
      <c r="AI49" s="144"/>
      <c r="AJ49" s="187"/>
      <c r="AK49" s="95">
        <v>0</v>
      </c>
      <c r="AL49" s="94"/>
      <c r="AM49" s="51"/>
      <c r="AN49" s="144"/>
      <c r="AO49" s="187"/>
      <c r="AP49" s="95">
        <v>228186</v>
      </c>
      <c r="AQ49" s="94"/>
      <c r="AR49" s="51"/>
      <c r="AS49" s="144"/>
      <c r="AT49" s="187"/>
      <c r="AU49" s="95">
        <v>0</v>
      </c>
      <c r="AV49" s="94"/>
      <c r="AW49" s="51"/>
      <c r="AX49" s="144"/>
      <c r="AY49" s="187"/>
      <c r="AZ49" s="95">
        <v>0</v>
      </c>
      <c r="BA49" s="94"/>
      <c r="BB49" s="51"/>
      <c r="BC49" s="144"/>
      <c r="BD49" s="187"/>
      <c r="BE49" s="95">
        <v>0</v>
      </c>
      <c r="BF49" s="94"/>
      <c r="BG49" s="51"/>
      <c r="BH49" s="144"/>
      <c r="BI49" s="187"/>
      <c r="BJ49" s="95">
        <v>0</v>
      </c>
      <c r="BK49" s="94"/>
      <c r="BL49" s="51"/>
      <c r="BM49" s="144"/>
      <c r="BN49" s="187"/>
      <c r="BO49" s="95">
        <v>0</v>
      </c>
      <c r="BP49" s="94"/>
      <c r="BQ49" s="51"/>
      <c r="BR49" s="144"/>
      <c r="BS49" s="187"/>
      <c r="BT49" s="95">
        <f>SUM(L49:BO49)</f>
        <v>1268853</v>
      </c>
      <c r="BU49" s="94"/>
      <c r="BV49" s="51"/>
      <c r="BW49" s="144"/>
      <c r="BX49" s="187"/>
      <c r="BY49" s="95">
        <v>1643715</v>
      </c>
      <c r="BZ49" s="94"/>
      <c r="CA49" s="51"/>
      <c r="CB49" s="144"/>
      <c r="CC49" s="187"/>
      <c r="CD49" s="95">
        <v>23235</v>
      </c>
      <c r="CE49" s="94"/>
      <c r="CF49" s="51"/>
      <c r="CG49" s="144"/>
      <c r="CH49" s="187"/>
      <c r="CI49" s="95">
        <v>172163</v>
      </c>
      <c r="CJ49" s="94"/>
      <c r="CK49" s="51"/>
      <c r="CL49" s="144"/>
      <c r="CM49" s="187"/>
      <c r="CN49" s="95">
        <v>148686</v>
      </c>
      <c r="CO49" s="94"/>
      <c r="CP49" s="51"/>
      <c r="CQ49" s="144"/>
      <c r="CR49" s="187"/>
      <c r="CS49" s="95">
        <v>505979</v>
      </c>
      <c r="CT49" s="94"/>
      <c r="CU49" s="51"/>
      <c r="CV49" s="144"/>
      <c r="CW49" s="187"/>
      <c r="CX49" s="95">
        <v>155714</v>
      </c>
      <c r="CY49" s="94"/>
      <c r="CZ49" s="51"/>
      <c r="DA49" s="144"/>
      <c r="DB49" s="187"/>
      <c r="DC49" s="95">
        <v>43294</v>
      </c>
      <c r="DD49" s="94"/>
      <c r="DE49" s="51"/>
      <c r="DF49" s="144"/>
      <c r="DG49" s="187"/>
      <c r="DH49" s="95">
        <v>0</v>
      </c>
      <c r="DI49" s="94"/>
      <c r="DJ49" s="51"/>
      <c r="DK49" s="144"/>
      <c r="DL49" s="187"/>
      <c r="DM49" s="95">
        <v>75634</v>
      </c>
      <c r="DN49" s="94"/>
      <c r="DO49" s="51"/>
      <c r="DP49" s="144"/>
      <c r="DQ49" s="187"/>
      <c r="DR49" s="95">
        <v>3910</v>
      </c>
      <c r="DS49" s="94"/>
      <c r="DT49" s="51"/>
      <c r="DU49" s="144"/>
      <c r="DV49" s="187"/>
      <c r="DW49" s="95">
        <v>0</v>
      </c>
      <c r="DX49" s="94"/>
      <c r="DY49" s="51"/>
      <c r="DZ49" s="144"/>
      <c r="EA49" s="187"/>
      <c r="EB49" s="95">
        <v>363808</v>
      </c>
      <c r="EC49" s="94"/>
      <c r="ED49" s="51"/>
      <c r="EE49" s="144"/>
      <c r="EF49" s="187"/>
      <c r="EG49" s="95">
        <v>151292</v>
      </c>
      <c r="EH49" s="94"/>
      <c r="EI49" s="51"/>
      <c r="EJ49" s="144"/>
      <c r="EK49" s="187"/>
      <c r="EL49" s="95">
        <f t="shared" si="1"/>
        <v>1049071</v>
      </c>
      <c r="EM49" s="94"/>
      <c r="EN49" s="51"/>
      <c r="EO49" s="340"/>
      <c r="ER49" s="39"/>
      <c r="ES49" s="39"/>
    </row>
    <row r="50" spans="1:150" ht="12.75" customHeight="1" x14ac:dyDescent="0.2">
      <c r="A50" s="317"/>
      <c r="B50" s="317"/>
      <c r="D50" s="340"/>
      <c r="E50" s="144"/>
      <c r="F50" s="317"/>
      <c r="G50" s="51"/>
      <c r="H50" s="51"/>
      <c r="I50" s="51"/>
      <c r="J50" s="144"/>
      <c r="K50" s="51"/>
      <c r="L50" s="51"/>
      <c r="M50" s="51"/>
      <c r="N50" s="51"/>
      <c r="O50" s="144"/>
      <c r="P50" s="51"/>
      <c r="Q50" s="51"/>
      <c r="R50" s="51"/>
      <c r="S50" s="51"/>
      <c r="T50" s="144"/>
      <c r="U50" s="51"/>
      <c r="V50" s="51"/>
      <c r="W50" s="51"/>
      <c r="X50" s="51"/>
      <c r="Y50" s="144"/>
      <c r="Z50" s="51"/>
      <c r="AA50" s="51"/>
      <c r="AB50" s="51"/>
      <c r="AC50" s="51"/>
      <c r="AD50" s="144"/>
      <c r="AE50" s="51"/>
      <c r="AF50" s="51"/>
      <c r="AG50" s="51"/>
      <c r="AH50" s="51"/>
      <c r="AI50" s="144"/>
      <c r="AJ50" s="51"/>
      <c r="AK50" s="51"/>
      <c r="AL50" s="51"/>
      <c r="AM50" s="51"/>
      <c r="AN50" s="144"/>
      <c r="AO50" s="51"/>
      <c r="AP50" s="51"/>
      <c r="AQ50" s="51"/>
      <c r="AR50" s="51"/>
      <c r="AS50" s="144"/>
      <c r="AT50" s="51"/>
      <c r="AU50" s="51"/>
      <c r="AV50" s="51"/>
      <c r="AW50" s="51"/>
      <c r="AX50" s="144"/>
      <c r="AY50" s="51"/>
      <c r="AZ50" s="51"/>
      <c r="BA50" s="51"/>
      <c r="BB50" s="51"/>
      <c r="BC50" s="144"/>
      <c r="BD50" s="51"/>
      <c r="BE50" s="51"/>
      <c r="BF50" s="51"/>
      <c r="BG50" s="51"/>
      <c r="BH50" s="144"/>
      <c r="BI50" s="51"/>
      <c r="BJ50" s="51"/>
      <c r="BK50" s="51"/>
      <c r="BL50" s="51"/>
      <c r="BM50" s="144"/>
      <c r="BN50" s="51"/>
      <c r="BO50" s="51"/>
      <c r="BP50" s="51"/>
      <c r="BQ50" s="51"/>
      <c r="BR50" s="144"/>
      <c r="BS50" s="51"/>
      <c r="BT50" s="51"/>
      <c r="BU50" s="51"/>
      <c r="BV50" s="51"/>
      <c r="BW50" s="144"/>
      <c r="BX50" s="51"/>
      <c r="BY50" s="51"/>
      <c r="BZ50" s="51"/>
      <c r="CA50" s="51"/>
      <c r="CB50" s="144"/>
      <c r="CC50" s="51"/>
      <c r="CD50" s="51"/>
      <c r="CE50" s="51"/>
      <c r="CF50" s="51"/>
      <c r="CG50" s="144"/>
      <c r="CH50" s="51"/>
      <c r="CI50" s="51"/>
      <c r="CJ50" s="51"/>
      <c r="CK50" s="51"/>
      <c r="CL50" s="144"/>
      <c r="CM50" s="51"/>
      <c r="CN50" s="51"/>
      <c r="CO50" s="51"/>
      <c r="CP50" s="51"/>
      <c r="CQ50" s="144"/>
      <c r="CR50" s="51"/>
      <c r="CS50" s="51"/>
      <c r="CT50" s="51"/>
      <c r="CU50" s="51"/>
      <c r="CV50" s="144"/>
      <c r="CW50" s="51"/>
      <c r="CX50" s="51"/>
      <c r="CY50" s="51"/>
      <c r="CZ50" s="51"/>
      <c r="DA50" s="144"/>
      <c r="DB50" s="51"/>
      <c r="DC50" s="51"/>
      <c r="DD50" s="51"/>
      <c r="DE50" s="51"/>
      <c r="DF50" s="144"/>
      <c r="DG50" s="51"/>
      <c r="DH50" s="51"/>
      <c r="DI50" s="51"/>
      <c r="DJ50" s="51"/>
      <c r="DK50" s="144"/>
      <c r="DL50" s="51"/>
      <c r="DM50" s="51"/>
      <c r="DN50" s="51"/>
      <c r="DO50" s="51"/>
      <c r="DP50" s="144"/>
      <c r="DQ50" s="51"/>
      <c r="DR50" s="51"/>
      <c r="DS50" s="51"/>
      <c r="DT50" s="51"/>
      <c r="DU50" s="144"/>
      <c r="DV50" s="51"/>
      <c r="DW50" s="51"/>
      <c r="DX50" s="51"/>
      <c r="DY50" s="51"/>
      <c r="DZ50" s="144"/>
      <c r="EA50" s="51"/>
      <c r="EB50" s="51"/>
      <c r="EC50" s="51"/>
      <c r="ED50" s="51"/>
      <c r="EE50" s="144"/>
      <c r="EF50" s="51"/>
      <c r="EG50" s="51"/>
      <c r="EH50" s="51"/>
      <c r="EI50" s="51"/>
      <c r="EJ50" s="144"/>
      <c r="EK50" s="51"/>
      <c r="EL50" s="51"/>
      <c r="EM50" s="51"/>
      <c r="EN50" s="51"/>
      <c r="EO50" s="340"/>
      <c r="ER50" s="39"/>
      <c r="ES50" s="39"/>
    </row>
    <row r="51" spans="1:150" ht="12.75" customHeight="1" x14ac:dyDescent="0.2">
      <c r="A51" s="317"/>
      <c r="B51" s="317"/>
      <c r="D51" s="340" t="s">
        <v>192</v>
      </c>
      <c r="E51" s="144"/>
      <c r="F51" s="317"/>
      <c r="G51" s="51">
        <f>SUM(G52:G55)</f>
        <v>0</v>
      </c>
      <c r="H51" s="51"/>
      <c r="I51" s="51"/>
      <c r="J51" s="144"/>
      <c r="K51" s="51"/>
      <c r="L51" s="51">
        <f>SUM(L52:L55)</f>
        <v>3010097</v>
      </c>
      <c r="M51" s="51"/>
      <c r="N51" s="51"/>
      <c r="O51" s="144"/>
      <c r="P51" s="51"/>
      <c r="Q51" s="51">
        <f>SUM(Q52:Q55)</f>
        <v>1884698</v>
      </c>
      <c r="R51" s="51"/>
      <c r="S51" s="51"/>
      <c r="T51" s="144"/>
      <c r="U51" s="51"/>
      <c r="V51" s="51">
        <f>SUM(V52:V55)</f>
        <v>1178361</v>
      </c>
      <c r="W51" s="51"/>
      <c r="X51" s="51"/>
      <c r="Y51" s="144"/>
      <c r="Z51" s="51"/>
      <c r="AA51" s="51">
        <f>SUM(AA52:AA55)</f>
        <v>1683351</v>
      </c>
      <c r="AB51" s="51"/>
      <c r="AC51" s="51"/>
      <c r="AD51" s="144"/>
      <c r="AE51" s="51"/>
      <c r="AF51" s="51">
        <f>SUM(AF52:AF55)</f>
        <v>1228258</v>
      </c>
      <c r="AG51" s="51"/>
      <c r="AH51" s="51"/>
      <c r="AI51" s="144"/>
      <c r="AJ51" s="51"/>
      <c r="AK51" s="51">
        <f>SUM(AK52:AK55)</f>
        <v>4393495</v>
      </c>
      <c r="AL51" s="51"/>
      <c r="AM51" s="51"/>
      <c r="AN51" s="144"/>
      <c r="AO51" s="51"/>
      <c r="AP51" s="51">
        <f>SUM(AP52:AP55)</f>
        <v>614456</v>
      </c>
      <c r="AQ51" s="51"/>
      <c r="AR51" s="51"/>
      <c r="AS51" s="144"/>
      <c r="AT51" s="51"/>
      <c r="AU51" s="51">
        <f>SUM(AU52:AU55)</f>
        <v>0</v>
      </c>
      <c r="AV51" s="51"/>
      <c r="AW51" s="51"/>
      <c r="AX51" s="144"/>
      <c r="AY51" s="51"/>
      <c r="AZ51" s="51">
        <f>SUM(AZ52:AZ55)</f>
        <v>0</v>
      </c>
      <c r="BA51" s="51"/>
      <c r="BB51" s="51"/>
      <c r="BC51" s="144"/>
      <c r="BD51" s="51"/>
      <c r="BE51" s="51">
        <f>SUM(BE52:BE55)</f>
        <v>0</v>
      </c>
      <c r="BF51" s="51"/>
      <c r="BG51" s="51"/>
      <c r="BH51" s="144"/>
      <c r="BI51" s="51"/>
      <c r="BJ51" s="51">
        <f>SUM(BJ52:BJ55)</f>
        <v>0</v>
      </c>
      <c r="BK51" s="51"/>
      <c r="BL51" s="51"/>
      <c r="BM51" s="144"/>
      <c r="BN51" s="51"/>
      <c r="BO51" s="51">
        <f>SUM(BO52:BO55)</f>
        <v>0</v>
      </c>
      <c r="BP51" s="51"/>
      <c r="BQ51" s="51"/>
      <c r="BR51" s="144"/>
      <c r="BS51" s="51"/>
      <c r="BT51" s="51">
        <f>SUM(BT52:BT55)</f>
        <v>13992716</v>
      </c>
      <c r="BU51" s="51"/>
      <c r="BV51" s="51"/>
      <c r="BW51" s="144"/>
      <c r="BX51" s="51"/>
      <c r="BY51" s="51">
        <f>SUM(BY52:BY55)</f>
        <v>7353693</v>
      </c>
      <c r="BZ51" s="51"/>
      <c r="CA51" s="51"/>
      <c r="CB51" s="144"/>
      <c r="CC51" s="51"/>
      <c r="CD51" s="51">
        <f>SUM(CD52:CD55)</f>
        <v>19384</v>
      </c>
      <c r="CE51" s="51"/>
      <c r="CF51" s="51"/>
      <c r="CG51" s="144"/>
      <c r="CH51" s="51"/>
      <c r="CI51" s="51">
        <f>SUM(CI52:CI55)</f>
        <v>538528</v>
      </c>
      <c r="CJ51" s="51"/>
      <c r="CK51" s="51"/>
      <c r="CL51" s="144"/>
      <c r="CM51" s="51"/>
      <c r="CN51" s="51">
        <f>SUM(CN52:CN55)</f>
        <v>1123720</v>
      </c>
      <c r="CO51" s="51"/>
      <c r="CP51" s="51"/>
      <c r="CQ51" s="144"/>
      <c r="CR51" s="51"/>
      <c r="CS51" s="51">
        <f>SUM(CS52:CS55)</f>
        <v>387465</v>
      </c>
      <c r="CT51" s="51"/>
      <c r="CU51" s="51"/>
      <c r="CV51" s="144"/>
      <c r="CW51" s="51"/>
      <c r="CX51" s="51">
        <f>SUM(CX52:CX55)</f>
        <v>329833</v>
      </c>
      <c r="CY51" s="51"/>
      <c r="CZ51" s="51"/>
      <c r="DA51" s="144"/>
      <c r="DB51" s="51"/>
      <c r="DC51" s="51">
        <f>SUM(DC52:DC55)</f>
        <v>680509</v>
      </c>
      <c r="DD51" s="51"/>
      <c r="DE51" s="51"/>
      <c r="DF51" s="144"/>
      <c r="DG51" s="51"/>
      <c r="DH51" s="51">
        <f>SUM(DH52:DH55)</f>
        <v>1697517</v>
      </c>
      <c r="DI51" s="51"/>
      <c r="DJ51" s="51"/>
      <c r="DK51" s="144"/>
      <c r="DL51" s="51"/>
      <c r="DM51" s="51">
        <f>SUM(DM52:DM55)</f>
        <v>488882</v>
      </c>
      <c r="DN51" s="51"/>
      <c r="DO51" s="51"/>
      <c r="DP51" s="144"/>
      <c r="DQ51" s="51"/>
      <c r="DR51" s="51">
        <f>SUM(DR52:DR55)</f>
        <v>1102190</v>
      </c>
      <c r="DS51" s="51"/>
      <c r="DT51" s="51"/>
      <c r="DU51" s="144"/>
      <c r="DV51" s="51"/>
      <c r="DW51" s="51">
        <f>SUM(DW52:DW55)</f>
        <v>424474</v>
      </c>
      <c r="DX51" s="51"/>
      <c r="DY51" s="51"/>
      <c r="DZ51" s="144"/>
      <c r="EA51" s="51"/>
      <c r="EB51" s="51">
        <f>SUM(EB52:EB55)</f>
        <v>500071</v>
      </c>
      <c r="EC51" s="51"/>
      <c r="ED51" s="51"/>
      <c r="EE51" s="144"/>
      <c r="EF51" s="51"/>
      <c r="EG51" s="51">
        <f>SUM(EG52:EG55)</f>
        <v>61120</v>
      </c>
      <c r="EH51" s="51"/>
      <c r="EI51" s="51"/>
      <c r="EJ51" s="144"/>
      <c r="EK51" s="51"/>
      <c r="EL51" s="51">
        <f>SUM(EL52:EL55)</f>
        <v>4776956</v>
      </c>
      <c r="EM51" s="51"/>
      <c r="EN51" s="51"/>
      <c r="EO51" s="340"/>
      <c r="ER51" s="39"/>
      <c r="ES51" s="39"/>
    </row>
    <row r="52" spans="1:150" ht="12.75" customHeight="1" x14ac:dyDescent="0.2">
      <c r="A52" s="317"/>
      <c r="B52" s="317"/>
      <c r="D52" s="340" t="s">
        <v>183</v>
      </c>
      <c r="E52" s="144"/>
      <c r="F52" s="354"/>
      <c r="G52" s="430">
        <v>0</v>
      </c>
      <c r="H52" s="431"/>
      <c r="I52" s="51"/>
      <c r="J52" s="144"/>
      <c r="K52" s="432"/>
      <c r="L52" s="430">
        <f>2205000-543381</f>
        <v>1661619</v>
      </c>
      <c r="M52" s="431"/>
      <c r="N52" s="51"/>
      <c r="O52" s="144"/>
      <c r="P52" s="432"/>
      <c r="Q52" s="430">
        <f>1375000-337898</f>
        <v>1037102</v>
      </c>
      <c r="R52" s="431"/>
      <c r="S52" s="51"/>
      <c r="T52" s="144"/>
      <c r="U52" s="432"/>
      <c r="V52" s="430">
        <f>850000-212145</f>
        <v>637855</v>
      </c>
      <c r="W52" s="431"/>
      <c r="X52" s="51"/>
      <c r="Y52" s="144"/>
      <c r="Z52" s="432"/>
      <c r="AA52" s="430">
        <f>1210000-328215</f>
        <v>881785</v>
      </c>
      <c r="AB52" s="431"/>
      <c r="AC52" s="51"/>
      <c r="AD52" s="144"/>
      <c r="AE52" s="432"/>
      <c r="AF52" s="430">
        <f>875000-238067</f>
        <v>636933</v>
      </c>
      <c r="AG52" s="431"/>
      <c r="AH52" s="51"/>
      <c r="AI52" s="144"/>
      <c r="AJ52" s="432"/>
      <c r="AK52" s="430">
        <f>3110000-865322</f>
        <v>2244678</v>
      </c>
      <c r="AL52" s="431"/>
      <c r="AM52" s="51"/>
      <c r="AN52" s="144"/>
      <c r="AO52" s="432"/>
      <c r="AP52" s="430">
        <f>430000-131754</f>
        <v>298246</v>
      </c>
      <c r="AQ52" s="431"/>
      <c r="AR52" s="51"/>
      <c r="AS52" s="144"/>
      <c r="AT52" s="432"/>
      <c r="AU52" s="430">
        <v>0</v>
      </c>
      <c r="AV52" s="431"/>
      <c r="AW52" s="51"/>
      <c r="AX52" s="144"/>
      <c r="AY52" s="432"/>
      <c r="AZ52" s="430">
        <v>0</v>
      </c>
      <c r="BA52" s="431"/>
      <c r="BB52" s="51"/>
      <c r="BC52" s="144"/>
      <c r="BD52" s="432"/>
      <c r="BE52" s="430">
        <v>0</v>
      </c>
      <c r="BF52" s="431"/>
      <c r="BG52" s="51"/>
      <c r="BH52" s="144"/>
      <c r="BI52" s="432"/>
      <c r="BJ52" s="430">
        <v>0</v>
      </c>
      <c r="BK52" s="431"/>
      <c r="BL52" s="51"/>
      <c r="BM52" s="144"/>
      <c r="BN52" s="432"/>
      <c r="BO52" s="430">
        <v>0</v>
      </c>
      <c r="BP52" s="431"/>
      <c r="BQ52" s="51"/>
      <c r="BR52" s="144"/>
      <c r="BS52" s="432"/>
      <c r="BT52" s="430">
        <f>SUM(L52:BO52)</f>
        <v>7398218</v>
      </c>
      <c r="BU52" s="431"/>
      <c r="BV52" s="51"/>
      <c r="BW52" s="144"/>
      <c r="BX52" s="432"/>
      <c r="BY52" s="430">
        <v>4155684</v>
      </c>
      <c r="BZ52" s="431"/>
      <c r="CA52" s="51"/>
      <c r="CB52" s="144"/>
      <c r="CC52" s="432"/>
      <c r="CD52" s="430">
        <f>15000-3742</f>
        <v>11258</v>
      </c>
      <c r="CE52" s="431"/>
      <c r="CF52" s="51"/>
      <c r="CG52" s="144"/>
      <c r="CH52" s="432"/>
      <c r="CI52" s="430">
        <f>415000-109801</f>
        <v>305199</v>
      </c>
      <c r="CJ52" s="431"/>
      <c r="CK52" s="51"/>
      <c r="CL52" s="144"/>
      <c r="CM52" s="432"/>
      <c r="CN52" s="430">
        <f>860000-204385</f>
        <v>655615</v>
      </c>
      <c r="CO52" s="431"/>
      <c r="CP52" s="51"/>
      <c r="CQ52" s="144"/>
      <c r="CR52" s="432"/>
      <c r="CS52" s="430">
        <f>295000-75163</f>
        <v>219837</v>
      </c>
      <c r="CT52" s="431"/>
      <c r="CU52" s="51"/>
      <c r="CV52" s="144"/>
      <c r="CW52" s="432"/>
      <c r="CX52" s="430">
        <f>250000-63591</f>
        <v>186409</v>
      </c>
      <c r="CY52" s="431"/>
      <c r="CZ52" s="51"/>
      <c r="DA52" s="144"/>
      <c r="DB52" s="432"/>
      <c r="DC52" s="430">
        <f>515000-123930</f>
        <v>391070</v>
      </c>
      <c r="DD52" s="431"/>
      <c r="DE52" s="51"/>
      <c r="DF52" s="144"/>
      <c r="DG52" s="432"/>
      <c r="DH52" s="430">
        <f>1275000-324672</f>
        <v>950328</v>
      </c>
      <c r="DI52" s="431"/>
      <c r="DJ52" s="51"/>
      <c r="DK52" s="144"/>
      <c r="DL52" s="432"/>
      <c r="DM52" s="430">
        <f>365000-92881</f>
        <v>272119</v>
      </c>
      <c r="DN52" s="431"/>
      <c r="DO52" s="51"/>
      <c r="DP52" s="144"/>
      <c r="DQ52" s="432"/>
      <c r="DR52" s="430">
        <f>820000-212564</f>
        <v>607436</v>
      </c>
      <c r="DS52" s="431"/>
      <c r="DT52" s="51"/>
      <c r="DU52" s="144"/>
      <c r="DV52" s="432"/>
      <c r="DW52" s="430">
        <f>315000-74268</f>
        <v>240732</v>
      </c>
      <c r="DX52" s="431"/>
      <c r="DY52" s="51"/>
      <c r="DZ52" s="144"/>
      <c r="EA52" s="432"/>
      <c r="EB52" s="430">
        <f>370000-88596</f>
        <v>281404</v>
      </c>
      <c r="EC52" s="431"/>
      <c r="ED52" s="51"/>
      <c r="EE52" s="144"/>
      <c r="EF52" s="432"/>
      <c r="EG52" s="430">
        <f>45000-10723</f>
        <v>34277</v>
      </c>
      <c r="EH52" s="431"/>
      <c r="EI52" s="51"/>
      <c r="EJ52" s="144"/>
      <c r="EK52" s="432"/>
      <c r="EL52" s="430">
        <f t="shared" ref="EL52:EL55" si="2">SUM(CD52:DH52)</f>
        <v>2719716</v>
      </c>
      <c r="EM52" s="431"/>
      <c r="EN52" s="51"/>
      <c r="EO52" s="340"/>
      <c r="ER52" s="39"/>
      <c r="ES52" s="39"/>
      <c r="ET52" s="39"/>
    </row>
    <row r="53" spans="1:150" ht="12.75" customHeight="1" x14ac:dyDescent="0.2">
      <c r="A53" s="317"/>
      <c r="B53" s="317"/>
      <c r="D53" s="340" t="s">
        <v>186</v>
      </c>
      <c r="E53" s="144"/>
      <c r="F53" s="347"/>
      <c r="G53" s="51">
        <v>0</v>
      </c>
      <c r="H53" s="50"/>
      <c r="I53" s="51"/>
      <c r="J53" s="144"/>
      <c r="K53" s="144"/>
      <c r="L53" s="51">
        <v>543381</v>
      </c>
      <c r="M53" s="50"/>
      <c r="N53" s="51"/>
      <c r="O53" s="144"/>
      <c r="P53" s="144"/>
      <c r="Q53" s="51">
        <v>337898</v>
      </c>
      <c r="R53" s="50"/>
      <c r="S53" s="51"/>
      <c r="T53" s="144"/>
      <c r="U53" s="144"/>
      <c r="V53" s="51">
        <v>212145</v>
      </c>
      <c r="W53" s="50"/>
      <c r="X53" s="51"/>
      <c r="Y53" s="144"/>
      <c r="Z53" s="144"/>
      <c r="AA53" s="51">
        <v>328215</v>
      </c>
      <c r="AB53" s="50"/>
      <c r="AC53" s="51"/>
      <c r="AD53" s="144"/>
      <c r="AE53" s="144"/>
      <c r="AF53" s="51">
        <v>238067</v>
      </c>
      <c r="AG53" s="50"/>
      <c r="AH53" s="51"/>
      <c r="AI53" s="144"/>
      <c r="AJ53" s="144"/>
      <c r="AK53" s="51">
        <v>865322</v>
      </c>
      <c r="AL53" s="50"/>
      <c r="AM53" s="51"/>
      <c r="AN53" s="144"/>
      <c r="AO53" s="144"/>
      <c r="AP53" s="51">
        <v>131754</v>
      </c>
      <c r="AQ53" s="50"/>
      <c r="AR53" s="51"/>
      <c r="AS53" s="144"/>
      <c r="AT53" s="144"/>
      <c r="AU53" s="51">
        <v>0</v>
      </c>
      <c r="AV53" s="50"/>
      <c r="AW53" s="51"/>
      <c r="AX53" s="144"/>
      <c r="AY53" s="144"/>
      <c r="AZ53" s="51">
        <v>0</v>
      </c>
      <c r="BA53" s="50"/>
      <c r="BB53" s="51"/>
      <c r="BC53" s="144"/>
      <c r="BD53" s="144"/>
      <c r="BE53" s="51">
        <v>0</v>
      </c>
      <c r="BF53" s="50"/>
      <c r="BG53" s="51"/>
      <c r="BH53" s="144"/>
      <c r="BI53" s="144"/>
      <c r="BJ53" s="51">
        <v>0</v>
      </c>
      <c r="BK53" s="50"/>
      <c r="BL53" s="51"/>
      <c r="BM53" s="144"/>
      <c r="BN53" s="144"/>
      <c r="BO53" s="51">
        <v>0</v>
      </c>
      <c r="BP53" s="50"/>
      <c r="BQ53" s="51"/>
      <c r="BR53" s="144"/>
      <c r="BS53" s="144"/>
      <c r="BT53" s="51">
        <f>SUM(L53:BO53)</f>
        <v>2656782</v>
      </c>
      <c r="BU53" s="50"/>
      <c r="BV53" s="51"/>
      <c r="BW53" s="144"/>
      <c r="BX53" s="144"/>
      <c r="BY53" s="51">
        <v>1384316</v>
      </c>
      <c r="BZ53" s="50"/>
      <c r="CA53" s="51"/>
      <c r="CB53" s="144"/>
      <c r="CC53" s="144"/>
      <c r="CD53" s="51">
        <v>3742</v>
      </c>
      <c r="CE53" s="50"/>
      <c r="CF53" s="51"/>
      <c r="CG53" s="144"/>
      <c r="CH53" s="144"/>
      <c r="CI53" s="51">
        <v>109801</v>
      </c>
      <c r="CJ53" s="50"/>
      <c r="CK53" s="51"/>
      <c r="CL53" s="144"/>
      <c r="CM53" s="144"/>
      <c r="CN53" s="51">
        <v>204385</v>
      </c>
      <c r="CO53" s="50"/>
      <c r="CP53" s="51"/>
      <c r="CQ53" s="144"/>
      <c r="CR53" s="144"/>
      <c r="CS53" s="51">
        <v>75163</v>
      </c>
      <c r="CT53" s="50"/>
      <c r="CU53" s="51"/>
      <c r="CV53" s="144"/>
      <c r="CW53" s="144"/>
      <c r="CX53" s="51">
        <v>63591</v>
      </c>
      <c r="CY53" s="50"/>
      <c r="CZ53" s="51"/>
      <c r="DA53" s="144"/>
      <c r="DB53" s="144"/>
      <c r="DC53" s="51">
        <v>123930</v>
      </c>
      <c r="DD53" s="50"/>
      <c r="DE53" s="51"/>
      <c r="DF53" s="144"/>
      <c r="DG53" s="144"/>
      <c r="DH53" s="51">
        <v>324672</v>
      </c>
      <c r="DI53" s="50"/>
      <c r="DJ53" s="51"/>
      <c r="DK53" s="144"/>
      <c r="DL53" s="144"/>
      <c r="DM53" s="51">
        <v>92881</v>
      </c>
      <c r="DN53" s="50"/>
      <c r="DO53" s="51"/>
      <c r="DP53" s="144"/>
      <c r="DQ53" s="144"/>
      <c r="DR53" s="51">
        <v>212564</v>
      </c>
      <c r="DS53" s="50"/>
      <c r="DT53" s="51"/>
      <c r="DU53" s="144"/>
      <c r="DV53" s="144"/>
      <c r="DW53" s="51">
        <v>74268</v>
      </c>
      <c r="DX53" s="50"/>
      <c r="DY53" s="51"/>
      <c r="DZ53" s="144"/>
      <c r="EA53" s="144"/>
      <c r="EB53" s="51">
        <v>88596</v>
      </c>
      <c r="EC53" s="50"/>
      <c r="ED53" s="51"/>
      <c r="EE53" s="144"/>
      <c r="EF53" s="144"/>
      <c r="EG53" s="51">
        <v>10723</v>
      </c>
      <c r="EH53" s="50"/>
      <c r="EI53" s="51"/>
      <c r="EJ53" s="144"/>
      <c r="EK53" s="144"/>
      <c r="EL53" s="51">
        <f t="shared" si="2"/>
        <v>905284</v>
      </c>
      <c r="EM53" s="50"/>
      <c r="EN53" s="51"/>
      <c r="EO53" s="340"/>
      <c r="ER53" s="39"/>
      <c r="ES53" s="39"/>
    </row>
    <row r="54" spans="1:150" ht="12.75" customHeight="1" x14ac:dyDescent="0.2">
      <c r="A54" s="317"/>
      <c r="B54" s="317"/>
      <c r="D54" s="340" t="s">
        <v>187</v>
      </c>
      <c r="E54" s="144"/>
      <c r="F54" s="347"/>
      <c r="G54" s="51">
        <v>0</v>
      </c>
      <c r="H54" s="50"/>
      <c r="I54" s="51"/>
      <c r="J54" s="144"/>
      <c r="K54" s="144"/>
      <c r="L54" s="51">
        <v>0</v>
      </c>
      <c r="M54" s="50"/>
      <c r="N54" s="51"/>
      <c r="O54" s="144"/>
      <c r="P54" s="144"/>
      <c r="Q54" s="51">
        <v>0</v>
      </c>
      <c r="R54" s="50"/>
      <c r="S54" s="51"/>
      <c r="T54" s="144"/>
      <c r="U54" s="144"/>
      <c r="V54" s="51">
        <v>0</v>
      </c>
      <c r="W54" s="50"/>
      <c r="X54" s="51"/>
      <c r="Y54" s="144"/>
      <c r="Z54" s="144"/>
      <c r="AA54" s="51">
        <v>0</v>
      </c>
      <c r="AB54" s="50"/>
      <c r="AC54" s="51"/>
      <c r="AD54" s="144"/>
      <c r="AE54" s="144"/>
      <c r="AF54" s="51">
        <v>0</v>
      </c>
      <c r="AG54" s="50"/>
      <c r="AH54" s="51"/>
      <c r="AI54" s="144"/>
      <c r="AJ54" s="144"/>
      <c r="AK54" s="51">
        <v>0</v>
      </c>
      <c r="AL54" s="50"/>
      <c r="AM54" s="51"/>
      <c r="AN54" s="144"/>
      <c r="AO54" s="144"/>
      <c r="AP54" s="51">
        <v>0</v>
      </c>
      <c r="AQ54" s="50"/>
      <c r="AR54" s="51"/>
      <c r="AS54" s="144"/>
      <c r="AT54" s="144"/>
      <c r="AU54" s="51">
        <v>0</v>
      </c>
      <c r="AV54" s="50"/>
      <c r="AW54" s="51"/>
      <c r="AX54" s="144"/>
      <c r="AY54" s="144"/>
      <c r="AZ54" s="51">
        <v>0</v>
      </c>
      <c r="BA54" s="50"/>
      <c r="BB54" s="51"/>
      <c r="BC54" s="144"/>
      <c r="BD54" s="144"/>
      <c r="BE54" s="51">
        <v>0</v>
      </c>
      <c r="BF54" s="50"/>
      <c r="BG54" s="51"/>
      <c r="BH54" s="144"/>
      <c r="BI54" s="144"/>
      <c r="BJ54" s="51">
        <v>0</v>
      </c>
      <c r="BK54" s="50"/>
      <c r="BL54" s="51"/>
      <c r="BM54" s="144"/>
      <c r="BN54" s="144"/>
      <c r="BO54" s="51">
        <v>0</v>
      </c>
      <c r="BP54" s="50"/>
      <c r="BQ54" s="51"/>
      <c r="BR54" s="144"/>
      <c r="BS54" s="144"/>
      <c r="BT54" s="51">
        <f>SUM(L54:BO54)</f>
        <v>0</v>
      </c>
      <c r="BU54" s="50"/>
      <c r="BV54" s="51"/>
      <c r="BW54" s="144"/>
      <c r="BX54" s="144"/>
      <c r="BY54" s="51">
        <v>0</v>
      </c>
      <c r="BZ54" s="50"/>
      <c r="CA54" s="51"/>
      <c r="CB54" s="144"/>
      <c r="CC54" s="144"/>
      <c r="CD54" s="51">
        <v>0</v>
      </c>
      <c r="CE54" s="50"/>
      <c r="CF54" s="51"/>
      <c r="CG54" s="144"/>
      <c r="CH54" s="144"/>
      <c r="CI54" s="51">
        <v>0</v>
      </c>
      <c r="CJ54" s="50"/>
      <c r="CK54" s="51"/>
      <c r="CL54" s="144"/>
      <c r="CM54" s="144"/>
      <c r="CN54" s="51">
        <v>0</v>
      </c>
      <c r="CO54" s="50"/>
      <c r="CP54" s="51"/>
      <c r="CQ54" s="144"/>
      <c r="CR54" s="144"/>
      <c r="CS54" s="51">
        <v>0</v>
      </c>
      <c r="CT54" s="50"/>
      <c r="CU54" s="51"/>
      <c r="CV54" s="144"/>
      <c r="CW54" s="144"/>
      <c r="CX54" s="51">
        <v>0</v>
      </c>
      <c r="CY54" s="50"/>
      <c r="CZ54" s="51"/>
      <c r="DA54" s="144"/>
      <c r="DB54" s="144"/>
      <c r="DC54" s="51">
        <v>0</v>
      </c>
      <c r="DD54" s="50"/>
      <c r="DE54" s="51"/>
      <c r="DF54" s="144"/>
      <c r="DG54" s="144"/>
      <c r="DH54" s="51">
        <v>0</v>
      </c>
      <c r="DI54" s="50"/>
      <c r="DJ54" s="51"/>
      <c r="DK54" s="144"/>
      <c r="DL54" s="144"/>
      <c r="DM54" s="51">
        <v>0</v>
      </c>
      <c r="DN54" s="50"/>
      <c r="DO54" s="51"/>
      <c r="DP54" s="144"/>
      <c r="DQ54" s="144"/>
      <c r="DR54" s="51">
        <v>0</v>
      </c>
      <c r="DS54" s="50"/>
      <c r="DT54" s="51"/>
      <c r="DU54" s="144"/>
      <c r="DV54" s="144"/>
      <c r="DW54" s="51">
        <v>0</v>
      </c>
      <c r="DX54" s="50"/>
      <c r="DY54" s="51"/>
      <c r="DZ54" s="144"/>
      <c r="EA54" s="144"/>
      <c r="EB54" s="51">
        <v>0</v>
      </c>
      <c r="EC54" s="50"/>
      <c r="ED54" s="51"/>
      <c r="EE54" s="144"/>
      <c r="EF54" s="144"/>
      <c r="EG54" s="51">
        <v>0</v>
      </c>
      <c r="EH54" s="50"/>
      <c r="EI54" s="51"/>
      <c r="EJ54" s="144"/>
      <c r="EK54" s="144"/>
      <c r="EL54" s="51">
        <f t="shared" si="2"/>
        <v>0</v>
      </c>
      <c r="EM54" s="50"/>
      <c r="EN54" s="51"/>
      <c r="EO54" s="340"/>
      <c r="ER54" s="39"/>
      <c r="ES54" s="39"/>
    </row>
    <row r="55" spans="1:150" ht="12.75" customHeight="1" x14ac:dyDescent="0.2">
      <c r="A55" s="317"/>
      <c r="B55" s="317"/>
      <c r="D55" s="340" t="s">
        <v>188</v>
      </c>
      <c r="E55" s="144"/>
      <c r="F55" s="371"/>
      <c r="G55" s="95">
        <v>0</v>
      </c>
      <c r="H55" s="94"/>
      <c r="I55" s="51"/>
      <c r="J55" s="144"/>
      <c r="K55" s="187"/>
      <c r="L55" s="95">
        <v>805097</v>
      </c>
      <c r="M55" s="94"/>
      <c r="N55" s="51"/>
      <c r="O55" s="144"/>
      <c r="P55" s="187"/>
      <c r="Q55" s="95">
        <v>509698</v>
      </c>
      <c r="R55" s="94"/>
      <c r="S55" s="51"/>
      <c r="T55" s="144"/>
      <c r="U55" s="187"/>
      <c r="V55" s="95">
        <v>328361</v>
      </c>
      <c r="W55" s="94"/>
      <c r="X55" s="51"/>
      <c r="Y55" s="144"/>
      <c r="Z55" s="187"/>
      <c r="AA55" s="95">
        <v>473351</v>
      </c>
      <c r="AB55" s="94"/>
      <c r="AC55" s="51"/>
      <c r="AD55" s="144"/>
      <c r="AE55" s="187"/>
      <c r="AF55" s="95">
        <v>353258</v>
      </c>
      <c r="AG55" s="94"/>
      <c r="AH55" s="51"/>
      <c r="AI55" s="144"/>
      <c r="AJ55" s="187"/>
      <c r="AK55" s="95">
        <v>1283495</v>
      </c>
      <c r="AL55" s="94"/>
      <c r="AM55" s="51"/>
      <c r="AN55" s="144"/>
      <c r="AO55" s="187"/>
      <c r="AP55" s="95">
        <v>184456</v>
      </c>
      <c r="AQ55" s="94"/>
      <c r="AR55" s="51"/>
      <c r="AS55" s="144"/>
      <c r="AT55" s="187"/>
      <c r="AU55" s="95">
        <v>0</v>
      </c>
      <c r="AV55" s="94"/>
      <c r="AW55" s="51"/>
      <c r="AX55" s="144"/>
      <c r="AY55" s="187"/>
      <c r="AZ55" s="95">
        <v>0</v>
      </c>
      <c r="BA55" s="94"/>
      <c r="BB55" s="51"/>
      <c r="BC55" s="144"/>
      <c r="BD55" s="187"/>
      <c r="BE55" s="95">
        <v>0</v>
      </c>
      <c r="BF55" s="94"/>
      <c r="BG55" s="51"/>
      <c r="BH55" s="144"/>
      <c r="BI55" s="187"/>
      <c r="BJ55" s="95">
        <v>0</v>
      </c>
      <c r="BK55" s="94"/>
      <c r="BL55" s="51"/>
      <c r="BM55" s="144"/>
      <c r="BN55" s="187"/>
      <c r="BO55" s="95">
        <v>0</v>
      </c>
      <c r="BP55" s="94"/>
      <c r="BQ55" s="51"/>
      <c r="BR55" s="144"/>
      <c r="BS55" s="187"/>
      <c r="BT55" s="95">
        <f>SUM(L55:BO55)</f>
        <v>3937716</v>
      </c>
      <c r="BU55" s="94"/>
      <c r="BV55" s="51"/>
      <c r="BW55" s="144"/>
      <c r="BX55" s="187"/>
      <c r="BY55" s="95">
        <v>1813693</v>
      </c>
      <c r="BZ55" s="94"/>
      <c r="CA55" s="51"/>
      <c r="CB55" s="144"/>
      <c r="CC55" s="187"/>
      <c r="CD55" s="95">
        <v>4384</v>
      </c>
      <c r="CE55" s="94"/>
      <c r="CF55" s="51"/>
      <c r="CG55" s="144"/>
      <c r="CH55" s="187"/>
      <c r="CI55" s="95">
        <v>123528</v>
      </c>
      <c r="CJ55" s="94"/>
      <c r="CK55" s="51"/>
      <c r="CL55" s="144"/>
      <c r="CM55" s="187"/>
      <c r="CN55" s="95">
        <v>263720</v>
      </c>
      <c r="CO55" s="94"/>
      <c r="CP55" s="51"/>
      <c r="CQ55" s="144"/>
      <c r="CR55" s="187"/>
      <c r="CS55" s="95">
        <v>92465</v>
      </c>
      <c r="CT55" s="94"/>
      <c r="CU55" s="51"/>
      <c r="CV55" s="144"/>
      <c r="CW55" s="187"/>
      <c r="CX55" s="95">
        <v>79833</v>
      </c>
      <c r="CY55" s="94"/>
      <c r="CZ55" s="51"/>
      <c r="DA55" s="144"/>
      <c r="DB55" s="187"/>
      <c r="DC55" s="95">
        <v>165509</v>
      </c>
      <c r="DD55" s="94"/>
      <c r="DE55" s="51"/>
      <c r="DF55" s="144"/>
      <c r="DG55" s="187"/>
      <c r="DH55" s="95">
        <v>422517</v>
      </c>
      <c r="DI55" s="94"/>
      <c r="DJ55" s="51"/>
      <c r="DK55" s="144"/>
      <c r="DL55" s="187"/>
      <c r="DM55" s="95">
        <v>123882</v>
      </c>
      <c r="DN55" s="94"/>
      <c r="DO55" s="51"/>
      <c r="DP55" s="144"/>
      <c r="DQ55" s="187"/>
      <c r="DR55" s="95">
        <v>282190</v>
      </c>
      <c r="DS55" s="94"/>
      <c r="DT55" s="51"/>
      <c r="DU55" s="144"/>
      <c r="DV55" s="187"/>
      <c r="DW55" s="95">
        <v>109474</v>
      </c>
      <c r="DX55" s="94"/>
      <c r="DY55" s="51"/>
      <c r="DZ55" s="144"/>
      <c r="EA55" s="187"/>
      <c r="EB55" s="95">
        <v>130071</v>
      </c>
      <c r="EC55" s="94"/>
      <c r="ED55" s="51"/>
      <c r="EE55" s="144"/>
      <c r="EF55" s="187"/>
      <c r="EG55" s="95">
        <v>16120</v>
      </c>
      <c r="EH55" s="94"/>
      <c r="EI55" s="51"/>
      <c r="EJ55" s="144"/>
      <c r="EK55" s="187"/>
      <c r="EL55" s="95">
        <f t="shared" si="2"/>
        <v>1151956</v>
      </c>
      <c r="EM55" s="94"/>
      <c r="EN55" s="51"/>
      <c r="EO55" s="340"/>
      <c r="ER55" s="39"/>
      <c r="ES55" s="39"/>
    </row>
    <row r="56" spans="1:150" x14ac:dyDescent="0.2">
      <c r="A56" s="317"/>
      <c r="B56" s="317"/>
      <c r="D56" s="340"/>
      <c r="E56" s="144"/>
      <c r="F56" s="317"/>
      <c r="G56" s="51"/>
      <c r="H56" s="51"/>
      <c r="I56" s="51"/>
      <c r="J56" s="144"/>
      <c r="K56" s="51"/>
      <c r="L56" s="51"/>
      <c r="M56" s="51"/>
      <c r="N56" s="51"/>
      <c r="O56" s="144"/>
      <c r="P56" s="51"/>
      <c r="Q56" s="51"/>
      <c r="R56" s="51"/>
      <c r="S56" s="51"/>
      <c r="T56" s="144"/>
      <c r="U56" s="51"/>
      <c r="V56" s="51"/>
      <c r="W56" s="51"/>
      <c r="X56" s="51"/>
      <c r="Y56" s="144"/>
      <c r="Z56" s="51"/>
      <c r="AA56" s="51"/>
      <c r="AB56" s="51"/>
      <c r="AC56" s="51"/>
      <c r="AD56" s="144"/>
      <c r="AE56" s="51"/>
      <c r="AF56" s="51"/>
      <c r="AG56" s="51"/>
      <c r="AH56" s="51"/>
      <c r="AI56" s="144"/>
      <c r="AJ56" s="51"/>
      <c r="AK56" s="51"/>
      <c r="AL56" s="51"/>
      <c r="AM56" s="51"/>
      <c r="AN56" s="144"/>
      <c r="AO56" s="51"/>
      <c r="AP56" s="51"/>
      <c r="AQ56" s="51"/>
      <c r="AR56" s="51"/>
      <c r="AS56" s="144"/>
      <c r="AT56" s="51"/>
      <c r="AU56" s="51"/>
      <c r="AV56" s="51"/>
      <c r="AW56" s="51"/>
      <c r="AX56" s="144"/>
      <c r="AY56" s="51"/>
      <c r="AZ56" s="51"/>
      <c r="BA56" s="51"/>
      <c r="BB56" s="51"/>
      <c r="BC56" s="144"/>
      <c r="BD56" s="51"/>
      <c r="BE56" s="51"/>
      <c r="BF56" s="51"/>
      <c r="BG56" s="51"/>
      <c r="BH56" s="144"/>
      <c r="BI56" s="51"/>
      <c r="BJ56" s="51"/>
      <c r="BK56" s="51"/>
      <c r="BL56" s="51"/>
      <c r="BM56" s="144"/>
      <c r="BN56" s="51"/>
      <c r="BO56" s="51"/>
      <c r="BP56" s="51"/>
      <c r="BQ56" s="51"/>
      <c r="BR56" s="144"/>
      <c r="BS56" s="51"/>
      <c r="BT56" s="51"/>
      <c r="BU56" s="51"/>
      <c r="BV56" s="51"/>
      <c r="BW56" s="144"/>
      <c r="BX56" s="51"/>
      <c r="BY56" s="51"/>
      <c r="BZ56" s="51"/>
      <c r="CA56" s="51"/>
      <c r="CB56" s="144"/>
      <c r="CC56" s="51"/>
      <c r="CD56" s="51"/>
      <c r="CE56" s="51"/>
      <c r="CF56" s="51"/>
      <c r="CG56" s="144"/>
      <c r="CH56" s="51"/>
      <c r="CI56" s="51"/>
      <c r="CJ56" s="51"/>
      <c r="CK56" s="51"/>
      <c r="CL56" s="144"/>
      <c r="CM56" s="51"/>
      <c r="CN56" s="51"/>
      <c r="CO56" s="51"/>
      <c r="CP56" s="51"/>
      <c r="CQ56" s="144"/>
      <c r="CR56" s="51"/>
      <c r="CS56" s="51"/>
      <c r="CT56" s="51"/>
      <c r="CU56" s="51"/>
      <c r="CV56" s="144"/>
      <c r="CW56" s="51"/>
      <c r="CX56" s="51"/>
      <c r="CY56" s="51"/>
      <c r="CZ56" s="51"/>
      <c r="DA56" s="144"/>
      <c r="DB56" s="51"/>
      <c r="DC56" s="51"/>
      <c r="DD56" s="51"/>
      <c r="DE56" s="51"/>
      <c r="DF56" s="144"/>
      <c r="DG56" s="51"/>
      <c r="DH56" s="51"/>
      <c r="DI56" s="51"/>
      <c r="DJ56" s="51"/>
      <c r="DK56" s="144"/>
      <c r="DL56" s="51"/>
      <c r="DM56" s="51"/>
      <c r="DN56" s="51"/>
      <c r="DO56" s="51"/>
      <c r="DP56" s="144"/>
      <c r="DQ56" s="51"/>
      <c r="DR56" s="51"/>
      <c r="DS56" s="51"/>
      <c r="DT56" s="51"/>
      <c r="DU56" s="144"/>
      <c r="DV56" s="51"/>
      <c r="DW56" s="51"/>
      <c r="DX56" s="51"/>
      <c r="DY56" s="51"/>
      <c r="DZ56" s="144"/>
      <c r="EA56" s="51"/>
      <c r="EB56" s="51"/>
      <c r="EC56" s="51"/>
      <c r="ED56" s="51"/>
      <c r="EE56" s="144"/>
      <c r="EF56" s="51"/>
      <c r="EG56" s="51"/>
      <c r="EH56" s="51"/>
      <c r="EI56" s="51"/>
      <c r="EJ56" s="144"/>
      <c r="EK56" s="51"/>
      <c r="EL56" s="51"/>
      <c r="EM56" s="51"/>
      <c r="EN56" s="51"/>
      <c r="EO56" s="340"/>
      <c r="ER56" s="39"/>
      <c r="ES56" s="39"/>
    </row>
    <row r="57" spans="1:150" ht="12.75" hidden="1" customHeight="1" x14ac:dyDescent="0.2">
      <c r="A57" s="317"/>
      <c r="B57" s="317"/>
      <c r="D57" s="340" t="s">
        <v>193</v>
      </c>
      <c r="E57" s="144"/>
      <c r="F57" s="317"/>
      <c r="G57" s="51">
        <f>SUM(G58:G61)</f>
        <v>0</v>
      </c>
      <c r="H57" s="51"/>
      <c r="I57" s="51"/>
      <c r="J57" s="144"/>
      <c r="K57" s="51"/>
      <c r="L57" s="51">
        <f>SUM(L58:L61)</f>
        <v>0</v>
      </c>
      <c r="M57" s="51"/>
      <c r="N57" s="51"/>
      <c r="O57" s="144"/>
      <c r="P57" s="51"/>
      <c r="Q57" s="51">
        <f>SUM(Q58:Q61)</f>
        <v>0</v>
      </c>
      <c r="R57" s="51"/>
      <c r="S57" s="51"/>
      <c r="T57" s="144"/>
      <c r="U57" s="51"/>
      <c r="V57" s="51">
        <f>SUM(V58:V61)</f>
        <v>0</v>
      </c>
      <c r="W57" s="51"/>
      <c r="X57" s="51"/>
      <c r="Y57" s="144"/>
      <c r="Z57" s="51"/>
      <c r="AA57" s="51">
        <f>SUM(AA58:AA61)</f>
        <v>0</v>
      </c>
      <c r="AB57" s="51"/>
      <c r="AC57" s="51"/>
      <c r="AD57" s="144"/>
      <c r="AE57" s="51"/>
      <c r="AF57" s="51">
        <f>SUM(AF58:AF61)</f>
        <v>0</v>
      </c>
      <c r="AG57" s="51"/>
      <c r="AH57" s="51"/>
      <c r="AI57" s="144"/>
      <c r="AJ57" s="51"/>
      <c r="AK57" s="51">
        <f>SUM(AK58:AK61)</f>
        <v>0</v>
      </c>
      <c r="AL57" s="51"/>
      <c r="AM57" s="51"/>
      <c r="AN57" s="144"/>
      <c r="AO57" s="51"/>
      <c r="AP57" s="51">
        <f>SUM(AP58:AP61)</f>
        <v>0</v>
      </c>
      <c r="AQ57" s="51"/>
      <c r="AR57" s="51"/>
      <c r="AS57" s="144"/>
      <c r="AT57" s="51"/>
      <c r="AU57" s="51">
        <f>SUM(AU58:AU61)</f>
        <v>0</v>
      </c>
      <c r="AV57" s="51"/>
      <c r="AW57" s="51"/>
      <c r="AX57" s="144"/>
      <c r="AY57" s="51"/>
      <c r="AZ57" s="51">
        <f>SUM(AZ58:AZ61)</f>
        <v>0</v>
      </c>
      <c r="BA57" s="51"/>
      <c r="BB57" s="51"/>
      <c r="BC57" s="144"/>
      <c r="BD57" s="51"/>
      <c r="BE57" s="51">
        <f>SUM(BE58:BE61)</f>
        <v>0</v>
      </c>
      <c r="BF57" s="51"/>
      <c r="BG57" s="51"/>
      <c r="BH57" s="144"/>
      <c r="BI57" s="51"/>
      <c r="BJ57" s="51">
        <f>SUM(BJ58:BJ61)</f>
        <v>0</v>
      </c>
      <c r="BK57" s="51"/>
      <c r="BL57" s="51"/>
      <c r="BM57" s="144"/>
      <c r="BN57" s="51"/>
      <c r="BO57" s="51">
        <f>SUM(BO58:BO61)</f>
        <v>0</v>
      </c>
      <c r="BP57" s="51"/>
      <c r="BQ57" s="51"/>
      <c r="BR57" s="144"/>
      <c r="BS57" s="51"/>
      <c r="BT57" s="51">
        <f>SUM(BT58:BT61)</f>
        <v>0</v>
      </c>
      <c r="BU57" s="51"/>
      <c r="BV57" s="51"/>
      <c r="BW57" s="144"/>
      <c r="BX57" s="51"/>
      <c r="BY57" s="51">
        <f>SUM(BY58:BY61)</f>
        <v>0</v>
      </c>
      <c r="BZ57" s="51"/>
      <c r="CA57" s="51"/>
      <c r="CB57" s="144"/>
      <c r="CC57" s="51"/>
      <c r="CD57" s="51">
        <f>SUM(CD58:CD61)</f>
        <v>0</v>
      </c>
      <c r="CE57" s="51"/>
      <c r="CF57" s="51"/>
      <c r="CG57" s="144"/>
      <c r="CH57" s="51"/>
      <c r="CI57" s="51">
        <f>SUM(CI58:CI61)</f>
        <v>0</v>
      </c>
      <c r="CJ57" s="51"/>
      <c r="CK57" s="51"/>
      <c r="CL57" s="144"/>
      <c r="CM57" s="51"/>
      <c r="CN57" s="51">
        <f>SUM(CN58:CN61)</f>
        <v>0</v>
      </c>
      <c r="CO57" s="51"/>
      <c r="CP57" s="51"/>
      <c r="CQ57" s="144"/>
      <c r="CR57" s="51"/>
      <c r="CS57" s="51">
        <f>SUM(CS58:CS61)</f>
        <v>0</v>
      </c>
      <c r="CT57" s="51"/>
      <c r="CU57" s="51"/>
      <c r="CV57" s="144"/>
      <c r="CW57" s="51"/>
      <c r="CX57" s="51">
        <f>SUM(CX58:CX61)</f>
        <v>0</v>
      </c>
      <c r="CY57" s="51"/>
      <c r="CZ57" s="51"/>
      <c r="DA57" s="144"/>
      <c r="DB57" s="51"/>
      <c r="DC57" s="51">
        <f>SUM(DC58:DC61)</f>
        <v>0</v>
      </c>
      <c r="DD57" s="51"/>
      <c r="DE57" s="51"/>
      <c r="DF57" s="144"/>
      <c r="DG57" s="51"/>
      <c r="DH57" s="51">
        <f>SUM(DH58:DH61)</f>
        <v>0</v>
      </c>
      <c r="DI57" s="51"/>
      <c r="DJ57" s="51"/>
      <c r="DK57" s="144"/>
      <c r="DL57" s="51"/>
      <c r="DM57" s="51">
        <f>SUM(DM58:DM61)</f>
        <v>0</v>
      </c>
      <c r="DN57" s="51"/>
      <c r="DO57" s="51"/>
      <c r="DP57" s="144"/>
      <c r="DQ57" s="51"/>
      <c r="DR57" s="51">
        <f>SUM(DR58:DR61)</f>
        <v>0</v>
      </c>
      <c r="DS57" s="51"/>
      <c r="DT57" s="51"/>
      <c r="DU57" s="144"/>
      <c r="DV57" s="51"/>
      <c r="DW57" s="51">
        <f>SUM(DW58:DW61)</f>
        <v>0</v>
      </c>
      <c r="DX57" s="51"/>
      <c r="DY57" s="51"/>
      <c r="DZ57" s="144"/>
      <c r="EA57" s="51"/>
      <c r="EB57" s="51">
        <f>SUM(EB58:EB61)</f>
        <v>0</v>
      </c>
      <c r="EC57" s="51"/>
      <c r="ED57" s="51"/>
      <c r="EE57" s="144"/>
      <c r="EF57" s="51"/>
      <c r="EG57" s="51">
        <f>SUM(EG58:EG61)</f>
        <v>0</v>
      </c>
      <c r="EH57" s="51"/>
      <c r="EI57" s="51"/>
      <c r="EJ57" s="144"/>
      <c r="EK57" s="51"/>
      <c r="EL57" s="51">
        <f>SUM(EL58:EL61)</f>
        <v>0</v>
      </c>
      <c r="EM57" s="51"/>
      <c r="EN57" s="51"/>
      <c r="EO57" s="340"/>
      <c r="ER57" s="39"/>
      <c r="ES57" s="39"/>
    </row>
    <row r="58" spans="1:150" ht="12.75" hidden="1" customHeight="1" x14ac:dyDescent="0.2">
      <c r="A58" s="317"/>
      <c r="B58" s="317"/>
      <c r="D58" s="340" t="s">
        <v>183</v>
      </c>
      <c r="E58" s="144"/>
      <c r="F58" s="354"/>
      <c r="G58" s="430">
        <v>0</v>
      </c>
      <c r="H58" s="431"/>
      <c r="I58" s="51"/>
      <c r="J58" s="144"/>
      <c r="K58" s="432"/>
      <c r="L58" s="430">
        <v>0</v>
      </c>
      <c r="M58" s="431"/>
      <c r="N58" s="51"/>
      <c r="O58" s="144"/>
      <c r="P58" s="432"/>
      <c r="Q58" s="430">
        <v>0</v>
      </c>
      <c r="R58" s="431"/>
      <c r="S58" s="51"/>
      <c r="T58" s="144"/>
      <c r="U58" s="432"/>
      <c r="V58" s="430">
        <v>0</v>
      </c>
      <c r="W58" s="431"/>
      <c r="X58" s="51"/>
      <c r="Y58" s="144"/>
      <c r="Z58" s="432"/>
      <c r="AA58" s="430">
        <v>0</v>
      </c>
      <c r="AB58" s="431"/>
      <c r="AC58" s="51"/>
      <c r="AD58" s="144"/>
      <c r="AE58" s="432"/>
      <c r="AF58" s="430">
        <v>0</v>
      </c>
      <c r="AG58" s="431"/>
      <c r="AH58" s="51"/>
      <c r="AI58" s="144"/>
      <c r="AJ58" s="432"/>
      <c r="AK58" s="430">
        <v>0</v>
      </c>
      <c r="AL58" s="431"/>
      <c r="AM58" s="51"/>
      <c r="AN58" s="144"/>
      <c r="AO58" s="432"/>
      <c r="AP58" s="430">
        <v>0</v>
      </c>
      <c r="AQ58" s="431"/>
      <c r="AR58" s="51"/>
      <c r="AS58" s="144"/>
      <c r="AT58" s="432"/>
      <c r="AU58" s="430">
        <v>0</v>
      </c>
      <c r="AV58" s="431"/>
      <c r="AW58" s="51"/>
      <c r="AX58" s="144"/>
      <c r="AY58" s="432"/>
      <c r="AZ58" s="430">
        <v>0</v>
      </c>
      <c r="BA58" s="431"/>
      <c r="BB58" s="51"/>
      <c r="BC58" s="144"/>
      <c r="BD58" s="432"/>
      <c r="BE58" s="430">
        <v>0</v>
      </c>
      <c r="BF58" s="431"/>
      <c r="BG58" s="51"/>
      <c r="BH58" s="144"/>
      <c r="BI58" s="432"/>
      <c r="BJ58" s="430">
        <v>0</v>
      </c>
      <c r="BK58" s="431"/>
      <c r="BL58" s="51"/>
      <c r="BM58" s="144"/>
      <c r="BN58" s="432"/>
      <c r="BO58" s="430">
        <v>0</v>
      </c>
      <c r="BP58" s="431"/>
      <c r="BQ58" s="51"/>
      <c r="BR58" s="144"/>
      <c r="BS58" s="432"/>
      <c r="BT58" s="430">
        <f>SUM(L58:BO58)</f>
        <v>0</v>
      </c>
      <c r="BU58" s="431"/>
      <c r="BV58" s="51"/>
      <c r="BW58" s="144"/>
      <c r="BX58" s="432"/>
      <c r="BY58" s="430">
        <v>0</v>
      </c>
      <c r="BZ58" s="431"/>
      <c r="CA58" s="51"/>
      <c r="CB58" s="144"/>
      <c r="CC58" s="432"/>
      <c r="CD58" s="430">
        <v>0</v>
      </c>
      <c r="CE58" s="431"/>
      <c r="CF58" s="51"/>
      <c r="CG58" s="144"/>
      <c r="CH58" s="432"/>
      <c r="CI58" s="430">
        <v>0</v>
      </c>
      <c r="CJ58" s="431"/>
      <c r="CK58" s="51"/>
      <c r="CL58" s="144"/>
      <c r="CM58" s="432"/>
      <c r="CN58" s="430">
        <v>0</v>
      </c>
      <c r="CO58" s="431"/>
      <c r="CP58" s="51"/>
      <c r="CQ58" s="144"/>
      <c r="CR58" s="432"/>
      <c r="CS58" s="430">
        <v>0</v>
      </c>
      <c r="CT58" s="431"/>
      <c r="CU58" s="51"/>
      <c r="CV58" s="144"/>
      <c r="CW58" s="432"/>
      <c r="CX58" s="430">
        <v>0</v>
      </c>
      <c r="CY58" s="431"/>
      <c r="CZ58" s="51"/>
      <c r="DA58" s="144"/>
      <c r="DB58" s="432"/>
      <c r="DC58" s="430">
        <v>0</v>
      </c>
      <c r="DD58" s="431"/>
      <c r="DE58" s="51"/>
      <c r="DF58" s="144"/>
      <c r="DG58" s="432"/>
      <c r="DH58" s="430">
        <v>0</v>
      </c>
      <c r="DI58" s="431"/>
      <c r="DJ58" s="51"/>
      <c r="DK58" s="144"/>
      <c r="DL58" s="432"/>
      <c r="DM58" s="430">
        <v>0</v>
      </c>
      <c r="DN58" s="431"/>
      <c r="DO58" s="51"/>
      <c r="DP58" s="144"/>
      <c r="DQ58" s="432"/>
      <c r="DR58" s="430">
        <v>0</v>
      </c>
      <c r="DS58" s="431"/>
      <c r="DT58" s="51"/>
      <c r="DU58" s="144"/>
      <c r="DV58" s="432"/>
      <c r="DW58" s="430">
        <v>0</v>
      </c>
      <c r="DX58" s="431"/>
      <c r="DY58" s="51"/>
      <c r="DZ58" s="144"/>
      <c r="EA58" s="432"/>
      <c r="EB58" s="430">
        <v>0</v>
      </c>
      <c r="EC58" s="431"/>
      <c r="ED58" s="51"/>
      <c r="EE58" s="144"/>
      <c r="EF58" s="432"/>
      <c r="EG58" s="430">
        <v>0</v>
      </c>
      <c r="EH58" s="431"/>
      <c r="EI58" s="51"/>
      <c r="EJ58" s="144"/>
      <c r="EK58" s="432"/>
      <c r="EL58" s="430">
        <f>SUM(CD58:CD58)</f>
        <v>0</v>
      </c>
      <c r="EM58" s="431"/>
      <c r="EN58" s="51"/>
      <c r="EO58" s="340"/>
      <c r="ER58" s="39"/>
      <c r="ES58" s="39"/>
    </row>
    <row r="59" spans="1:150" ht="12.75" hidden="1" customHeight="1" x14ac:dyDescent="0.2">
      <c r="A59" s="317"/>
      <c r="B59" s="317"/>
      <c r="D59" s="340" t="s">
        <v>186</v>
      </c>
      <c r="E59" s="144"/>
      <c r="F59" s="347"/>
      <c r="G59" s="51">
        <v>0</v>
      </c>
      <c r="H59" s="50"/>
      <c r="I59" s="51"/>
      <c r="J59" s="144"/>
      <c r="K59" s="144"/>
      <c r="L59" s="51">
        <v>0</v>
      </c>
      <c r="M59" s="50"/>
      <c r="N59" s="51"/>
      <c r="O59" s="144"/>
      <c r="P59" s="144"/>
      <c r="Q59" s="51">
        <v>0</v>
      </c>
      <c r="R59" s="50"/>
      <c r="S59" s="51"/>
      <c r="T59" s="144"/>
      <c r="U59" s="144"/>
      <c r="V59" s="51">
        <v>0</v>
      </c>
      <c r="W59" s="50"/>
      <c r="X59" s="51"/>
      <c r="Y59" s="144"/>
      <c r="Z59" s="144"/>
      <c r="AA59" s="51">
        <v>0</v>
      </c>
      <c r="AB59" s="50"/>
      <c r="AC59" s="51"/>
      <c r="AD59" s="144"/>
      <c r="AE59" s="144"/>
      <c r="AF59" s="51">
        <v>0</v>
      </c>
      <c r="AG59" s="50"/>
      <c r="AH59" s="51"/>
      <c r="AI59" s="144"/>
      <c r="AJ59" s="144"/>
      <c r="AK59" s="51">
        <v>0</v>
      </c>
      <c r="AL59" s="50"/>
      <c r="AM59" s="51"/>
      <c r="AN59" s="144"/>
      <c r="AO59" s="144"/>
      <c r="AP59" s="51">
        <v>0</v>
      </c>
      <c r="AQ59" s="50"/>
      <c r="AR59" s="51"/>
      <c r="AS59" s="144"/>
      <c r="AT59" s="144"/>
      <c r="AU59" s="51">
        <v>0</v>
      </c>
      <c r="AV59" s="50"/>
      <c r="AW59" s="51"/>
      <c r="AX59" s="144"/>
      <c r="AY59" s="144"/>
      <c r="AZ59" s="51">
        <v>0</v>
      </c>
      <c r="BA59" s="50"/>
      <c r="BB59" s="51"/>
      <c r="BC59" s="144"/>
      <c r="BD59" s="144"/>
      <c r="BE59" s="51">
        <v>0</v>
      </c>
      <c r="BF59" s="50"/>
      <c r="BG59" s="51"/>
      <c r="BH59" s="144"/>
      <c r="BI59" s="144"/>
      <c r="BJ59" s="51">
        <v>0</v>
      </c>
      <c r="BK59" s="50"/>
      <c r="BL59" s="51"/>
      <c r="BM59" s="144"/>
      <c r="BN59" s="144"/>
      <c r="BO59" s="51">
        <v>0</v>
      </c>
      <c r="BP59" s="50"/>
      <c r="BQ59" s="51"/>
      <c r="BR59" s="144"/>
      <c r="BS59" s="144"/>
      <c r="BT59" s="51">
        <f>SUM(L59:BO59)</f>
        <v>0</v>
      </c>
      <c r="BU59" s="50"/>
      <c r="BV59" s="51"/>
      <c r="BW59" s="144"/>
      <c r="BX59" s="144"/>
      <c r="BY59" s="51">
        <v>0</v>
      </c>
      <c r="BZ59" s="50"/>
      <c r="CA59" s="51"/>
      <c r="CB59" s="144"/>
      <c r="CC59" s="144"/>
      <c r="CD59" s="51">
        <v>0</v>
      </c>
      <c r="CE59" s="50"/>
      <c r="CF59" s="51"/>
      <c r="CG59" s="144"/>
      <c r="CH59" s="144"/>
      <c r="CI59" s="51">
        <v>0</v>
      </c>
      <c r="CJ59" s="50"/>
      <c r="CK59" s="51"/>
      <c r="CL59" s="144"/>
      <c r="CM59" s="144"/>
      <c r="CN59" s="51">
        <v>0</v>
      </c>
      <c r="CO59" s="50"/>
      <c r="CP59" s="51"/>
      <c r="CQ59" s="144"/>
      <c r="CR59" s="144"/>
      <c r="CS59" s="51">
        <v>0</v>
      </c>
      <c r="CT59" s="50"/>
      <c r="CU59" s="51"/>
      <c r="CV59" s="144"/>
      <c r="CW59" s="144"/>
      <c r="CX59" s="51">
        <v>0</v>
      </c>
      <c r="CY59" s="50"/>
      <c r="CZ59" s="51"/>
      <c r="DA59" s="144"/>
      <c r="DB59" s="144"/>
      <c r="DC59" s="51">
        <v>0</v>
      </c>
      <c r="DD59" s="50"/>
      <c r="DE59" s="51"/>
      <c r="DF59" s="144"/>
      <c r="DG59" s="144"/>
      <c r="DH59" s="51">
        <v>0</v>
      </c>
      <c r="DI59" s="50"/>
      <c r="DJ59" s="51"/>
      <c r="DK59" s="144"/>
      <c r="DL59" s="144"/>
      <c r="DM59" s="51">
        <v>0</v>
      </c>
      <c r="DN59" s="50"/>
      <c r="DO59" s="51"/>
      <c r="DP59" s="144"/>
      <c r="DQ59" s="144"/>
      <c r="DR59" s="51">
        <v>0</v>
      </c>
      <c r="DS59" s="50"/>
      <c r="DT59" s="51"/>
      <c r="DU59" s="144"/>
      <c r="DV59" s="144"/>
      <c r="DW59" s="51">
        <v>0</v>
      </c>
      <c r="DX59" s="50"/>
      <c r="DY59" s="51"/>
      <c r="DZ59" s="144"/>
      <c r="EA59" s="144"/>
      <c r="EB59" s="51">
        <v>0</v>
      </c>
      <c r="EC59" s="50"/>
      <c r="ED59" s="51"/>
      <c r="EE59" s="144"/>
      <c r="EF59" s="144"/>
      <c r="EG59" s="51">
        <v>0</v>
      </c>
      <c r="EH59" s="50"/>
      <c r="EI59" s="51"/>
      <c r="EJ59" s="144"/>
      <c r="EK59" s="144"/>
      <c r="EL59" s="51">
        <f>SUM(CD59:CD59)</f>
        <v>0</v>
      </c>
      <c r="EM59" s="50"/>
      <c r="EN59" s="51"/>
      <c r="EO59" s="340"/>
      <c r="ER59" s="39"/>
      <c r="ES59" s="39"/>
    </row>
    <row r="60" spans="1:150" ht="12.75" hidden="1" customHeight="1" x14ac:dyDescent="0.2">
      <c r="A60" s="317"/>
      <c r="B60" s="317"/>
      <c r="D60" s="340" t="s">
        <v>187</v>
      </c>
      <c r="E60" s="144"/>
      <c r="F60" s="347"/>
      <c r="G60" s="51">
        <v>0</v>
      </c>
      <c r="H60" s="50"/>
      <c r="I60" s="51"/>
      <c r="J60" s="144"/>
      <c r="K60" s="144"/>
      <c r="L60" s="51">
        <v>0</v>
      </c>
      <c r="M60" s="50"/>
      <c r="N60" s="51"/>
      <c r="O60" s="144"/>
      <c r="P60" s="144"/>
      <c r="Q60" s="51">
        <v>0</v>
      </c>
      <c r="R60" s="50"/>
      <c r="S60" s="51"/>
      <c r="T60" s="144"/>
      <c r="U60" s="144"/>
      <c r="V60" s="51">
        <v>0</v>
      </c>
      <c r="W60" s="50"/>
      <c r="X60" s="51"/>
      <c r="Y60" s="144"/>
      <c r="Z60" s="144"/>
      <c r="AA60" s="51">
        <v>0</v>
      </c>
      <c r="AB60" s="50"/>
      <c r="AC60" s="51"/>
      <c r="AD60" s="144"/>
      <c r="AE60" s="144"/>
      <c r="AF60" s="51">
        <v>0</v>
      </c>
      <c r="AG60" s="50"/>
      <c r="AH60" s="51"/>
      <c r="AI60" s="144"/>
      <c r="AJ60" s="144"/>
      <c r="AK60" s="51">
        <v>0</v>
      </c>
      <c r="AL60" s="50"/>
      <c r="AM60" s="51"/>
      <c r="AN60" s="144"/>
      <c r="AO60" s="144"/>
      <c r="AP60" s="51">
        <v>0</v>
      </c>
      <c r="AQ60" s="50"/>
      <c r="AR60" s="51"/>
      <c r="AS60" s="144"/>
      <c r="AT60" s="144"/>
      <c r="AU60" s="51">
        <v>0</v>
      </c>
      <c r="AV60" s="50"/>
      <c r="AW60" s="51"/>
      <c r="AX60" s="144"/>
      <c r="AY60" s="144"/>
      <c r="AZ60" s="51">
        <v>0</v>
      </c>
      <c r="BA60" s="50"/>
      <c r="BB60" s="51"/>
      <c r="BC60" s="144"/>
      <c r="BD60" s="144"/>
      <c r="BE60" s="51">
        <v>0</v>
      </c>
      <c r="BF60" s="50"/>
      <c r="BG60" s="51"/>
      <c r="BH60" s="144"/>
      <c r="BI60" s="144"/>
      <c r="BJ60" s="51">
        <v>0</v>
      </c>
      <c r="BK60" s="50"/>
      <c r="BL60" s="51"/>
      <c r="BM60" s="144"/>
      <c r="BN60" s="144"/>
      <c r="BO60" s="51">
        <v>0</v>
      </c>
      <c r="BP60" s="50"/>
      <c r="BQ60" s="51"/>
      <c r="BR60" s="144"/>
      <c r="BS60" s="144"/>
      <c r="BT60" s="51">
        <f>SUM(L60:BO60)</f>
        <v>0</v>
      </c>
      <c r="BU60" s="50"/>
      <c r="BV60" s="51"/>
      <c r="BW60" s="144"/>
      <c r="BX60" s="144"/>
      <c r="BY60" s="51">
        <v>0</v>
      </c>
      <c r="BZ60" s="50"/>
      <c r="CA60" s="51"/>
      <c r="CB60" s="144"/>
      <c r="CC60" s="144"/>
      <c r="CD60" s="51">
        <v>0</v>
      </c>
      <c r="CE60" s="50"/>
      <c r="CF60" s="51"/>
      <c r="CG60" s="144"/>
      <c r="CH60" s="144"/>
      <c r="CI60" s="51">
        <v>0</v>
      </c>
      <c r="CJ60" s="50"/>
      <c r="CK60" s="51"/>
      <c r="CL60" s="144"/>
      <c r="CM60" s="144"/>
      <c r="CN60" s="51">
        <v>0</v>
      </c>
      <c r="CO60" s="50"/>
      <c r="CP60" s="51"/>
      <c r="CQ60" s="144"/>
      <c r="CR60" s="144"/>
      <c r="CS60" s="51">
        <v>0</v>
      </c>
      <c r="CT60" s="50"/>
      <c r="CU60" s="51"/>
      <c r="CV60" s="144"/>
      <c r="CW60" s="144"/>
      <c r="CX60" s="51">
        <v>0</v>
      </c>
      <c r="CY60" s="50"/>
      <c r="CZ60" s="51"/>
      <c r="DA60" s="144"/>
      <c r="DB60" s="144"/>
      <c r="DC60" s="51">
        <v>0</v>
      </c>
      <c r="DD60" s="50"/>
      <c r="DE60" s="51"/>
      <c r="DF60" s="144"/>
      <c r="DG60" s="144"/>
      <c r="DH60" s="51">
        <v>0</v>
      </c>
      <c r="DI60" s="50"/>
      <c r="DJ60" s="51"/>
      <c r="DK60" s="144"/>
      <c r="DL60" s="144"/>
      <c r="DM60" s="51">
        <v>0</v>
      </c>
      <c r="DN60" s="50"/>
      <c r="DO60" s="51"/>
      <c r="DP60" s="144"/>
      <c r="DQ60" s="144"/>
      <c r="DR60" s="51">
        <v>0</v>
      </c>
      <c r="DS60" s="50"/>
      <c r="DT60" s="51"/>
      <c r="DU60" s="144"/>
      <c r="DV60" s="144"/>
      <c r="DW60" s="51">
        <v>0</v>
      </c>
      <c r="DX60" s="50"/>
      <c r="DY60" s="51"/>
      <c r="DZ60" s="144"/>
      <c r="EA60" s="144"/>
      <c r="EB60" s="51">
        <v>0</v>
      </c>
      <c r="EC60" s="50"/>
      <c r="ED60" s="51"/>
      <c r="EE60" s="144"/>
      <c r="EF60" s="144"/>
      <c r="EG60" s="51">
        <v>0</v>
      </c>
      <c r="EH60" s="50"/>
      <c r="EI60" s="51"/>
      <c r="EJ60" s="144"/>
      <c r="EK60" s="144"/>
      <c r="EL60" s="51">
        <f>SUM(CD60:CD60)</f>
        <v>0</v>
      </c>
      <c r="EM60" s="50"/>
      <c r="EN60" s="51"/>
      <c r="EO60" s="340"/>
      <c r="ER60" s="39"/>
      <c r="ES60" s="39"/>
    </row>
    <row r="61" spans="1:150" ht="12.75" hidden="1" customHeight="1" x14ac:dyDescent="0.2">
      <c r="A61" s="317"/>
      <c r="B61" s="317"/>
      <c r="D61" s="340" t="s">
        <v>188</v>
      </c>
      <c r="E61" s="144"/>
      <c r="F61" s="371"/>
      <c r="G61" s="95">
        <v>0</v>
      </c>
      <c r="H61" s="94"/>
      <c r="I61" s="51"/>
      <c r="J61" s="144"/>
      <c r="K61" s="187"/>
      <c r="L61" s="95">
        <v>0</v>
      </c>
      <c r="M61" s="94"/>
      <c r="N61" s="51"/>
      <c r="O61" s="144"/>
      <c r="P61" s="187"/>
      <c r="Q61" s="95">
        <v>0</v>
      </c>
      <c r="R61" s="94"/>
      <c r="S61" s="51"/>
      <c r="T61" s="144"/>
      <c r="U61" s="187"/>
      <c r="V61" s="95">
        <v>0</v>
      </c>
      <c r="W61" s="94"/>
      <c r="X61" s="51"/>
      <c r="Y61" s="144"/>
      <c r="Z61" s="187"/>
      <c r="AA61" s="95">
        <v>0</v>
      </c>
      <c r="AB61" s="94"/>
      <c r="AC61" s="51"/>
      <c r="AD61" s="144"/>
      <c r="AE61" s="187"/>
      <c r="AF61" s="95">
        <v>0</v>
      </c>
      <c r="AG61" s="94"/>
      <c r="AH61" s="51"/>
      <c r="AI61" s="144"/>
      <c r="AJ61" s="187"/>
      <c r="AK61" s="95">
        <v>0</v>
      </c>
      <c r="AL61" s="94"/>
      <c r="AM61" s="51"/>
      <c r="AN61" s="144"/>
      <c r="AO61" s="187"/>
      <c r="AP61" s="95">
        <v>0</v>
      </c>
      <c r="AQ61" s="94"/>
      <c r="AR61" s="51"/>
      <c r="AS61" s="144"/>
      <c r="AT61" s="187"/>
      <c r="AU61" s="95">
        <v>0</v>
      </c>
      <c r="AV61" s="94"/>
      <c r="AW61" s="51"/>
      <c r="AX61" s="144"/>
      <c r="AY61" s="187"/>
      <c r="AZ61" s="95">
        <v>0</v>
      </c>
      <c r="BA61" s="94"/>
      <c r="BB61" s="51"/>
      <c r="BC61" s="144"/>
      <c r="BD61" s="187"/>
      <c r="BE61" s="95">
        <v>0</v>
      </c>
      <c r="BF61" s="94"/>
      <c r="BG61" s="51"/>
      <c r="BH61" s="144"/>
      <c r="BI61" s="187"/>
      <c r="BJ61" s="95">
        <v>0</v>
      </c>
      <c r="BK61" s="94"/>
      <c r="BL61" s="51"/>
      <c r="BM61" s="144"/>
      <c r="BN61" s="187"/>
      <c r="BO61" s="95">
        <v>0</v>
      </c>
      <c r="BP61" s="94"/>
      <c r="BQ61" s="51"/>
      <c r="BR61" s="144"/>
      <c r="BS61" s="187"/>
      <c r="BT61" s="95">
        <f>SUM(L61:BO61)</f>
        <v>0</v>
      </c>
      <c r="BU61" s="94"/>
      <c r="BV61" s="51"/>
      <c r="BW61" s="144"/>
      <c r="BX61" s="187"/>
      <c r="BY61" s="95">
        <v>0</v>
      </c>
      <c r="BZ61" s="94"/>
      <c r="CA61" s="51"/>
      <c r="CB61" s="144"/>
      <c r="CC61" s="187"/>
      <c r="CD61" s="95">
        <v>0</v>
      </c>
      <c r="CE61" s="94"/>
      <c r="CF61" s="51"/>
      <c r="CG61" s="144"/>
      <c r="CH61" s="187"/>
      <c r="CI61" s="95">
        <v>0</v>
      </c>
      <c r="CJ61" s="94"/>
      <c r="CK61" s="51"/>
      <c r="CL61" s="144"/>
      <c r="CM61" s="187"/>
      <c r="CN61" s="95">
        <v>0</v>
      </c>
      <c r="CO61" s="94"/>
      <c r="CP61" s="51"/>
      <c r="CQ61" s="144"/>
      <c r="CR61" s="187"/>
      <c r="CS61" s="95">
        <v>0</v>
      </c>
      <c r="CT61" s="94"/>
      <c r="CU61" s="51"/>
      <c r="CV61" s="144"/>
      <c r="CW61" s="187"/>
      <c r="CX61" s="95">
        <v>0</v>
      </c>
      <c r="CY61" s="94"/>
      <c r="CZ61" s="51"/>
      <c r="DA61" s="144"/>
      <c r="DB61" s="187"/>
      <c r="DC61" s="95">
        <v>0</v>
      </c>
      <c r="DD61" s="94"/>
      <c r="DE61" s="51"/>
      <c r="DF61" s="144"/>
      <c r="DG61" s="187"/>
      <c r="DH61" s="95">
        <v>0</v>
      </c>
      <c r="DI61" s="94"/>
      <c r="DJ61" s="51"/>
      <c r="DK61" s="144"/>
      <c r="DL61" s="187"/>
      <c r="DM61" s="95">
        <v>0</v>
      </c>
      <c r="DN61" s="94"/>
      <c r="DO61" s="51"/>
      <c r="DP61" s="144"/>
      <c r="DQ61" s="187"/>
      <c r="DR61" s="95">
        <v>0</v>
      </c>
      <c r="DS61" s="94"/>
      <c r="DT61" s="51"/>
      <c r="DU61" s="144"/>
      <c r="DV61" s="187"/>
      <c r="DW61" s="95">
        <v>0</v>
      </c>
      <c r="DX61" s="94"/>
      <c r="DY61" s="51"/>
      <c r="DZ61" s="144"/>
      <c r="EA61" s="187"/>
      <c r="EB61" s="95">
        <v>0</v>
      </c>
      <c r="EC61" s="94"/>
      <c r="ED61" s="51"/>
      <c r="EE61" s="144"/>
      <c r="EF61" s="187"/>
      <c r="EG61" s="95">
        <v>0</v>
      </c>
      <c r="EH61" s="94"/>
      <c r="EI61" s="51"/>
      <c r="EJ61" s="144"/>
      <c r="EK61" s="187"/>
      <c r="EL61" s="95">
        <f>SUM(CD61:CD61)</f>
        <v>0</v>
      </c>
      <c r="EM61" s="94"/>
      <c r="EN61" s="51"/>
      <c r="EO61" s="340"/>
      <c r="ER61" s="39"/>
      <c r="ES61" s="39"/>
    </row>
    <row r="62" spans="1:150" ht="12.75" hidden="1" customHeight="1" x14ac:dyDescent="0.2">
      <c r="A62" s="317"/>
      <c r="B62" s="317"/>
      <c r="D62" s="340"/>
      <c r="E62" s="144"/>
      <c r="F62" s="317"/>
      <c r="G62" s="51"/>
      <c r="H62" s="51"/>
      <c r="I62" s="51"/>
      <c r="J62" s="144"/>
      <c r="K62" s="51"/>
      <c r="L62" s="51"/>
      <c r="M62" s="51"/>
      <c r="N62" s="51"/>
      <c r="O62" s="144"/>
      <c r="P62" s="51"/>
      <c r="Q62" s="51"/>
      <c r="R62" s="51"/>
      <c r="S62" s="51"/>
      <c r="T62" s="144"/>
      <c r="U62" s="51"/>
      <c r="V62" s="51"/>
      <c r="W62" s="51"/>
      <c r="X62" s="51"/>
      <c r="Y62" s="144"/>
      <c r="Z62" s="51"/>
      <c r="AA62" s="51"/>
      <c r="AB62" s="51"/>
      <c r="AC62" s="51"/>
      <c r="AD62" s="144"/>
      <c r="AE62" s="51"/>
      <c r="AF62" s="51"/>
      <c r="AG62" s="51"/>
      <c r="AH62" s="51"/>
      <c r="AI62" s="144"/>
      <c r="AJ62" s="51"/>
      <c r="AK62" s="51"/>
      <c r="AL62" s="51"/>
      <c r="AM62" s="51"/>
      <c r="AN62" s="144"/>
      <c r="AO62" s="51"/>
      <c r="AP62" s="51"/>
      <c r="AQ62" s="51"/>
      <c r="AR62" s="51"/>
      <c r="AS62" s="144"/>
      <c r="AT62" s="51"/>
      <c r="AU62" s="51"/>
      <c r="AV62" s="51"/>
      <c r="AW62" s="51"/>
      <c r="AX62" s="144"/>
      <c r="AY62" s="51"/>
      <c r="AZ62" s="51"/>
      <c r="BA62" s="51"/>
      <c r="BB62" s="51"/>
      <c r="BC62" s="144"/>
      <c r="BD62" s="51"/>
      <c r="BE62" s="51"/>
      <c r="BF62" s="51"/>
      <c r="BG62" s="51"/>
      <c r="BH62" s="144"/>
      <c r="BI62" s="51"/>
      <c r="BJ62" s="51"/>
      <c r="BK62" s="51"/>
      <c r="BL62" s="51"/>
      <c r="BM62" s="144"/>
      <c r="BN62" s="51"/>
      <c r="BO62" s="51"/>
      <c r="BP62" s="51"/>
      <c r="BQ62" s="51"/>
      <c r="BR62" s="144"/>
      <c r="BS62" s="51"/>
      <c r="BT62" s="51"/>
      <c r="BU62" s="51"/>
      <c r="BV62" s="51"/>
      <c r="BW62" s="144"/>
      <c r="BX62" s="51"/>
      <c r="BY62" s="51"/>
      <c r="BZ62" s="51"/>
      <c r="CA62" s="51"/>
      <c r="CB62" s="144"/>
      <c r="CC62" s="51"/>
      <c r="CD62" s="51"/>
      <c r="CE62" s="51"/>
      <c r="CF62" s="51"/>
      <c r="CG62" s="144"/>
      <c r="CH62" s="51"/>
      <c r="CI62" s="51"/>
      <c r="CJ62" s="51"/>
      <c r="CK62" s="51"/>
      <c r="CL62" s="144"/>
      <c r="CM62" s="51"/>
      <c r="CN62" s="51"/>
      <c r="CO62" s="51"/>
      <c r="CP62" s="51"/>
      <c r="CQ62" s="144"/>
      <c r="CR62" s="51"/>
      <c r="CS62" s="51"/>
      <c r="CT62" s="51"/>
      <c r="CU62" s="51"/>
      <c r="CV62" s="144"/>
      <c r="CW62" s="51"/>
      <c r="CX62" s="51"/>
      <c r="CY62" s="51"/>
      <c r="CZ62" s="51"/>
      <c r="DA62" s="144"/>
      <c r="DB62" s="51"/>
      <c r="DC62" s="51"/>
      <c r="DD62" s="51"/>
      <c r="DE62" s="51"/>
      <c r="DF62" s="144"/>
      <c r="DG62" s="51"/>
      <c r="DH62" s="51"/>
      <c r="DI62" s="51"/>
      <c r="DJ62" s="51"/>
      <c r="DK62" s="144"/>
      <c r="DL62" s="51"/>
      <c r="DM62" s="51"/>
      <c r="DN62" s="51"/>
      <c r="DO62" s="51"/>
      <c r="DP62" s="144"/>
      <c r="DQ62" s="51"/>
      <c r="DR62" s="51"/>
      <c r="DS62" s="51"/>
      <c r="DT62" s="51"/>
      <c r="DU62" s="144"/>
      <c r="DV62" s="51"/>
      <c r="DW62" s="51"/>
      <c r="DX62" s="51"/>
      <c r="DY62" s="51"/>
      <c r="DZ62" s="144"/>
      <c r="EA62" s="51"/>
      <c r="EB62" s="51"/>
      <c r="EC62" s="51"/>
      <c r="ED62" s="51"/>
      <c r="EE62" s="144"/>
      <c r="EF62" s="51"/>
      <c r="EG62" s="51"/>
      <c r="EH62" s="51"/>
      <c r="EI62" s="51"/>
      <c r="EJ62" s="144"/>
      <c r="EK62" s="51"/>
      <c r="EL62" s="51"/>
      <c r="EM62" s="51"/>
      <c r="EN62" s="51"/>
      <c r="EO62" s="340"/>
      <c r="ER62" s="39"/>
      <c r="ES62" s="39"/>
    </row>
    <row r="63" spans="1:150" x14ac:dyDescent="0.2">
      <c r="A63" s="317"/>
      <c r="B63" s="317"/>
      <c r="D63" s="340" t="s">
        <v>194</v>
      </c>
      <c r="E63" s="144"/>
      <c r="F63" s="317"/>
      <c r="G63" s="51">
        <f>SUM(G64:G67)</f>
        <v>0</v>
      </c>
      <c r="H63" s="51"/>
      <c r="I63" s="51"/>
      <c r="J63" s="144"/>
      <c r="K63" s="51"/>
      <c r="L63" s="51">
        <f>SUM(L64:L67)</f>
        <v>256135</v>
      </c>
      <c r="M63" s="51"/>
      <c r="N63" s="51"/>
      <c r="O63" s="144"/>
      <c r="P63" s="51"/>
      <c r="Q63" s="51">
        <f>SUM(Q64:Q67)</f>
        <v>772596</v>
      </c>
      <c r="R63" s="51"/>
      <c r="S63" s="51"/>
      <c r="T63" s="144"/>
      <c r="U63" s="51"/>
      <c r="V63" s="51">
        <f>SUM(V64:V67)</f>
        <v>1786049</v>
      </c>
      <c r="W63" s="51"/>
      <c r="X63" s="51"/>
      <c r="Y63" s="144"/>
      <c r="Z63" s="51"/>
      <c r="AA63" s="51">
        <f>SUM(AA64:AA67)</f>
        <v>351367</v>
      </c>
      <c r="AB63" s="51"/>
      <c r="AC63" s="51"/>
      <c r="AD63" s="144"/>
      <c r="AE63" s="51"/>
      <c r="AF63" s="51">
        <f>SUM(AF64:AF67)</f>
        <v>1602308</v>
      </c>
      <c r="AG63" s="51"/>
      <c r="AH63" s="51"/>
      <c r="AI63" s="144"/>
      <c r="AJ63" s="51"/>
      <c r="AK63" s="51">
        <f>SUM(AK64:AK67)</f>
        <v>1106653</v>
      </c>
      <c r="AL63" s="51"/>
      <c r="AM63" s="51"/>
      <c r="AN63" s="144"/>
      <c r="AO63" s="51"/>
      <c r="AP63" s="51">
        <f>SUM(AP64:AP67)</f>
        <v>320100</v>
      </c>
      <c r="AQ63" s="51"/>
      <c r="AR63" s="51"/>
      <c r="AS63" s="144"/>
      <c r="AT63" s="51"/>
      <c r="AU63" s="51">
        <f>SUM(AU64:AU67)</f>
        <v>0</v>
      </c>
      <c r="AV63" s="51"/>
      <c r="AW63" s="51"/>
      <c r="AX63" s="144"/>
      <c r="AY63" s="51"/>
      <c r="AZ63" s="51">
        <f>SUM(AZ64:AZ67)</f>
        <v>0</v>
      </c>
      <c r="BA63" s="51"/>
      <c r="BB63" s="51"/>
      <c r="BC63" s="144"/>
      <c r="BD63" s="51"/>
      <c r="BE63" s="51">
        <f>SUM(BE64:BE67)</f>
        <v>0</v>
      </c>
      <c r="BF63" s="51"/>
      <c r="BG63" s="51"/>
      <c r="BH63" s="144"/>
      <c r="BI63" s="51"/>
      <c r="BJ63" s="51">
        <f>SUM(BJ64:BJ67)</f>
        <v>0</v>
      </c>
      <c r="BK63" s="51"/>
      <c r="BL63" s="51"/>
      <c r="BM63" s="144"/>
      <c r="BN63" s="51"/>
      <c r="BO63" s="51">
        <f>SUM(BO64:BO67)</f>
        <v>0</v>
      </c>
      <c r="BP63" s="51"/>
      <c r="BQ63" s="51"/>
      <c r="BR63" s="144"/>
      <c r="BS63" s="51"/>
      <c r="BT63" s="51">
        <f>SUM(BT64:BT67)</f>
        <v>6195208</v>
      </c>
      <c r="BU63" s="51"/>
      <c r="BV63" s="51"/>
      <c r="BW63" s="144"/>
      <c r="BX63" s="51"/>
      <c r="BY63" s="51">
        <f>SUM(BY64:BY67)</f>
        <v>14568929</v>
      </c>
      <c r="BZ63" s="51"/>
      <c r="CA63" s="51"/>
      <c r="CB63" s="144"/>
      <c r="CC63" s="51"/>
      <c r="CD63" s="51">
        <f>SUM(CD64:CD67)</f>
        <v>1036984</v>
      </c>
      <c r="CE63" s="51"/>
      <c r="CF63" s="51"/>
      <c r="CG63" s="144"/>
      <c r="CH63" s="51"/>
      <c r="CI63" s="51">
        <f>SUM(CI64:CI67)</f>
        <v>1271737</v>
      </c>
      <c r="CJ63" s="51"/>
      <c r="CK63" s="51"/>
      <c r="CL63" s="144"/>
      <c r="CM63" s="51"/>
      <c r="CN63" s="51">
        <f>SUM(CN64:CN67)</f>
        <v>3612872</v>
      </c>
      <c r="CO63" s="51"/>
      <c r="CP63" s="51"/>
      <c r="CQ63" s="144"/>
      <c r="CR63" s="51"/>
      <c r="CS63" s="51">
        <f>SUM(CS64:CS67)</f>
        <v>800426</v>
      </c>
      <c r="CT63" s="51"/>
      <c r="CU63" s="51"/>
      <c r="CV63" s="144"/>
      <c r="CW63" s="51"/>
      <c r="CX63" s="51">
        <f>SUM(CX64:CX67)</f>
        <v>2166657</v>
      </c>
      <c r="CY63" s="51"/>
      <c r="CZ63" s="51"/>
      <c r="DA63" s="144"/>
      <c r="DB63" s="51"/>
      <c r="DC63" s="51">
        <f>SUM(DC64:DC67)</f>
        <v>2176750</v>
      </c>
      <c r="DD63" s="51"/>
      <c r="DE63" s="51"/>
      <c r="DF63" s="144"/>
      <c r="DG63" s="51"/>
      <c r="DH63" s="51">
        <f>SUM(DH64:DH67)</f>
        <v>1417182</v>
      </c>
      <c r="DI63" s="51"/>
      <c r="DJ63" s="51"/>
      <c r="DK63" s="144"/>
      <c r="DL63" s="51"/>
      <c r="DM63" s="51">
        <f>SUM(DM64:DM67)</f>
        <v>479599</v>
      </c>
      <c r="DN63" s="51"/>
      <c r="DO63" s="51"/>
      <c r="DP63" s="144"/>
      <c r="DQ63" s="51"/>
      <c r="DR63" s="51">
        <f>SUM(DR64:DR67)</f>
        <v>0</v>
      </c>
      <c r="DS63" s="51"/>
      <c r="DT63" s="51"/>
      <c r="DU63" s="144"/>
      <c r="DV63" s="51"/>
      <c r="DW63" s="51">
        <f>SUM(DW64:DW67)</f>
        <v>1289328</v>
      </c>
      <c r="DX63" s="51"/>
      <c r="DY63" s="51"/>
      <c r="DZ63" s="144"/>
      <c r="EA63" s="51"/>
      <c r="EB63" s="51">
        <f>SUM(EB64:EB67)</f>
        <v>190016</v>
      </c>
      <c r="EC63" s="51"/>
      <c r="ED63" s="51"/>
      <c r="EE63" s="144"/>
      <c r="EF63" s="51"/>
      <c r="EG63" s="51">
        <f>SUM(EG64:EG67)</f>
        <v>127378</v>
      </c>
      <c r="EH63" s="51"/>
      <c r="EI63" s="51"/>
      <c r="EJ63" s="144"/>
      <c r="EK63" s="51"/>
      <c r="EL63" s="51">
        <f>SUM(EL64:EL67)</f>
        <v>12482608</v>
      </c>
      <c r="EM63" s="51"/>
      <c r="EN63" s="51"/>
      <c r="EO63" s="340"/>
      <c r="ER63" s="39"/>
      <c r="ES63" s="39"/>
    </row>
    <row r="64" spans="1:150" x14ac:dyDescent="0.2">
      <c r="A64" s="317"/>
      <c r="B64" s="317"/>
      <c r="D64" s="340" t="s">
        <v>183</v>
      </c>
      <c r="E64" s="144"/>
      <c r="F64" s="354"/>
      <c r="G64" s="430">
        <v>0</v>
      </c>
      <c r="H64" s="431"/>
      <c r="I64" s="51"/>
      <c r="J64" s="144"/>
      <c r="K64" s="432"/>
      <c r="L64" s="430">
        <f>160000-53377</f>
        <v>106623</v>
      </c>
      <c r="M64" s="431"/>
      <c r="N64" s="51"/>
      <c r="O64" s="144"/>
      <c r="P64" s="432"/>
      <c r="Q64" s="430">
        <f>480000-159614</f>
        <v>320386</v>
      </c>
      <c r="R64" s="431"/>
      <c r="S64" s="51"/>
      <c r="T64" s="144"/>
      <c r="U64" s="432"/>
      <c r="V64" s="430">
        <f>1100000-362869</f>
        <v>737131</v>
      </c>
      <c r="W64" s="431"/>
      <c r="X64" s="51"/>
      <c r="Y64" s="144"/>
      <c r="Z64" s="432"/>
      <c r="AA64" s="430">
        <f>215000-81728</f>
        <v>133272</v>
      </c>
      <c r="AB64" s="431"/>
      <c r="AC64" s="51"/>
      <c r="AD64" s="144"/>
      <c r="AE64" s="432"/>
      <c r="AF64" s="430">
        <f>975000-356162</f>
        <v>618838</v>
      </c>
      <c r="AG64" s="431"/>
      <c r="AH64" s="51"/>
      <c r="AI64" s="144"/>
      <c r="AJ64" s="432"/>
      <c r="AK64" s="430">
        <f>665000-262756</f>
        <v>402244</v>
      </c>
      <c r="AL64" s="431"/>
      <c r="AM64" s="51"/>
      <c r="AN64" s="144"/>
      <c r="AO64" s="432"/>
      <c r="AP64" s="430">
        <f>190000-85210</f>
        <v>104790</v>
      </c>
      <c r="AQ64" s="431"/>
      <c r="AR64" s="51"/>
      <c r="AS64" s="144"/>
      <c r="AT64" s="432"/>
      <c r="AU64" s="430">
        <v>0</v>
      </c>
      <c r="AV64" s="431"/>
      <c r="AW64" s="51"/>
      <c r="AX64" s="144"/>
      <c r="AY64" s="432"/>
      <c r="AZ64" s="430">
        <v>0</v>
      </c>
      <c r="BA64" s="431"/>
      <c r="BB64" s="51"/>
      <c r="BC64" s="144"/>
      <c r="BD64" s="432"/>
      <c r="BE64" s="430">
        <v>0</v>
      </c>
      <c r="BF64" s="431"/>
      <c r="BG64" s="51"/>
      <c r="BH64" s="144"/>
      <c r="BI64" s="432"/>
      <c r="BJ64" s="430">
        <v>0</v>
      </c>
      <c r="BK64" s="431"/>
      <c r="BL64" s="51"/>
      <c r="BM64" s="144"/>
      <c r="BN64" s="432"/>
      <c r="BO64" s="430">
        <v>0</v>
      </c>
      <c r="BP64" s="431"/>
      <c r="BQ64" s="51"/>
      <c r="BR64" s="144"/>
      <c r="BS64" s="432"/>
      <c r="BT64" s="430">
        <f>SUM(L64:BO64)</f>
        <v>2423284</v>
      </c>
      <c r="BU64" s="431"/>
      <c r="BV64" s="51"/>
      <c r="BW64" s="144"/>
      <c r="BX64" s="432"/>
      <c r="BY64" s="430">
        <v>6158974</v>
      </c>
      <c r="BZ64" s="431"/>
      <c r="CA64" s="51"/>
      <c r="CB64" s="144"/>
      <c r="CC64" s="432"/>
      <c r="CD64" s="430">
        <f>685000-240896</f>
        <v>444104</v>
      </c>
      <c r="CE64" s="431"/>
      <c r="CF64" s="51"/>
      <c r="CG64" s="144"/>
      <c r="CH64" s="432"/>
      <c r="CI64" s="430">
        <f>835000-288954</f>
        <v>546046</v>
      </c>
      <c r="CJ64" s="431"/>
      <c r="CK64" s="51"/>
      <c r="CL64" s="144"/>
      <c r="CM64" s="432"/>
      <c r="CN64" s="430">
        <f>2360000-772691</f>
        <v>1587309</v>
      </c>
      <c r="CO64" s="431"/>
      <c r="CP64" s="51"/>
      <c r="CQ64" s="144"/>
      <c r="CR64" s="432"/>
      <c r="CS64" s="430">
        <f>520000-188084</f>
        <v>331916</v>
      </c>
      <c r="CT64" s="431"/>
      <c r="CU64" s="51"/>
      <c r="CV64" s="144"/>
      <c r="CW64" s="432"/>
      <c r="CX64" s="430">
        <f>1400000-518207</f>
        <v>881793</v>
      </c>
      <c r="CY64" s="431"/>
      <c r="CZ64" s="51"/>
      <c r="DA64" s="144"/>
      <c r="DB64" s="432"/>
      <c r="DC64" s="430">
        <f>1405000-503151</f>
        <v>901849</v>
      </c>
      <c r="DD64" s="431"/>
      <c r="DE64" s="51"/>
      <c r="DF64" s="144"/>
      <c r="DG64" s="432"/>
      <c r="DH64" s="430">
        <f>910000-326988</f>
        <v>583012</v>
      </c>
      <c r="DI64" s="431"/>
      <c r="DJ64" s="51"/>
      <c r="DK64" s="144"/>
      <c r="DL64" s="432"/>
      <c r="DM64" s="430">
        <f>305000-101884</f>
        <v>203116</v>
      </c>
      <c r="DN64" s="431"/>
      <c r="DO64" s="51"/>
      <c r="DP64" s="144"/>
      <c r="DQ64" s="432"/>
      <c r="DR64" s="430">
        <v>0</v>
      </c>
      <c r="DS64" s="431"/>
      <c r="DT64" s="51"/>
      <c r="DU64" s="144"/>
      <c r="DV64" s="432"/>
      <c r="DW64" s="430">
        <f>815000-271565</f>
        <v>543435</v>
      </c>
      <c r="DX64" s="431"/>
      <c r="DY64" s="51"/>
      <c r="DZ64" s="144"/>
      <c r="EA64" s="432"/>
      <c r="EB64" s="430">
        <f>120000-39398</f>
        <v>80602</v>
      </c>
      <c r="EC64" s="431"/>
      <c r="ED64" s="51"/>
      <c r="EE64" s="144"/>
      <c r="EF64" s="432"/>
      <c r="EG64" s="430">
        <f>80000-24208</f>
        <v>55792</v>
      </c>
      <c r="EH64" s="431"/>
      <c r="EI64" s="51"/>
      <c r="EJ64" s="144"/>
      <c r="EK64" s="432"/>
      <c r="EL64" s="430">
        <f t="shared" ref="EL64:EL67" si="3">SUM(CD64:DH64)</f>
        <v>5276029</v>
      </c>
      <c r="EM64" s="431"/>
      <c r="EN64" s="51"/>
      <c r="EO64" s="340"/>
      <c r="ER64" s="39"/>
      <c r="ES64" s="39"/>
    </row>
    <row r="65" spans="1:149" x14ac:dyDescent="0.2">
      <c r="A65" s="317"/>
      <c r="B65" s="317"/>
      <c r="D65" s="340" t="s">
        <v>186</v>
      </c>
      <c r="E65" s="144"/>
      <c r="F65" s="347"/>
      <c r="G65" s="51">
        <v>0</v>
      </c>
      <c r="H65" s="50"/>
      <c r="I65" s="51"/>
      <c r="J65" s="144"/>
      <c r="K65" s="144"/>
      <c r="L65" s="51">
        <v>53377</v>
      </c>
      <c r="M65" s="50"/>
      <c r="N65" s="51"/>
      <c r="O65" s="144"/>
      <c r="P65" s="144"/>
      <c r="Q65" s="51">
        <v>159614</v>
      </c>
      <c r="R65" s="50"/>
      <c r="S65" s="51"/>
      <c r="T65" s="144"/>
      <c r="U65" s="144"/>
      <c r="V65" s="51">
        <v>362869</v>
      </c>
      <c r="W65" s="50"/>
      <c r="X65" s="51"/>
      <c r="Y65" s="144"/>
      <c r="Z65" s="144"/>
      <c r="AA65" s="51">
        <v>81728</v>
      </c>
      <c r="AB65" s="50"/>
      <c r="AC65" s="51"/>
      <c r="AD65" s="144"/>
      <c r="AE65" s="144"/>
      <c r="AF65" s="51">
        <v>356162</v>
      </c>
      <c r="AG65" s="50"/>
      <c r="AH65" s="51"/>
      <c r="AI65" s="144"/>
      <c r="AJ65" s="144"/>
      <c r="AK65" s="51">
        <v>262756</v>
      </c>
      <c r="AL65" s="50"/>
      <c r="AM65" s="51"/>
      <c r="AN65" s="144"/>
      <c r="AO65" s="144"/>
      <c r="AP65" s="51">
        <v>85210</v>
      </c>
      <c r="AQ65" s="50"/>
      <c r="AR65" s="51"/>
      <c r="AS65" s="144"/>
      <c r="AT65" s="144"/>
      <c r="AU65" s="51">
        <v>0</v>
      </c>
      <c r="AV65" s="50"/>
      <c r="AW65" s="51"/>
      <c r="AX65" s="144"/>
      <c r="AY65" s="144"/>
      <c r="AZ65" s="51">
        <v>0</v>
      </c>
      <c r="BA65" s="50"/>
      <c r="BB65" s="51"/>
      <c r="BC65" s="144"/>
      <c r="BD65" s="144"/>
      <c r="BE65" s="51">
        <v>0</v>
      </c>
      <c r="BF65" s="50"/>
      <c r="BG65" s="51"/>
      <c r="BH65" s="144"/>
      <c r="BI65" s="144"/>
      <c r="BJ65" s="51">
        <v>0</v>
      </c>
      <c r="BK65" s="50"/>
      <c r="BL65" s="51"/>
      <c r="BM65" s="144"/>
      <c r="BN65" s="144"/>
      <c r="BO65" s="51">
        <v>0</v>
      </c>
      <c r="BP65" s="50"/>
      <c r="BQ65" s="51"/>
      <c r="BR65" s="144"/>
      <c r="BS65" s="144"/>
      <c r="BT65" s="51">
        <f>SUM(L65:BO65)</f>
        <v>1361716</v>
      </c>
      <c r="BU65" s="50"/>
      <c r="BV65" s="51"/>
      <c r="BW65" s="144"/>
      <c r="BX65" s="144"/>
      <c r="BY65" s="51">
        <v>3276026</v>
      </c>
      <c r="BZ65" s="50"/>
      <c r="CA65" s="51"/>
      <c r="CB65" s="144"/>
      <c r="CC65" s="144"/>
      <c r="CD65" s="51">
        <v>240896</v>
      </c>
      <c r="CE65" s="50"/>
      <c r="CF65" s="51"/>
      <c r="CG65" s="144"/>
      <c r="CH65" s="144"/>
      <c r="CI65" s="51">
        <v>288954</v>
      </c>
      <c r="CJ65" s="50"/>
      <c r="CK65" s="51"/>
      <c r="CL65" s="144"/>
      <c r="CM65" s="144"/>
      <c r="CN65" s="51">
        <v>772691</v>
      </c>
      <c r="CO65" s="50"/>
      <c r="CP65" s="51"/>
      <c r="CQ65" s="144"/>
      <c r="CR65" s="144"/>
      <c r="CS65" s="51">
        <v>188084</v>
      </c>
      <c r="CT65" s="50"/>
      <c r="CU65" s="51"/>
      <c r="CV65" s="144"/>
      <c r="CW65" s="144"/>
      <c r="CX65" s="51">
        <v>518207</v>
      </c>
      <c r="CY65" s="50"/>
      <c r="CZ65" s="51"/>
      <c r="DA65" s="144"/>
      <c r="DB65" s="144"/>
      <c r="DC65" s="51">
        <v>503151</v>
      </c>
      <c r="DD65" s="50"/>
      <c r="DE65" s="51"/>
      <c r="DF65" s="144"/>
      <c r="DG65" s="144"/>
      <c r="DH65" s="51">
        <v>326988</v>
      </c>
      <c r="DI65" s="50"/>
      <c r="DJ65" s="51"/>
      <c r="DK65" s="144"/>
      <c r="DL65" s="144"/>
      <c r="DM65" s="51">
        <v>101884</v>
      </c>
      <c r="DN65" s="50"/>
      <c r="DO65" s="51"/>
      <c r="DP65" s="144"/>
      <c r="DQ65" s="144"/>
      <c r="DR65" s="51">
        <v>0</v>
      </c>
      <c r="DS65" s="50"/>
      <c r="DT65" s="51"/>
      <c r="DU65" s="144"/>
      <c r="DV65" s="144"/>
      <c r="DW65" s="51">
        <v>271565</v>
      </c>
      <c r="DX65" s="50"/>
      <c r="DY65" s="51"/>
      <c r="DZ65" s="144"/>
      <c r="EA65" s="144"/>
      <c r="EB65" s="51">
        <v>39398</v>
      </c>
      <c r="EC65" s="50"/>
      <c r="ED65" s="51"/>
      <c r="EE65" s="144"/>
      <c r="EF65" s="144"/>
      <c r="EG65" s="51">
        <v>24208</v>
      </c>
      <c r="EH65" s="50"/>
      <c r="EI65" s="51"/>
      <c r="EJ65" s="144"/>
      <c r="EK65" s="144"/>
      <c r="EL65" s="51">
        <f t="shared" si="3"/>
        <v>2838971</v>
      </c>
      <c r="EM65" s="50"/>
      <c r="EN65" s="51"/>
      <c r="EO65" s="340"/>
      <c r="ER65" s="39"/>
      <c r="ES65" s="39"/>
    </row>
    <row r="66" spans="1:149" x14ac:dyDescent="0.2">
      <c r="A66" s="317"/>
      <c r="B66" s="317"/>
      <c r="D66" s="340" t="s">
        <v>187</v>
      </c>
      <c r="E66" s="144"/>
      <c r="F66" s="347"/>
      <c r="G66" s="51">
        <v>0</v>
      </c>
      <c r="H66" s="50"/>
      <c r="I66" s="51"/>
      <c r="J66" s="144"/>
      <c r="K66" s="144"/>
      <c r="L66" s="51">
        <v>0</v>
      </c>
      <c r="M66" s="50"/>
      <c r="N66" s="51"/>
      <c r="O66" s="144"/>
      <c r="P66" s="144"/>
      <c r="Q66" s="51">
        <v>0</v>
      </c>
      <c r="R66" s="50"/>
      <c r="S66" s="51"/>
      <c r="T66" s="144"/>
      <c r="U66" s="144"/>
      <c r="V66" s="51">
        <v>0</v>
      </c>
      <c r="W66" s="50"/>
      <c r="X66" s="51"/>
      <c r="Y66" s="144"/>
      <c r="Z66" s="144"/>
      <c r="AA66" s="51">
        <v>0</v>
      </c>
      <c r="AB66" s="50"/>
      <c r="AC66" s="51"/>
      <c r="AD66" s="144"/>
      <c r="AE66" s="144"/>
      <c r="AF66" s="51">
        <v>0</v>
      </c>
      <c r="AG66" s="50"/>
      <c r="AH66" s="51"/>
      <c r="AI66" s="144"/>
      <c r="AJ66" s="144"/>
      <c r="AK66" s="51">
        <v>0</v>
      </c>
      <c r="AL66" s="50"/>
      <c r="AM66" s="51"/>
      <c r="AN66" s="144"/>
      <c r="AO66" s="144"/>
      <c r="AP66" s="51">
        <v>0</v>
      </c>
      <c r="AQ66" s="50"/>
      <c r="AR66" s="51"/>
      <c r="AS66" s="144"/>
      <c r="AT66" s="144"/>
      <c r="AU66" s="51">
        <v>0</v>
      </c>
      <c r="AV66" s="50"/>
      <c r="AW66" s="51"/>
      <c r="AX66" s="144"/>
      <c r="AY66" s="144"/>
      <c r="AZ66" s="51">
        <v>0</v>
      </c>
      <c r="BA66" s="50"/>
      <c r="BB66" s="51"/>
      <c r="BC66" s="144"/>
      <c r="BD66" s="144"/>
      <c r="BE66" s="51">
        <v>0</v>
      </c>
      <c r="BF66" s="50"/>
      <c r="BG66" s="51"/>
      <c r="BH66" s="144"/>
      <c r="BI66" s="144"/>
      <c r="BJ66" s="51">
        <v>0</v>
      </c>
      <c r="BK66" s="50"/>
      <c r="BL66" s="51"/>
      <c r="BM66" s="144"/>
      <c r="BN66" s="144"/>
      <c r="BO66" s="51">
        <v>0</v>
      </c>
      <c r="BP66" s="50"/>
      <c r="BQ66" s="51"/>
      <c r="BR66" s="144"/>
      <c r="BS66" s="144"/>
      <c r="BT66" s="51">
        <f>SUM(L66:BO66)</f>
        <v>0</v>
      </c>
      <c r="BU66" s="50"/>
      <c r="BV66" s="51"/>
      <c r="BW66" s="144"/>
      <c r="BX66" s="144"/>
      <c r="BY66" s="51">
        <v>0</v>
      </c>
      <c r="BZ66" s="50"/>
      <c r="CA66" s="51"/>
      <c r="CB66" s="144"/>
      <c r="CC66" s="144"/>
      <c r="CD66" s="51">
        <v>0</v>
      </c>
      <c r="CE66" s="50"/>
      <c r="CF66" s="51"/>
      <c r="CG66" s="144"/>
      <c r="CH66" s="144"/>
      <c r="CI66" s="51">
        <v>0</v>
      </c>
      <c r="CJ66" s="50"/>
      <c r="CK66" s="51"/>
      <c r="CL66" s="144"/>
      <c r="CM66" s="144"/>
      <c r="CN66" s="51">
        <v>0</v>
      </c>
      <c r="CO66" s="50"/>
      <c r="CP66" s="51"/>
      <c r="CQ66" s="144"/>
      <c r="CR66" s="144"/>
      <c r="CS66" s="51">
        <v>0</v>
      </c>
      <c r="CT66" s="50"/>
      <c r="CU66" s="51"/>
      <c r="CV66" s="144"/>
      <c r="CW66" s="144"/>
      <c r="CX66" s="51">
        <v>0</v>
      </c>
      <c r="CY66" s="50"/>
      <c r="CZ66" s="51"/>
      <c r="DA66" s="144"/>
      <c r="DB66" s="144"/>
      <c r="DC66" s="51">
        <v>0</v>
      </c>
      <c r="DD66" s="50"/>
      <c r="DE66" s="51"/>
      <c r="DF66" s="144"/>
      <c r="DG66" s="144"/>
      <c r="DH66" s="51">
        <v>0</v>
      </c>
      <c r="DI66" s="50"/>
      <c r="DJ66" s="51"/>
      <c r="DK66" s="144"/>
      <c r="DL66" s="144"/>
      <c r="DM66" s="51">
        <v>0</v>
      </c>
      <c r="DN66" s="50"/>
      <c r="DO66" s="51"/>
      <c r="DP66" s="144"/>
      <c r="DQ66" s="144"/>
      <c r="DR66" s="51">
        <v>0</v>
      </c>
      <c r="DS66" s="50"/>
      <c r="DT66" s="51"/>
      <c r="DU66" s="144"/>
      <c r="DV66" s="144"/>
      <c r="DW66" s="51">
        <v>0</v>
      </c>
      <c r="DX66" s="50"/>
      <c r="DY66" s="51"/>
      <c r="DZ66" s="144"/>
      <c r="EA66" s="144"/>
      <c r="EB66" s="51">
        <v>0</v>
      </c>
      <c r="EC66" s="50"/>
      <c r="ED66" s="51"/>
      <c r="EE66" s="144"/>
      <c r="EF66" s="144"/>
      <c r="EG66" s="51">
        <v>0</v>
      </c>
      <c r="EH66" s="50"/>
      <c r="EI66" s="51"/>
      <c r="EJ66" s="144"/>
      <c r="EK66" s="144"/>
      <c r="EL66" s="51">
        <f t="shared" si="3"/>
        <v>0</v>
      </c>
      <c r="EM66" s="50"/>
      <c r="EN66" s="51"/>
      <c r="EO66" s="340"/>
      <c r="ER66" s="39"/>
      <c r="ES66" s="39"/>
    </row>
    <row r="67" spans="1:149" x14ac:dyDescent="0.2">
      <c r="A67" s="317"/>
      <c r="B67" s="317"/>
      <c r="D67" s="340" t="s">
        <v>188</v>
      </c>
      <c r="E67" s="144"/>
      <c r="F67" s="371"/>
      <c r="G67" s="95">
        <v>0</v>
      </c>
      <c r="H67" s="94"/>
      <c r="I67" s="51"/>
      <c r="J67" s="144"/>
      <c r="K67" s="187"/>
      <c r="L67" s="95">
        <v>96135</v>
      </c>
      <c r="M67" s="94"/>
      <c r="N67" s="51"/>
      <c r="O67" s="144"/>
      <c r="P67" s="187"/>
      <c r="Q67" s="95">
        <v>292596</v>
      </c>
      <c r="R67" s="94"/>
      <c r="S67" s="51"/>
      <c r="T67" s="144"/>
      <c r="U67" s="187"/>
      <c r="V67" s="95">
        <v>686049</v>
      </c>
      <c r="W67" s="94"/>
      <c r="X67" s="51"/>
      <c r="Y67" s="144"/>
      <c r="Z67" s="187"/>
      <c r="AA67" s="95">
        <v>136367</v>
      </c>
      <c r="AB67" s="94"/>
      <c r="AC67" s="51"/>
      <c r="AD67" s="144"/>
      <c r="AE67" s="187"/>
      <c r="AF67" s="95">
        <v>627308</v>
      </c>
      <c r="AG67" s="94"/>
      <c r="AH67" s="51"/>
      <c r="AI67" s="144"/>
      <c r="AJ67" s="187"/>
      <c r="AK67" s="95">
        <v>441653</v>
      </c>
      <c r="AL67" s="94"/>
      <c r="AM67" s="51"/>
      <c r="AN67" s="144"/>
      <c r="AO67" s="187"/>
      <c r="AP67" s="95">
        <v>130100</v>
      </c>
      <c r="AQ67" s="94"/>
      <c r="AR67" s="51"/>
      <c r="AS67" s="144"/>
      <c r="AT67" s="187"/>
      <c r="AU67" s="95">
        <v>0</v>
      </c>
      <c r="AV67" s="94"/>
      <c r="AW67" s="51"/>
      <c r="AX67" s="144"/>
      <c r="AY67" s="187"/>
      <c r="AZ67" s="95">
        <v>0</v>
      </c>
      <c r="BA67" s="94"/>
      <c r="BB67" s="51"/>
      <c r="BC67" s="144"/>
      <c r="BD67" s="187"/>
      <c r="BE67" s="95">
        <v>0</v>
      </c>
      <c r="BF67" s="94"/>
      <c r="BG67" s="51"/>
      <c r="BH67" s="144"/>
      <c r="BI67" s="187"/>
      <c r="BJ67" s="95">
        <v>0</v>
      </c>
      <c r="BK67" s="94"/>
      <c r="BL67" s="51"/>
      <c r="BM67" s="144"/>
      <c r="BN67" s="187"/>
      <c r="BO67" s="95">
        <v>0</v>
      </c>
      <c r="BP67" s="94"/>
      <c r="BQ67" s="51"/>
      <c r="BR67" s="144"/>
      <c r="BS67" s="187"/>
      <c r="BT67" s="95">
        <f>SUM(L67:BO67)</f>
        <v>2410208</v>
      </c>
      <c r="BU67" s="94"/>
      <c r="BV67" s="51"/>
      <c r="BW67" s="144"/>
      <c r="BX67" s="187"/>
      <c r="BY67" s="95">
        <v>5133929</v>
      </c>
      <c r="BZ67" s="94"/>
      <c r="CA67" s="51"/>
      <c r="CB67" s="144"/>
      <c r="CC67" s="187"/>
      <c r="CD67" s="95">
        <v>351984</v>
      </c>
      <c r="CE67" s="94"/>
      <c r="CF67" s="51"/>
      <c r="CG67" s="144"/>
      <c r="CH67" s="187"/>
      <c r="CI67" s="95">
        <v>436737</v>
      </c>
      <c r="CJ67" s="94"/>
      <c r="CK67" s="51"/>
      <c r="CL67" s="144"/>
      <c r="CM67" s="187"/>
      <c r="CN67" s="95">
        <v>1252872</v>
      </c>
      <c r="CO67" s="94"/>
      <c r="CP67" s="51"/>
      <c r="CQ67" s="144"/>
      <c r="CR67" s="187"/>
      <c r="CS67" s="95">
        <v>280426</v>
      </c>
      <c r="CT67" s="94"/>
      <c r="CU67" s="51"/>
      <c r="CV67" s="144"/>
      <c r="CW67" s="187"/>
      <c r="CX67" s="95">
        <v>766657</v>
      </c>
      <c r="CY67" s="94"/>
      <c r="CZ67" s="51"/>
      <c r="DA67" s="144"/>
      <c r="DB67" s="187"/>
      <c r="DC67" s="95">
        <v>771750</v>
      </c>
      <c r="DD67" s="94"/>
      <c r="DE67" s="51"/>
      <c r="DF67" s="144"/>
      <c r="DG67" s="187"/>
      <c r="DH67" s="95">
        <v>507182</v>
      </c>
      <c r="DI67" s="94"/>
      <c r="DJ67" s="51"/>
      <c r="DK67" s="144"/>
      <c r="DL67" s="187"/>
      <c r="DM67" s="95">
        <v>174599</v>
      </c>
      <c r="DN67" s="94"/>
      <c r="DO67" s="51"/>
      <c r="DP67" s="144"/>
      <c r="DQ67" s="187"/>
      <c r="DR67" s="95">
        <v>0</v>
      </c>
      <c r="DS67" s="94"/>
      <c r="DT67" s="51"/>
      <c r="DU67" s="144"/>
      <c r="DV67" s="187"/>
      <c r="DW67" s="95">
        <v>474328</v>
      </c>
      <c r="DX67" s="94"/>
      <c r="DY67" s="51"/>
      <c r="DZ67" s="144"/>
      <c r="EA67" s="187"/>
      <c r="EB67" s="95">
        <v>70016</v>
      </c>
      <c r="EC67" s="94"/>
      <c r="ED67" s="51"/>
      <c r="EE67" s="144"/>
      <c r="EF67" s="187"/>
      <c r="EG67" s="95">
        <v>47378</v>
      </c>
      <c r="EH67" s="94"/>
      <c r="EI67" s="51"/>
      <c r="EJ67" s="144"/>
      <c r="EK67" s="187"/>
      <c r="EL67" s="95">
        <f t="shared" si="3"/>
        <v>4367608</v>
      </c>
      <c r="EM67" s="94"/>
      <c r="EN67" s="51"/>
      <c r="EO67" s="340"/>
      <c r="ER67" s="39"/>
      <c r="ES67" s="39"/>
    </row>
    <row r="68" spans="1:149" x14ac:dyDescent="0.2">
      <c r="A68" s="317"/>
      <c r="B68" s="317"/>
      <c r="D68" s="340"/>
      <c r="E68" s="144"/>
      <c r="F68" s="317"/>
      <c r="G68" s="51"/>
      <c r="H68" s="51"/>
      <c r="I68" s="51"/>
      <c r="J68" s="144"/>
      <c r="K68" s="51"/>
      <c r="L68" s="51"/>
      <c r="M68" s="51"/>
      <c r="N68" s="51"/>
      <c r="O68" s="144"/>
      <c r="P68" s="51"/>
      <c r="Q68" s="51"/>
      <c r="R68" s="51"/>
      <c r="S68" s="51"/>
      <c r="T68" s="144"/>
      <c r="U68" s="51"/>
      <c r="V68" s="51"/>
      <c r="W68" s="51"/>
      <c r="X68" s="51"/>
      <c r="Y68" s="144"/>
      <c r="Z68" s="51"/>
      <c r="AA68" s="51"/>
      <c r="AB68" s="51"/>
      <c r="AC68" s="51"/>
      <c r="AD68" s="144"/>
      <c r="AE68" s="51"/>
      <c r="AF68" s="51"/>
      <c r="AG68" s="51"/>
      <c r="AH68" s="51"/>
      <c r="AI68" s="144"/>
      <c r="AJ68" s="51"/>
      <c r="AK68" s="51"/>
      <c r="AL68" s="51"/>
      <c r="AM68" s="51"/>
      <c r="AN68" s="144"/>
      <c r="AO68" s="51"/>
      <c r="AP68" s="51"/>
      <c r="AQ68" s="51"/>
      <c r="AR68" s="51"/>
      <c r="AS68" s="144"/>
      <c r="AT68" s="51"/>
      <c r="AU68" s="51"/>
      <c r="AV68" s="51"/>
      <c r="AW68" s="51"/>
      <c r="AX68" s="144"/>
      <c r="AY68" s="51"/>
      <c r="AZ68" s="51"/>
      <c r="BA68" s="51"/>
      <c r="BB68" s="51"/>
      <c r="BC68" s="144"/>
      <c r="BD68" s="51"/>
      <c r="BE68" s="51"/>
      <c r="BF68" s="51"/>
      <c r="BG68" s="51"/>
      <c r="BH68" s="144"/>
      <c r="BI68" s="51"/>
      <c r="BJ68" s="51"/>
      <c r="BK68" s="51"/>
      <c r="BL68" s="51"/>
      <c r="BM68" s="144"/>
      <c r="BN68" s="51"/>
      <c r="BO68" s="51"/>
      <c r="BP68" s="51"/>
      <c r="BQ68" s="51"/>
      <c r="BR68" s="144"/>
      <c r="BS68" s="51"/>
      <c r="BT68" s="51"/>
      <c r="BU68" s="51"/>
      <c r="BV68" s="51"/>
      <c r="BW68" s="144"/>
      <c r="BX68" s="51"/>
      <c r="BY68" s="51"/>
      <c r="BZ68" s="51"/>
      <c r="CA68" s="51"/>
      <c r="CB68" s="144"/>
      <c r="CC68" s="51"/>
      <c r="CD68" s="51"/>
      <c r="CE68" s="51"/>
      <c r="CF68" s="51"/>
      <c r="CG68" s="144"/>
      <c r="CH68" s="51"/>
      <c r="CI68" s="51"/>
      <c r="CJ68" s="51"/>
      <c r="CK68" s="51"/>
      <c r="CL68" s="144"/>
      <c r="CM68" s="51"/>
      <c r="CN68" s="51"/>
      <c r="CO68" s="51"/>
      <c r="CP68" s="51"/>
      <c r="CQ68" s="144"/>
      <c r="CR68" s="51"/>
      <c r="CS68" s="51"/>
      <c r="CT68" s="51"/>
      <c r="CU68" s="51"/>
      <c r="CV68" s="144"/>
      <c r="CW68" s="51"/>
      <c r="CX68" s="51"/>
      <c r="CY68" s="51"/>
      <c r="CZ68" s="51"/>
      <c r="DA68" s="144"/>
      <c r="DB68" s="51"/>
      <c r="DC68" s="51"/>
      <c r="DD68" s="51"/>
      <c r="DE68" s="51"/>
      <c r="DF68" s="144"/>
      <c r="DG68" s="51"/>
      <c r="DH68" s="51"/>
      <c r="DI68" s="51"/>
      <c r="DJ68" s="51"/>
      <c r="DK68" s="144"/>
      <c r="DL68" s="51"/>
      <c r="DM68" s="51"/>
      <c r="DN68" s="51"/>
      <c r="DO68" s="51"/>
      <c r="DP68" s="144"/>
      <c r="DQ68" s="51"/>
      <c r="DR68" s="51"/>
      <c r="DS68" s="51"/>
      <c r="DT68" s="51"/>
      <c r="DU68" s="144"/>
      <c r="DV68" s="51"/>
      <c r="DW68" s="51"/>
      <c r="DX68" s="51"/>
      <c r="DY68" s="51"/>
      <c r="DZ68" s="144"/>
      <c r="EA68" s="51"/>
      <c r="EB68" s="51"/>
      <c r="EC68" s="51"/>
      <c r="ED68" s="51"/>
      <c r="EE68" s="144"/>
      <c r="EF68" s="51"/>
      <c r="EG68" s="51"/>
      <c r="EH68" s="51"/>
      <c r="EI68" s="51"/>
      <c r="EJ68" s="144"/>
      <c r="EK68" s="51"/>
      <c r="EL68" s="51"/>
      <c r="EM68" s="51"/>
      <c r="EN68" s="51"/>
      <c r="EO68" s="340"/>
      <c r="ER68" s="39"/>
      <c r="ES68" s="39"/>
    </row>
    <row r="69" spans="1:149" ht="12.75" customHeight="1" x14ac:dyDescent="0.2">
      <c r="A69" s="317"/>
      <c r="B69" s="317"/>
      <c r="D69" s="340" t="s">
        <v>195</v>
      </c>
      <c r="E69" s="144"/>
      <c r="F69" s="317"/>
      <c r="G69" s="51">
        <f>SUM(G70:G73)</f>
        <v>0</v>
      </c>
      <c r="H69" s="51"/>
      <c r="I69" s="51"/>
      <c r="J69" s="144"/>
      <c r="K69" s="51"/>
      <c r="L69" s="51">
        <f>SUM(L70:L73)</f>
        <v>414894</v>
      </c>
      <c r="M69" s="51"/>
      <c r="N69" s="51"/>
      <c r="O69" s="144"/>
      <c r="P69" s="51"/>
      <c r="Q69" s="51">
        <f>SUM(Q70:Q73)</f>
        <v>15159</v>
      </c>
      <c r="R69" s="51"/>
      <c r="S69" s="51"/>
      <c r="T69" s="144"/>
      <c r="U69" s="51"/>
      <c r="V69" s="51">
        <f>SUM(V70:V73)</f>
        <v>2912748</v>
      </c>
      <c r="W69" s="51"/>
      <c r="X69" s="51"/>
      <c r="Y69" s="144"/>
      <c r="Z69" s="51"/>
      <c r="AA69" s="51">
        <f>SUM(AA70:AA73)</f>
        <v>1193932</v>
      </c>
      <c r="AB69" s="51"/>
      <c r="AC69" s="51"/>
      <c r="AD69" s="144"/>
      <c r="AE69" s="51"/>
      <c r="AF69" s="51">
        <f>SUM(AF70:AF73)</f>
        <v>2264270</v>
      </c>
      <c r="AG69" s="51"/>
      <c r="AH69" s="51"/>
      <c r="AI69" s="144"/>
      <c r="AJ69" s="51"/>
      <c r="AK69" s="51">
        <f>SUM(AK70:AK73)</f>
        <v>948469</v>
      </c>
      <c r="AL69" s="51"/>
      <c r="AM69" s="51"/>
      <c r="AN69" s="144"/>
      <c r="AO69" s="51"/>
      <c r="AP69" s="51">
        <f>SUM(AP70:AP73)</f>
        <v>2673282</v>
      </c>
      <c r="AQ69" s="51"/>
      <c r="AR69" s="51"/>
      <c r="AS69" s="144"/>
      <c r="AT69" s="51"/>
      <c r="AU69" s="51">
        <f>SUM(AU70:AU73)</f>
        <v>0</v>
      </c>
      <c r="AV69" s="51"/>
      <c r="AW69" s="51"/>
      <c r="AX69" s="144"/>
      <c r="AY69" s="51"/>
      <c r="AZ69" s="51">
        <f>SUM(AZ70:AZ73)</f>
        <v>0</v>
      </c>
      <c r="BA69" s="51"/>
      <c r="BB69" s="51"/>
      <c r="BC69" s="144"/>
      <c r="BD69" s="51"/>
      <c r="BE69" s="51">
        <f>SUM(BE70:BE73)</f>
        <v>0</v>
      </c>
      <c r="BF69" s="51"/>
      <c r="BG69" s="51"/>
      <c r="BH69" s="144"/>
      <c r="BI69" s="51"/>
      <c r="BJ69" s="51">
        <f>SUM(BJ70:BJ73)</f>
        <v>0</v>
      </c>
      <c r="BK69" s="51"/>
      <c r="BL69" s="51"/>
      <c r="BM69" s="144"/>
      <c r="BN69" s="51"/>
      <c r="BO69" s="51">
        <f>SUM(BO70:BO73)</f>
        <v>0</v>
      </c>
      <c r="BP69" s="51"/>
      <c r="BQ69" s="51"/>
      <c r="BR69" s="144"/>
      <c r="BS69" s="51"/>
      <c r="BT69" s="51">
        <f>SUM(BT70:BT73)</f>
        <v>10422754</v>
      </c>
      <c r="BU69" s="51"/>
      <c r="BV69" s="51"/>
      <c r="BW69" s="144"/>
      <c r="BX69" s="51"/>
      <c r="BY69" s="51">
        <f>SUM(BY70:BY73)</f>
        <v>19443086</v>
      </c>
      <c r="BZ69" s="51"/>
      <c r="CA69" s="51"/>
      <c r="CB69" s="144"/>
      <c r="CC69" s="51"/>
      <c r="CD69" s="51">
        <f>SUM(CD70:CD73)</f>
        <v>813046</v>
      </c>
      <c r="CE69" s="51"/>
      <c r="CF69" s="51"/>
      <c r="CG69" s="144"/>
      <c r="CH69" s="51"/>
      <c r="CI69" s="51">
        <f>SUM(CI70:CI73)</f>
        <v>515696</v>
      </c>
      <c r="CJ69" s="51"/>
      <c r="CK69" s="51"/>
      <c r="CL69" s="144"/>
      <c r="CM69" s="51"/>
      <c r="CN69" s="51">
        <f>SUM(CN70:CN73)</f>
        <v>1552379</v>
      </c>
      <c r="CO69" s="51"/>
      <c r="CP69" s="51"/>
      <c r="CQ69" s="144"/>
      <c r="CR69" s="51"/>
      <c r="CS69" s="51">
        <f>SUM(CS70:CS73)</f>
        <v>893971</v>
      </c>
      <c r="CT69" s="51"/>
      <c r="CU69" s="51"/>
      <c r="CV69" s="144"/>
      <c r="CW69" s="51"/>
      <c r="CX69" s="51">
        <f>SUM(CX70:CX73)</f>
        <v>2414344</v>
      </c>
      <c r="CY69" s="51"/>
      <c r="CZ69" s="51"/>
      <c r="DA69" s="144"/>
      <c r="DB69" s="51"/>
      <c r="DC69" s="51">
        <f>SUM(DC70:DC73)</f>
        <v>2009028</v>
      </c>
      <c r="DD69" s="51"/>
      <c r="DE69" s="51"/>
      <c r="DF69" s="144"/>
      <c r="DG69" s="51"/>
      <c r="DH69" s="51">
        <f>SUM(DH70:DH73)</f>
        <v>1723893</v>
      </c>
      <c r="DI69" s="51"/>
      <c r="DJ69" s="51"/>
      <c r="DK69" s="144"/>
      <c r="DL69" s="51"/>
      <c r="DM69" s="51">
        <f>SUM(DM70:DM73)</f>
        <v>1888507</v>
      </c>
      <c r="DN69" s="51"/>
      <c r="DO69" s="51"/>
      <c r="DP69" s="144"/>
      <c r="DQ69" s="51"/>
      <c r="DR69" s="51">
        <f>SUM(DR70:DR73)</f>
        <v>3440295</v>
      </c>
      <c r="DS69" s="51"/>
      <c r="DT69" s="51"/>
      <c r="DU69" s="144"/>
      <c r="DV69" s="51"/>
      <c r="DW69" s="51">
        <f>SUM(DW70:DW73)</f>
        <v>1170008</v>
      </c>
      <c r="DX69" s="51"/>
      <c r="DY69" s="51"/>
      <c r="DZ69" s="144"/>
      <c r="EA69" s="51"/>
      <c r="EB69" s="51">
        <f>SUM(EB70:EB73)</f>
        <v>1861992</v>
      </c>
      <c r="EC69" s="51"/>
      <c r="ED69" s="51"/>
      <c r="EE69" s="144"/>
      <c r="EF69" s="51"/>
      <c r="EG69" s="51">
        <f>SUM(EG70:EG73)</f>
        <v>1159927</v>
      </c>
      <c r="EH69" s="51"/>
      <c r="EI69" s="51"/>
      <c r="EJ69" s="144"/>
      <c r="EK69" s="51"/>
      <c r="EL69" s="51">
        <f>SUM(EL70:EL73)</f>
        <v>9922357</v>
      </c>
      <c r="EM69" s="51"/>
      <c r="EN69" s="51"/>
      <c r="EO69" s="340"/>
      <c r="ER69" s="39"/>
      <c r="ES69" s="39"/>
    </row>
    <row r="70" spans="1:149" ht="12.75" customHeight="1" x14ac:dyDescent="0.2">
      <c r="A70" s="317"/>
      <c r="B70" s="317"/>
      <c r="D70" s="340" t="s">
        <v>183</v>
      </c>
      <c r="E70" s="144"/>
      <c r="F70" s="354"/>
      <c r="G70" s="430">
        <v>0</v>
      </c>
      <c r="H70" s="431"/>
      <c r="I70" s="51"/>
      <c r="J70" s="144"/>
      <c r="K70" s="432"/>
      <c r="L70" s="430">
        <f>275000-99079</f>
        <v>175921</v>
      </c>
      <c r="M70" s="431"/>
      <c r="N70" s="51"/>
      <c r="O70" s="144"/>
      <c r="P70" s="432"/>
      <c r="Q70" s="430">
        <f>10000-3378</f>
        <v>6622</v>
      </c>
      <c r="R70" s="431"/>
      <c r="S70" s="51"/>
      <c r="T70" s="144"/>
      <c r="U70" s="432"/>
      <c r="V70" s="430">
        <f>1910000-661411</f>
        <v>1248589</v>
      </c>
      <c r="W70" s="431"/>
      <c r="X70" s="51"/>
      <c r="Y70" s="144"/>
      <c r="Z70" s="432"/>
      <c r="AA70" s="430">
        <f>775000-302352</f>
        <v>472648</v>
      </c>
      <c r="AB70" s="431"/>
      <c r="AC70" s="51"/>
      <c r="AD70" s="144"/>
      <c r="AE70" s="432"/>
      <c r="AF70" s="430">
        <f>1460000-592353</f>
        <v>867647</v>
      </c>
      <c r="AG70" s="431"/>
      <c r="AH70" s="51"/>
      <c r="AI70" s="144"/>
      <c r="AJ70" s="432"/>
      <c r="AK70" s="430">
        <f>605000-260980</f>
        <v>344020</v>
      </c>
      <c r="AL70" s="431"/>
      <c r="AM70" s="51"/>
      <c r="AN70" s="144"/>
      <c r="AO70" s="432"/>
      <c r="AP70" s="430">
        <f>1690000-794835</f>
        <v>895165</v>
      </c>
      <c r="AQ70" s="431"/>
      <c r="AR70" s="51"/>
      <c r="AS70" s="144"/>
      <c r="AT70" s="432"/>
      <c r="AU70" s="430">
        <v>0</v>
      </c>
      <c r="AV70" s="431"/>
      <c r="AW70" s="51"/>
      <c r="AX70" s="144"/>
      <c r="AY70" s="432"/>
      <c r="AZ70" s="430">
        <v>0</v>
      </c>
      <c r="BA70" s="431"/>
      <c r="BB70" s="51"/>
      <c r="BC70" s="144"/>
      <c r="BD70" s="432"/>
      <c r="BE70" s="430">
        <v>0</v>
      </c>
      <c r="BF70" s="431"/>
      <c r="BG70" s="51"/>
      <c r="BH70" s="144"/>
      <c r="BI70" s="432"/>
      <c r="BJ70" s="430">
        <v>0</v>
      </c>
      <c r="BK70" s="431"/>
      <c r="BL70" s="51"/>
      <c r="BM70" s="144"/>
      <c r="BN70" s="432"/>
      <c r="BO70" s="430">
        <v>0</v>
      </c>
      <c r="BP70" s="431"/>
      <c r="BQ70" s="51"/>
      <c r="BR70" s="144"/>
      <c r="BS70" s="432"/>
      <c r="BT70" s="430">
        <f>SUM(L70:BO70)</f>
        <v>4010612</v>
      </c>
      <c r="BU70" s="431"/>
      <c r="BV70" s="51"/>
      <c r="BW70" s="144"/>
      <c r="BX70" s="432"/>
      <c r="BY70" s="430">
        <v>8283003</v>
      </c>
      <c r="BZ70" s="431"/>
      <c r="CA70" s="51"/>
      <c r="CB70" s="144"/>
      <c r="CC70" s="432"/>
      <c r="CD70" s="430">
        <f>570000-218585</f>
        <v>351415</v>
      </c>
      <c r="CE70" s="431"/>
      <c r="CF70" s="51"/>
      <c r="CG70" s="144"/>
      <c r="CH70" s="432"/>
      <c r="CI70" s="430">
        <f>360000-139083</f>
        <v>220917</v>
      </c>
      <c r="CJ70" s="431"/>
      <c r="CK70" s="51"/>
      <c r="CL70" s="144"/>
      <c r="CM70" s="432"/>
      <c r="CN70" s="430">
        <f>1075000-368240</f>
        <v>706760</v>
      </c>
      <c r="CO70" s="431"/>
      <c r="CP70" s="51"/>
      <c r="CQ70" s="144"/>
      <c r="CR70" s="432"/>
      <c r="CS70" s="430">
        <f>615000-233396</f>
        <v>381604</v>
      </c>
      <c r="CT70" s="431"/>
      <c r="CU70" s="51"/>
      <c r="CV70" s="144"/>
      <c r="CW70" s="432"/>
      <c r="CX70" s="430">
        <f>1655000-661887</f>
        <v>993113</v>
      </c>
      <c r="CY70" s="431"/>
      <c r="CZ70" s="51"/>
      <c r="DA70" s="144"/>
      <c r="DB70" s="432"/>
      <c r="DC70" s="430">
        <f>1375000-528777</f>
        <v>846223</v>
      </c>
      <c r="DD70" s="431"/>
      <c r="DE70" s="51"/>
      <c r="DF70" s="144"/>
      <c r="DG70" s="432"/>
      <c r="DH70" s="430">
        <f>1170000-454177</f>
        <v>715823</v>
      </c>
      <c r="DI70" s="431"/>
      <c r="DJ70" s="51"/>
      <c r="DK70" s="144"/>
      <c r="DL70" s="432"/>
      <c r="DM70" s="430">
        <f>1275000-495992</f>
        <v>779008</v>
      </c>
      <c r="DN70" s="431"/>
      <c r="DO70" s="51"/>
      <c r="DP70" s="144"/>
      <c r="DQ70" s="432"/>
      <c r="DR70" s="430">
        <f>2315000-886396</f>
        <v>1428604</v>
      </c>
      <c r="DS70" s="431"/>
      <c r="DT70" s="51"/>
      <c r="DU70" s="144"/>
      <c r="DV70" s="432"/>
      <c r="DW70" s="430">
        <f>785000-267136</f>
        <v>517864</v>
      </c>
      <c r="DX70" s="431"/>
      <c r="DY70" s="51"/>
      <c r="DZ70" s="144"/>
      <c r="EA70" s="432"/>
      <c r="EB70" s="430">
        <f>1245000-398991</f>
        <v>846009</v>
      </c>
      <c r="EC70" s="431"/>
      <c r="ED70" s="51"/>
      <c r="EE70" s="144"/>
      <c r="EF70" s="432"/>
      <c r="EG70" s="430">
        <f>770000-274337</f>
        <v>495663</v>
      </c>
      <c r="EH70" s="431"/>
      <c r="EI70" s="51"/>
      <c r="EJ70" s="144"/>
      <c r="EK70" s="432"/>
      <c r="EL70" s="430">
        <f t="shared" ref="EL70:EL73" si="4">SUM(CD70:DH70)</f>
        <v>4215855</v>
      </c>
      <c r="EM70" s="431"/>
      <c r="EN70" s="51"/>
      <c r="EO70" s="340"/>
      <c r="ER70" s="39"/>
      <c r="ES70" s="39"/>
    </row>
    <row r="71" spans="1:149" ht="12.75" customHeight="1" x14ac:dyDescent="0.2">
      <c r="A71" s="317"/>
      <c r="B71" s="317"/>
      <c r="D71" s="340" t="s">
        <v>186</v>
      </c>
      <c r="E71" s="144"/>
      <c r="F71" s="347"/>
      <c r="G71" s="51">
        <v>0</v>
      </c>
      <c r="H71" s="50"/>
      <c r="I71" s="51"/>
      <c r="J71" s="144"/>
      <c r="K71" s="144"/>
      <c r="L71" s="51">
        <v>99079</v>
      </c>
      <c r="M71" s="50"/>
      <c r="N71" s="51"/>
      <c r="O71" s="144"/>
      <c r="P71" s="144"/>
      <c r="Q71" s="51">
        <v>3378</v>
      </c>
      <c r="R71" s="50"/>
      <c r="S71" s="51"/>
      <c r="T71" s="144"/>
      <c r="U71" s="144"/>
      <c r="V71" s="51">
        <v>661411</v>
      </c>
      <c r="W71" s="50"/>
      <c r="X71" s="51"/>
      <c r="Y71" s="144"/>
      <c r="Z71" s="144"/>
      <c r="AA71" s="51">
        <v>302352</v>
      </c>
      <c r="AB71" s="50"/>
      <c r="AC71" s="51"/>
      <c r="AD71" s="144"/>
      <c r="AE71" s="144"/>
      <c r="AF71" s="51">
        <v>592353</v>
      </c>
      <c r="AG71" s="50"/>
      <c r="AH71" s="51"/>
      <c r="AI71" s="144"/>
      <c r="AJ71" s="144"/>
      <c r="AK71" s="51">
        <v>260980</v>
      </c>
      <c r="AL71" s="50"/>
      <c r="AM71" s="51"/>
      <c r="AN71" s="144"/>
      <c r="AO71" s="144"/>
      <c r="AP71" s="51">
        <v>794835</v>
      </c>
      <c r="AQ71" s="50"/>
      <c r="AR71" s="51"/>
      <c r="AS71" s="144"/>
      <c r="AT71" s="144"/>
      <c r="AU71" s="51">
        <v>0</v>
      </c>
      <c r="AV71" s="50"/>
      <c r="AW71" s="51"/>
      <c r="AX71" s="144"/>
      <c r="AY71" s="144"/>
      <c r="AZ71" s="51">
        <v>0</v>
      </c>
      <c r="BA71" s="50"/>
      <c r="BB71" s="51"/>
      <c r="BC71" s="144"/>
      <c r="BD71" s="144"/>
      <c r="BE71" s="51">
        <v>0</v>
      </c>
      <c r="BF71" s="50"/>
      <c r="BG71" s="51"/>
      <c r="BH71" s="144"/>
      <c r="BI71" s="144"/>
      <c r="BJ71" s="51">
        <v>0</v>
      </c>
      <c r="BK71" s="50"/>
      <c r="BL71" s="51"/>
      <c r="BM71" s="144"/>
      <c r="BN71" s="144"/>
      <c r="BO71" s="51">
        <v>0</v>
      </c>
      <c r="BP71" s="50"/>
      <c r="BQ71" s="51"/>
      <c r="BR71" s="144"/>
      <c r="BS71" s="144"/>
      <c r="BT71" s="51">
        <f>SUM(L71:BO71)</f>
        <v>2714388</v>
      </c>
      <c r="BU71" s="50"/>
      <c r="BV71" s="51"/>
      <c r="BW71" s="144"/>
      <c r="BX71" s="144"/>
      <c r="BY71" s="51">
        <v>4926997</v>
      </c>
      <c r="BZ71" s="50"/>
      <c r="CA71" s="51"/>
      <c r="CB71" s="144"/>
      <c r="CC71" s="144"/>
      <c r="CD71" s="51">
        <v>218585</v>
      </c>
      <c r="CE71" s="50"/>
      <c r="CF71" s="51"/>
      <c r="CG71" s="144"/>
      <c r="CH71" s="144"/>
      <c r="CI71" s="51">
        <v>139083</v>
      </c>
      <c r="CJ71" s="50"/>
      <c r="CK71" s="51"/>
      <c r="CL71" s="144"/>
      <c r="CM71" s="144"/>
      <c r="CN71" s="51">
        <v>368240</v>
      </c>
      <c r="CO71" s="50"/>
      <c r="CP71" s="51"/>
      <c r="CQ71" s="144"/>
      <c r="CR71" s="144"/>
      <c r="CS71" s="51">
        <v>233396</v>
      </c>
      <c r="CT71" s="50"/>
      <c r="CU71" s="51"/>
      <c r="CV71" s="144"/>
      <c r="CW71" s="144"/>
      <c r="CX71" s="51">
        <v>661887</v>
      </c>
      <c r="CY71" s="50"/>
      <c r="CZ71" s="51"/>
      <c r="DA71" s="144"/>
      <c r="DB71" s="144"/>
      <c r="DC71" s="51">
        <v>528777</v>
      </c>
      <c r="DD71" s="50"/>
      <c r="DE71" s="51"/>
      <c r="DF71" s="144"/>
      <c r="DG71" s="144"/>
      <c r="DH71" s="51">
        <v>454177</v>
      </c>
      <c r="DI71" s="50"/>
      <c r="DJ71" s="51"/>
      <c r="DK71" s="144"/>
      <c r="DL71" s="144"/>
      <c r="DM71" s="51">
        <v>495992</v>
      </c>
      <c r="DN71" s="50"/>
      <c r="DO71" s="51"/>
      <c r="DP71" s="144"/>
      <c r="DQ71" s="144"/>
      <c r="DR71" s="51">
        <v>886396</v>
      </c>
      <c r="DS71" s="50"/>
      <c r="DT71" s="51"/>
      <c r="DU71" s="144"/>
      <c r="DV71" s="144"/>
      <c r="DW71" s="51">
        <v>267136</v>
      </c>
      <c r="DX71" s="50"/>
      <c r="DY71" s="51"/>
      <c r="DZ71" s="144"/>
      <c r="EA71" s="144"/>
      <c r="EB71" s="51">
        <v>398991</v>
      </c>
      <c r="EC71" s="50"/>
      <c r="ED71" s="51"/>
      <c r="EE71" s="144"/>
      <c r="EF71" s="144"/>
      <c r="EG71" s="51">
        <v>274337</v>
      </c>
      <c r="EH71" s="50"/>
      <c r="EI71" s="51"/>
      <c r="EJ71" s="144"/>
      <c r="EK71" s="144"/>
      <c r="EL71" s="51">
        <f t="shared" si="4"/>
        <v>2604145</v>
      </c>
      <c r="EM71" s="50"/>
      <c r="EN71" s="51"/>
      <c r="EO71" s="340"/>
      <c r="ER71" s="39"/>
      <c r="ES71" s="39"/>
    </row>
    <row r="72" spans="1:149" ht="12.75" customHeight="1" x14ac:dyDescent="0.2">
      <c r="A72" s="317"/>
      <c r="B72" s="317"/>
      <c r="D72" s="340" t="s">
        <v>187</v>
      </c>
      <c r="E72" s="144"/>
      <c r="F72" s="347"/>
      <c r="G72" s="51">
        <v>0</v>
      </c>
      <c r="H72" s="50"/>
      <c r="I72" s="51"/>
      <c r="J72" s="144"/>
      <c r="K72" s="144"/>
      <c r="L72" s="51">
        <v>0</v>
      </c>
      <c r="M72" s="50"/>
      <c r="N72" s="51"/>
      <c r="O72" s="144"/>
      <c r="P72" s="144"/>
      <c r="Q72" s="51">
        <v>0</v>
      </c>
      <c r="R72" s="50"/>
      <c r="S72" s="51"/>
      <c r="T72" s="144"/>
      <c r="U72" s="144"/>
      <c r="V72" s="51">
        <v>0</v>
      </c>
      <c r="W72" s="50"/>
      <c r="X72" s="51"/>
      <c r="Y72" s="144"/>
      <c r="Z72" s="144"/>
      <c r="AA72" s="51">
        <v>0</v>
      </c>
      <c r="AB72" s="50"/>
      <c r="AC72" s="51"/>
      <c r="AD72" s="144"/>
      <c r="AE72" s="144"/>
      <c r="AF72" s="51">
        <v>0</v>
      </c>
      <c r="AG72" s="50"/>
      <c r="AH72" s="51"/>
      <c r="AI72" s="144"/>
      <c r="AJ72" s="144"/>
      <c r="AK72" s="51">
        <v>0</v>
      </c>
      <c r="AL72" s="50"/>
      <c r="AM72" s="51"/>
      <c r="AN72" s="144"/>
      <c r="AO72" s="144"/>
      <c r="AP72" s="51">
        <v>0</v>
      </c>
      <c r="AQ72" s="50"/>
      <c r="AR72" s="51"/>
      <c r="AS72" s="144"/>
      <c r="AT72" s="144"/>
      <c r="AU72" s="51">
        <v>0</v>
      </c>
      <c r="AV72" s="50"/>
      <c r="AW72" s="51"/>
      <c r="AX72" s="144"/>
      <c r="AY72" s="144"/>
      <c r="AZ72" s="51">
        <v>0</v>
      </c>
      <c r="BA72" s="50"/>
      <c r="BB72" s="51"/>
      <c r="BC72" s="144"/>
      <c r="BD72" s="144"/>
      <c r="BE72" s="51">
        <v>0</v>
      </c>
      <c r="BF72" s="50"/>
      <c r="BG72" s="51"/>
      <c r="BH72" s="144"/>
      <c r="BI72" s="144"/>
      <c r="BJ72" s="51">
        <v>0</v>
      </c>
      <c r="BK72" s="50"/>
      <c r="BL72" s="51"/>
      <c r="BM72" s="144"/>
      <c r="BN72" s="144"/>
      <c r="BO72" s="51">
        <v>0</v>
      </c>
      <c r="BP72" s="50"/>
      <c r="BQ72" s="51"/>
      <c r="BR72" s="144"/>
      <c r="BS72" s="144"/>
      <c r="BT72" s="51">
        <f>SUM(L72:BO72)</f>
        <v>0</v>
      </c>
      <c r="BU72" s="50"/>
      <c r="BV72" s="51"/>
      <c r="BW72" s="144"/>
      <c r="BX72" s="144"/>
      <c r="BY72" s="51">
        <v>0</v>
      </c>
      <c r="BZ72" s="50"/>
      <c r="CA72" s="51"/>
      <c r="CB72" s="144"/>
      <c r="CC72" s="144"/>
      <c r="CD72" s="51">
        <v>0</v>
      </c>
      <c r="CE72" s="50"/>
      <c r="CF72" s="51"/>
      <c r="CG72" s="144"/>
      <c r="CH72" s="144"/>
      <c r="CI72" s="51">
        <v>0</v>
      </c>
      <c r="CJ72" s="50"/>
      <c r="CK72" s="51"/>
      <c r="CL72" s="144"/>
      <c r="CM72" s="144"/>
      <c r="CN72" s="51">
        <v>0</v>
      </c>
      <c r="CO72" s="50"/>
      <c r="CP72" s="51"/>
      <c r="CQ72" s="144"/>
      <c r="CR72" s="144"/>
      <c r="CS72" s="51">
        <v>0</v>
      </c>
      <c r="CT72" s="50"/>
      <c r="CU72" s="51"/>
      <c r="CV72" s="144"/>
      <c r="CW72" s="144"/>
      <c r="CX72" s="51">
        <v>0</v>
      </c>
      <c r="CY72" s="50"/>
      <c r="CZ72" s="51"/>
      <c r="DA72" s="144"/>
      <c r="DB72" s="144"/>
      <c r="DC72" s="51">
        <v>0</v>
      </c>
      <c r="DD72" s="50"/>
      <c r="DE72" s="51"/>
      <c r="DF72" s="144"/>
      <c r="DG72" s="144"/>
      <c r="DH72" s="51">
        <v>0</v>
      </c>
      <c r="DI72" s="50"/>
      <c r="DJ72" s="51"/>
      <c r="DK72" s="144"/>
      <c r="DL72" s="144"/>
      <c r="DM72" s="51">
        <v>0</v>
      </c>
      <c r="DN72" s="50"/>
      <c r="DO72" s="51"/>
      <c r="DP72" s="144"/>
      <c r="DQ72" s="144"/>
      <c r="DR72" s="51">
        <v>0</v>
      </c>
      <c r="DS72" s="50"/>
      <c r="DT72" s="51"/>
      <c r="DU72" s="144"/>
      <c r="DV72" s="144"/>
      <c r="DW72" s="51">
        <v>0</v>
      </c>
      <c r="DX72" s="50"/>
      <c r="DY72" s="51"/>
      <c r="DZ72" s="144"/>
      <c r="EA72" s="144"/>
      <c r="EB72" s="51">
        <v>0</v>
      </c>
      <c r="EC72" s="50"/>
      <c r="ED72" s="51"/>
      <c r="EE72" s="144"/>
      <c r="EF72" s="144"/>
      <c r="EG72" s="51">
        <v>0</v>
      </c>
      <c r="EH72" s="50"/>
      <c r="EI72" s="51"/>
      <c r="EJ72" s="144"/>
      <c r="EK72" s="144"/>
      <c r="EL72" s="51">
        <f t="shared" si="4"/>
        <v>0</v>
      </c>
      <c r="EM72" s="50"/>
      <c r="EN72" s="51"/>
      <c r="EO72" s="340"/>
      <c r="ER72" s="39"/>
      <c r="ES72" s="39"/>
    </row>
    <row r="73" spans="1:149" ht="12.75" customHeight="1" x14ac:dyDescent="0.2">
      <c r="A73" s="317"/>
      <c r="B73" s="317"/>
      <c r="D73" s="340" t="s">
        <v>188</v>
      </c>
      <c r="E73" s="144"/>
      <c r="F73" s="371"/>
      <c r="G73" s="95">
        <v>0</v>
      </c>
      <c r="H73" s="94"/>
      <c r="I73" s="51"/>
      <c r="J73" s="144"/>
      <c r="K73" s="187"/>
      <c r="L73" s="95">
        <v>139894</v>
      </c>
      <c r="M73" s="94"/>
      <c r="N73" s="51"/>
      <c r="O73" s="144"/>
      <c r="P73" s="187"/>
      <c r="Q73" s="95">
        <v>5159</v>
      </c>
      <c r="R73" s="94"/>
      <c r="S73" s="51"/>
      <c r="T73" s="144"/>
      <c r="U73" s="187"/>
      <c r="V73" s="95">
        <v>1002748</v>
      </c>
      <c r="W73" s="94"/>
      <c r="X73" s="51"/>
      <c r="Y73" s="144"/>
      <c r="Z73" s="187"/>
      <c r="AA73" s="95">
        <v>418932</v>
      </c>
      <c r="AB73" s="94"/>
      <c r="AC73" s="51"/>
      <c r="AD73" s="144"/>
      <c r="AE73" s="187"/>
      <c r="AF73" s="95">
        <v>804270</v>
      </c>
      <c r="AG73" s="94"/>
      <c r="AH73" s="51"/>
      <c r="AI73" s="144"/>
      <c r="AJ73" s="187"/>
      <c r="AK73" s="95">
        <v>343469</v>
      </c>
      <c r="AL73" s="94"/>
      <c r="AM73" s="51"/>
      <c r="AN73" s="144"/>
      <c r="AO73" s="187"/>
      <c r="AP73" s="95">
        <v>983282</v>
      </c>
      <c r="AQ73" s="94"/>
      <c r="AR73" s="51"/>
      <c r="AS73" s="144"/>
      <c r="AT73" s="187"/>
      <c r="AU73" s="95">
        <v>0</v>
      </c>
      <c r="AV73" s="94"/>
      <c r="AW73" s="51"/>
      <c r="AX73" s="144"/>
      <c r="AY73" s="187"/>
      <c r="AZ73" s="95">
        <v>0</v>
      </c>
      <c r="BA73" s="94"/>
      <c r="BB73" s="51"/>
      <c r="BC73" s="144"/>
      <c r="BD73" s="187"/>
      <c r="BE73" s="95">
        <v>0</v>
      </c>
      <c r="BF73" s="94"/>
      <c r="BG73" s="51"/>
      <c r="BH73" s="144"/>
      <c r="BI73" s="187"/>
      <c r="BJ73" s="95">
        <v>0</v>
      </c>
      <c r="BK73" s="94"/>
      <c r="BL73" s="51"/>
      <c r="BM73" s="144"/>
      <c r="BN73" s="187"/>
      <c r="BO73" s="95">
        <v>0</v>
      </c>
      <c r="BP73" s="94"/>
      <c r="BQ73" s="51"/>
      <c r="BR73" s="144"/>
      <c r="BS73" s="187"/>
      <c r="BT73" s="95">
        <f>SUM(L73:BO73)</f>
        <v>3697754</v>
      </c>
      <c r="BU73" s="94"/>
      <c r="BV73" s="51"/>
      <c r="BW73" s="144"/>
      <c r="BX73" s="187"/>
      <c r="BY73" s="95">
        <v>6233086</v>
      </c>
      <c r="BZ73" s="94"/>
      <c r="CA73" s="51"/>
      <c r="CB73" s="144"/>
      <c r="CC73" s="187"/>
      <c r="CD73" s="95">
        <v>243046</v>
      </c>
      <c r="CE73" s="94"/>
      <c r="CF73" s="51"/>
      <c r="CG73" s="144"/>
      <c r="CH73" s="187"/>
      <c r="CI73" s="95">
        <v>155696</v>
      </c>
      <c r="CJ73" s="94"/>
      <c r="CK73" s="51"/>
      <c r="CL73" s="144"/>
      <c r="CM73" s="187"/>
      <c r="CN73" s="95">
        <v>477379</v>
      </c>
      <c r="CO73" s="94"/>
      <c r="CP73" s="51"/>
      <c r="CQ73" s="144"/>
      <c r="CR73" s="187"/>
      <c r="CS73" s="95">
        <v>278971</v>
      </c>
      <c r="CT73" s="94"/>
      <c r="CU73" s="51"/>
      <c r="CV73" s="144"/>
      <c r="CW73" s="187"/>
      <c r="CX73" s="95">
        <v>759344</v>
      </c>
      <c r="CY73" s="94"/>
      <c r="CZ73" s="51"/>
      <c r="DA73" s="144"/>
      <c r="DB73" s="187"/>
      <c r="DC73" s="95">
        <v>634028</v>
      </c>
      <c r="DD73" s="94"/>
      <c r="DE73" s="51"/>
      <c r="DF73" s="144"/>
      <c r="DG73" s="187"/>
      <c r="DH73" s="95">
        <v>553893</v>
      </c>
      <c r="DI73" s="94"/>
      <c r="DJ73" s="51"/>
      <c r="DK73" s="144"/>
      <c r="DL73" s="187"/>
      <c r="DM73" s="95">
        <v>613507</v>
      </c>
      <c r="DN73" s="94"/>
      <c r="DO73" s="51"/>
      <c r="DP73" s="144"/>
      <c r="DQ73" s="187"/>
      <c r="DR73" s="95">
        <v>1125295</v>
      </c>
      <c r="DS73" s="94"/>
      <c r="DT73" s="51"/>
      <c r="DU73" s="144"/>
      <c r="DV73" s="187"/>
      <c r="DW73" s="95">
        <v>385008</v>
      </c>
      <c r="DX73" s="94"/>
      <c r="DY73" s="51"/>
      <c r="DZ73" s="144"/>
      <c r="EA73" s="187"/>
      <c r="EB73" s="95">
        <v>616992</v>
      </c>
      <c r="EC73" s="94"/>
      <c r="ED73" s="51"/>
      <c r="EE73" s="144"/>
      <c r="EF73" s="187"/>
      <c r="EG73" s="95">
        <v>389927</v>
      </c>
      <c r="EH73" s="94"/>
      <c r="EI73" s="51"/>
      <c r="EJ73" s="144"/>
      <c r="EK73" s="187"/>
      <c r="EL73" s="95">
        <f t="shared" si="4"/>
        <v>3102357</v>
      </c>
      <c r="EM73" s="94"/>
      <c r="EN73" s="51"/>
      <c r="EO73" s="340"/>
      <c r="ER73" s="39"/>
      <c r="ES73" s="39"/>
    </row>
    <row r="74" spans="1:149" ht="12.75" customHeight="1" x14ac:dyDescent="0.2">
      <c r="A74" s="317"/>
      <c r="B74" s="317"/>
      <c r="D74" s="340"/>
      <c r="E74" s="144"/>
      <c r="F74" s="317"/>
      <c r="G74" s="51"/>
      <c r="H74" s="51"/>
      <c r="I74" s="51"/>
      <c r="J74" s="144"/>
      <c r="K74" s="51"/>
      <c r="L74" s="51"/>
      <c r="M74" s="51"/>
      <c r="N74" s="51"/>
      <c r="O74" s="144"/>
      <c r="P74" s="51"/>
      <c r="Q74" s="51"/>
      <c r="R74" s="51"/>
      <c r="S74" s="51"/>
      <c r="T74" s="144"/>
      <c r="U74" s="51"/>
      <c r="V74" s="51"/>
      <c r="W74" s="51"/>
      <c r="X74" s="51"/>
      <c r="Y74" s="144"/>
      <c r="Z74" s="51"/>
      <c r="AA74" s="51"/>
      <c r="AB74" s="51"/>
      <c r="AC74" s="51"/>
      <c r="AD74" s="144"/>
      <c r="AE74" s="51"/>
      <c r="AF74" s="51"/>
      <c r="AG74" s="51"/>
      <c r="AH74" s="51"/>
      <c r="AI74" s="144"/>
      <c r="AJ74" s="51"/>
      <c r="AK74" s="51"/>
      <c r="AL74" s="51"/>
      <c r="AM74" s="51"/>
      <c r="AN74" s="144"/>
      <c r="AO74" s="51"/>
      <c r="AP74" s="51"/>
      <c r="AQ74" s="51"/>
      <c r="AR74" s="51"/>
      <c r="AS74" s="144"/>
      <c r="AT74" s="51"/>
      <c r="AU74" s="51"/>
      <c r="AV74" s="51"/>
      <c r="AW74" s="51"/>
      <c r="AX74" s="144"/>
      <c r="AY74" s="51"/>
      <c r="AZ74" s="51"/>
      <c r="BA74" s="51"/>
      <c r="BB74" s="51"/>
      <c r="BC74" s="144"/>
      <c r="BD74" s="51"/>
      <c r="BE74" s="51"/>
      <c r="BF74" s="51"/>
      <c r="BG74" s="51"/>
      <c r="BH74" s="144"/>
      <c r="BI74" s="51"/>
      <c r="BJ74" s="51"/>
      <c r="BK74" s="51"/>
      <c r="BL74" s="51"/>
      <c r="BM74" s="144"/>
      <c r="BN74" s="51"/>
      <c r="BO74" s="51"/>
      <c r="BP74" s="51"/>
      <c r="BQ74" s="51"/>
      <c r="BR74" s="144"/>
      <c r="BS74" s="51"/>
      <c r="BT74" s="51"/>
      <c r="BU74" s="51"/>
      <c r="BV74" s="51"/>
      <c r="BW74" s="144"/>
      <c r="BX74" s="51"/>
      <c r="BY74" s="51"/>
      <c r="BZ74" s="51"/>
      <c r="CA74" s="51"/>
      <c r="CB74" s="144"/>
      <c r="CC74" s="51"/>
      <c r="CD74" s="51"/>
      <c r="CE74" s="51"/>
      <c r="CF74" s="51"/>
      <c r="CG74" s="144"/>
      <c r="CH74" s="51"/>
      <c r="CI74" s="51"/>
      <c r="CJ74" s="51"/>
      <c r="CK74" s="51"/>
      <c r="CL74" s="144"/>
      <c r="CM74" s="51"/>
      <c r="CN74" s="51"/>
      <c r="CO74" s="51"/>
      <c r="CP74" s="51"/>
      <c r="CQ74" s="144"/>
      <c r="CR74" s="51"/>
      <c r="CS74" s="51"/>
      <c r="CT74" s="51"/>
      <c r="CU74" s="51"/>
      <c r="CV74" s="144"/>
      <c r="CW74" s="51"/>
      <c r="CX74" s="51"/>
      <c r="CY74" s="51"/>
      <c r="CZ74" s="51"/>
      <c r="DA74" s="144"/>
      <c r="DB74" s="51"/>
      <c r="DC74" s="51"/>
      <c r="DD74" s="51"/>
      <c r="DE74" s="51"/>
      <c r="DF74" s="144"/>
      <c r="DG74" s="51"/>
      <c r="DH74" s="51"/>
      <c r="DI74" s="51"/>
      <c r="DJ74" s="51"/>
      <c r="DK74" s="144"/>
      <c r="DL74" s="51"/>
      <c r="DM74" s="51"/>
      <c r="DN74" s="51"/>
      <c r="DO74" s="51"/>
      <c r="DP74" s="144"/>
      <c r="DQ74" s="51"/>
      <c r="DR74" s="51"/>
      <c r="DS74" s="51"/>
      <c r="DT74" s="51"/>
      <c r="DU74" s="144"/>
      <c r="DV74" s="51"/>
      <c r="DW74" s="51"/>
      <c r="DX74" s="51"/>
      <c r="DY74" s="51"/>
      <c r="DZ74" s="144"/>
      <c r="EA74" s="51"/>
      <c r="EB74" s="51"/>
      <c r="EC74" s="51"/>
      <c r="ED74" s="51"/>
      <c r="EE74" s="144"/>
      <c r="EF74" s="51"/>
      <c r="EG74" s="51"/>
      <c r="EH74" s="51"/>
      <c r="EI74" s="51"/>
      <c r="EJ74" s="144"/>
      <c r="EK74" s="51"/>
      <c r="EL74" s="51"/>
      <c r="EM74" s="51"/>
      <c r="EN74" s="51"/>
      <c r="EO74" s="340"/>
      <c r="ER74" s="39"/>
      <c r="ES74" s="39"/>
    </row>
    <row r="75" spans="1:149" ht="12.75" customHeight="1" x14ac:dyDescent="0.2">
      <c r="A75" s="317"/>
      <c r="B75" s="317"/>
      <c r="D75" s="340" t="s">
        <v>196</v>
      </c>
      <c r="E75" s="144"/>
      <c r="F75" s="317"/>
      <c r="G75" s="51">
        <f>SUM(G76:G79)</f>
        <v>0</v>
      </c>
      <c r="H75" s="51"/>
      <c r="I75" s="51"/>
      <c r="J75" s="144"/>
      <c r="K75" s="51"/>
      <c r="L75" s="51">
        <f>SUM(L76:L79)</f>
        <v>1536729</v>
      </c>
      <c r="M75" s="51"/>
      <c r="N75" s="51"/>
      <c r="O75" s="144"/>
      <c r="P75" s="51"/>
      <c r="Q75" s="51">
        <f>SUM(Q76:Q79)</f>
        <v>72130</v>
      </c>
      <c r="R75" s="51"/>
      <c r="S75" s="51"/>
      <c r="T75" s="144"/>
      <c r="U75" s="51"/>
      <c r="V75" s="51">
        <f>SUM(V76:V79)</f>
        <v>1052350</v>
      </c>
      <c r="W75" s="51"/>
      <c r="X75" s="51"/>
      <c r="Y75" s="144"/>
      <c r="Z75" s="51"/>
      <c r="AA75" s="51">
        <f>SUM(AA76:AA79)</f>
        <v>1442806</v>
      </c>
      <c r="AB75" s="51"/>
      <c r="AC75" s="51"/>
      <c r="AD75" s="144"/>
      <c r="AE75" s="51"/>
      <c r="AF75" s="51">
        <f>SUM(AF76:AF79)</f>
        <v>2660992</v>
      </c>
      <c r="AG75" s="51"/>
      <c r="AH75" s="51"/>
      <c r="AI75" s="144"/>
      <c r="AJ75" s="51"/>
      <c r="AK75" s="51">
        <f>SUM(AK76:AK79)</f>
        <v>696927</v>
      </c>
      <c r="AL75" s="51"/>
      <c r="AM75" s="51"/>
      <c r="AN75" s="144"/>
      <c r="AO75" s="51"/>
      <c r="AP75" s="51">
        <f>SUM(AP76:AP79)</f>
        <v>2947026</v>
      </c>
      <c r="AQ75" s="51"/>
      <c r="AR75" s="51"/>
      <c r="AS75" s="144"/>
      <c r="AT75" s="51"/>
      <c r="AU75" s="51">
        <f>SUM(AU76:AU79)</f>
        <v>0</v>
      </c>
      <c r="AV75" s="51"/>
      <c r="AW75" s="51"/>
      <c r="AX75" s="144"/>
      <c r="AY75" s="51"/>
      <c r="AZ75" s="51">
        <f>SUM(AZ76:AZ79)</f>
        <v>0</v>
      </c>
      <c r="BA75" s="51"/>
      <c r="BB75" s="51"/>
      <c r="BC75" s="144"/>
      <c r="BD75" s="51"/>
      <c r="BE75" s="51">
        <f>SUM(BE76:BE79)</f>
        <v>0</v>
      </c>
      <c r="BF75" s="51"/>
      <c r="BG75" s="51"/>
      <c r="BH75" s="144"/>
      <c r="BI75" s="51"/>
      <c r="BJ75" s="51">
        <f>SUM(BJ76:BJ79)</f>
        <v>0</v>
      </c>
      <c r="BK75" s="51"/>
      <c r="BL75" s="51"/>
      <c r="BM75" s="144"/>
      <c r="BN75" s="51"/>
      <c r="BO75" s="51">
        <f>SUM(BO76:BO79)</f>
        <v>0</v>
      </c>
      <c r="BP75" s="51"/>
      <c r="BQ75" s="51"/>
      <c r="BR75" s="144"/>
      <c r="BS75" s="51"/>
      <c r="BT75" s="51">
        <f>SUM(BT76:BT79)</f>
        <v>10408960</v>
      </c>
      <c r="BU75" s="51"/>
      <c r="BV75" s="51"/>
      <c r="BW75" s="144"/>
      <c r="BX75" s="51"/>
      <c r="BY75" s="51">
        <f>SUM(BY76:BY79)</f>
        <v>19625911</v>
      </c>
      <c r="BZ75" s="51"/>
      <c r="CA75" s="51"/>
      <c r="CB75" s="144"/>
      <c r="CC75" s="51"/>
      <c r="CD75" s="51">
        <f>SUM(CD76:CD79)</f>
        <v>643065</v>
      </c>
      <c r="CE75" s="51"/>
      <c r="CF75" s="51"/>
      <c r="CG75" s="144"/>
      <c r="CH75" s="51"/>
      <c r="CI75" s="51">
        <f>SUM(CI76:CI79)</f>
        <v>2787717</v>
      </c>
      <c r="CJ75" s="51"/>
      <c r="CK75" s="51"/>
      <c r="CL75" s="144"/>
      <c r="CM75" s="51"/>
      <c r="CN75" s="51">
        <f>SUM(CN76:CN79)</f>
        <v>221586</v>
      </c>
      <c r="CO75" s="51"/>
      <c r="CP75" s="51"/>
      <c r="CQ75" s="144"/>
      <c r="CR75" s="51"/>
      <c r="CS75" s="51">
        <f>SUM(CS76:CS79)</f>
        <v>1864433</v>
      </c>
      <c r="CT75" s="51"/>
      <c r="CU75" s="51"/>
      <c r="CV75" s="144"/>
      <c r="CW75" s="51"/>
      <c r="CX75" s="51">
        <f>SUM(CX76:CX79)</f>
        <v>1012894</v>
      </c>
      <c r="CY75" s="51"/>
      <c r="CZ75" s="51"/>
      <c r="DA75" s="144"/>
      <c r="DB75" s="51"/>
      <c r="DC75" s="51">
        <f>SUM(DC76:DC79)</f>
        <v>1927366</v>
      </c>
      <c r="DD75" s="51"/>
      <c r="DE75" s="51"/>
      <c r="DF75" s="144"/>
      <c r="DG75" s="51"/>
      <c r="DH75" s="51">
        <f>SUM(DH76:DH79)</f>
        <v>2235967</v>
      </c>
      <c r="DI75" s="51"/>
      <c r="DJ75" s="51"/>
      <c r="DK75" s="144"/>
      <c r="DL75" s="51"/>
      <c r="DM75" s="51">
        <f>SUM(DM76:DM79)</f>
        <v>1594101</v>
      </c>
      <c r="DN75" s="51"/>
      <c r="DO75" s="51"/>
      <c r="DP75" s="144"/>
      <c r="DQ75" s="51"/>
      <c r="DR75" s="51">
        <f>SUM(DR76:DR79)</f>
        <v>2127227</v>
      </c>
      <c r="DS75" s="51"/>
      <c r="DT75" s="51"/>
      <c r="DU75" s="144"/>
      <c r="DV75" s="51"/>
      <c r="DW75" s="51">
        <f>SUM(DW76:DW79)</f>
        <v>2662581</v>
      </c>
      <c r="DX75" s="51"/>
      <c r="DY75" s="51"/>
      <c r="DZ75" s="144"/>
      <c r="EA75" s="51"/>
      <c r="EB75" s="51">
        <f>SUM(EB76:EB79)</f>
        <v>1638587</v>
      </c>
      <c r="EC75" s="51"/>
      <c r="ED75" s="51"/>
      <c r="EE75" s="144"/>
      <c r="EF75" s="51"/>
      <c r="EG75" s="51">
        <f>SUM(EG76:EG79)</f>
        <v>910387</v>
      </c>
      <c r="EH75" s="51"/>
      <c r="EI75" s="51"/>
      <c r="EJ75" s="144"/>
      <c r="EK75" s="51"/>
      <c r="EL75" s="51">
        <f>SUM(EL76:EL79)</f>
        <v>10693028</v>
      </c>
      <c r="EM75" s="51"/>
      <c r="EN75" s="51"/>
      <c r="EO75" s="340"/>
      <c r="ER75" s="39"/>
      <c r="ES75" s="39"/>
    </row>
    <row r="76" spans="1:149" ht="12.75" customHeight="1" x14ac:dyDescent="0.2">
      <c r="A76" s="317"/>
      <c r="B76" s="317"/>
      <c r="D76" s="340" t="s">
        <v>183</v>
      </c>
      <c r="E76" s="144"/>
      <c r="F76" s="354"/>
      <c r="G76" s="430">
        <v>0</v>
      </c>
      <c r="H76" s="431"/>
      <c r="I76" s="51"/>
      <c r="J76" s="144"/>
      <c r="K76" s="432"/>
      <c r="L76" s="430">
        <f>960000-384524</f>
        <v>575476</v>
      </c>
      <c r="M76" s="431"/>
      <c r="N76" s="51"/>
      <c r="O76" s="144"/>
      <c r="P76" s="432"/>
      <c r="Q76" s="430">
        <f>45000-17638</f>
        <v>27362</v>
      </c>
      <c r="R76" s="431"/>
      <c r="S76" s="51"/>
      <c r="T76" s="144"/>
      <c r="U76" s="432"/>
      <c r="V76" s="430">
        <f>650000-261613</f>
        <v>388387</v>
      </c>
      <c r="W76" s="431"/>
      <c r="X76" s="51"/>
      <c r="Y76" s="144"/>
      <c r="Z76" s="432"/>
      <c r="AA76" s="430">
        <f>885000-431578</f>
        <v>453422</v>
      </c>
      <c r="AB76" s="431"/>
      <c r="AC76" s="51"/>
      <c r="AD76" s="144"/>
      <c r="AE76" s="432"/>
      <c r="AF76" s="430">
        <f>1620000-788653</f>
        <v>831347</v>
      </c>
      <c r="AG76" s="431"/>
      <c r="AH76" s="51"/>
      <c r="AI76" s="144"/>
      <c r="AJ76" s="432"/>
      <c r="AK76" s="430">
        <f>420000-206658</f>
        <v>213342</v>
      </c>
      <c r="AL76" s="431"/>
      <c r="AM76" s="51"/>
      <c r="AN76" s="144"/>
      <c r="AO76" s="432"/>
      <c r="AP76" s="430">
        <f>1755000-1051987</f>
        <v>703013</v>
      </c>
      <c r="AQ76" s="431"/>
      <c r="AR76" s="51"/>
      <c r="AS76" s="144"/>
      <c r="AT76" s="432"/>
      <c r="AU76" s="430">
        <v>0</v>
      </c>
      <c r="AV76" s="431"/>
      <c r="AW76" s="51"/>
      <c r="AX76" s="144"/>
      <c r="AY76" s="432"/>
      <c r="AZ76" s="430">
        <v>0</v>
      </c>
      <c r="BA76" s="431"/>
      <c r="BB76" s="51"/>
      <c r="BC76" s="144"/>
      <c r="BD76" s="432"/>
      <c r="BE76" s="430">
        <v>0</v>
      </c>
      <c r="BF76" s="431"/>
      <c r="BG76" s="51"/>
      <c r="BH76" s="144"/>
      <c r="BI76" s="432"/>
      <c r="BJ76" s="430">
        <v>0</v>
      </c>
      <c r="BK76" s="431"/>
      <c r="BL76" s="51"/>
      <c r="BM76" s="144"/>
      <c r="BN76" s="432"/>
      <c r="BO76" s="430">
        <v>0</v>
      </c>
      <c r="BP76" s="431"/>
      <c r="BQ76" s="51"/>
      <c r="BR76" s="144"/>
      <c r="BS76" s="432"/>
      <c r="BT76" s="430">
        <f>SUM(L76:BO76)</f>
        <v>3192349</v>
      </c>
      <c r="BU76" s="431"/>
      <c r="BV76" s="51"/>
      <c r="BW76" s="144"/>
      <c r="BX76" s="432"/>
      <c r="BY76" s="430">
        <v>7120738</v>
      </c>
      <c r="BZ76" s="431"/>
      <c r="CA76" s="51"/>
      <c r="CB76" s="144"/>
      <c r="CC76" s="432"/>
      <c r="CD76" s="430">
        <f>425000-175731</f>
        <v>249269</v>
      </c>
      <c r="CE76" s="431"/>
      <c r="CF76" s="51"/>
      <c r="CG76" s="144"/>
      <c r="CH76" s="432"/>
      <c r="CI76" s="430">
        <f>1835000-809832</f>
        <v>1025168</v>
      </c>
      <c r="CJ76" s="431"/>
      <c r="CK76" s="51"/>
      <c r="CL76" s="144"/>
      <c r="CM76" s="432"/>
      <c r="CN76" s="430">
        <f>145000-56498</f>
        <v>88502</v>
      </c>
      <c r="CO76" s="431"/>
      <c r="CP76" s="51"/>
      <c r="CQ76" s="144"/>
      <c r="CR76" s="432"/>
      <c r="CS76" s="430">
        <f>1210000-566983</f>
        <v>643017</v>
      </c>
      <c r="CT76" s="431"/>
      <c r="CU76" s="51"/>
      <c r="CV76" s="144"/>
      <c r="CW76" s="432"/>
      <c r="CX76" s="430">
        <f>655000-305150</f>
        <v>349850</v>
      </c>
      <c r="CY76" s="431"/>
      <c r="CZ76" s="51"/>
      <c r="DA76" s="144"/>
      <c r="DB76" s="432"/>
      <c r="DC76" s="430">
        <f>1245000-551930</f>
        <v>693070</v>
      </c>
      <c r="DD76" s="431"/>
      <c r="DE76" s="51"/>
      <c r="DF76" s="144"/>
      <c r="DG76" s="432"/>
      <c r="DH76" s="430">
        <f>1435000-649456</f>
        <v>785544</v>
      </c>
      <c r="DI76" s="431"/>
      <c r="DJ76" s="51"/>
      <c r="DK76" s="144"/>
      <c r="DL76" s="432"/>
      <c r="DM76" s="430">
        <f>1015000-443637</f>
        <v>571363</v>
      </c>
      <c r="DN76" s="431"/>
      <c r="DO76" s="51"/>
      <c r="DP76" s="144"/>
      <c r="DQ76" s="432"/>
      <c r="DR76" s="430">
        <f>1350000-579344</f>
        <v>770656</v>
      </c>
      <c r="DS76" s="431"/>
      <c r="DT76" s="51"/>
      <c r="DU76" s="144"/>
      <c r="DV76" s="432"/>
      <c r="DW76" s="430">
        <f>1685000-690613</f>
        <v>994387</v>
      </c>
      <c r="DX76" s="431"/>
      <c r="DY76" s="51"/>
      <c r="DZ76" s="144"/>
      <c r="EA76" s="432"/>
      <c r="EB76" s="430">
        <f>1035000-413201</f>
        <v>621799</v>
      </c>
      <c r="EC76" s="431"/>
      <c r="ED76" s="51"/>
      <c r="EE76" s="144"/>
      <c r="EF76" s="432"/>
      <c r="EG76" s="430">
        <f>570000-241887</f>
        <v>328113</v>
      </c>
      <c r="EH76" s="431"/>
      <c r="EI76" s="51"/>
      <c r="EJ76" s="144"/>
      <c r="EK76" s="432"/>
      <c r="EL76" s="430">
        <f t="shared" ref="EL76:EL79" si="5">SUM(CD76:DH76)</f>
        <v>3834420</v>
      </c>
      <c r="EM76" s="431"/>
      <c r="EN76" s="51"/>
      <c r="EO76" s="340"/>
      <c r="ER76" s="39"/>
      <c r="ES76" s="39"/>
    </row>
    <row r="77" spans="1:149" ht="12.75" customHeight="1" x14ac:dyDescent="0.2">
      <c r="A77" s="317"/>
      <c r="B77" s="317"/>
      <c r="D77" s="340" t="s">
        <v>186</v>
      </c>
      <c r="E77" s="144"/>
      <c r="F77" s="347"/>
      <c r="G77" s="51">
        <v>0</v>
      </c>
      <c r="H77" s="50"/>
      <c r="I77" s="51"/>
      <c r="J77" s="144"/>
      <c r="K77" s="144"/>
      <c r="L77" s="51">
        <v>384524</v>
      </c>
      <c r="M77" s="50"/>
      <c r="N77" s="51"/>
      <c r="O77" s="144"/>
      <c r="P77" s="144"/>
      <c r="Q77" s="51">
        <v>17638</v>
      </c>
      <c r="R77" s="50"/>
      <c r="S77" s="51"/>
      <c r="T77" s="144"/>
      <c r="U77" s="144"/>
      <c r="V77" s="51">
        <v>261613</v>
      </c>
      <c r="W77" s="50"/>
      <c r="X77" s="51"/>
      <c r="Y77" s="144"/>
      <c r="Z77" s="144"/>
      <c r="AA77" s="51">
        <v>431578</v>
      </c>
      <c r="AB77" s="50"/>
      <c r="AC77" s="51"/>
      <c r="AD77" s="144"/>
      <c r="AE77" s="144"/>
      <c r="AF77" s="51">
        <v>788653</v>
      </c>
      <c r="AG77" s="50"/>
      <c r="AH77" s="51"/>
      <c r="AI77" s="144"/>
      <c r="AJ77" s="144"/>
      <c r="AK77" s="51">
        <v>206658</v>
      </c>
      <c r="AL77" s="50"/>
      <c r="AM77" s="51"/>
      <c r="AN77" s="144"/>
      <c r="AO77" s="144"/>
      <c r="AP77" s="51">
        <v>1051987</v>
      </c>
      <c r="AQ77" s="50"/>
      <c r="AR77" s="51"/>
      <c r="AS77" s="144"/>
      <c r="AT77" s="144"/>
      <c r="AU77" s="51">
        <v>0</v>
      </c>
      <c r="AV77" s="50"/>
      <c r="AW77" s="51"/>
      <c r="AX77" s="144"/>
      <c r="AY77" s="144"/>
      <c r="AZ77" s="51">
        <v>0</v>
      </c>
      <c r="BA77" s="50"/>
      <c r="BB77" s="51"/>
      <c r="BC77" s="144"/>
      <c r="BD77" s="144"/>
      <c r="BE77" s="51">
        <v>0</v>
      </c>
      <c r="BF77" s="50"/>
      <c r="BG77" s="51"/>
      <c r="BH77" s="144"/>
      <c r="BI77" s="144"/>
      <c r="BJ77" s="51">
        <v>0</v>
      </c>
      <c r="BK77" s="50"/>
      <c r="BL77" s="51"/>
      <c r="BM77" s="144"/>
      <c r="BN77" s="144"/>
      <c r="BO77" s="51">
        <v>0</v>
      </c>
      <c r="BP77" s="50"/>
      <c r="BQ77" s="51"/>
      <c r="BR77" s="144"/>
      <c r="BS77" s="144"/>
      <c r="BT77" s="51">
        <f>SUM(L77:BO77)</f>
        <v>3142651</v>
      </c>
      <c r="BU77" s="50"/>
      <c r="BV77" s="51"/>
      <c r="BW77" s="144"/>
      <c r="BX77" s="144"/>
      <c r="BY77" s="51">
        <v>5484262</v>
      </c>
      <c r="BZ77" s="50"/>
      <c r="CA77" s="51"/>
      <c r="CB77" s="144"/>
      <c r="CC77" s="144"/>
      <c r="CD77" s="51">
        <v>175731</v>
      </c>
      <c r="CE77" s="50"/>
      <c r="CF77" s="51"/>
      <c r="CG77" s="144"/>
      <c r="CH77" s="144"/>
      <c r="CI77" s="51">
        <v>809832</v>
      </c>
      <c r="CJ77" s="50"/>
      <c r="CK77" s="51"/>
      <c r="CL77" s="144"/>
      <c r="CM77" s="144"/>
      <c r="CN77" s="51">
        <v>56498</v>
      </c>
      <c r="CO77" s="50"/>
      <c r="CP77" s="51"/>
      <c r="CQ77" s="144"/>
      <c r="CR77" s="144"/>
      <c r="CS77" s="51">
        <v>566983</v>
      </c>
      <c r="CT77" s="50"/>
      <c r="CU77" s="51"/>
      <c r="CV77" s="144"/>
      <c r="CW77" s="144"/>
      <c r="CX77" s="51">
        <v>305150</v>
      </c>
      <c r="CY77" s="50"/>
      <c r="CZ77" s="51"/>
      <c r="DA77" s="144"/>
      <c r="DB77" s="144"/>
      <c r="DC77" s="51">
        <v>551930</v>
      </c>
      <c r="DD77" s="50"/>
      <c r="DE77" s="51"/>
      <c r="DF77" s="144"/>
      <c r="DG77" s="144"/>
      <c r="DH77" s="51">
        <v>649456</v>
      </c>
      <c r="DI77" s="50"/>
      <c r="DJ77" s="51"/>
      <c r="DK77" s="144"/>
      <c r="DL77" s="144"/>
      <c r="DM77" s="51">
        <v>443637</v>
      </c>
      <c r="DN77" s="50"/>
      <c r="DO77" s="51"/>
      <c r="DP77" s="144"/>
      <c r="DQ77" s="144"/>
      <c r="DR77" s="51">
        <v>579344</v>
      </c>
      <c r="DS77" s="50"/>
      <c r="DT77" s="51"/>
      <c r="DU77" s="144"/>
      <c r="DV77" s="144"/>
      <c r="DW77" s="51">
        <v>690613</v>
      </c>
      <c r="DX77" s="50"/>
      <c r="DY77" s="51"/>
      <c r="DZ77" s="144"/>
      <c r="EA77" s="144"/>
      <c r="EB77" s="51">
        <v>413201</v>
      </c>
      <c r="EC77" s="50"/>
      <c r="ED77" s="51"/>
      <c r="EE77" s="144"/>
      <c r="EF77" s="144"/>
      <c r="EG77" s="51">
        <v>241887</v>
      </c>
      <c r="EH77" s="50"/>
      <c r="EI77" s="51"/>
      <c r="EJ77" s="144"/>
      <c r="EK77" s="144"/>
      <c r="EL77" s="51">
        <f t="shared" si="5"/>
        <v>3115580</v>
      </c>
      <c r="EM77" s="50"/>
      <c r="EN77" s="51"/>
      <c r="EO77" s="340"/>
      <c r="ER77" s="39"/>
      <c r="ES77" s="39"/>
    </row>
    <row r="78" spans="1:149" ht="12.75" customHeight="1" x14ac:dyDescent="0.2">
      <c r="A78" s="317"/>
      <c r="B78" s="317"/>
      <c r="D78" s="340" t="s">
        <v>187</v>
      </c>
      <c r="E78" s="144"/>
      <c r="F78" s="347"/>
      <c r="G78" s="51">
        <v>0</v>
      </c>
      <c r="H78" s="50"/>
      <c r="I78" s="51"/>
      <c r="J78" s="144"/>
      <c r="K78" s="144"/>
      <c r="L78" s="51">
        <v>0</v>
      </c>
      <c r="M78" s="50"/>
      <c r="N78" s="51"/>
      <c r="O78" s="144"/>
      <c r="P78" s="144"/>
      <c r="Q78" s="51">
        <v>0</v>
      </c>
      <c r="R78" s="50"/>
      <c r="S78" s="51"/>
      <c r="T78" s="144"/>
      <c r="U78" s="144"/>
      <c r="V78" s="51">
        <v>0</v>
      </c>
      <c r="W78" s="50"/>
      <c r="X78" s="51"/>
      <c r="Y78" s="144"/>
      <c r="Z78" s="144"/>
      <c r="AA78" s="51">
        <v>0</v>
      </c>
      <c r="AB78" s="50"/>
      <c r="AC78" s="51"/>
      <c r="AD78" s="144"/>
      <c r="AE78" s="144"/>
      <c r="AF78" s="51">
        <v>0</v>
      </c>
      <c r="AG78" s="50"/>
      <c r="AH78" s="51"/>
      <c r="AI78" s="144"/>
      <c r="AJ78" s="144"/>
      <c r="AK78" s="51">
        <v>0</v>
      </c>
      <c r="AL78" s="50"/>
      <c r="AM78" s="51"/>
      <c r="AN78" s="144"/>
      <c r="AO78" s="144"/>
      <c r="AP78" s="51">
        <v>0</v>
      </c>
      <c r="AQ78" s="50"/>
      <c r="AR78" s="51"/>
      <c r="AS78" s="144"/>
      <c r="AT78" s="144"/>
      <c r="AU78" s="51">
        <v>0</v>
      </c>
      <c r="AV78" s="50"/>
      <c r="AW78" s="51"/>
      <c r="AX78" s="144"/>
      <c r="AY78" s="144"/>
      <c r="AZ78" s="51">
        <v>0</v>
      </c>
      <c r="BA78" s="50"/>
      <c r="BB78" s="51"/>
      <c r="BC78" s="144"/>
      <c r="BD78" s="144"/>
      <c r="BE78" s="51">
        <v>0</v>
      </c>
      <c r="BF78" s="50"/>
      <c r="BG78" s="51"/>
      <c r="BH78" s="144"/>
      <c r="BI78" s="144"/>
      <c r="BJ78" s="51">
        <v>0</v>
      </c>
      <c r="BK78" s="50"/>
      <c r="BL78" s="51"/>
      <c r="BM78" s="144"/>
      <c r="BN78" s="144"/>
      <c r="BO78" s="51">
        <v>0</v>
      </c>
      <c r="BP78" s="50"/>
      <c r="BQ78" s="51"/>
      <c r="BR78" s="144"/>
      <c r="BS78" s="144"/>
      <c r="BT78" s="51">
        <f>SUM(L78:BO78)</f>
        <v>0</v>
      </c>
      <c r="BU78" s="50"/>
      <c r="BV78" s="51"/>
      <c r="BW78" s="144"/>
      <c r="BX78" s="144"/>
      <c r="BY78" s="51">
        <v>0</v>
      </c>
      <c r="BZ78" s="50"/>
      <c r="CA78" s="51"/>
      <c r="CB78" s="144"/>
      <c r="CC78" s="144"/>
      <c r="CD78" s="51">
        <v>0</v>
      </c>
      <c r="CE78" s="50"/>
      <c r="CF78" s="51"/>
      <c r="CG78" s="144"/>
      <c r="CH78" s="144"/>
      <c r="CI78" s="51">
        <v>0</v>
      </c>
      <c r="CJ78" s="50"/>
      <c r="CK78" s="51"/>
      <c r="CL78" s="144"/>
      <c r="CM78" s="144"/>
      <c r="CN78" s="51">
        <v>0</v>
      </c>
      <c r="CO78" s="50"/>
      <c r="CP78" s="51"/>
      <c r="CQ78" s="144"/>
      <c r="CR78" s="144"/>
      <c r="CS78" s="51">
        <v>0</v>
      </c>
      <c r="CT78" s="50"/>
      <c r="CU78" s="51"/>
      <c r="CV78" s="144"/>
      <c r="CW78" s="144"/>
      <c r="CX78" s="51">
        <v>0</v>
      </c>
      <c r="CY78" s="50"/>
      <c r="CZ78" s="51"/>
      <c r="DA78" s="144"/>
      <c r="DB78" s="144"/>
      <c r="DC78" s="51">
        <v>0</v>
      </c>
      <c r="DD78" s="50"/>
      <c r="DE78" s="51"/>
      <c r="DF78" s="144"/>
      <c r="DG78" s="144"/>
      <c r="DH78" s="51">
        <v>0</v>
      </c>
      <c r="DI78" s="50"/>
      <c r="DJ78" s="51"/>
      <c r="DK78" s="144"/>
      <c r="DL78" s="144"/>
      <c r="DM78" s="51">
        <v>0</v>
      </c>
      <c r="DN78" s="50"/>
      <c r="DO78" s="51"/>
      <c r="DP78" s="144"/>
      <c r="DQ78" s="144"/>
      <c r="DR78" s="51">
        <v>0</v>
      </c>
      <c r="DS78" s="50"/>
      <c r="DT78" s="51"/>
      <c r="DU78" s="144"/>
      <c r="DV78" s="144"/>
      <c r="DW78" s="51">
        <v>0</v>
      </c>
      <c r="DX78" s="50"/>
      <c r="DY78" s="51"/>
      <c r="DZ78" s="144"/>
      <c r="EA78" s="144"/>
      <c r="EB78" s="51">
        <v>0</v>
      </c>
      <c r="EC78" s="50"/>
      <c r="ED78" s="51"/>
      <c r="EE78" s="144"/>
      <c r="EF78" s="144"/>
      <c r="EG78" s="51">
        <v>0</v>
      </c>
      <c r="EH78" s="50"/>
      <c r="EI78" s="51"/>
      <c r="EJ78" s="144"/>
      <c r="EK78" s="144"/>
      <c r="EL78" s="51">
        <f t="shared" si="5"/>
        <v>0</v>
      </c>
      <c r="EM78" s="50"/>
      <c r="EN78" s="51"/>
      <c r="EO78" s="340"/>
      <c r="ER78" s="39"/>
      <c r="ES78" s="39"/>
    </row>
    <row r="79" spans="1:149" ht="12.75" customHeight="1" x14ac:dyDescent="0.2">
      <c r="A79" s="317"/>
      <c r="B79" s="317"/>
      <c r="D79" s="340" t="s">
        <v>188</v>
      </c>
      <c r="E79" s="144"/>
      <c r="F79" s="371"/>
      <c r="G79" s="95">
        <v>0</v>
      </c>
      <c r="H79" s="94"/>
      <c r="I79" s="51"/>
      <c r="J79" s="144"/>
      <c r="K79" s="187"/>
      <c r="L79" s="95">
        <v>576729</v>
      </c>
      <c r="M79" s="94"/>
      <c r="N79" s="51"/>
      <c r="O79" s="144"/>
      <c r="P79" s="187"/>
      <c r="Q79" s="95">
        <v>27130</v>
      </c>
      <c r="R79" s="94"/>
      <c r="S79" s="51"/>
      <c r="T79" s="144"/>
      <c r="U79" s="187"/>
      <c r="V79" s="95">
        <v>402350</v>
      </c>
      <c r="W79" s="94"/>
      <c r="X79" s="51"/>
      <c r="Y79" s="144"/>
      <c r="Z79" s="187"/>
      <c r="AA79" s="95">
        <v>557806</v>
      </c>
      <c r="AB79" s="94"/>
      <c r="AC79" s="51"/>
      <c r="AD79" s="144"/>
      <c r="AE79" s="187"/>
      <c r="AF79" s="95">
        <v>1040992</v>
      </c>
      <c r="AG79" s="94"/>
      <c r="AH79" s="51"/>
      <c r="AI79" s="144"/>
      <c r="AJ79" s="187"/>
      <c r="AK79" s="95">
        <v>276927</v>
      </c>
      <c r="AL79" s="94"/>
      <c r="AM79" s="51"/>
      <c r="AN79" s="144"/>
      <c r="AO79" s="187"/>
      <c r="AP79" s="95">
        <v>1192026</v>
      </c>
      <c r="AQ79" s="94"/>
      <c r="AR79" s="51"/>
      <c r="AS79" s="144"/>
      <c r="AT79" s="187"/>
      <c r="AU79" s="95">
        <v>0</v>
      </c>
      <c r="AV79" s="94"/>
      <c r="AW79" s="51"/>
      <c r="AX79" s="144"/>
      <c r="AY79" s="187"/>
      <c r="AZ79" s="95">
        <v>0</v>
      </c>
      <c r="BA79" s="94"/>
      <c r="BB79" s="51"/>
      <c r="BC79" s="144"/>
      <c r="BD79" s="187"/>
      <c r="BE79" s="95">
        <v>0</v>
      </c>
      <c r="BF79" s="94"/>
      <c r="BG79" s="51"/>
      <c r="BH79" s="144"/>
      <c r="BI79" s="187"/>
      <c r="BJ79" s="95">
        <v>0</v>
      </c>
      <c r="BK79" s="94"/>
      <c r="BL79" s="51"/>
      <c r="BM79" s="144"/>
      <c r="BN79" s="187"/>
      <c r="BO79" s="95">
        <v>0</v>
      </c>
      <c r="BP79" s="94"/>
      <c r="BQ79" s="51"/>
      <c r="BR79" s="144"/>
      <c r="BS79" s="187"/>
      <c r="BT79" s="95">
        <f>SUM(L79:BO79)</f>
        <v>4073960</v>
      </c>
      <c r="BU79" s="94"/>
      <c r="BV79" s="51"/>
      <c r="BW79" s="144"/>
      <c r="BX79" s="187"/>
      <c r="BY79" s="95">
        <v>7020911</v>
      </c>
      <c r="BZ79" s="94"/>
      <c r="CA79" s="51"/>
      <c r="CB79" s="144"/>
      <c r="CC79" s="187"/>
      <c r="CD79" s="95">
        <v>218065</v>
      </c>
      <c r="CE79" s="94"/>
      <c r="CF79" s="51"/>
      <c r="CG79" s="144"/>
      <c r="CH79" s="187"/>
      <c r="CI79" s="95">
        <v>952717</v>
      </c>
      <c r="CJ79" s="94"/>
      <c r="CK79" s="51"/>
      <c r="CL79" s="144"/>
      <c r="CM79" s="187"/>
      <c r="CN79" s="95">
        <v>76586</v>
      </c>
      <c r="CO79" s="94"/>
      <c r="CP79" s="51"/>
      <c r="CQ79" s="144"/>
      <c r="CR79" s="187"/>
      <c r="CS79" s="95">
        <v>654433</v>
      </c>
      <c r="CT79" s="94"/>
      <c r="CU79" s="51"/>
      <c r="CV79" s="144"/>
      <c r="CW79" s="187"/>
      <c r="CX79" s="95">
        <v>357894</v>
      </c>
      <c r="CY79" s="94"/>
      <c r="CZ79" s="51"/>
      <c r="DA79" s="144"/>
      <c r="DB79" s="187"/>
      <c r="DC79" s="95">
        <v>682366</v>
      </c>
      <c r="DD79" s="94"/>
      <c r="DE79" s="51"/>
      <c r="DF79" s="144"/>
      <c r="DG79" s="187"/>
      <c r="DH79" s="95">
        <v>800967</v>
      </c>
      <c r="DI79" s="94"/>
      <c r="DJ79" s="51"/>
      <c r="DK79" s="144"/>
      <c r="DL79" s="187"/>
      <c r="DM79" s="95">
        <v>579101</v>
      </c>
      <c r="DN79" s="94"/>
      <c r="DO79" s="51"/>
      <c r="DP79" s="144"/>
      <c r="DQ79" s="187"/>
      <c r="DR79" s="95">
        <v>777227</v>
      </c>
      <c r="DS79" s="94"/>
      <c r="DT79" s="51"/>
      <c r="DU79" s="144"/>
      <c r="DV79" s="187"/>
      <c r="DW79" s="95">
        <v>977581</v>
      </c>
      <c r="DX79" s="94"/>
      <c r="DY79" s="51"/>
      <c r="DZ79" s="144"/>
      <c r="EA79" s="187"/>
      <c r="EB79" s="95">
        <v>603587</v>
      </c>
      <c r="EC79" s="94"/>
      <c r="ED79" s="51"/>
      <c r="EE79" s="144"/>
      <c r="EF79" s="187"/>
      <c r="EG79" s="95">
        <v>340387</v>
      </c>
      <c r="EH79" s="94"/>
      <c r="EI79" s="51"/>
      <c r="EJ79" s="144"/>
      <c r="EK79" s="187"/>
      <c r="EL79" s="95">
        <f t="shared" si="5"/>
        <v>3743028</v>
      </c>
      <c r="EM79" s="94"/>
      <c r="EN79" s="51"/>
      <c r="EO79" s="340"/>
      <c r="ER79" s="39"/>
      <c r="ES79" s="39"/>
    </row>
    <row r="80" spans="1:149" ht="12.75" customHeight="1" x14ac:dyDescent="0.2">
      <c r="A80" s="317"/>
      <c r="B80" s="317"/>
      <c r="D80" s="340"/>
      <c r="E80" s="144"/>
      <c r="F80" s="317"/>
      <c r="G80" s="51"/>
      <c r="H80" s="51"/>
      <c r="I80" s="51"/>
      <c r="J80" s="144"/>
      <c r="K80" s="51"/>
      <c r="L80" s="51"/>
      <c r="M80" s="51"/>
      <c r="N80" s="51"/>
      <c r="O80" s="144"/>
      <c r="P80" s="51"/>
      <c r="Q80" s="51"/>
      <c r="R80" s="51"/>
      <c r="S80" s="51"/>
      <c r="T80" s="144"/>
      <c r="U80" s="51"/>
      <c r="V80" s="51"/>
      <c r="W80" s="51"/>
      <c r="X80" s="51"/>
      <c r="Y80" s="144"/>
      <c r="Z80" s="51"/>
      <c r="AA80" s="51"/>
      <c r="AB80" s="51"/>
      <c r="AC80" s="51"/>
      <c r="AD80" s="144"/>
      <c r="AE80" s="51"/>
      <c r="AF80" s="51"/>
      <c r="AG80" s="51"/>
      <c r="AH80" s="51"/>
      <c r="AI80" s="144"/>
      <c r="AJ80" s="51"/>
      <c r="AK80" s="51"/>
      <c r="AL80" s="51"/>
      <c r="AM80" s="51"/>
      <c r="AN80" s="144"/>
      <c r="AO80" s="51"/>
      <c r="AP80" s="51"/>
      <c r="AQ80" s="51"/>
      <c r="AR80" s="51"/>
      <c r="AS80" s="144"/>
      <c r="AT80" s="51"/>
      <c r="AU80" s="51"/>
      <c r="AV80" s="51"/>
      <c r="AW80" s="51"/>
      <c r="AX80" s="144"/>
      <c r="AY80" s="51"/>
      <c r="AZ80" s="51"/>
      <c r="BA80" s="51"/>
      <c r="BB80" s="51"/>
      <c r="BC80" s="144"/>
      <c r="BD80" s="51"/>
      <c r="BE80" s="51"/>
      <c r="BF80" s="51"/>
      <c r="BG80" s="51"/>
      <c r="BH80" s="144"/>
      <c r="BI80" s="51"/>
      <c r="BJ80" s="51"/>
      <c r="BK80" s="51"/>
      <c r="BL80" s="51"/>
      <c r="BM80" s="144"/>
      <c r="BN80" s="51"/>
      <c r="BO80" s="51"/>
      <c r="BP80" s="51"/>
      <c r="BQ80" s="51"/>
      <c r="BR80" s="144"/>
      <c r="BS80" s="51"/>
      <c r="BT80" s="51"/>
      <c r="BU80" s="51"/>
      <c r="BV80" s="51"/>
      <c r="BW80" s="144"/>
      <c r="BX80" s="51"/>
      <c r="BY80" s="51"/>
      <c r="BZ80" s="51"/>
      <c r="CA80" s="51"/>
      <c r="CB80" s="144"/>
      <c r="CC80" s="51"/>
      <c r="CD80" s="51"/>
      <c r="CE80" s="51"/>
      <c r="CF80" s="51"/>
      <c r="CG80" s="144"/>
      <c r="CH80" s="51"/>
      <c r="CI80" s="51"/>
      <c r="CJ80" s="51"/>
      <c r="CK80" s="51"/>
      <c r="CL80" s="144"/>
      <c r="CM80" s="51"/>
      <c r="CN80" s="51"/>
      <c r="CO80" s="51"/>
      <c r="CP80" s="51"/>
      <c r="CQ80" s="144"/>
      <c r="CR80" s="51"/>
      <c r="CS80" s="51"/>
      <c r="CT80" s="51"/>
      <c r="CU80" s="51"/>
      <c r="CV80" s="144"/>
      <c r="CW80" s="51"/>
      <c r="CX80" s="51"/>
      <c r="CY80" s="51"/>
      <c r="CZ80" s="51"/>
      <c r="DA80" s="144"/>
      <c r="DB80" s="51"/>
      <c r="DC80" s="51"/>
      <c r="DD80" s="51"/>
      <c r="DE80" s="51"/>
      <c r="DF80" s="144"/>
      <c r="DG80" s="51"/>
      <c r="DH80" s="51"/>
      <c r="DI80" s="51"/>
      <c r="DJ80" s="51"/>
      <c r="DK80" s="144"/>
      <c r="DL80" s="51"/>
      <c r="DM80" s="51"/>
      <c r="DN80" s="51"/>
      <c r="DO80" s="51"/>
      <c r="DP80" s="144"/>
      <c r="DQ80" s="51"/>
      <c r="DR80" s="51"/>
      <c r="DS80" s="51"/>
      <c r="DT80" s="51"/>
      <c r="DU80" s="144"/>
      <c r="DV80" s="51"/>
      <c r="DW80" s="51"/>
      <c r="DX80" s="51"/>
      <c r="DY80" s="51"/>
      <c r="DZ80" s="144"/>
      <c r="EA80" s="51"/>
      <c r="EB80" s="51"/>
      <c r="EC80" s="51"/>
      <c r="ED80" s="51"/>
      <c r="EE80" s="144"/>
      <c r="EF80" s="51"/>
      <c r="EG80" s="51"/>
      <c r="EH80" s="51"/>
      <c r="EI80" s="51"/>
      <c r="EJ80" s="144"/>
      <c r="EK80" s="51"/>
      <c r="EL80" s="51"/>
      <c r="EM80" s="51"/>
      <c r="EN80" s="51"/>
      <c r="EO80" s="340"/>
      <c r="ER80" s="39"/>
      <c r="ES80" s="39"/>
    </row>
    <row r="81" spans="1:149" ht="12.75" hidden="1" customHeight="1" x14ac:dyDescent="0.2">
      <c r="A81" s="317"/>
      <c r="B81" s="317"/>
      <c r="D81" s="340" t="s">
        <v>197</v>
      </c>
      <c r="E81" s="144"/>
      <c r="F81" s="317"/>
      <c r="G81" s="51">
        <f>SUM(G82:G85)</f>
        <v>0</v>
      </c>
      <c r="H81" s="51"/>
      <c r="I81" s="51"/>
      <c r="J81" s="144"/>
      <c r="K81" s="51"/>
      <c r="L81" s="51">
        <f>SUM(L82:L85)</f>
        <v>0</v>
      </c>
      <c r="M81" s="51"/>
      <c r="N81" s="51"/>
      <c r="O81" s="144"/>
      <c r="P81" s="51"/>
      <c r="Q81" s="51">
        <f>SUM(Q82:Q85)</f>
        <v>0</v>
      </c>
      <c r="R81" s="51"/>
      <c r="S81" s="51"/>
      <c r="T81" s="144"/>
      <c r="U81" s="51"/>
      <c r="V81" s="51">
        <f>SUM(V82:V85)</f>
        <v>0</v>
      </c>
      <c r="W81" s="51"/>
      <c r="X81" s="51"/>
      <c r="Y81" s="144"/>
      <c r="Z81" s="51"/>
      <c r="AA81" s="51">
        <f>SUM(AA82:AA85)</f>
        <v>0</v>
      </c>
      <c r="AB81" s="51"/>
      <c r="AC81" s="51"/>
      <c r="AD81" s="144"/>
      <c r="AE81" s="51"/>
      <c r="AF81" s="51">
        <f>SUM(AF82:AF85)</f>
        <v>0</v>
      </c>
      <c r="AG81" s="51"/>
      <c r="AH81" s="51"/>
      <c r="AI81" s="144"/>
      <c r="AJ81" s="51"/>
      <c r="AK81" s="51">
        <f>SUM(AK82:AK85)</f>
        <v>0</v>
      </c>
      <c r="AL81" s="51"/>
      <c r="AM81" s="51"/>
      <c r="AN81" s="144"/>
      <c r="AO81" s="51"/>
      <c r="AP81" s="51">
        <f>SUM(AP82:AP85)</f>
        <v>0</v>
      </c>
      <c r="AQ81" s="51"/>
      <c r="AR81" s="51"/>
      <c r="AS81" s="144"/>
      <c r="AT81" s="51"/>
      <c r="AU81" s="51">
        <f>SUM(AU82:AU85)</f>
        <v>0</v>
      </c>
      <c r="AV81" s="51"/>
      <c r="AW81" s="51"/>
      <c r="AX81" s="144"/>
      <c r="AY81" s="51"/>
      <c r="AZ81" s="51">
        <f>SUM(AZ82:AZ85)</f>
        <v>0</v>
      </c>
      <c r="BA81" s="51"/>
      <c r="BB81" s="51"/>
      <c r="BC81" s="144"/>
      <c r="BD81" s="51"/>
      <c r="BE81" s="51">
        <f>SUM(BE82:BE85)</f>
        <v>0</v>
      </c>
      <c r="BF81" s="51"/>
      <c r="BG81" s="51"/>
      <c r="BH81" s="144"/>
      <c r="BI81" s="51"/>
      <c r="BJ81" s="51">
        <f>SUM(BJ82:BJ85)</f>
        <v>0</v>
      </c>
      <c r="BK81" s="51"/>
      <c r="BL81" s="51"/>
      <c r="BM81" s="144"/>
      <c r="BN81" s="51"/>
      <c r="BO81" s="51">
        <f>SUM(BO82:BO85)</f>
        <v>0</v>
      </c>
      <c r="BP81" s="51"/>
      <c r="BQ81" s="51"/>
      <c r="BR81" s="144"/>
      <c r="BS81" s="51"/>
      <c r="BT81" s="51">
        <f>SUM(BT82:BT85)</f>
        <v>0</v>
      </c>
      <c r="BU81" s="51"/>
      <c r="BV81" s="51"/>
      <c r="BW81" s="144"/>
      <c r="BX81" s="51"/>
      <c r="BY81" s="51">
        <f>SUM(BY82:BY85)</f>
        <v>0</v>
      </c>
      <c r="BZ81" s="51"/>
      <c r="CA81" s="51"/>
      <c r="CB81" s="144"/>
      <c r="CC81" s="51"/>
      <c r="CD81" s="51">
        <f>SUM(CD82:CD85)</f>
        <v>0</v>
      </c>
      <c r="CE81" s="51"/>
      <c r="CF81" s="51"/>
      <c r="CG81" s="144"/>
      <c r="CH81" s="51"/>
      <c r="CI81" s="51">
        <f>SUM(CI82:CI85)</f>
        <v>0</v>
      </c>
      <c r="CJ81" s="51"/>
      <c r="CK81" s="51"/>
      <c r="CL81" s="144"/>
      <c r="CM81" s="51"/>
      <c r="CN81" s="51">
        <f>SUM(CN82:CN85)</f>
        <v>0</v>
      </c>
      <c r="CO81" s="51"/>
      <c r="CP81" s="51"/>
      <c r="CQ81" s="144"/>
      <c r="CR81" s="51"/>
      <c r="CS81" s="51">
        <f>SUM(CS82:CS85)</f>
        <v>0</v>
      </c>
      <c r="CT81" s="51"/>
      <c r="CU81" s="51"/>
      <c r="CV81" s="144"/>
      <c r="CW81" s="51"/>
      <c r="CX81" s="51">
        <f>SUM(CX82:CX85)</f>
        <v>0</v>
      </c>
      <c r="CY81" s="51"/>
      <c r="CZ81" s="51"/>
      <c r="DA81" s="144"/>
      <c r="DB81" s="51"/>
      <c r="DC81" s="51">
        <f>SUM(DC82:DC85)</f>
        <v>0</v>
      </c>
      <c r="DD81" s="51"/>
      <c r="DE81" s="51"/>
      <c r="DF81" s="144"/>
      <c r="DG81" s="51"/>
      <c r="DH81" s="51">
        <f>SUM(DH82:DH85)</f>
        <v>0</v>
      </c>
      <c r="DI81" s="51"/>
      <c r="DJ81" s="51"/>
      <c r="DK81" s="144"/>
      <c r="DL81" s="51"/>
      <c r="DM81" s="51">
        <f>SUM(DM82:DM85)</f>
        <v>0</v>
      </c>
      <c r="DN81" s="51"/>
      <c r="DO81" s="51"/>
      <c r="DP81" s="144"/>
      <c r="DQ81" s="51"/>
      <c r="DR81" s="51">
        <f>SUM(DR82:DR85)</f>
        <v>0</v>
      </c>
      <c r="DS81" s="51"/>
      <c r="DT81" s="51"/>
      <c r="DU81" s="144"/>
      <c r="DV81" s="51"/>
      <c r="DW81" s="51">
        <f>SUM(DW82:DW85)</f>
        <v>0</v>
      </c>
      <c r="DX81" s="51"/>
      <c r="DY81" s="51"/>
      <c r="DZ81" s="144"/>
      <c r="EA81" s="51"/>
      <c r="EB81" s="51">
        <f>SUM(EB82:EB85)</f>
        <v>0</v>
      </c>
      <c r="EC81" s="51"/>
      <c r="ED81" s="51"/>
      <c r="EE81" s="144"/>
      <c r="EF81" s="51"/>
      <c r="EG81" s="51">
        <f>SUM(EG82:EG85)</f>
        <v>0</v>
      </c>
      <c r="EH81" s="51"/>
      <c r="EI81" s="51"/>
      <c r="EJ81" s="144"/>
      <c r="EK81" s="51"/>
      <c r="EL81" s="51">
        <f>SUM(EL82:EL85)</f>
        <v>0</v>
      </c>
      <c r="EM81" s="51"/>
      <c r="EN81" s="51"/>
      <c r="EO81" s="340"/>
      <c r="ER81" s="39"/>
      <c r="ES81" s="39"/>
    </row>
    <row r="82" spans="1:149" ht="12.75" hidden="1" customHeight="1" x14ac:dyDescent="0.2">
      <c r="A82" s="317"/>
      <c r="B82" s="317"/>
      <c r="D82" s="340" t="s">
        <v>183</v>
      </c>
      <c r="E82" s="144"/>
      <c r="F82" s="354"/>
      <c r="G82" s="430">
        <v>0</v>
      </c>
      <c r="H82" s="431"/>
      <c r="I82" s="51"/>
      <c r="J82" s="144"/>
      <c r="K82" s="432"/>
      <c r="L82" s="430">
        <v>0</v>
      </c>
      <c r="M82" s="431"/>
      <c r="N82" s="51"/>
      <c r="O82" s="144"/>
      <c r="P82" s="432"/>
      <c r="Q82" s="430">
        <v>0</v>
      </c>
      <c r="R82" s="431"/>
      <c r="S82" s="51"/>
      <c r="T82" s="144"/>
      <c r="U82" s="432"/>
      <c r="V82" s="430">
        <v>0</v>
      </c>
      <c r="W82" s="431"/>
      <c r="X82" s="51"/>
      <c r="Y82" s="144"/>
      <c r="Z82" s="432"/>
      <c r="AA82" s="430">
        <v>0</v>
      </c>
      <c r="AB82" s="431"/>
      <c r="AC82" s="51"/>
      <c r="AD82" s="144"/>
      <c r="AE82" s="432"/>
      <c r="AF82" s="430">
        <v>0</v>
      </c>
      <c r="AG82" s="431"/>
      <c r="AH82" s="51"/>
      <c r="AI82" s="144"/>
      <c r="AJ82" s="432"/>
      <c r="AK82" s="430">
        <v>0</v>
      </c>
      <c r="AL82" s="431"/>
      <c r="AM82" s="51"/>
      <c r="AN82" s="144"/>
      <c r="AO82" s="432"/>
      <c r="AP82" s="430">
        <v>0</v>
      </c>
      <c r="AQ82" s="431"/>
      <c r="AR82" s="51"/>
      <c r="AS82" s="144"/>
      <c r="AT82" s="432"/>
      <c r="AU82" s="430">
        <v>0</v>
      </c>
      <c r="AV82" s="431"/>
      <c r="AW82" s="51"/>
      <c r="AX82" s="144"/>
      <c r="AY82" s="432"/>
      <c r="AZ82" s="430">
        <v>0</v>
      </c>
      <c r="BA82" s="431"/>
      <c r="BB82" s="51"/>
      <c r="BC82" s="144"/>
      <c r="BD82" s="432"/>
      <c r="BE82" s="430">
        <v>0</v>
      </c>
      <c r="BF82" s="431"/>
      <c r="BG82" s="51"/>
      <c r="BH82" s="144"/>
      <c r="BI82" s="432"/>
      <c r="BJ82" s="430">
        <v>0</v>
      </c>
      <c r="BK82" s="431"/>
      <c r="BL82" s="51"/>
      <c r="BM82" s="144"/>
      <c r="BN82" s="432"/>
      <c r="BO82" s="430">
        <v>0</v>
      </c>
      <c r="BP82" s="431"/>
      <c r="BQ82" s="51"/>
      <c r="BR82" s="144"/>
      <c r="BS82" s="432"/>
      <c r="BT82" s="430">
        <f>SUM(L82:BO82)</f>
        <v>0</v>
      </c>
      <c r="BU82" s="431"/>
      <c r="BV82" s="51"/>
      <c r="BW82" s="144"/>
      <c r="BX82" s="432"/>
      <c r="BY82" s="430">
        <v>0</v>
      </c>
      <c r="BZ82" s="431"/>
      <c r="CA82" s="51"/>
      <c r="CB82" s="144"/>
      <c r="CC82" s="432"/>
      <c r="CD82" s="430">
        <v>0</v>
      </c>
      <c r="CE82" s="431"/>
      <c r="CF82" s="51"/>
      <c r="CG82" s="144"/>
      <c r="CH82" s="432"/>
      <c r="CI82" s="430">
        <v>0</v>
      </c>
      <c r="CJ82" s="431"/>
      <c r="CK82" s="51"/>
      <c r="CL82" s="144"/>
      <c r="CM82" s="432"/>
      <c r="CN82" s="430">
        <v>0</v>
      </c>
      <c r="CO82" s="431"/>
      <c r="CP82" s="51"/>
      <c r="CQ82" s="144"/>
      <c r="CR82" s="432"/>
      <c r="CS82" s="430">
        <v>0</v>
      </c>
      <c r="CT82" s="431"/>
      <c r="CU82" s="51"/>
      <c r="CV82" s="144"/>
      <c r="CW82" s="432"/>
      <c r="CX82" s="430">
        <v>0</v>
      </c>
      <c r="CY82" s="431"/>
      <c r="CZ82" s="51"/>
      <c r="DA82" s="144"/>
      <c r="DB82" s="432"/>
      <c r="DC82" s="430">
        <v>0</v>
      </c>
      <c r="DD82" s="431"/>
      <c r="DE82" s="51"/>
      <c r="DF82" s="144"/>
      <c r="DG82" s="432"/>
      <c r="DH82" s="430">
        <v>0</v>
      </c>
      <c r="DI82" s="431"/>
      <c r="DJ82" s="51"/>
      <c r="DK82" s="144"/>
      <c r="DL82" s="432"/>
      <c r="DM82" s="430">
        <v>0</v>
      </c>
      <c r="DN82" s="431"/>
      <c r="DO82" s="51"/>
      <c r="DP82" s="144"/>
      <c r="DQ82" s="432"/>
      <c r="DR82" s="430">
        <v>0</v>
      </c>
      <c r="DS82" s="431"/>
      <c r="DT82" s="51"/>
      <c r="DU82" s="144"/>
      <c r="DV82" s="432"/>
      <c r="DW82" s="430">
        <v>0</v>
      </c>
      <c r="DX82" s="431"/>
      <c r="DY82" s="51"/>
      <c r="DZ82" s="144"/>
      <c r="EA82" s="432"/>
      <c r="EB82" s="430">
        <v>0</v>
      </c>
      <c r="EC82" s="431"/>
      <c r="ED82" s="51"/>
      <c r="EE82" s="144"/>
      <c r="EF82" s="432"/>
      <c r="EG82" s="430">
        <v>0</v>
      </c>
      <c r="EH82" s="431"/>
      <c r="EI82" s="51"/>
      <c r="EJ82" s="144"/>
      <c r="EK82" s="432"/>
      <c r="EL82" s="430">
        <f>SUM(CD82:CD82)</f>
        <v>0</v>
      </c>
      <c r="EM82" s="431"/>
      <c r="EN82" s="51"/>
      <c r="EO82" s="340"/>
      <c r="ER82" s="39"/>
      <c r="ES82" s="39"/>
    </row>
    <row r="83" spans="1:149" ht="12.75" hidden="1" customHeight="1" x14ac:dyDescent="0.2">
      <c r="A83" s="317"/>
      <c r="B83" s="317"/>
      <c r="D83" s="340" t="s">
        <v>186</v>
      </c>
      <c r="E83" s="144"/>
      <c r="F83" s="347"/>
      <c r="G83" s="51">
        <v>0</v>
      </c>
      <c r="H83" s="50"/>
      <c r="I83" s="51"/>
      <c r="J83" s="144"/>
      <c r="K83" s="144"/>
      <c r="L83" s="51">
        <v>0</v>
      </c>
      <c r="M83" s="50"/>
      <c r="N83" s="51"/>
      <c r="O83" s="144"/>
      <c r="P83" s="144"/>
      <c r="Q83" s="51">
        <v>0</v>
      </c>
      <c r="R83" s="50"/>
      <c r="S83" s="51"/>
      <c r="T83" s="144"/>
      <c r="U83" s="144"/>
      <c r="V83" s="51">
        <v>0</v>
      </c>
      <c r="W83" s="50"/>
      <c r="X83" s="51"/>
      <c r="Y83" s="144"/>
      <c r="Z83" s="144"/>
      <c r="AA83" s="51">
        <v>0</v>
      </c>
      <c r="AB83" s="50"/>
      <c r="AC83" s="51"/>
      <c r="AD83" s="144"/>
      <c r="AE83" s="144"/>
      <c r="AF83" s="51">
        <v>0</v>
      </c>
      <c r="AG83" s="50"/>
      <c r="AH83" s="51"/>
      <c r="AI83" s="144"/>
      <c r="AJ83" s="144"/>
      <c r="AK83" s="51">
        <v>0</v>
      </c>
      <c r="AL83" s="50"/>
      <c r="AM83" s="51"/>
      <c r="AN83" s="144"/>
      <c r="AO83" s="144"/>
      <c r="AP83" s="51">
        <v>0</v>
      </c>
      <c r="AQ83" s="50"/>
      <c r="AR83" s="51"/>
      <c r="AS83" s="144"/>
      <c r="AT83" s="144"/>
      <c r="AU83" s="51">
        <v>0</v>
      </c>
      <c r="AV83" s="50"/>
      <c r="AW83" s="51"/>
      <c r="AX83" s="144"/>
      <c r="AY83" s="144"/>
      <c r="AZ83" s="51">
        <v>0</v>
      </c>
      <c r="BA83" s="50"/>
      <c r="BB83" s="51"/>
      <c r="BC83" s="144"/>
      <c r="BD83" s="144"/>
      <c r="BE83" s="51">
        <v>0</v>
      </c>
      <c r="BF83" s="50"/>
      <c r="BG83" s="51"/>
      <c r="BH83" s="144"/>
      <c r="BI83" s="144"/>
      <c r="BJ83" s="51">
        <v>0</v>
      </c>
      <c r="BK83" s="50"/>
      <c r="BL83" s="51"/>
      <c r="BM83" s="144"/>
      <c r="BN83" s="144"/>
      <c r="BO83" s="51">
        <v>0</v>
      </c>
      <c r="BP83" s="50"/>
      <c r="BQ83" s="51"/>
      <c r="BR83" s="144"/>
      <c r="BS83" s="144"/>
      <c r="BT83" s="51">
        <f>SUM(L83:BO83)</f>
        <v>0</v>
      </c>
      <c r="BU83" s="50"/>
      <c r="BV83" s="51"/>
      <c r="BW83" s="144"/>
      <c r="BX83" s="144"/>
      <c r="BY83" s="51">
        <v>0</v>
      </c>
      <c r="BZ83" s="50"/>
      <c r="CA83" s="51"/>
      <c r="CB83" s="144"/>
      <c r="CC83" s="144"/>
      <c r="CD83" s="51">
        <v>0</v>
      </c>
      <c r="CE83" s="50"/>
      <c r="CF83" s="51"/>
      <c r="CG83" s="144"/>
      <c r="CH83" s="144"/>
      <c r="CI83" s="51">
        <v>0</v>
      </c>
      <c r="CJ83" s="50"/>
      <c r="CK83" s="51"/>
      <c r="CL83" s="144"/>
      <c r="CM83" s="144"/>
      <c r="CN83" s="51">
        <v>0</v>
      </c>
      <c r="CO83" s="50"/>
      <c r="CP83" s="51"/>
      <c r="CQ83" s="144"/>
      <c r="CR83" s="144"/>
      <c r="CS83" s="51">
        <v>0</v>
      </c>
      <c r="CT83" s="50"/>
      <c r="CU83" s="51"/>
      <c r="CV83" s="144"/>
      <c r="CW83" s="144"/>
      <c r="CX83" s="51">
        <v>0</v>
      </c>
      <c r="CY83" s="50"/>
      <c r="CZ83" s="51"/>
      <c r="DA83" s="144"/>
      <c r="DB83" s="144"/>
      <c r="DC83" s="51">
        <v>0</v>
      </c>
      <c r="DD83" s="50"/>
      <c r="DE83" s="51"/>
      <c r="DF83" s="144"/>
      <c r="DG83" s="144"/>
      <c r="DH83" s="51">
        <v>0</v>
      </c>
      <c r="DI83" s="50"/>
      <c r="DJ83" s="51"/>
      <c r="DK83" s="144"/>
      <c r="DL83" s="144"/>
      <c r="DM83" s="51">
        <v>0</v>
      </c>
      <c r="DN83" s="50"/>
      <c r="DO83" s="51"/>
      <c r="DP83" s="144"/>
      <c r="DQ83" s="144"/>
      <c r="DR83" s="51">
        <v>0</v>
      </c>
      <c r="DS83" s="50"/>
      <c r="DT83" s="51"/>
      <c r="DU83" s="144"/>
      <c r="DV83" s="144"/>
      <c r="DW83" s="51">
        <v>0</v>
      </c>
      <c r="DX83" s="50"/>
      <c r="DY83" s="51"/>
      <c r="DZ83" s="144"/>
      <c r="EA83" s="144"/>
      <c r="EB83" s="51">
        <v>0</v>
      </c>
      <c r="EC83" s="50"/>
      <c r="ED83" s="51"/>
      <c r="EE83" s="144"/>
      <c r="EF83" s="144"/>
      <c r="EG83" s="51">
        <v>0</v>
      </c>
      <c r="EH83" s="50"/>
      <c r="EI83" s="51"/>
      <c r="EJ83" s="144"/>
      <c r="EK83" s="144"/>
      <c r="EL83" s="51">
        <f>SUM(CD83:CD83)</f>
        <v>0</v>
      </c>
      <c r="EM83" s="50"/>
      <c r="EN83" s="51"/>
      <c r="EO83" s="340"/>
      <c r="ER83" s="39"/>
      <c r="ES83" s="39"/>
    </row>
    <row r="84" spans="1:149" ht="12.75" hidden="1" customHeight="1" x14ac:dyDescent="0.2">
      <c r="A84" s="317"/>
      <c r="B84" s="317"/>
      <c r="D84" s="340" t="s">
        <v>187</v>
      </c>
      <c r="E84" s="144"/>
      <c r="F84" s="347"/>
      <c r="G84" s="51">
        <v>0</v>
      </c>
      <c r="H84" s="50"/>
      <c r="I84" s="51"/>
      <c r="J84" s="144"/>
      <c r="K84" s="144"/>
      <c r="L84" s="51">
        <v>0</v>
      </c>
      <c r="M84" s="50"/>
      <c r="N84" s="51"/>
      <c r="O84" s="144"/>
      <c r="P84" s="144"/>
      <c r="Q84" s="51">
        <v>0</v>
      </c>
      <c r="R84" s="50"/>
      <c r="S84" s="51"/>
      <c r="T84" s="144"/>
      <c r="U84" s="144"/>
      <c r="V84" s="51">
        <v>0</v>
      </c>
      <c r="W84" s="50"/>
      <c r="X84" s="51"/>
      <c r="Y84" s="144"/>
      <c r="Z84" s="144"/>
      <c r="AA84" s="51">
        <v>0</v>
      </c>
      <c r="AB84" s="50"/>
      <c r="AC84" s="51"/>
      <c r="AD84" s="144"/>
      <c r="AE84" s="144"/>
      <c r="AF84" s="51">
        <v>0</v>
      </c>
      <c r="AG84" s="50"/>
      <c r="AH84" s="51"/>
      <c r="AI84" s="144"/>
      <c r="AJ84" s="144"/>
      <c r="AK84" s="51">
        <v>0</v>
      </c>
      <c r="AL84" s="50"/>
      <c r="AM84" s="51"/>
      <c r="AN84" s="144"/>
      <c r="AO84" s="144"/>
      <c r="AP84" s="51">
        <v>0</v>
      </c>
      <c r="AQ84" s="50"/>
      <c r="AR84" s="51"/>
      <c r="AS84" s="144"/>
      <c r="AT84" s="144"/>
      <c r="AU84" s="51">
        <v>0</v>
      </c>
      <c r="AV84" s="50"/>
      <c r="AW84" s="51"/>
      <c r="AX84" s="144"/>
      <c r="AY84" s="144"/>
      <c r="AZ84" s="51">
        <v>0</v>
      </c>
      <c r="BA84" s="50"/>
      <c r="BB84" s="51"/>
      <c r="BC84" s="144"/>
      <c r="BD84" s="144"/>
      <c r="BE84" s="51">
        <v>0</v>
      </c>
      <c r="BF84" s="50"/>
      <c r="BG84" s="51"/>
      <c r="BH84" s="144"/>
      <c r="BI84" s="144"/>
      <c r="BJ84" s="51">
        <v>0</v>
      </c>
      <c r="BK84" s="50"/>
      <c r="BL84" s="51"/>
      <c r="BM84" s="144"/>
      <c r="BN84" s="144"/>
      <c r="BO84" s="51">
        <v>0</v>
      </c>
      <c r="BP84" s="50"/>
      <c r="BQ84" s="51"/>
      <c r="BR84" s="144"/>
      <c r="BS84" s="144"/>
      <c r="BT84" s="51">
        <f>SUM(L84:BO84)</f>
        <v>0</v>
      </c>
      <c r="BU84" s="50"/>
      <c r="BV84" s="51"/>
      <c r="BW84" s="144"/>
      <c r="BX84" s="144"/>
      <c r="BY84" s="51">
        <v>0</v>
      </c>
      <c r="BZ84" s="50"/>
      <c r="CA84" s="51"/>
      <c r="CB84" s="144"/>
      <c r="CC84" s="144"/>
      <c r="CD84" s="51">
        <v>0</v>
      </c>
      <c r="CE84" s="50"/>
      <c r="CF84" s="51"/>
      <c r="CG84" s="144"/>
      <c r="CH84" s="144"/>
      <c r="CI84" s="51">
        <v>0</v>
      </c>
      <c r="CJ84" s="50"/>
      <c r="CK84" s="51"/>
      <c r="CL84" s="144"/>
      <c r="CM84" s="144"/>
      <c r="CN84" s="51">
        <v>0</v>
      </c>
      <c r="CO84" s="50"/>
      <c r="CP84" s="51"/>
      <c r="CQ84" s="144"/>
      <c r="CR84" s="144"/>
      <c r="CS84" s="51">
        <v>0</v>
      </c>
      <c r="CT84" s="50"/>
      <c r="CU84" s="51"/>
      <c r="CV84" s="144"/>
      <c r="CW84" s="144"/>
      <c r="CX84" s="51">
        <v>0</v>
      </c>
      <c r="CY84" s="50"/>
      <c r="CZ84" s="51"/>
      <c r="DA84" s="144"/>
      <c r="DB84" s="144"/>
      <c r="DC84" s="51">
        <v>0</v>
      </c>
      <c r="DD84" s="50"/>
      <c r="DE84" s="51"/>
      <c r="DF84" s="144"/>
      <c r="DG84" s="144"/>
      <c r="DH84" s="51">
        <v>0</v>
      </c>
      <c r="DI84" s="50"/>
      <c r="DJ84" s="51"/>
      <c r="DK84" s="144"/>
      <c r="DL84" s="144"/>
      <c r="DM84" s="51">
        <v>0</v>
      </c>
      <c r="DN84" s="50"/>
      <c r="DO84" s="51"/>
      <c r="DP84" s="144"/>
      <c r="DQ84" s="144"/>
      <c r="DR84" s="51">
        <v>0</v>
      </c>
      <c r="DS84" s="50"/>
      <c r="DT84" s="51"/>
      <c r="DU84" s="144"/>
      <c r="DV84" s="144"/>
      <c r="DW84" s="51">
        <v>0</v>
      </c>
      <c r="DX84" s="50"/>
      <c r="DY84" s="51"/>
      <c r="DZ84" s="144"/>
      <c r="EA84" s="144"/>
      <c r="EB84" s="51">
        <v>0</v>
      </c>
      <c r="EC84" s="50"/>
      <c r="ED84" s="51"/>
      <c r="EE84" s="144"/>
      <c r="EF84" s="144"/>
      <c r="EG84" s="51">
        <v>0</v>
      </c>
      <c r="EH84" s="50"/>
      <c r="EI84" s="51"/>
      <c r="EJ84" s="144"/>
      <c r="EK84" s="144"/>
      <c r="EL84" s="51">
        <f>SUM(CD84:CD84)</f>
        <v>0</v>
      </c>
      <c r="EM84" s="50"/>
      <c r="EN84" s="51"/>
      <c r="EO84" s="340"/>
      <c r="ER84" s="39"/>
      <c r="ES84" s="39"/>
    </row>
    <row r="85" spans="1:149" ht="12.75" hidden="1" customHeight="1" x14ac:dyDescent="0.2">
      <c r="A85" s="317"/>
      <c r="B85" s="317"/>
      <c r="D85" s="340" t="s">
        <v>188</v>
      </c>
      <c r="E85" s="144"/>
      <c r="F85" s="371"/>
      <c r="G85" s="95">
        <v>0</v>
      </c>
      <c r="H85" s="94"/>
      <c r="I85" s="51"/>
      <c r="J85" s="144"/>
      <c r="K85" s="187"/>
      <c r="L85" s="95">
        <v>0</v>
      </c>
      <c r="M85" s="94"/>
      <c r="N85" s="51"/>
      <c r="O85" s="144"/>
      <c r="P85" s="187"/>
      <c r="Q85" s="95">
        <v>0</v>
      </c>
      <c r="R85" s="94"/>
      <c r="S85" s="51"/>
      <c r="T85" s="144"/>
      <c r="U85" s="187"/>
      <c r="V85" s="95">
        <v>0</v>
      </c>
      <c r="W85" s="94"/>
      <c r="X85" s="51"/>
      <c r="Y85" s="144"/>
      <c r="Z85" s="187"/>
      <c r="AA85" s="95">
        <v>0</v>
      </c>
      <c r="AB85" s="94"/>
      <c r="AC85" s="51"/>
      <c r="AD85" s="144"/>
      <c r="AE85" s="187"/>
      <c r="AF85" s="95">
        <v>0</v>
      </c>
      <c r="AG85" s="94"/>
      <c r="AH85" s="51"/>
      <c r="AI85" s="144"/>
      <c r="AJ85" s="187"/>
      <c r="AK85" s="95">
        <v>0</v>
      </c>
      <c r="AL85" s="94"/>
      <c r="AM85" s="51"/>
      <c r="AN85" s="144"/>
      <c r="AO85" s="187"/>
      <c r="AP85" s="95">
        <v>0</v>
      </c>
      <c r="AQ85" s="94"/>
      <c r="AR85" s="51"/>
      <c r="AS85" s="144"/>
      <c r="AT85" s="187"/>
      <c r="AU85" s="95">
        <v>0</v>
      </c>
      <c r="AV85" s="94"/>
      <c r="AW85" s="51"/>
      <c r="AX85" s="144"/>
      <c r="AY85" s="187"/>
      <c r="AZ85" s="95">
        <v>0</v>
      </c>
      <c r="BA85" s="94"/>
      <c r="BB85" s="51"/>
      <c r="BC85" s="144"/>
      <c r="BD85" s="187"/>
      <c r="BE85" s="95">
        <v>0</v>
      </c>
      <c r="BF85" s="94"/>
      <c r="BG85" s="51"/>
      <c r="BH85" s="144"/>
      <c r="BI85" s="187"/>
      <c r="BJ85" s="95">
        <v>0</v>
      </c>
      <c r="BK85" s="94"/>
      <c r="BL85" s="51"/>
      <c r="BM85" s="144"/>
      <c r="BN85" s="187"/>
      <c r="BO85" s="95">
        <v>0</v>
      </c>
      <c r="BP85" s="94"/>
      <c r="BQ85" s="51"/>
      <c r="BR85" s="144"/>
      <c r="BS85" s="187"/>
      <c r="BT85" s="95">
        <f>SUM(L85:BO85)</f>
        <v>0</v>
      </c>
      <c r="BU85" s="94"/>
      <c r="BV85" s="51"/>
      <c r="BW85" s="144"/>
      <c r="BX85" s="187"/>
      <c r="BY85" s="95">
        <v>0</v>
      </c>
      <c r="BZ85" s="94"/>
      <c r="CA85" s="51"/>
      <c r="CB85" s="144"/>
      <c r="CC85" s="187"/>
      <c r="CD85" s="95">
        <v>0</v>
      </c>
      <c r="CE85" s="94"/>
      <c r="CF85" s="51"/>
      <c r="CG85" s="144"/>
      <c r="CH85" s="187"/>
      <c r="CI85" s="95">
        <v>0</v>
      </c>
      <c r="CJ85" s="94"/>
      <c r="CK85" s="51"/>
      <c r="CL85" s="144"/>
      <c r="CM85" s="187"/>
      <c r="CN85" s="95">
        <v>0</v>
      </c>
      <c r="CO85" s="94"/>
      <c r="CP85" s="51"/>
      <c r="CQ85" s="144"/>
      <c r="CR85" s="187"/>
      <c r="CS85" s="95">
        <v>0</v>
      </c>
      <c r="CT85" s="94"/>
      <c r="CU85" s="51"/>
      <c r="CV85" s="144"/>
      <c r="CW85" s="187"/>
      <c r="CX85" s="95">
        <v>0</v>
      </c>
      <c r="CY85" s="94"/>
      <c r="CZ85" s="51"/>
      <c r="DA85" s="144"/>
      <c r="DB85" s="187"/>
      <c r="DC85" s="95">
        <v>0</v>
      </c>
      <c r="DD85" s="94"/>
      <c r="DE85" s="51"/>
      <c r="DF85" s="144"/>
      <c r="DG85" s="187"/>
      <c r="DH85" s="95">
        <v>0</v>
      </c>
      <c r="DI85" s="94"/>
      <c r="DJ85" s="51"/>
      <c r="DK85" s="144"/>
      <c r="DL85" s="187"/>
      <c r="DM85" s="95">
        <v>0</v>
      </c>
      <c r="DN85" s="94"/>
      <c r="DO85" s="51"/>
      <c r="DP85" s="144"/>
      <c r="DQ85" s="187"/>
      <c r="DR85" s="95">
        <v>0</v>
      </c>
      <c r="DS85" s="94"/>
      <c r="DT85" s="51"/>
      <c r="DU85" s="144"/>
      <c r="DV85" s="187"/>
      <c r="DW85" s="95">
        <v>0</v>
      </c>
      <c r="DX85" s="94"/>
      <c r="DY85" s="51"/>
      <c r="DZ85" s="144"/>
      <c r="EA85" s="187"/>
      <c r="EB85" s="95">
        <v>0</v>
      </c>
      <c r="EC85" s="94"/>
      <c r="ED85" s="51"/>
      <c r="EE85" s="144"/>
      <c r="EF85" s="187"/>
      <c r="EG85" s="95">
        <v>0</v>
      </c>
      <c r="EH85" s="94"/>
      <c r="EI85" s="51"/>
      <c r="EJ85" s="144"/>
      <c r="EK85" s="187"/>
      <c r="EL85" s="95">
        <f>SUM(CD85:CD85)</f>
        <v>0</v>
      </c>
      <c r="EM85" s="94"/>
      <c r="EN85" s="51"/>
      <c r="EO85" s="340"/>
      <c r="ER85" s="39"/>
      <c r="ES85" s="39"/>
    </row>
    <row r="86" spans="1:149" s="317" customFormat="1" ht="12.75" hidden="1" customHeight="1" x14ac:dyDescent="0.2">
      <c r="D86" s="442"/>
      <c r="E86" s="377"/>
      <c r="F86" s="378"/>
      <c r="G86" s="376"/>
      <c r="H86" s="376"/>
      <c r="I86" s="376"/>
      <c r="J86" s="375"/>
      <c r="K86" s="376"/>
      <c r="L86" s="376"/>
      <c r="M86" s="376"/>
      <c r="N86" s="376"/>
      <c r="O86" s="375"/>
      <c r="P86" s="376"/>
      <c r="Q86" s="376"/>
      <c r="R86" s="376"/>
      <c r="S86" s="376"/>
      <c r="T86" s="375"/>
      <c r="U86" s="376"/>
      <c r="V86" s="376"/>
      <c r="W86" s="376"/>
      <c r="X86" s="376"/>
      <c r="Y86" s="375"/>
      <c r="Z86" s="376"/>
      <c r="AA86" s="376"/>
      <c r="AB86" s="376"/>
      <c r="AC86" s="376"/>
      <c r="AD86" s="375"/>
      <c r="AE86" s="376"/>
      <c r="AF86" s="376"/>
      <c r="AG86" s="376"/>
      <c r="AH86" s="376"/>
      <c r="AI86" s="375"/>
      <c r="AJ86" s="376"/>
      <c r="AK86" s="376"/>
      <c r="AL86" s="376"/>
      <c r="AM86" s="376"/>
      <c r="AN86" s="375"/>
      <c r="AO86" s="376"/>
      <c r="AP86" s="376"/>
      <c r="AQ86" s="376"/>
      <c r="AR86" s="376"/>
      <c r="AS86" s="375"/>
      <c r="AT86" s="376"/>
      <c r="AU86" s="376"/>
      <c r="AV86" s="376"/>
      <c r="AW86" s="376"/>
      <c r="AX86" s="375"/>
      <c r="AY86" s="376"/>
      <c r="AZ86" s="376"/>
      <c r="BA86" s="376"/>
      <c r="BB86" s="376"/>
      <c r="BC86" s="375"/>
      <c r="BD86" s="376"/>
      <c r="BE86" s="376"/>
      <c r="BF86" s="376"/>
      <c r="BG86" s="376"/>
      <c r="BH86" s="375"/>
      <c r="BI86" s="376"/>
      <c r="BJ86" s="376"/>
      <c r="BK86" s="376"/>
      <c r="BL86" s="376"/>
      <c r="BM86" s="375"/>
      <c r="BN86" s="376"/>
      <c r="BO86" s="376"/>
      <c r="BP86" s="376"/>
      <c r="BQ86" s="376"/>
      <c r="BR86" s="375"/>
      <c r="BS86" s="376"/>
      <c r="BT86" s="376"/>
      <c r="BU86" s="376"/>
      <c r="BV86" s="376"/>
      <c r="BW86" s="375"/>
      <c r="BX86" s="376"/>
      <c r="BY86" s="376"/>
      <c r="BZ86" s="376"/>
      <c r="CA86" s="376"/>
      <c r="CB86" s="375"/>
      <c r="CC86" s="376"/>
      <c r="CD86" s="376"/>
      <c r="CE86" s="376"/>
      <c r="CF86" s="376"/>
      <c r="CG86" s="375"/>
      <c r="CH86" s="376"/>
      <c r="CI86" s="376"/>
      <c r="CJ86" s="376"/>
      <c r="CK86" s="376"/>
      <c r="CL86" s="375"/>
      <c r="CM86" s="376"/>
      <c r="CN86" s="376"/>
      <c r="CO86" s="376"/>
      <c r="CP86" s="376"/>
      <c r="CQ86" s="375"/>
      <c r="CR86" s="376"/>
      <c r="CS86" s="376"/>
      <c r="CT86" s="376"/>
      <c r="CU86" s="376"/>
      <c r="CV86" s="375"/>
      <c r="CW86" s="376"/>
      <c r="CX86" s="376"/>
      <c r="CY86" s="376"/>
      <c r="CZ86" s="376"/>
      <c r="DA86" s="375"/>
      <c r="DB86" s="376"/>
      <c r="DC86" s="376"/>
      <c r="DD86" s="376"/>
      <c r="DE86" s="376"/>
      <c r="DF86" s="375"/>
      <c r="DG86" s="376"/>
      <c r="DH86" s="376"/>
      <c r="DI86" s="376"/>
      <c r="DJ86" s="376"/>
      <c r="DK86" s="375"/>
      <c r="DL86" s="376"/>
      <c r="DM86" s="376"/>
      <c r="DN86" s="376"/>
      <c r="DO86" s="376"/>
      <c r="DP86" s="375"/>
      <c r="DQ86" s="376"/>
      <c r="DR86" s="376"/>
      <c r="DS86" s="376"/>
      <c r="DT86" s="376"/>
      <c r="DU86" s="375"/>
      <c r="DV86" s="376"/>
      <c r="DW86" s="376"/>
      <c r="DX86" s="376"/>
      <c r="DY86" s="376"/>
      <c r="DZ86" s="375"/>
      <c r="EA86" s="376"/>
      <c r="EB86" s="376"/>
      <c r="EC86" s="376"/>
      <c r="ED86" s="376"/>
      <c r="EE86" s="375"/>
      <c r="EF86" s="376"/>
      <c r="EG86" s="376"/>
      <c r="EH86" s="376"/>
      <c r="EI86" s="376"/>
      <c r="EJ86" s="375"/>
      <c r="EK86" s="376"/>
      <c r="EL86" s="376"/>
      <c r="EM86" s="378"/>
      <c r="EN86" s="378"/>
      <c r="EO86" s="340"/>
      <c r="EQ86" s="315"/>
      <c r="ER86" s="39"/>
      <c r="ES86" s="39"/>
    </row>
    <row r="87" spans="1:149" ht="12.75" hidden="1" customHeight="1" x14ac:dyDescent="0.2">
      <c r="A87" s="317"/>
      <c r="B87" s="317"/>
      <c r="D87" s="340" t="s">
        <v>197</v>
      </c>
      <c r="E87" s="144"/>
      <c r="F87" s="317"/>
      <c r="G87" s="51">
        <f>SUM(G88:G91)</f>
        <v>0</v>
      </c>
      <c r="H87" s="51"/>
      <c r="I87" s="51"/>
      <c r="J87" s="144"/>
      <c r="K87" s="51"/>
      <c r="L87" s="51">
        <f>SUM(L88:L91)</f>
        <v>0</v>
      </c>
      <c r="M87" s="51"/>
      <c r="N87" s="51"/>
      <c r="O87" s="144"/>
      <c r="P87" s="51"/>
      <c r="Q87" s="51">
        <f>SUM(Q88:Q91)</f>
        <v>0</v>
      </c>
      <c r="R87" s="51"/>
      <c r="S87" s="51"/>
      <c r="T87" s="144"/>
      <c r="U87" s="51"/>
      <c r="V87" s="51">
        <f>SUM(V88:V91)</f>
        <v>0</v>
      </c>
      <c r="W87" s="51"/>
      <c r="X87" s="51"/>
      <c r="Y87" s="144"/>
      <c r="Z87" s="51"/>
      <c r="AA87" s="51">
        <f>SUM(AA88:AA91)</f>
        <v>0</v>
      </c>
      <c r="AB87" s="51"/>
      <c r="AC87" s="51"/>
      <c r="AD87" s="144"/>
      <c r="AE87" s="51"/>
      <c r="AF87" s="51">
        <f>SUM(AF88:AF91)</f>
        <v>0</v>
      </c>
      <c r="AG87" s="51"/>
      <c r="AH87" s="51"/>
      <c r="AI87" s="144"/>
      <c r="AJ87" s="51"/>
      <c r="AK87" s="51">
        <f>SUM(AK88:AK91)</f>
        <v>0</v>
      </c>
      <c r="AL87" s="51"/>
      <c r="AM87" s="51"/>
      <c r="AN87" s="144"/>
      <c r="AO87" s="51"/>
      <c r="AP87" s="51">
        <f>SUM(AP88:AP91)</f>
        <v>0</v>
      </c>
      <c r="AQ87" s="51"/>
      <c r="AR87" s="51"/>
      <c r="AS87" s="144"/>
      <c r="AT87" s="51"/>
      <c r="AU87" s="51">
        <f>SUM(AU88:AU91)</f>
        <v>0</v>
      </c>
      <c r="AV87" s="51"/>
      <c r="AW87" s="51"/>
      <c r="AX87" s="144"/>
      <c r="AY87" s="51"/>
      <c r="AZ87" s="51">
        <f>SUM(AZ88:AZ91)</f>
        <v>0</v>
      </c>
      <c r="BA87" s="51"/>
      <c r="BB87" s="51"/>
      <c r="BC87" s="144"/>
      <c r="BD87" s="51"/>
      <c r="BE87" s="51">
        <f>SUM(BE88:BE91)</f>
        <v>0</v>
      </c>
      <c r="BF87" s="51"/>
      <c r="BG87" s="51"/>
      <c r="BH87" s="144"/>
      <c r="BI87" s="51"/>
      <c r="BJ87" s="51">
        <f>SUM(BJ88:BJ91)</f>
        <v>0</v>
      </c>
      <c r="BK87" s="51"/>
      <c r="BL87" s="51"/>
      <c r="BM87" s="144"/>
      <c r="BN87" s="51"/>
      <c r="BO87" s="51">
        <f>SUM(BO88:BO91)</f>
        <v>0</v>
      </c>
      <c r="BP87" s="51"/>
      <c r="BQ87" s="51"/>
      <c r="BR87" s="144"/>
      <c r="BS87" s="51"/>
      <c r="BT87" s="51">
        <f>SUM(BT88:BT91)</f>
        <v>0</v>
      </c>
      <c r="BU87" s="51"/>
      <c r="BV87" s="51"/>
      <c r="BW87" s="144"/>
      <c r="BX87" s="51"/>
      <c r="BY87" s="51">
        <f>SUM(BY88:BY91)</f>
        <v>0</v>
      </c>
      <c r="BZ87" s="51"/>
      <c r="CA87" s="51"/>
      <c r="CB87" s="144"/>
      <c r="CC87" s="51"/>
      <c r="CD87" s="51">
        <f>SUM(CD88:CD91)</f>
        <v>0</v>
      </c>
      <c r="CE87" s="51"/>
      <c r="CF87" s="51"/>
      <c r="CG87" s="144"/>
      <c r="CH87" s="51"/>
      <c r="CI87" s="51">
        <f>SUM(CI88:CI91)</f>
        <v>0</v>
      </c>
      <c r="CJ87" s="51"/>
      <c r="CK87" s="51"/>
      <c r="CL87" s="144"/>
      <c r="CM87" s="51"/>
      <c r="CN87" s="51">
        <f>SUM(CN88:CN91)</f>
        <v>0</v>
      </c>
      <c r="CO87" s="51"/>
      <c r="CP87" s="51"/>
      <c r="CQ87" s="144"/>
      <c r="CR87" s="51"/>
      <c r="CS87" s="51">
        <f>SUM(CS88:CS91)</f>
        <v>0</v>
      </c>
      <c r="CT87" s="51"/>
      <c r="CU87" s="51"/>
      <c r="CV87" s="144"/>
      <c r="CW87" s="51"/>
      <c r="CX87" s="51">
        <f>SUM(CX88:CX91)</f>
        <v>0</v>
      </c>
      <c r="CY87" s="51"/>
      <c r="CZ87" s="51"/>
      <c r="DA87" s="144"/>
      <c r="DB87" s="51"/>
      <c r="DC87" s="51">
        <f>SUM(DC88:DC91)</f>
        <v>0</v>
      </c>
      <c r="DD87" s="51"/>
      <c r="DE87" s="51"/>
      <c r="DF87" s="144"/>
      <c r="DG87" s="51"/>
      <c r="DH87" s="51">
        <f>SUM(DH88:DH91)</f>
        <v>0</v>
      </c>
      <c r="DI87" s="51"/>
      <c r="DJ87" s="51"/>
      <c r="DK87" s="144"/>
      <c r="DL87" s="51"/>
      <c r="DM87" s="51">
        <f>SUM(DM88:DM91)</f>
        <v>0</v>
      </c>
      <c r="DN87" s="51"/>
      <c r="DO87" s="51"/>
      <c r="DP87" s="144"/>
      <c r="DQ87" s="51"/>
      <c r="DR87" s="51">
        <f>SUM(DR88:DR91)</f>
        <v>0</v>
      </c>
      <c r="DS87" s="51"/>
      <c r="DT87" s="51"/>
      <c r="DU87" s="144"/>
      <c r="DV87" s="51"/>
      <c r="DW87" s="51">
        <f>SUM(DW88:DW91)</f>
        <v>0</v>
      </c>
      <c r="DX87" s="51"/>
      <c r="DY87" s="51"/>
      <c r="DZ87" s="144"/>
      <c r="EA87" s="51"/>
      <c r="EB87" s="51">
        <f>SUM(EB88:EB91)</f>
        <v>0</v>
      </c>
      <c r="EC87" s="51"/>
      <c r="ED87" s="51"/>
      <c r="EE87" s="144"/>
      <c r="EF87" s="51"/>
      <c r="EG87" s="51">
        <f>SUM(EG88:EG91)</f>
        <v>0</v>
      </c>
      <c r="EH87" s="51"/>
      <c r="EI87" s="51"/>
      <c r="EJ87" s="144"/>
      <c r="EK87" s="51"/>
      <c r="EL87" s="51">
        <f>SUM(EL88:EL91)</f>
        <v>0</v>
      </c>
      <c r="EM87" s="51"/>
      <c r="EN87" s="51"/>
      <c r="EO87" s="340"/>
      <c r="ER87" s="39"/>
      <c r="ES87" s="39"/>
    </row>
    <row r="88" spans="1:149" ht="12.75" hidden="1" customHeight="1" x14ac:dyDescent="0.2">
      <c r="A88" s="317"/>
      <c r="B88" s="317"/>
      <c r="D88" s="443" t="s">
        <v>183</v>
      </c>
      <c r="E88" s="144"/>
      <c r="F88" s="354"/>
      <c r="G88" s="430">
        <v>0</v>
      </c>
      <c r="H88" s="431"/>
      <c r="I88" s="51"/>
      <c r="J88" s="144"/>
      <c r="K88" s="432"/>
      <c r="L88" s="430">
        <v>0</v>
      </c>
      <c r="M88" s="431"/>
      <c r="N88" s="51"/>
      <c r="O88" s="144"/>
      <c r="P88" s="432"/>
      <c r="Q88" s="430">
        <v>0</v>
      </c>
      <c r="R88" s="431"/>
      <c r="S88" s="51"/>
      <c r="T88" s="144"/>
      <c r="U88" s="432"/>
      <c r="V88" s="430">
        <v>0</v>
      </c>
      <c r="W88" s="431"/>
      <c r="X88" s="51"/>
      <c r="Y88" s="144"/>
      <c r="Z88" s="432"/>
      <c r="AA88" s="430">
        <v>0</v>
      </c>
      <c r="AB88" s="431"/>
      <c r="AC88" s="51"/>
      <c r="AD88" s="144"/>
      <c r="AE88" s="432"/>
      <c r="AF88" s="430">
        <v>0</v>
      </c>
      <c r="AG88" s="431"/>
      <c r="AH88" s="51"/>
      <c r="AI88" s="144"/>
      <c r="AJ88" s="432"/>
      <c r="AK88" s="430">
        <v>0</v>
      </c>
      <c r="AL88" s="431"/>
      <c r="AM88" s="51"/>
      <c r="AN88" s="144"/>
      <c r="AO88" s="432"/>
      <c r="AP88" s="430">
        <v>0</v>
      </c>
      <c r="AQ88" s="431"/>
      <c r="AR88" s="51"/>
      <c r="AS88" s="144"/>
      <c r="AT88" s="432"/>
      <c r="AU88" s="430">
        <v>0</v>
      </c>
      <c r="AV88" s="431"/>
      <c r="AW88" s="51"/>
      <c r="AX88" s="144"/>
      <c r="AY88" s="432"/>
      <c r="AZ88" s="430">
        <v>0</v>
      </c>
      <c r="BA88" s="431"/>
      <c r="BB88" s="51"/>
      <c r="BC88" s="144"/>
      <c r="BD88" s="432"/>
      <c r="BE88" s="430">
        <v>0</v>
      </c>
      <c r="BF88" s="431"/>
      <c r="BG88" s="51"/>
      <c r="BH88" s="144"/>
      <c r="BI88" s="432"/>
      <c r="BJ88" s="430">
        <v>0</v>
      </c>
      <c r="BK88" s="431"/>
      <c r="BL88" s="51"/>
      <c r="BM88" s="144"/>
      <c r="BN88" s="432"/>
      <c r="BO88" s="430">
        <v>0</v>
      </c>
      <c r="BP88" s="431"/>
      <c r="BQ88" s="51"/>
      <c r="BR88" s="144"/>
      <c r="BS88" s="432"/>
      <c r="BT88" s="430">
        <f>SUM(L88:BO88)</f>
        <v>0</v>
      </c>
      <c r="BU88" s="431"/>
      <c r="BV88" s="51"/>
      <c r="BW88" s="144"/>
      <c r="BX88" s="432"/>
      <c r="BY88" s="430">
        <v>0</v>
      </c>
      <c r="BZ88" s="431"/>
      <c r="CA88" s="51"/>
      <c r="CB88" s="144"/>
      <c r="CC88" s="432"/>
      <c r="CD88" s="430">
        <v>0</v>
      </c>
      <c r="CE88" s="431"/>
      <c r="CF88" s="51"/>
      <c r="CG88" s="144"/>
      <c r="CH88" s="432"/>
      <c r="CI88" s="430">
        <v>0</v>
      </c>
      <c r="CJ88" s="431"/>
      <c r="CK88" s="51"/>
      <c r="CL88" s="144"/>
      <c r="CM88" s="432"/>
      <c r="CN88" s="430">
        <v>0</v>
      </c>
      <c r="CO88" s="431"/>
      <c r="CP88" s="51"/>
      <c r="CQ88" s="144"/>
      <c r="CR88" s="432"/>
      <c r="CS88" s="430">
        <v>0</v>
      </c>
      <c r="CT88" s="431"/>
      <c r="CU88" s="51"/>
      <c r="CV88" s="144"/>
      <c r="CW88" s="432"/>
      <c r="CX88" s="430">
        <v>0</v>
      </c>
      <c r="CY88" s="431"/>
      <c r="CZ88" s="51"/>
      <c r="DA88" s="144"/>
      <c r="DB88" s="432"/>
      <c r="DC88" s="430">
        <v>0</v>
      </c>
      <c r="DD88" s="431"/>
      <c r="DE88" s="51"/>
      <c r="DF88" s="144"/>
      <c r="DG88" s="432"/>
      <c r="DH88" s="430">
        <v>0</v>
      </c>
      <c r="DI88" s="431"/>
      <c r="DJ88" s="51"/>
      <c r="DK88" s="144"/>
      <c r="DL88" s="432"/>
      <c r="DM88" s="430">
        <v>0</v>
      </c>
      <c r="DN88" s="431"/>
      <c r="DO88" s="51"/>
      <c r="DP88" s="144"/>
      <c r="DQ88" s="432"/>
      <c r="DR88" s="430">
        <v>0</v>
      </c>
      <c r="DS88" s="431"/>
      <c r="DT88" s="51"/>
      <c r="DU88" s="144"/>
      <c r="DV88" s="432"/>
      <c r="DW88" s="430">
        <v>0</v>
      </c>
      <c r="DX88" s="431"/>
      <c r="DY88" s="51"/>
      <c r="DZ88" s="144"/>
      <c r="EA88" s="432"/>
      <c r="EB88" s="430">
        <v>0</v>
      </c>
      <c r="EC88" s="431"/>
      <c r="ED88" s="51"/>
      <c r="EE88" s="144"/>
      <c r="EF88" s="432"/>
      <c r="EG88" s="430">
        <v>0</v>
      </c>
      <c r="EH88" s="431"/>
      <c r="EI88" s="51"/>
      <c r="EJ88" s="144"/>
      <c r="EK88" s="432"/>
      <c r="EL88" s="430">
        <f>SUM(CD88:CD88)</f>
        <v>0</v>
      </c>
      <c r="EM88" s="431"/>
      <c r="EN88" s="51"/>
      <c r="EO88" s="340"/>
      <c r="ER88" s="39"/>
      <c r="ES88" s="39"/>
    </row>
    <row r="89" spans="1:149" ht="12.75" hidden="1" customHeight="1" x14ac:dyDescent="0.2">
      <c r="A89" s="317"/>
      <c r="B89" s="317"/>
      <c r="D89" s="443" t="s">
        <v>186</v>
      </c>
      <c r="E89" s="144"/>
      <c r="F89" s="347"/>
      <c r="G89" s="51">
        <v>0</v>
      </c>
      <c r="H89" s="50"/>
      <c r="I89" s="51"/>
      <c r="J89" s="144"/>
      <c r="K89" s="144"/>
      <c r="L89" s="51">
        <v>0</v>
      </c>
      <c r="M89" s="50"/>
      <c r="N89" s="51"/>
      <c r="O89" s="144"/>
      <c r="P89" s="144"/>
      <c r="Q89" s="51">
        <v>0</v>
      </c>
      <c r="R89" s="50"/>
      <c r="S89" s="51"/>
      <c r="T89" s="144"/>
      <c r="U89" s="144"/>
      <c r="V89" s="51">
        <v>0</v>
      </c>
      <c r="W89" s="50"/>
      <c r="X89" s="51"/>
      <c r="Y89" s="144"/>
      <c r="Z89" s="144"/>
      <c r="AA89" s="51">
        <v>0</v>
      </c>
      <c r="AB89" s="50"/>
      <c r="AC89" s="51"/>
      <c r="AD89" s="144"/>
      <c r="AE89" s="144"/>
      <c r="AF89" s="51">
        <v>0</v>
      </c>
      <c r="AG89" s="50"/>
      <c r="AH89" s="51"/>
      <c r="AI89" s="144"/>
      <c r="AJ89" s="144"/>
      <c r="AK89" s="51">
        <v>0</v>
      </c>
      <c r="AL89" s="50"/>
      <c r="AM89" s="51"/>
      <c r="AN89" s="144"/>
      <c r="AO89" s="144"/>
      <c r="AP89" s="51">
        <v>0</v>
      </c>
      <c r="AQ89" s="50"/>
      <c r="AR89" s="51"/>
      <c r="AS89" s="144"/>
      <c r="AT89" s="144"/>
      <c r="AU89" s="51">
        <v>0</v>
      </c>
      <c r="AV89" s="50"/>
      <c r="AW89" s="51"/>
      <c r="AX89" s="144"/>
      <c r="AY89" s="144"/>
      <c r="AZ89" s="51">
        <v>0</v>
      </c>
      <c r="BA89" s="50"/>
      <c r="BB89" s="51"/>
      <c r="BC89" s="144"/>
      <c r="BD89" s="144"/>
      <c r="BE89" s="51">
        <v>0</v>
      </c>
      <c r="BF89" s="50"/>
      <c r="BG89" s="51"/>
      <c r="BH89" s="144"/>
      <c r="BI89" s="144"/>
      <c r="BJ89" s="51">
        <v>0</v>
      </c>
      <c r="BK89" s="50"/>
      <c r="BL89" s="51"/>
      <c r="BM89" s="144"/>
      <c r="BN89" s="144"/>
      <c r="BO89" s="51">
        <v>0</v>
      </c>
      <c r="BP89" s="50"/>
      <c r="BQ89" s="51"/>
      <c r="BR89" s="144"/>
      <c r="BS89" s="144"/>
      <c r="BT89" s="51">
        <f>SUM(L89:BO89)</f>
        <v>0</v>
      </c>
      <c r="BU89" s="50"/>
      <c r="BV89" s="51"/>
      <c r="BW89" s="144"/>
      <c r="BX89" s="144"/>
      <c r="BY89" s="51">
        <v>0</v>
      </c>
      <c r="BZ89" s="50"/>
      <c r="CA89" s="51"/>
      <c r="CB89" s="144"/>
      <c r="CC89" s="144"/>
      <c r="CD89" s="51">
        <v>0</v>
      </c>
      <c r="CE89" s="50"/>
      <c r="CF89" s="51"/>
      <c r="CG89" s="144"/>
      <c r="CH89" s="144"/>
      <c r="CI89" s="51">
        <v>0</v>
      </c>
      <c r="CJ89" s="50"/>
      <c r="CK89" s="51"/>
      <c r="CL89" s="144"/>
      <c r="CM89" s="144"/>
      <c r="CN89" s="51">
        <v>0</v>
      </c>
      <c r="CO89" s="50"/>
      <c r="CP89" s="51"/>
      <c r="CQ89" s="144"/>
      <c r="CR89" s="144"/>
      <c r="CS89" s="51">
        <v>0</v>
      </c>
      <c r="CT89" s="50"/>
      <c r="CU89" s="51"/>
      <c r="CV89" s="144"/>
      <c r="CW89" s="144"/>
      <c r="CX89" s="51">
        <v>0</v>
      </c>
      <c r="CY89" s="50"/>
      <c r="CZ89" s="51"/>
      <c r="DA89" s="144"/>
      <c r="DB89" s="144"/>
      <c r="DC89" s="51">
        <v>0</v>
      </c>
      <c r="DD89" s="50"/>
      <c r="DE89" s="51"/>
      <c r="DF89" s="144"/>
      <c r="DG89" s="144"/>
      <c r="DH89" s="51">
        <v>0</v>
      </c>
      <c r="DI89" s="50"/>
      <c r="DJ89" s="51"/>
      <c r="DK89" s="144"/>
      <c r="DL89" s="144"/>
      <c r="DM89" s="51">
        <v>0</v>
      </c>
      <c r="DN89" s="50"/>
      <c r="DO89" s="51"/>
      <c r="DP89" s="144"/>
      <c r="DQ89" s="144"/>
      <c r="DR89" s="51">
        <v>0</v>
      </c>
      <c r="DS89" s="50"/>
      <c r="DT89" s="51"/>
      <c r="DU89" s="144"/>
      <c r="DV89" s="144"/>
      <c r="DW89" s="51">
        <v>0</v>
      </c>
      <c r="DX89" s="50"/>
      <c r="DY89" s="51"/>
      <c r="DZ89" s="144"/>
      <c r="EA89" s="144"/>
      <c r="EB89" s="51">
        <v>0</v>
      </c>
      <c r="EC89" s="50"/>
      <c r="ED89" s="51"/>
      <c r="EE89" s="144"/>
      <c r="EF89" s="144"/>
      <c r="EG89" s="51">
        <v>0</v>
      </c>
      <c r="EH89" s="50"/>
      <c r="EI89" s="51"/>
      <c r="EJ89" s="144"/>
      <c r="EK89" s="144"/>
      <c r="EL89" s="51">
        <f>SUM(CD89:CD89)</f>
        <v>0</v>
      </c>
      <c r="EM89" s="50"/>
      <c r="EN89" s="51"/>
      <c r="EO89" s="340"/>
      <c r="ER89" s="39"/>
      <c r="ES89" s="39"/>
    </row>
    <row r="90" spans="1:149" ht="12.75" hidden="1" customHeight="1" x14ac:dyDescent="0.2">
      <c r="A90" s="317"/>
      <c r="B90" s="317"/>
      <c r="D90" s="340" t="s">
        <v>187</v>
      </c>
      <c r="E90" s="144"/>
      <c r="F90" s="347"/>
      <c r="G90" s="51">
        <v>0</v>
      </c>
      <c r="H90" s="50"/>
      <c r="I90" s="51"/>
      <c r="J90" s="144"/>
      <c r="K90" s="144"/>
      <c r="L90" s="51">
        <v>0</v>
      </c>
      <c r="M90" s="50"/>
      <c r="N90" s="51"/>
      <c r="O90" s="144"/>
      <c r="P90" s="144"/>
      <c r="Q90" s="51">
        <v>0</v>
      </c>
      <c r="R90" s="50"/>
      <c r="S90" s="51"/>
      <c r="T90" s="144"/>
      <c r="U90" s="144"/>
      <c r="V90" s="51">
        <v>0</v>
      </c>
      <c r="W90" s="50"/>
      <c r="X90" s="51"/>
      <c r="Y90" s="144"/>
      <c r="Z90" s="144"/>
      <c r="AA90" s="51">
        <v>0</v>
      </c>
      <c r="AB90" s="50"/>
      <c r="AC90" s="51"/>
      <c r="AD90" s="144"/>
      <c r="AE90" s="144"/>
      <c r="AF90" s="51">
        <v>0</v>
      </c>
      <c r="AG90" s="50"/>
      <c r="AH90" s="51"/>
      <c r="AI90" s="144"/>
      <c r="AJ90" s="144"/>
      <c r="AK90" s="51">
        <v>0</v>
      </c>
      <c r="AL90" s="50"/>
      <c r="AM90" s="51"/>
      <c r="AN90" s="144"/>
      <c r="AO90" s="144"/>
      <c r="AP90" s="51">
        <v>0</v>
      </c>
      <c r="AQ90" s="50"/>
      <c r="AR90" s="51"/>
      <c r="AS90" s="144"/>
      <c r="AT90" s="144"/>
      <c r="AU90" s="51">
        <v>0</v>
      </c>
      <c r="AV90" s="50"/>
      <c r="AW90" s="51"/>
      <c r="AX90" s="144"/>
      <c r="AY90" s="144"/>
      <c r="AZ90" s="51">
        <v>0</v>
      </c>
      <c r="BA90" s="50"/>
      <c r="BB90" s="51"/>
      <c r="BC90" s="144"/>
      <c r="BD90" s="144"/>
      <c r="BE90" s="51">
        <v>0</v>
      </c>
      <c r="BF90" s="50"/>
      <c r="BG90" s="51"/>
      <c r="BH90" s="144"/>
      <c r="BI90" s="144"/>
      <c r="BJ90" s="51">
        <v>0</v>
      </c>
      <c r="BK90" s="50"/>
      <c r="BL90" s="51"/>
      <c r="BM90" s="144"/>
      <c r="BN90" s="144"/>
      <c r="BO90" s="51">
        <v>0</v>
      </c>
      <c r="BP90" s="50"/>
      <c r="BQ90" s="51"/>
      <c r="BR90" s="144"/>
      <c r="BS90" s="144"/>
      <c r="BT90" s="51">
        <f>SUM(L90:BO90)</f>
        <v>0</v>
      </c>
      <c r="BU90" s="50"/>
      <c r="BV90" s="51"/>
      <c r="BW90" s="144"/>
      <c r="BX90" s="144"/>
      <c r="BY90" s="51">
        <v>0</v>
      </c>
      <c r="BZ90" s="50"/>
      <c r="CA90" s="51"/>
      <c r="CB90" s="144"/>
      <c r="CC90" s="144"/>
      <c r="CD90" s="51">
        <v>0</v>
      </c>
      <c r="CE90" s="50"/>
      <c r="CF90" s="51"/>
      <c r="CG90" s="144"/>
      <c r="CH90" s="144"/>
      <c r="CI90" s="51">
        <v>0</v>
      </c>
      <c r="CJ90" s="50"/>
      <c r="CK90" s="51"/>
      <c r="CL90" s="144"/>
      <c r="CM90" s="144"/>
      <c r="CN90" s="51">
        <v>0</v>
      </c>
      <c r="CO90" s="50"/>
      <c r="CP90" s="51"/>
      <c r="CQ90" s="144"/>
      <c r="CR90" s="144"/>
      <c r="CS90" s="51">
        <v>0</v>
      </c>
      <c r="CT90" s="50"/>
      <c r="CU90" s="51"/>
      <c r="CV90" s="144"/>
      <c r="CW90" s="144"/>
      <c r="CX90" s="51">
        <v>0</v>
      </c>
      <c r="CY90" s="50"/>
      <c r="CZ90" s="51"/>
      <c r="DA90" s="144"/>
      <c r="DB90" s="144"/>
      <c r="DC90" s="51">
        <v>0</v>
      </c>
      <c r="DD90" s="50"/>
      <c r="DE90" s="51"/>
      <c r="DF90" s="144"/>
      <c r="DG90" s="144"/>
      <c r="DH90" s="51">
        <v>0</v>
      </c>
      <c r="DI90" s="50"/>
      <c r="DJ90" s="51"/>
      <c r="DK90" s="144"/>
      <c r="DL90" s="144"/>
      <c r="DM90" s="51">
        <v>0</v>
      </c>
      <c r="DN90" s="50"/>
      <c r="DO90" s="51"/>
      <c r="DP90" s="144"/>
      <c r="DQ90" s="144"/>
      <c r="DR90" s="51">
        <v>0</v>
      </c>
      <c r="DS90" s="50"/>
      <c r="DT90" s="51"/>
      <c r="DU90" s="144"/>
      <c r="DV90" s="144"/>
      <c r="DW90" s="51">
        <v>0</v>
      </c>
      <c r="DX90" s="50"/>
      <c r="DY90" s="51"/>
      <c r="DZ90" s="144"/>
      <c r="EA90" s="144"/>
      <c r="EB90" s="51">
        <v>0</v>
      </c>
      <c r="EC90" s="50"/>
      <c r="ED90" s="51"/>
      <c r="EE90" s="144"/>
      <c r="EF90" s="144"/>
      <c r="EG90" s="51">
        <v>0</v>
      </c>
      <c r="EH90" s="50"/>
      <c r="EI90" s="51"/>
      <c r="EJ90" s="144"/>
      <c r="EK90" s="144"/>
      <c r="EL90" s="51">
        <f>SUM(CD90:CD90)</f>
        <v>0</v>
      </c>
      <c r="EM90" s="50"/>
      <c r="EN90" s="51"/>
      <c r="EO90" s="340"/>
      <c r="ER90" s="39"/>
      <c r="ES90" s="39"/>
    </row>
    <row r="91" spans="1:149" ht="12.75" hidden="1" customHeight="1" x14ac:dyDescent="0.2">
      <c r="A91" s="317"/>
      <c r="B91" s="317"/>
      <c r="D91" s="340" t="s">
        <v>188</v>
      </c>
      <c r="E91" s="144"/>
      <c r="F91" s="371"/>
      <c r="G91" s="95">
        <v>0</v>
      </c>
      <c r="H91" s="94"/>
      <c r="I91" s="51"/>
      <c r="J91" s="144"/>
      <c r="K91" s="187"/>
      <c r="L91" s="95">
        <v>0</v>
      </c>
      <c r="M91" s="94"/>
      <c r="N91" s="51"/>
      <c r="O91" s="144"/>
      <c r="P91" s="187"/>
      <c r="Q91" s="95">
        <v>0</v>
      </c>
      <c r="R91" s="94"/>
      <c r="S91" s="51"/>
      <c r="T91" s="144"/>
      <c r="U91" s="187"/>
      <c r="V91" s="95">
        <v>0</v>
      </c>
      <c r="W91" s="94"/>
      <c r="X91" s="51"/>
      <c r="Y91" s="144"/>
      <c r="Z91" s="187"/>
      <c r="AA91" s="95">
        <v>0</v>
      </c>
      <c r="AB91" s="94"/>
      <c r="AC91" s="51"/>
      <c r="AD91" s="144"/>
      <c r="AE91" s="187"/>
      <c r="AF91" s="95">
        <v>0</v>
      </c>
      <c r="AG91" s="94"/>
      <c r="AH91" s="51"/>
      <c r="AI91" s="144"/>
      <c r="AJ91" s="187"/>
      <c r="AK91" s="95">
        <v>0</v>
      </c>
      <c r="AL91" s="94"/>
      <c r="AM91" s="51"/>
      <c r="AN91" s="144"/>
      <c r="AO91" s="187"/>
      <c r="AP91" s="95">
        <v>0</v>
      </c>
      <c r="AQ91" s="94"/>
      <c r="AR91" s="51"/>
      <c r="AS91" s="144"/>
      <c r="AT91" s="187"/>
      <c r="AU91" s="95">
        <v>0</v>
      </c>
      <c r="AV91" s="94"/>
      <c r="AW91" s="51"/>
      <c r="AX91" s="144"/>
      <c r="AY91" s="187"/>
      <c r="AZ91" s="95">
        <v>0</v>
      </c>
      <c r="BA91" s="94"/>
      <c r="BB91" s="51"/>
      <c r="BC91" s="144"/>
      <c r="BD91" s="187"/>
      <c r="BE91" s="95">
        <v>0</v>
      </c>
      <c r="BF91" s="94"/>
      <c r="BG91" s="51"/>
      <c r="BH91" s="144"/>
      <c r="BI91" s="187"/>
      <c r="BJ91" s="95">
        <v>0</v>
      </c>
      <c r="BK91" s="94"/>
      <c r="BL91" s="51"/>
      <c r="BM91" s="144"/>
      <c r="BN91" s="187"/>
      <c r="BO91" s="95">
        <v>0</v>
      </c>
      <c r="BP91" s="94"/>
      <c r="BQ91" s="51"/>
      <c r="BR91" s="144"/>
      <c r="BS91" s="187"/>
      <c r="BT91" s="95">
        <f>SUM(L91:BO91)</f>
        <v>0</v>
      </c>
      <c r="BU91" s="94"/>
      <c r="BV91" s="51"/>
      <c r="BW91" s="144"/>
      <c r="BX91" s="187"/>
      <c r="BY91" s="95">
        <v>0</v>
      </c>
      <c r="BZ91" s="94"/>
      <c r="CA91" s="51"/>
      <c r="CB91" s="144"/>
      <c r="CC91" s="187"/>
      <c r="CD91" s="95">
        <v>0</v>
      </c>
      <c r="CE91" s="94"/>
      <c r="CF91" s="51"/>
      <c r="CG91" s="144"/>
      <c r="CH91" s="187"/>
      <c r="CI91" s="95">
        <v>0</v>
      </c>
      <c r="CJ91" s="94"/>
      <c r="CK91" s="51"/>
      <c r="CL91" s="144"/>
      <c r="CM91" s="187"/>
      <c r="CN91" s="95">
        <v>0</v>
      </c>
      <c r="CO91" s="94"/>
      <c r="CP91" s="51"/>
      <c r="CQ91" s="144"/>
      <c r="CR91" s="187"/>
      <c r="CS91" s="95">
        <v>0</v>
      </c>
      <c r="CT91" s="94"/>
      <c r="CU91" s="51"/>
      <c r="CV91" s="144"/>
      <c r="CW91" s="187"/>
      <c r="CX91" s="95">
        <v>0</v>
      </c>
      <c r="CY91" s="94"/>
      <c r="CZ91" s="51"/>
      <c r="DA91" s="144"/>
      <c r="DB91" s="187"/>
      <c r="DC91" s="95">
        <v>0</v>
      </c>
      <c r="DD91" s="94"/>
      <c r="DE91" s="51"/>
      <c r="DF91" s="144"/>
      <c r="DG91" s="187"/>
      <c r="DH91" s="95">
        <v>0</v>
      </c>
      <c r="DI91" s="94"/>
      <c r="DJ91" s="51"/>
      <c r="DK91" s="144"/>
      <c r="DL91" s="187"/>
      <c r="DM91" s="95">
        <v>0</v>
      </c>
      <c r="DN91" s="94"/>
      <c r="DO91" s="51"/>
      <c r="DP91" s="144"/>
      <c r="DQ91" s="187"/>
      <c r="DR91" s="95">
        <v>0</v>
      </c>
      <c r="DS91" s="94"/>
      <c r="DT91" s="51"/>
      <c r="DU91" s="144"/>
      <c r="DV91" s="187"/>
      <c r="DW91" s="95">
        <v>0</v>
      </c>
      <c r="DX91" s="94"/>
      <c r="DY91" s="51"/>
      <c r="DZ91" s="144"/>
      <c r="EA91" s="187"/>
      <c r="EB91" s="95">
        <v>0</v>
      </c>
      <c r="EC91" s="94"/>
      <c r="ED91" s="51"/>
      <c r="EE91" s="144"/>
      <c r="EF91" s="187"/>
      <c r="EG91" s="95">
        <v>0</v>
      </c>
      <c r="EH91" s="94"/>
      <c r="EI91" s="51"/>
      <c r="EJ91" s="144"/>
      <c r="EK91" s="187"/>
      <c r="EL91" s="95">
        <f>SUM(CD91:CD91)</f>
        <v>0</v>
      </c>
      <c r="EM91" s="94"/>
      <c r="EN91" s="51"/>
      <c r="EO91" s="340"/>
      <c r="ER91" s="39"/>
      <c r="ES91" s="39"/>
    </row>
    <row r="92" spans="1:149" ht="12.75" hidden="1" customHeight="1" x14ac:dyDescent="0.2">
      <c r="A92" s="317"/>
      <c r="B92" s="317"/>
      <c r="D92" s="340"/>
      <c r="E92" s="144"/>
      <c r="F92" s="317"/>
      <c r="G92" s="51"/>
      <c r="H92" s="51"/>
      <c r="I92" s="51"/>
      <c r="J92" s="144"/>
      <c r="K92" s="51"/>
      <c r="L92" s="51"/>
      <c r="M92" s="51"/>
      <c r="N92" s="51"/>
      <c r="O92" s="144"/>
      <c r="P92" s="51"/>
      <c r="Q92" s="51"/>
      <c r="R92" s="51"/>
      <c r="S92" s="51"/>
      <c r="T92" s="144"/>
      <c r="U92" s="51"/>
      <c r="V92" s="51"/>
      <c r="W92" s="51"/>
      <c r="X92" s="51"/>
      <c r="Y92" s="144"/>
      <c r="Z92" s="51"/>
      <c r="AA92" s="51"/>
      <c r="AB92" s="51"/>
      <c r="AC92" s="51"/>
      <c r="AD92" s="144"/>
      <c r="AE92" s="51"/>
      <c r="AF92" s="51"/>
      <c r="AG92" s="51"/>
      <c r="AH92" s="51"/>
      <c r="AI92" s="144"/>
      <c r="AJ92" s="51"/>
      <c r="AK92" s="51"/>
      <c r="AL92" s="51"/>
      <c r="AM92" s="51"/>
      <c r="AN92" s="144"/>
      <c r="AO92" s="51"/>
      <c r="AP92" s="51"/>
      <c r="AQ92" s="51"/>
      <c r="AR92" s="51"/>
      <c r="AS92" s="144"/>
      <c r="AT92" s="51"/>
      <c r="AU92" s="51"/>
      <c r="AV92" s="51"/>
      <c r="AW92" s="51"/>
      <c r="AX92" s="144"/>
      <c r="AY92" s="51"/>
      <c r="AZ92" s="51"/>
      <c r="BA92" s="51"/>
      <c r="BB92" s="51"/>
      <c r="BC92" s="144"/>
      <c r="BD92" s="51"/>
      <c r="BE92" s="51"/>
      <c r="BF92" s="51"/>
      <c r="BG92" s="51"/>
      <c r="BH92" s="144"/>
      <c r="BI92" s="51"/>
      <c r="BJ92" s="51"/>
      <c r="BK92" s="51"/>
      <c r="BL92" s="51"/>
      <c r="BM92" s="144"/>
      <c r="BN92" s="51"/>
      <c r="BO92" s="51"/>
      <c r="BP92" s="51"/>
      <c r="BQ92" s="51"/>
      <c r="BR92" s="144"/>
      <c r="BS92" s="51"/>
      <c r="BT92" s="51"/>
      <c r="BU92" s="51"/>
      <c r="BV92" s="51"/>
      <c r="BW92" s="144"/>
      <c r="BX92" s="51"/>
      <c r="BY92" s="51"/>
      <c r="BZ92" s="51"/>
      <c r="CA92" s="51"/>
      <c r="CB92" s="144"/>
      <c r="CC92" s="51"/>
      <c r="CD92" s="51"/>
      <c r="CE92" s="51"/>
      <c r="CF92" s="51"/>
      <c r="CG92" s="144"/>
      <c r="CH92" s="51"/>
      <c r="CI92" s="51"/>
      <c r="CJ92" s="51"/>
      <c r="CK92" s="51"/>
      <c r="CL92" s="144"/>
      <c r="CM92" s="51"/>
      <c r="CN92" s="51"/>
      <c r="CO92" s="51"/>
      <c r="CP92" s="51"/>
      <c r="CQ92" s="144"/>
      <c r="CR92" s="51"/>
      <c r="CS92" s="51"/>
      <c r="CT92" s="51"/>
      <c r="CU92" s="51"/>
      <c r="CV92" s="144"/>
      <c r="CW92" s="51"/>
      <c r="CX92" s="51"/>
      <c r="CY92" s="51"/>
      <c r="CZ92" s="51"/>
      <c r="DA92" s="144"/>
      <c r="DB92" s="51"/>
      <c r="DC92" s="51"/>
      <c r="DD92" s="51"/>
      <c r="DE92" s="51"/>
      <c r="DF92" s="144"/>
      <c r="DG92" s="51"/>
      <c r="DH92" s="51"/>
      <c r="DI92" s="51"/>
      <c r="DJ92" s="51"/>
      <c r="DK92" s="144"/>
      <c r="DL92" s="51"/>
      <c r="DM92" s="51"/>
      <c r="DN92" s="51"/>
      <c r="DO92" s="51"/>
      <c r="DP92" s="144"/>
      <c r="DQ92" s="51"/>
      <c r="DR92" s="51"/>
      <c r="DS92" s="51"/>
      <c r="DT92" s="51"/>
      <c r="DU92" s="144"/>
      <c r="DV92" s="51"/>
      <c r="DW92" s="51"/>
      <c r="DX92" s="51"/>
      <c r="DY92" s="51"/>
      <c r="DZ92" s="144"/>
      <c r="EA92" s="51"/>
      <c r="EB92" s="51"/>
      <c r="EC92" s="51"/>
      <c r="ED92" s="51"/>
      <c r="EE92" s="144"/>
      <c r="EF92" s="51"/>
      <c r="EG92" s="51"/>
      <c r="EH92" s="51"/>
      <c r="EI92" s="51"/>
      <c r="EJ92" s="144"/>
      <c r="EK92" s="51"/>
      <c r="EL92" s="51"/>
      <c r="EM92" s="51"/>
      <c r="EN92" s="51"/>
      <c r="EO92" s="340"/>
      <c r="ER92" s="39"/>
      <c r="ES92" s="39"/>
    </row>
    <row r="93" spans="1:149" ht="12.75" customHeight="1" x14ac:dyDescent="0.2">
      <c r="A93" s="317"/>
      <c r="B93" s="317"/>
      <c r="D93" s="348" t="s">
        <v>198</v>
      </c>
      <c r="E93" s="144"/>
      <c r="F93" s="317"/>
      <c r="G93" s="51"/>
      <c r="H93" s="51"/>
      <c r="I93" s="51"/>
      <c r="J93" s="144"/>
      <c r="K93" s="51"/>
      <c r="L93" s="51"/>
      <c r="M93" s="51"/>
      <c r="N93" s="51"/>
      <c r="O93" s="144"/>
      <c r="P93" s="51"/>
      <c r="Q93" s="51"/>
      <c r="R93" s="51"/>
      <c r="S93" s="51"/>
      <c r="T93" s="144"/>
      <c r="U93" s="51"/>
      <c r="V93" s="51"/>
      <c r="W93" s="51"/>
      <c r="X93" s="51"/>
      <c r="Y93" s="144"/>
      <c r="Z93" s="51"/>
      <c r="AA93" s="51"/>
      <c r="AB93" s="51"/>
      <c r="AC93" s="51"/>
      <c r="AD93" s="144"/>
      <c r="AE93" s="51"/>
      <c r="AF93" s="51"/>
      <c r="AG93" s="51"/>
      <c r="AH93" s="51"/>
      <c r="AI93" s="144"/>
      <c r="AJ93" s="51"/>
      <c r="AK93" s="51"/>
      <c r="AL93" s="51"/>
      <c r="AM93" s="51"/>
      <c r="AN93" s="144"/>
      <c r="AO93" s="51"/>
      <c r="AP93" s="51"/>
      <c r="AQ93" s="51"/>
      <c r="AR93" s="51"/>
      <c r="AS93" s="144"/>
      <c r="AT93" s="51"/>
      <c r="AU93" s="51"/>
      <c r="AV93" s="51"/>
      <c r="AW93" s="51"/>
      <c r="AX93" s="144"/>
      <c r="AY93" s="51"/>
      <c r="AZ93" s="51"/>
      <c r="BA93" s="51"/>
      <c r="BB93" s="51"/>
      <c r="BC93" s="144"/>
      <c r="BD93" s="51"/>
      <c r="BE93" s="51"/>
      <c r="BF93" s="51"/>
      <c r="BG93" s="51"/>
      <c r="BH93" s="144"/>
      <c r="BI93" s="51"/>
      <c r="BJ93" s="51"/>
      <c r="BK93" s="51"/>
      <c r="BL93" s="51"/>
      <c r="BM93" s="144"/>
      <c r="BN93" s="51"/>
      <c r="BO93" s="51"/>
      <c r="BP93" s="51"/>
      <c r="BQ93" s="51"/>
      <c r="BR93" s="144"/>
      <c r="BS93" s="51"/>
      <c r="BT93" s="51"/>
      <c r="BU93" s="51"/>
      <c r="BV93" s="51"/>
      <c r="BW93" s="144"/>
      <c r="BX93" s="51"/>
      <c r="BY93" s="51"/>
      <c r="BZ93" s="51"/>
      <c r="CA93" s="51"/>
      <c r="CB93" s="144"/>
      <c r="CC93" s="51"/>
      <c r="CD93" s="51"/>
      <c r="CE93" s="51"/>
      <c r="CF93" s="51"/>
      <c r="CG93" s="144"/>
      <c r="CH93" s="51"/>
      <c r="CI93" s="51"/>
      <c r="CJ93" s="51"/>
      <c r="CK93" s="51"/>
      <c r="CL93" s="144"/>
      <c r="CM93" s="51"/>
      <c r="CN93" s="51"/>
      <c r="CO93" s="51"/>
      <c r="CP93" s="51"/>
      <c r="CQ93" s="144"/>
      <c r="CR93" s="51"/>
      <c r="CS93" s="51"/>
      <c r="CT93" s="51"/>
      <c r="CU93" s="51"/>
      <c r="CV93" s="144"/>
      <c r="CW93" s="51"/>
      <c r="CX93" s="51"/>
      <c r="CY93" s="51"/>
      <c r="CZ93" s="51"/>
      <c r="DA93" s="144"/>
      <c r="DB93" s="51"/>
      <c r="DC93" s="51"/>
      <c r="DD93" s="51"/>
      <c r="DE93" s="51"/>
      <c r="DF93" s="144"/>
      <c r="DG93" s="51"/>
      <c r="DH93" s="51"/>
      <c r="DI93" s="51"/>
      <c r="DJ93" s="51"/>
      <c r="DK93" s="144"/>
      <c r="DL93" s="51"/>
      <c r="DM93" s="51"/>
      <c r="DN93" s="51"/>
      <c r="DO93" s="51"/>
      <c r="DP93" s="144"/>
      <c r="DQ93" s="51"/>
      <c r="DR93" s="51"/>
      <c r="DS93" s="51"/>
      <c r="DT93" s="51"/>
      <c r="DU93" s="144"/>
      <c r="DV93" s="51"/>
      <c r="DW93" s="51"/>
      <c r="DX93" s="51"/>
      <c r="DY93" s="51"/>
      <c r="DZ93" s="144"/>
      <c r="EA93" s="51"/>
      <c r="EB93" s="51"/>
      <c r="EC93" s="51"/>
      <c r="ED93" s="51"/>
      <c r="EE93" s="144"/>
      <c r="EF93" s="51"/>
      <c r="EG93" s="51"/>
      <c r="EH93" s="51"/>
      <c r="EI93" s="51"/>
      <c r="EJ93" s="144"/>
      <c r="EK93" s="51"/>
      <c r="EL93" s="51"/>
      <c r="EM93" s="51"/>
      <c r="EN93" s="51"/>
      <c r="EO93" s="340"/>
      <c r="ER93" s="39"/>
      <c r="ES93" s="39"/>
    </row>
    <row r="94" spans="1:149" ht="12.75" customHeight="1" x14ac:dyDescent="0.2">
      <c r="A94" s="317"/>
      <c r="B94" s="317"/>
      <c r="D94" s="340" t="s">
        <v>199</v>
      </c>
      <c r="E94" s="144"/>
      <c r="F94" s="317"/>
      <c r="G94" s="51">
        <f>SUM(G95:G97)</f>
        <v>0</v>
      </c>
      <c r="H94" s="51"/>
      <c r="I94" s="51"/>
      <c r="J94" s="144"/>
      <c r="K94" s="51"/>
      <c r="L94" s="51">
        <f>SUM(L95:L97)</f>
        <v>0</v>
      </c>
      <c r="M94" s="51"/>
      <c r="N94" s="51"/>
      <c r="O94" s="144"/>
      <c r="P94" s="51"/>
      <c r="Q94" s="51">
        <f>SUM(Q95:Q97)</f>
        <v>0</v>
      </c>
      <c r="R94" s="51"/>
      <c r="S94" s="51"/>
      <c r="T94" s="144"/>
      <c r="U94" s="51"/>
      <c r="V94" s="51">
        <f>SUM(V95:V97)</f>
        <v>0</v>
      </c>
      <c r="W94" s="51"/>
      <c r="X94" s="51"/>
      <c r="Y94" s="144"/>
      <c r="Z94" s="51"/>
      <c r="AA94" s="51">
        <f>SUM(AA95:AA97)</f>
        <v>0</v>
      </c>
      <c r="AB94" s="51"/>
      <c r="AC94" s="51"/>
      <c r="AD94" s="144"/>
      <c r="AE94" s="51"/>
      <c r="AF94" s="51">
        <f>SUM(AF95:AF97)</f>
        <v>0</v>
      </c>
      <c r="AG94" s="51"/>
      <c r="AH94" s="51"/>
      <c r="AI94" s="144"/>
      <c r="AJ94" s="51"/>
      <c r="AK94" s="51">
        <f>SUM(AK95:AK97)</f>
        <v>0</v>
      </c>
      <c r="AL94" s="51"/>
      <c r="AM94" s="51"/>
      <c r="AN94" s="144"/>
      <c r="AO94" s="51"/>
      <c r="AP94" s="51">
        <f>SUM(AP95:AP97)</f>
        <v>0</v>
      </c>
      <c r="AQ94" s="51"/>
      <c r="AR94" s="51"/>
      <c r="AS94" s="144"/>
      <c r="AT94" s="51"/>
      <c r="AU94" s="51">
        <f>SUM(AU95:AU97)</f>
        <v>0</v>
      </c>
      <c r="AV94" s="51"/>
      <c r="AW94" s="51"/>
      <c r="AX94" s="144"/>
      <c r="AY94" s="51"/>
      <c r="AZ94" s="51">
        <f>SUM(AZ95:AZ97)</f>
        <v>0</v>
      </c>
      <c r="BA94" s="51"/>
      <c r="BB94" s="51"/>
      <c r="BC94" s="144"/>
      <c r="BD94" s="51"/>
      <c r="BE94" s="51">
        <f>SUM(BE95:BE97)</f>
        <v>0</v>
      </c>
      <c r="BF94" s="51"/>
      <c r="BG94" s="51"/>
      <c r="BH94" s="144"/>
      <c r="BI94" s="51"/>
      <c r="BJ94" s="51">
        <f>SUM(BJ95:BJ97)</f>
        <v>0</v>
      </c>
      <c r="BK94" s="51"/>
      <c r="BL94" s="51"/>
      <c r="BM94" s="144"/>
      <c r="BN94" s="51"/>
      <c r="BO94" s="51">
        <f>SUM(BO95:BO97)</f>
        <v>0</v>
      </c>
      <c r="BP94" s="51"/>
      <c r="BQ94" s="51"/>
      <c r="BR94" s="144"/>
      <c r="BS94" s="51"/>
      <c r="BT94" s="51">
        <f>SUM(BT95:BT97)</f>
        <v>0</v>
      </c>
      <c r="BU94" s="51"/>
      <c r="BV94" s="51"/>
      <c r="BW94" s="144"/>
      <c r="BX94" s="51"/>
      <c r="BY94" s="51">
        <f>SUM(BY95:BY97)</f>
        <v>13019268</v>
      </c>
      <c r="BZ94" s="51"/>
      <c r="CA94" s="51"/>
      <c r="CB94" s="144"/>
      <c r="CC94" s="51"/>
      <c r="CD94" s="51">
        <f>SUM(CD95:CD97)</f>
        <v>3621</v>
      </c>
      <c r="CE94" s="51"/>
      <c r="CF94" s="51"/>
      <c r="CG94" s="144"/>
      <c r="CH94" s="51"/>
      <c r="CI94" s="51">
        <f>SUM(CI95:CI97)</f>
        <v>1300994</v>
      </c>
      <c r="CJ94" s="51"/>
      <c r="CK94" s="51"/>
      <c r="CL94" s="144"/>
      <c r="CM94" s="51"/>
      <c r="CN94" s="51">
        <f>SUM(CN95:CN97)</f>
        <v>0</v>
      </c>
      <c r="CO94" s="51"/>
      <c r="CP94" s="51"/>
      <c r="CQ94" s="144"/>
      <c r="CR94" s="51"/>
      <c r="CS94" s="51">
        <f>SUM(CS95:CS97)</f>
        <v>1300000</v>
      </c>
      <c r="CT94" s="51"/>
      <c r="CU94" s="51"/>
      <c r="CV94" s="144"/>
      <c r="CW94" s="51"/>
      <c r="CX94" s="51">
        <f>SUM(CX95:CX97)</f>
        <v>0</v>
      </c>
      <c r="CY94" s="51"/>
      <c r="CZ94" s="51"/>
      <c r="DA94" s="144"/>
      <c r="DB94" s="51"/>
      <c r="DC94" s="51">
        <f>SUM(DC95:DC97)</f>
        <v>0</v>
      </c>
      <c r="DD94" s="51"/>
      <c r="DE94" s="51"/>
      <c r="DF94" s="144"/>
      <c r="DG94" s="51"/>
      <c r="DH94" s="51">
        <f>SUM(DH95:DH97)</f>
        <v>0</v>
      </c>
      <c r="DI94" s="51"/>
      <c r="DJ94" s="51"/>
      <c r="DK94" s="144"/>
      <c r="DL94" s="51"/>
      <c r="DM94" s="51">
        <f>SUM(DM95:DM97)</f>
        <v>186</v>
      </c>
      <c r="DN94" s="51"/>
      <c r="DO94" s="51"/>
      <c r="DP94" s="144"/>
      <c r="DQ94" s="51"/>
      <c r="DR94" s="51">
        <f>SUM(DR95:DR97)</f>
        <v>0</v>
      </c>
      <c r="DS94" s="51"/>
      <c r="DT94" s="51"/>
      <c r="DU94" s="144"/>
      <c r="DV94" s="51"/>
      <c r="DW94" s="51">
        <f>SUM(DW95:DW97)</f>
        <v>3253715</v>
      </c>
      <c r="DX94" s="51"/>
      <c r="DY94" s="51"/>
      <c r="DZ94" s="144"/>
      <c r="EA94" s="51"/>
      <c r="EB94" s="51">
        <f>SUM(EB95:EB97)</f>
        <v>1953752</v>
      </c>
      <c r="EC94" s="51"/>
      <c r="ED94" s="51"/>
      <c r="EE94" s="144"/>
      <c r="EF94" s="51"/>
      <c r="EG94" s="51">
        <f>SUM(EG95:EG97)</f>
        <v>5207000</v>
      </c>
      <c r="EH94" s="51"/>
      <c r="EI94" s="51"/>
      <c r="EJ94" s="144"/>
      <c r="EK94" s="51"/>
      <c r="EL94" s="51">
        <f>SUM(EL95:EL97)</f>
        <v>2604615</v>
      </c>
      <c r="EM94" s="51"/>
      <c r="EN94" s="51"/>
      <c r="EO94" s="340"/>
      <c r="ER94" s="39"/>
      <c r="ES94" s="39"/>
    </row>
    <row r="95" spans="1:149" ht="12.75" customHeight="1" x14ac:dyDescent="0.2">
      <c r="A95" s="317"/>
      <c r="B95" s="317"/>
      <c r="D95" s="340" t="s">
        <v>183</v>
      </c>
      <c r="E95" s="144"/>
      <c r="F95" s="354"/>
      <c r="G95" s="430">
        <v>0</v>
      </c>
      <c r="H95" s="431"/>
      <c r="I95" s="51"/>
      <c r="J95" s="144"/>
      <c r="K95" s="432"/>
      <c r="L95" s="430">
        <v>0</v>
      </c>
      <c r="M95" s="431"/>
      <c r="N95" s="51"/>
      <c r="O95" s="144"/>
      <c r="P95" s="432"/>
      <c r="Q95" s="430">
        <v>0</v>
      </c>
      <c r="R95" s="431"/>
      <c r="S95" s="51"/>
      <c r="T95" s="144"/>
      <c r="U95" s="354"/>
      <c r="V95" s="430">
        <v>0</v>
      </c>
      <c r="W95" s="431"/>
      <c r="X95" s="51"/>
      <c r="Y95" s="144"/>
      <c r="Z95" s="432"/>
      <c r="AA95" s="430">
        <v>0</v>
      </c>
      <c r="AB95" s="431"/>
      <c r="AC95" s="51"/>
      <c r="AD95" s="144"/>
      <c r="AE95" s="432"/>
      <c r="AF95" s="430">
        <v>0</v>
      </c>
      <c r="AG95" s="431"/>
      <c r="AH95" s="51"/>
      <c r="AI95" s="144"/>
      <c r="AJ95" s="432"/>
      <c r="AK95" s="430">
        <v>0</v>
      </c>
      <c r="AL95" s="431"/>
      <c r="AM95" s="51"/>
      <c r="AN95" s="144"/>
      <c r="AO95" s="432"/>
      <c r="AP95" s="430">
        <v>0</v>
      </c>
      <c r="AQ95" s="431"/>
      <c r="AR95" s="51"/>
      <c r="AS95" s="144"/>
      <c r="AT95" s="432"/>
      <c r="AU95" s="430">
        <v>0</v>
      </c>
      <c r="AV95" s="431"/>
      <c r="AW95" s="51"/>
      <c r="AX95" s="144"/>
      <c r="AY95" s="432"/>
      <c r="AZ95" s="430">
        <v>0</v>
      </c>
      <c r="BA95" s="431"/>
      <c r="BB95" s="51"/>
      <c r="BC95" s="144"/>
      <c r="BD95" s="432"/>
      <c r="BE95" s="430">
        <v>0</v>
      </c>
      <c r="BF95" s="431"/>
      <c r="BG95" s="51"/>
      <c r="BH95" s="144"/>
      <c r="BI95" s="432"/>
      <c r="BJ95" s="430">
        <v>0</v>
      </c>
      <c r="BK95" s="431"/>
      <c r="BL95" s="51"/>
      <c r="BM95" s="144"/>
      <c r="BN95" s="432"/>
      <c r="BO95" s="430">
        <v>0</v>
      </c>
      <c r="BP95" s="431"/>
      <c r="BQ95" s="51"/>
      <c r="BR95" s="144"/>
      <c r="BS95" s="432"/>
      <c r="BT95" s="430">
        <f>SUM(L95:BO95)</f>
        <v>0</v>
      </c>
      <c r="BU95" s="431"/>
      <c r="BV95" s="51"/>
      <c r="BW95" s="144"/>
      <c r="BX95" s="432"/>
      <c r="BY95" s="430">
        <v>14399580</v>
      </c>
      <c r="BZ95" s="431"/>
      <c r="CA95" s="51"/>
      <c r="CB95" s="144"/>
      <c r="CC95" s="432"/>
      <c r="CD95" s="430">
        <f>3621+493</f>
        <v>4114</v>
      </c>
      <c r="CE95" s="431"/>
      <c r="CF95" s="51"/>
      <c r="CG95" s="144"/>
      <c r="CH95" s="432"/>
      <c r="CI95" s="430">
        <f>1300994+193807</f>
        <v>1494801</v>
      </c>
      <c r="CJ95" s="431"/>
      <c r="CK95" s="51"/>
      <c r="CL95" s="144"/>
      <c r="CM95" s="354"/>
      <c r="CN95" s="430">
        <v>0</v>
      </c>
      <c r="CO95" s="431"/>
      <c r="CP95" s="51"/>
      <c r="CQ95" s="144"/>
      <c r="CR95" s="432"/>
      <c r="CS95" s="430">
        <f>1300000+182826</f>
        <v>1482826</v>
      </c>
      <c r="CT95" s="431"/>
      <c r="CU95" s="51"/>
      <c r="CV95" s="144"/>
      <c r="CW95" s="432"/>
      <c r="CX95" s="430">
        <v>0</v>
      </c>
      <c r="CY95" s="431"/>
      <c r="CZ95" s="51"/>
      <c r="DA95" s="144"/>
      <c r="DB95" s="432"/>
      <c r="DC95" s="430">
        <v>0</v>
      </c>
      <c r="DD95" s="431"/>
      <c r="DE95" s="51"/>
      <c r="DF95" s="144"/>
      <c r="DG95" s="432"/>
      <c r="DH95" s="430">
        <v>0</v>
      </c>
      <c r="DI95" s="431"/>
      <c r="DJ95" s="51"/>
      <c r="DK95" s="144"/>
      <c r="DL95" s="432"/>
      <c r="DM95" s="430">
        <f>186+18</f>
        <v>204</v>
      </c>
      <c r="DN95" s="431"/>
      <c r="DO95" s="51"/>
      <c r="DP95" s="144"/>
      <c r="DQ95" s="432"/>
      <c r="DR95" s="430">
        <v>0</v>
      </c>
      <c r="DS95" s="431"/>
      <c r="DT95" s="51"/>
      <c r="DU95" s="144"/>
      <c r="DV95" s="432"/>
      <c r="DW95" s="430">
        <f>3253715+361232</f>
        <v>3614947</v>
      </c>
      <c r="DX95" s="431"/>
      <c r="DY95" s="51"/>
      <c r="DZ95" s="144"/>
      <c r="EA95" s="432"/>
      <c r="EB95" s="430">
        <f>1953752+209896</f>
        <v>2163648</v>
      </c>
      <c r="EC95" s="431"/>
      <c r="ED95" s="51"/>
      <c r="EE95" s="144"/>
      <c r="EF95" s="432"/>
      <c r="EG95" s="430">
        <f>5207000+432040</f>
        <v>5639040</v>
      </c>
      <c r="EH95" s="431"/>
      <c r="EI95" s="51"/>
      <c r="EJ95" s="144"/>
      <c r="EK95" s="432"/>
      <c r="EL95" s="430">
        <f t="shared" ref="EL95:EL97" si="6">SUM(CD95:DH95)</f>
        <v>2981741</v>
      </c>
      <c r="EM95" s="431"/>
      <c r="EN95" s="51"/>
      <c r="EO95" s="340"/>
      <c r="ER95" s="39"/>
      <c r="ES95" s="39"/>
    </row>
    <row r="96" spans="1:149" ht="12.75" customHeight="1" x14ac:dyDescent="0.2">
      <c r="A96" s="317"/>
      <c r="B96" s="317"/>
      <c r="D96" s="340" t="s">
        <v>186</v>
      </c>
      <c r="E96" s="144"/>
      <c r="F96" s="347"/>
      <c r="G96" s="51">
        <v>0</v>
      </c>
      <c r="H96" s="50"/>
      <c r="I96" s="51"/>
      <c r="J96" s="144"/>
      <c r="K96" s="144"/>
      <c r="L96" s="51">
        <v>0</v>
      </c>
      <c r="M96" s="50"/>
      <c r="N96" s="51"/>
      <c r="O96" s="144"/>
      <c r="P96" s="144"/>
      <c r="Q96" s="51">
        <v>0</v>
      </c>
      <c r="R96" s="50"/>
      <c r="S96" s="51"/>
      <c r="T96" s="144"/>
      <c r="U96" s="347"/>
      <c r="V96" s="51">
        <v>0</v>
      </c>
      <c r="W96" s="50"/>
      <c r="X96" s="51"/>
      <c r="Y96" s="144"/>
      <c r="Z96" s="144"/>
      <c r="AA96" s="51">
        <v>0</v>
      </c>
      <c r="AB96" s="50"/>
      <c r="AC96" s="51"/>
      <c r="AD96" s="144"/>
      <c r="AE96" s="144"/>
      <c r="AF96" s="51">
        <v>0</v>
      </c>
      <c r="AG96" s="50"/>
      <c r="AH96" s="51"/>
      <c r="AI96" s="144"/>
      <c r="AJ96" s="144"/>
      <c r="AK96" s="51">
        <v>0</v>
      </c>
      <c r="AL96" s="50"/>
      <c r="AM96" s="51"/>
      <c r="AN96" s="144"/>
      <c r="AO96" s="144"/>
      <c r="AP96" s="51">
        <v>0</v>
      </c>
      <c r="AQ96" s="50"/>
      <c r="AR96" s="51"/>
      <c r="AS96" s="144"/>
      <c r="AT96" s="144"/>
      <c r="AU96" s="51">
        <v>0</v>
      </c>
      <c r="AV96" s="50"/>
      <c r="AW96" s="51"/>
      <c r="AX96" s="144"/>
      <c r="AY96" s="144"/>
      <c r="AZ96" s="51">
        <v>0</v>
      </c>
      <c r="BA96" s="50"/>
      <c r="BB96" s="51"/>
      <c r="BC96" s="144"/>
      <c r="BD96" s="144"/>
      <c r="BE96" s="51">
        <v>0</v>
      </c>
      <c r="BF96" s="50"/>
      <c r="BG96" s="51"/>
      <c r="BH96" s="144"/>
      <c r="BI96" s="144"/>
      <c r="BJ96" s="51">
        <v>0</v>
      </c>
      <c r="BK96" s="50"/>
      <c r="BL96" s="51"/>
      <c r="BM96" s="144"/>
      <c r="BN96" s="144"/>
      <c r="BO96" s="51">
        <v>0</v>
      </c>
      <c r="BP96" s="50"/>
      <c r="BQ96" s="51"/>
      <c r="BR96" s="144"/>
      <c r="BS96" s="144"/>
      <c r="BT96" s="51">
        <f>SUM(L96:BO96)</f>
        <v>0</v>
      </c>
      <c r="BU96" s="50"/>
      <c r="BV96" s="51"/>
      <c r="BW96" s="144"/>
      <c r="BX96" s="144"/>
      <c r="BY96" s="51">
        <v>0</v>
      </c>
      <c r="BZ96" s="50"/>
      <c r="CA96" s="51"/>
      <c r="CB96" s="144"/>
      <c r="CC96" s="144"/>
      <c r="CD96" s="51">
        <v>0</v>
      </c>
      <c r="CE96" s="50"/>
      <c r="CF96" s="51"/>
      <c r="CG96" s="144"/>
      <c r="CH96" s="144"/>
      <c r="CI96" s="51">
        <v>0</v>
      </c>
      <c r="CJ96" s="50"/>
      <c r="CK96" s="51"/>
      <c r="CL96" s="144"/>
      <c r="CM96" s="347"/>
      <c r="CN96" s="51">
        <v>0</v>
      </c>
      <c r="CO96" s="50"/>
      <c r="CP96" s="51"/>
      <c r="CQ96" s="144"/>
      <c r="CR96" s="144"/>
      <c r="CS96" s="51">
        <v>0</v>
      </c>
      <c r="CT96" s="50"/>
      <c r="CU96" s="51"/>
      <c r="CV96" s="144"/>
      <c r="CW96" s="144"/>
      <c r="CX96" s="51">
        <v>0</v>
      </c>
      <c r="CY96" s="50"/>
      <c r="CZ96" s="51"/>
      <c r="DA96" s="144"/>
      <c r="DB96" s="144"/>
      <c r="DC96" s="51">
        <v>0</v>
      </c>
      <c r="DD96" s="50"/>
      <c r="DE96" s="51"/>
      <c r="DF96" s="144"/>
      <c r="DG96" s="144"/>
      <c r="DH96" s="51">
        <v>0</v>
      </c>
      <c r="DI96" s="50"/>
      <c r="DJ96" s="51"/>
      <c r="DK96" s="144"/>
      <c r="DL96" s="144"/>
      <c r="DM96" s="51">
        <v>0</v>
      </c>
      <c r="DN96" s="50"/>
      <c r="DO96" s="51"/>
      <c r="DP96" s="144"/>
      <c r="DQ96" s="144"/>
      <c r="DR96" s="51">
        <v>0</v>
      </c>
      <c r="DS96" s="50"/>
      <c r="DT96" s="51"/>
      <c r="DU96" s="144"/>
      <c r="DV96" s="144"/>
      <c r="DW96" s="51">
        <v>0</v>
      </c>
      <c r="DX96" s="50"/>
      <c r="DY96" s="51"/>
      <c r="DZ96" s="144"/>
      <c r="EA96" s="144"/>
      <c r="EB96" s="51">
        <v>0</v>
      </c>
      <c r="EC96" s="50"/>
      <c r="ED96" s="51"/>
      <c r="EE96" s="144"/>
      <c r="EF96" s="144"/>
      <c r="EG96" s="51">
        <v>0</v>
      </c>
      <c r="EH96" s="50"/>
      <c r="EI96" s="51"/>
      <c r="EJ96" s="144"/>
      <c r="EK96" s="144"/>
      <c r="EL96" s="51">
        <f t="shared" si="6"/>
        <v>0</v>
      </c>
      <c r="EM96" s="50"/>
      <c r="EN96" s="51"/>
      <c r="EO96" s="340"/>
      <c r="ER96" s="39"/>
      <c r="ES96" s="39"/>
    </row>
    <row r="97" spans="1:149" ht="12.75" customHeight="1" x14ac:dyDescent="0.2">
      <c r="A97" s="317"/>
      <c r="B97" s="317"/>
      <c r="D97" s="340" t="s">
        <v>200</v>
      </c>
      <c r="E97" s="144"/>
      <c r="F97" s="371"/>
      <c r="G97" s="95">
        <v>0</v>
      </c>
      <c r="H97" s="94"/>
      <c r="I97" s="51"/>
      <c r="J97" s="144"/>
      <c r="K97" s="187"/>
      <c r="L97" s="95">
        <v>0</v>
      </c>
      <c r="M97" s="94"/>
      <c r="N97" s="51"/>
      <c r="O97" s="144"/>
      <c r="P97" s="187"/>
      <c r="Q97" s="95">
        <v>0</v>
      </c>
      <c r="R97" s="94"/>
      <c r="S97" s="51"/>
      <c r="T97" s="144"/>
      <c r="U97" s="371"/>
      <c r="V97" s="95">
        <v>0</v>
      </c>
      <c r="W97" s="94"/>
      <c r="X97" s="51"/>
      <c r="Y97" s="144"/>
      <c r="Z97" s="187"/>
      <c r="AA97" s="95">
        <v>0</v>
      </c>
      <c r="AB97" s="94"/>
      <c r="AC97" s="51"/>
      <c r="AD97" s="144"/>
      <c r="AE97" s="187"/>
      <c r="AF97" s="95">
        <v>0</v>
      </c>
      <c r="AG97" s="94"/>
      <c r="AH97" s="51"/>
      <c r="AI97" s="144"/>
      <c r="AJ97" s="187"/>
      <c r="AK97" s="95">
        <v>0</v>
      </c>
      <c r="AL97" s="94"/>
      <c r="AM97" s="51"/>
      <c r="AN97" s="144"/>
      <c r="AO97" s="187"/>
      <c r="AP97" s="95">
        <v>0</v>
      </c>
      <c r="AQ97" s="94"/>
      <c r="AR97" s="51"/>
      <c r="AS97" s="144"/>
      <c r="AT97" s="187"/>
      <c r="AU97" s="95">
        <v>0</v>
      </c>
      <c r="AV97" s="94"/>
      <c r="AW97" s="51"/>
      <c r="AX97" s="144"/>
      <c r="AY97" s="187"/>
      <c r="AZ97" s="95">
        <v>0</v>
      </c>
      <c r="BA97" s="94"/>
      <c r="BB97" s="51"/>
      <c r="BC97" s="144"/>
      <c r="BD97" s="187"/>
      <c r="BE97" s="95">
        <v>0</v>
      </c>
      <c r="BF97" s="94"/>
      <c r="BG97" s="51"/>
      <c r="BH97" s="144"/>
      <c r="BI97" s="187"/>
      <c r="BJ97" s="95">
        <v>0</v>
      </c>
      <c r="BK97" s="94"/>
      <c r="BL97" s="51"/>
      <c r="BM97" s="144"/>
      <c r="BN97" s="187"/>
      <c r="BO97" s="95">
        <v>0</v>
      </c>
      <c r="BP97" s="94"/>
      <c r="BQ97" s="51"/>
      <c r="BR97" s="144"/>
      <c r="BS97" s="187"/>
      <c r="BT97" s="95">
        <f>SUM(L97:BO97)</f>
        <v>0</v>
      </c>
      <c r="BU97" s="94"/>
      <c r="BV97" s="51"/>
      <c r="BW97" s="144"/>
      <c r="BX97" s="187"/>
      <c r="BY97" s="95">
        <v>-1380312</v>
      </c>
      <c r="BZ97" s="94"/>
      <c r="CA97" s="51"/>
      <c r="CB97" s="144"/>
      <c r="CC97" s="187"/>
      <c r="CD97" s="95">
        <v>-493</v>
      </c>
      <c r="CE97" s="94"/>
      <c r="CF97" s="51"/>
      <c r="CG97" s="144"/>
      <c r="CH97" s="187"/>
      <c r="CI97" s="95">
        <v>-193807</v>
      </c>
      <c r="CJ97" s="94"/>
      <c r="CK97" s="51"/>
      <c r="CL97" s="144"/>
      <c r="CM97" s="371"/>
      <c r="CN97" s="95">
        <v>0</v>
      </c>
      <c r="CO97" s="94"/>
      <c r="CP97" s="51"/>
      <c r="CQ97" s="144"/>
      <c r="CR97" s="187"/>
      <c r="CS97" s="95">
        <v>-182826</v>
      </c>
      <c r="CT97" s="94"/>
      <c r="CU97" s="51"/>
      <c r="CV97" s="144"/>
      <c r="CW97" s="187"/>
      <c r="CX97" s="95">
        <v>0</v>
      </c>
      <c r="CY97" s="94"/>
      <c r="CZ97" s="51"/>
      <c r="DA97" s="144"/>
      <c r="DB97" s="187"/>
      <c r="DC97" s="95">
        <v>0</v>
      </c>
      <c r="DD97" s="94"/>
      <c r="DE97" s="51"/>
      <c r="DF97" s="144"/>
      <c r="DG97" s="187"/>
      <c r="DH97" s="95">
        <v>0</v>
      </c>
      <c r="DI97" s="94"/>
      <c r="DJ97" s="51"/>
      <c r="DK97" s="144"/>
      <c r="DL97" s="187"/>
      <c r="DM97" s="95">
        <v>-18</v>
      </c>
      <c r="DN97" s="94"/>
      <c r="DO97" s="51"/>
      <c r="DP97" s="144"/>
      <c r="DQ97" s="187"/>
      <c r="DR97" s="95">
        <v>0</v>
      </c>
      <c r="DS97" s="94"/>
      <c r="DT97" s="51"/>
      <c r="DU97" s="144"/>
      <c r="DV97" s="187"/>
      <c r="DW97" s="95">
        <v>-361232</v>
      </c>
      <c r="DX97" s="94"/>
      <c r="DY97" s="51"/>
      <c r="DZ97" s="144"/>
      <c r="EA97" s="187"/>
      <c r="EB97" s="95">
        <v>-209896</v>
      </c>
      <c r="EC97" s="94"/>
      <c r="ED97" s="51"/>
      <c r="EE97" s="144"/>
      <c r="EF97" s="187"/>
      <c r="EG97" s="95">
        <v>-432040</v>
      </c>
      <c r="EH97" s="94"/>
      <c r="EI97" s="51"/>
      <c r="EJ97" s="144"/>
      <c r="EK97" s="187"/>
      <c r="EL97" s="95">
        <f t="shared" si="6"/>
        <v>-377126</v>
      </c>
      <c r="EM97" s="94"/>
      <c r="EN97" s="51"/>
      <c r="EO97" s="340"/>
      <c r="ER97" s="39"/>
      <c r="ES97" s="39"/>
    </row>
    <row r="98" spans="1:149" ht="12.75" customHeight="1" x14ac:dyDescent="0.2">
      <c r="A98" s="317"/>
      <c r="B98" s="317"/>
      <c r="D98" s="340"/>
      <c r="E98" s="144"/>
      <c r="F98" s="317"/>
      <c r="G98" s="51"/>
      <c r="H98" s="51"/>
      <c r="I98" s="51"/>
      <c r="J98" s="144"/>
      <c r="K98" s="51"/>
      <c r="L98" s="51"/>
      <c r="M98" s="51"/>
      <c r="N98" s="51"/>
      <c r="O98" s="144"/>
      <c r="P98" s="51"/>
      <c r="Q98" s="51"/>
      <c r="R98" s="51"/>
      <c r="S98" s="51"/>
      <c r="T98" s="144"/>
      <c r="U98" s="51"/>
      <c r="V98" s="51"/>
      <c r="W98" s="51"/>
      <c r="X98" s="51"/>
      <c r="Y98" s="144"/>
      <c r="Z98" s="51"/>
      <c r="AA98" s="51"/>
      <c r="AB98" s="51"/>
      <c r="AC98" s="51"/>
      <c r="AD98" s="144"/>
      <c r="AE98" s="51"/>
      <c r="AF98" s="51"/>
      <c r="AG98" s="51"/>
      <c r="AH98" s="51"/>
      <c r="AI98" s="144"/>
      <c r="AJ98" s="51"/>
      <c r="AK98" s="51"/>
      <c r="AL98" s="51"/>
      <c r="AM98" s="51"/>
      <c r="AN98" s="144"/>
      <c r="AO98" s="51"/>
      <c r="AP98" s="51"/>
      <c r="AQ98" s="51"/>
      <c r="AR98" s="51"/>
      <c r="AS98" s="144"/>
      <c r="AT98" s="51"/>
      <c r="AU98" s="51"/>
      <c r="AV98" s="51"/>
      <c r="AW98" s="51"/>
      <c r="AX98" s="144"/>
      <c r="AY98" s="51"/>
      <c r="AZ98" s="51"/>
      <c r="BA98" s="51"/>
      <c r="BB98" s="51"/>
      <c r="BC98" s="144"/>
      <c r="BD98" s="51"/>
      <c r="BE98" s="51"/>
      <c r="BF98" s="51"/>
      <c r="BG98" s="51"/>
      <c r="BH98" s="144"/>
      <c r="BI98" s="51"/>
      <c r="BJ98" s="51"/>
      <c r="BK98" s="51"/>
      <c r="BL98" s="51"/>
      <c r="BM98" s="144"/>
      <c r="BN98" s="51"/>
      <c r="BO98" s="51"/>
      <c r="BP98" s="51"/>
      <c r="BQ98" s="51"/>
      <c r="BR98" s="144"/>
      <c r="BS98" s="51"/>
      <c r="BT98" s="51"/>
      <c r="BU98" s="51"/>
      <c r="BV98" s="51"/>
      <c r="BW98" s="144"/>
      <c r="BX98" s="51"/>
      <c r="BY98" s="51"/>
      <c r="BZ98" s="51"/>
      <c r="CA98" s="51"/>
      <c r="CB98" s="144"/>
      <c r="CC98" s="51"/>
      <c r="CD98" s="51"/>
      <c r="CE98" s="51"/>
      <c r="CF98" s="51"/>
      <c r="CG98" s="144"/>
      <c r="CH98" s="51"/>
      <c r="CI98" s="51"/>
      <c r="CJ98" s="51"/>
      <c r="CK98" s="51"/>
      <c r="CL98" s="144"/>
      <c r="CM98" s="51"/>
      <c r="CN98" s="51"/>
      <c r="CO98" s="51"/>
      <c r="CP98" s="51"/>
      <c r="CQ98" s="144"/>
      <c r="CR98" s="51"/>
      <c r="CS98" s="51"/>
      <c r="CT98" s="51"/>
      <c r="CU98" s="51"/>
      <c r="CV98" s="144"/>
      <c r="CW98" s="51"/>
      <c r="CX98" s="51"/>
      <c r="CY98" s="51"/>
      <c r="CZ98" s="51"/>
      <c r="DA98" s="144"/>
      <c r="DB98" s="51"/>
      <c r="DC98" s="51"/>
      <c r="DD98" s="51"/>
      <c r="DE98" s="51"/>
      <c r="DF98" s="144"/>
      <c r="DG98" s="51"/>
      <c r="DH98" s="51"/>
      <c r="DI98" s="51"/>
      <c r="DJ98" s="51"/>
      <c r="DK98" s="144"/>
      <c r="DL98" s="51"/>
      <c r="DM98" s="51"/>
      <c r="DN98" s="51"/>
      <c r="DO98" s="51"/>
      <c r="DP98" s="144"/>
      <c r="DQ98" s="51"/>
      <c r="DR98" s="51"/>
      <c r="DS98" s="51"/>
      <c r="DT98" s="51"/>
      <c r="DU98" s="144"/>
      <c r="DV98" s="51"/>
      <c r="DW98" s="51"/>
      <c r="DX98" s="51"/>
      <c r="DY98" s="51"/>
      <c r="DZ98" s="144"/>
      <c r="EA98" s="51"/>
      <c r="EB98" s="51"/>
      <c r="EC98" s="51"/>
      <c r="ED98" s="51"/>
      <c r="EE98" s="144"/>
      <c r="EF98" s="51"/>
      <c r="EG98" s="51"/>
      <c r="EH98" s="51"/>
      <c r="EI98" s="51"/>
      <c r="EJ98" s="144"/>
      <c r="EK98" s="51"/>
      <c r="EL98" s="51"/>
      <c r="EM98" s="51"/>
      <c r="EN98" s="51"/>
      <c r="EO98" s="340"/>
      <c r="ER98" s="39"/>
      <c r="ES98" s="39"/>
    </row>
    <row r="99" spans="1:149" ht="12.75" customHeight="1" x14ac:dyDescent="0.2">
      <c r="A99" s="317"/>
      <c r="B99" s="317"/>
      <c r="C99" s="444"/>
      <c r="D99" s="363" t="s">
        <v>201</v>
      </c>
      <c r="E99" s="144"/>
      <c r="F99" s="317"/>
      <c r="G99" s="51">
        <f>SUM(G100:G102)</f>
        <v>0</v>
      </c>
      <c r="H99" s="51"/>
      <c r="I99" s="51"/>
      <c r="J99" s="144"/>
      <c r="K99" s="51"/>
      <c r="L99" s="51">
        <f>SUM(L100:L102)</f>
        <v>1307390</v>
      </c>
      <c r="M99" s="51"/>
      <c r="N99" s="51"/>
      <c r="O99" s="144"/>
      <c r="P99" s="51"/>
      <c r="Q99" s="51">
        <f>SUM(Q100:Q102)</f>
        <v>3253000</v>
      </c>
      <c r="R99" s="51"/>
      <c r="S99" s="51"/>
      <c r="T99" s="144"/>
      <c r="U99" s="51"/>
      <c r="V99" s="51">
        <f>SUM(V100:V102)</f>
        <v>0</v>
      </c>
      <c r="W99" s="51"/>
      <c r="X99" s="51"/>
      <c r="Y99" s="144"/>
      <c r="Z99" s="51"/>
      <c r="AA99" s="51">
        <f>SUM(AA100:AA102)</f>
        <v>0</v>
      </c>
      <c r="AB99" s="51"/>
      <c r="AC99" s="51"/>
      <c r="AD99" s="144"/>
      <c r="AE99" s="51"/>
      <c r="AF99" s="51">
        <f>SUM(AF100:AF102)</f>
        <v>3253000</v>
      </c>
      <c r="AG99" s="51"/>
      <c r="AH99" s="51"/>
      <c r="AI99" s="144"/>
      <c r="AJ99" s="51"/>
      <c r="AK99" s="51">
        <f>SUM(AK100:AK102)</f>
        <v>3253000</v>
      </c>
      <c r="AL99" s="51"/>
      <c r="AM99" s="51"/>
      <c r="AN99" s="144"/>
      <c r="AO99" s="51"/>
      <c r="AP99" s="51">
        <f>SUM(AP100:AP102)</f>
        <v>4410000</v>
      </c>
      <c r="AQ99" s="51"/>
      <c r="AR99" s="51"/>
      <c r="AS99" s="144"/>
      <c r="AT99" s="51"/>
      <c r="AU99" s="51">
        <f>SUM(AU100:AU102)</f>
        <v>0</v>
      </c>
      <c r="AV99" s="51"/>
      <c r="AW99" s="51"/>
      <c r="AX99" s="144"/>
      <c r="AY99" s="51"/>
      <c r="AZ99" s="51">
        <f>SUM(AZ100:AZ102)</f>
        <v>0</v>
      </c>
      <c r="BA99" s="51"/>
      <c r="BB99" s="51"/>
      <c r="BC99" s="144"/>
      <c r="BD99" s="51"/>
      <c r="BE99" s="51">
        <f>SUM(BE100:BE102)</f>
        <v>0</v>
      </c>
      <c r="BF99" s="51"/>
      <c r="BG99" s="51"/>
      <c r="BH99" s="144"/>
      <c r="BI99" s="51"/>
      <c r="BJ99" s="51">
        <f>SUM(BJ100:BJ102)</f>
        <v>0</v>
      </c>
      <c r="BK99" s="51"/>
      <c r="BL99" s="51"/>
      <c r="BM99" s="144"/>
      <c r="BN99" s="51"/>
      <c r="BO99" s="51">
        <f>SUM(BO100:BO102)</f>
        <v>0</v>
      </c>
      <c r="BP99" s="51"/>
      <c r="BQ99" s="51"/>
      <c r="BR99" s="144"/>
      <c r="BS99" s="51"/>
      <c r="BT99" s="51">
        <f>SUM(BT100:BT102)</f>
        <v>15476390</v>
      </c>
      <c r="BU99" s="51"/>
      <c r="BV99" s="51"/>
      <c r="BW99" s="144"/>
      <c r="BX99" s="51"/>
      <c r="BY99" s="51">
        <f>SUM(BY100:BY102)</f>
        <v>31297043</v>
      </c>
      <c r="BZ99" s="51"/>
      <c r="CA99" s="51"/>
      <c r="CB99" s="144"/>
      <c r="CC99" s="51"/>
      <c r="CD99" s="51">
        <f>SUM(CD100:CD102)</f>
        <v>2409015</v>
      </c>
      <c r="CE99" s="51"/>
      <c r="CF99" s="51"/>
      <c r="CG99" s="144"/>
      <c r="CH99" s="51"/>
      <c r="CI99" s="51">
        <f>SUM(CI100:CI102)</f>
        <v>2900000</v>
      </c>
      <c r="CJ99" s="51"/>
      <c r="CK99" s="51"/>
      <c r="CL99" s="144"/>
      <c r="CM99" s="51"/>
      <c r="CN99" s="51">
        <f>SUM(CN100:CN102)</f>
        <v>0</v>
      </c>
      <c r="CO99" s="51"/>
      <c r="CP99" s="51"/>
      <c r="CQ99" s="144"/>
      <c r="CR99" s="51"/>
      <c r="CS99" s="51">
        <f>SUM(CS100:CS102)</f>
        <v>5145000</v>
      </c>
      <c r="CT99" s="51"/>
      <c r="CU99" s="51"/>
      <c r="CV99" s="144"/>
      <c r="CW99" s="51"/>
      <c r="CX99" s="51">
        <f>SUM(CX100:CX102)</f>
        <v>1833000</v>
      </c>
      <c r="CY99" s="51"/>
      <c r="CZ99" s="51"/>
      <c r="DA99" s="144"/>
      <c r="DB99" s="51"/>
      <c r="DC99" s="51">
        <f>SUM(DC100:DC102)</f>
        <v>3900000</v>
      </c>
      <c r="DD99" s="51"/>
      <c r="DE99" s="51"/>
      <c r="DF99" s="144"/>
      <c r="DG99" s="51"/>
      <c r="DH99" s="51">
        <f>SUM(DH100:DH102)</f>
        <v>3253000</v>
      </c>
      <c r="DI99" s="51"/>
      <c r="DJ99" s="51"/>
      <c r="DK99" s="144"/>
      <c r="DL99" s="51"/>
      <c r="DM99" s="51">
        <f>SUM(DM100:DM102)</f>
        <v>2742589</v>
      </c>
      <c r="DN99" s="51"/>
      <c r="DO99" s="51"/>
      <c r="DP99" s="144"/>
      <c r="DQ99" s="51"/>
      <c r="DR99" s="51">
        <f>SUM(DR100:DR102)</f>
        <v>1953000</v>
      </c>
      <c r="DS99" s="51"/>
      <c r="DT99" s="51"/>
      <c r="DU99" s="144"/>
      <c r="DV99" s="51"/>
      <c r="DW99" s="51">
        <f>SUM(DW100:DW102)</f>
        <v>3908439</v>
      </c>
      <c r="DX99" s="51"/>
      <c r="DY99" s="51"/>
      <c r="DZ99" s="144"/>
      <c r="EA99" s="51"/>
      <c r="EB99" s="51">
        <f>SUM(EB100:EB102)</f>
        <v>1300000</v>
      </c>
      <c r="EC99" s="51"/>
      <c r="ED99" s="51"/>
      <c r="EE99" s="144"/>
      <c r="EF99" s="51"/>
      <c r="EG99" s="51">
        <f>SUM(EG100:EG102)</f>
        <v>1953000</v>
      </c>
      <c r="EH99" s="51"/>
      <c r="EI99" s="51"/>
      <c r="EJ99" s="144"/>
      <c r="EK99" s="51"/>
      <c r="EL99" s="51">
        <f>SUM(EL100:EL102)</f>
        <v>19440015</v>
      </c>
      <c r="EM99" s="51"/>
      <c r="EN99" s="51"/>
      <c r="EO99" s="340"/>
      <c r="ER99" s="39"/>
      <c r="ES99" s="39"/>
    </row>
    <row r="100" spans="1:149" ht="12.75" customHeight="1" x14ac:dyDescent="0.2">
      <c r="A100" s="317"/>
      <c r="B100" s="317"/>
      <c r="D100" s="340" t="s">
        <v>183</v>
      </c>
      <c r="E100" s="144"/>
      <c r="F100" s="354"/>
      <c r="G100" s="430">
        <v>0</v>
      </c>
      <c r="H100" s="431"/>
      <c r="I100" s="51"/>
      <c r="J100" s="144"/>
      <c r="K100" s="432"/>
      <c r="L100" s="430">
        <f>1307390-126692</f>
        <v>1180698</v>
      </c>
      <c r="M100" s="431"/>
      <c r="N100" s="51"/>
      <c r="O100" s="144"/>
      <c r="P100" s="432"/>
      <c r="Q100" s="430">
        <f>3253000-352450</f>
        <v>2900550</v>
      </c>
      <c r="R100" s="431"/>
      <c r="S100" s="51"/>
      <c r="T100" s="144"/>
      <c r="U100" s="432"/>
      <c r="V100" s="430">
        <v>0</v>
      </c>
      <c r="W100" s="431"/>
      <c r="X100" s="51"/>
      <c r="Y100" s="144"/>
      <c r="Z100" s="432"/>
      <c r="AA100" s="430">
        <v>0</v>
      </c>
      <c r="AB100" s="431"/>
      <c r="AC100" s="51"/>
      <c r="AD100" s="144"/>
      <c r="AE100" s="432"/>
      <c r="AF100" s="430">
        <f>3253000-362829</f>
        <v>2890171</v>
      </c>
      <c r="AG100" s="431"/>
      <c r="AH100" s="51"/>
      <c r="AI100" s="144"/>
      <c r="AJ100" s="432"/>
      <c r="AK100" s="430">
        <f>3253000-415492</f>
        <v>2837508</v>
      </c>
      <c r="AL100" s="431"/>
      <c r="AM100" s="51"/>
      <c r="AN100" s="144"/>
      <c r="AO100" s="432"/>
      <c r="AP100" s="430">
        <f>4410000-604944</f>
        <v>3805056</v>
      </c>
      <c r="AQ100" s="431"/>
      <c r="AR100" s="51"/>
      <c r="AS100" s="144"/>
      <c r="AT100" s="432"/>
      <c r="AU100" s="430">
        <v>0</v>
      </c>
      <c r="AV100" s="431"/>
      <c r="AW100" s="51"/>
      <c r="AX100" s="144"/>
      <c r="AY100" s="432"/>
      <c r="AZ100" s="430">
        <v>0</v>
      </c>
      <c r="BA100" s="431"/>
      <c r="BB100" s="51"/>
      <c r="BC100" s="144"/>
      <c r="BD100" s="432"/>
      <c r="BE100" s="430">
        <v>0</v>
      </c>
      <c r="BF100" s="431"/>
      <c r="BG100" s="51"/>
      <c r="BH100" s="144"/>
      <c r="BI100" s="432"/>
      <c r="BJ100" s="430">
        <v>0</v>
      </c>
      <c r="BK100" s="431"/>
      <c r="BL100" s="51"/>
      <c r="BM100" s="144"/>
      <c r="BN100" s="432"/>
      <c r="BO100" s="430">
        <v>0</v>
      </c>
      <c r="BP100" s="431"/>
      <c r="BQ100" s="51"/>
      <c r="BR100" s="144"/>
      <c r="BS100" s="432"/>
      <c r="BT100" s="430">
        <f>SUM(L100:BO100)</f>
        <v>13613983</v>
      </c>
      <c r="BU100" s="431"/>
      <c r="BV100" s="51"/>
      <c r="BW100" s="144"/>
      <c r="BX100" s="432"/>
      <c r="BY100" s="430">
        <v>29049674</v>
      </c>
      <c r="BZ100" s="431"/>
      <c r="CA100" s="51"/>
      <c r="CB100" s="144"/>
      <c r="CC100" s="432"/>
      <c r="CD100" s="430">
        <f>2409015-211336</f>
        <v>2197679</v>
      </c>
      <c r="CE100" s="431"/>
      <c r="CF100" s="51"/>
      <c r="CG100" s="144"/>
      <c r="CH100" s="432"/>
      <c r="CI100" s="430">
        <f>2900000-181804</f>
        <v>2718196</v>
      </c>
      <c r="CJ100" s="431"/>
      <c r="CK100" s="51"/>
      <c r="CL100" s="144"/>
      <c r="CM100" s="432"/>
      <c r="CN100" s="430">
        <v>0</v>
      </c>
      <c r="CO100" s="431"/>
      <c r="CP100" s="51"/>
      <c r="CQ100" s="144"/>
      <c r="CR100" s="432"/>
      <c r="CS100" s="430">
        <f>5145000-274075</f>
        <v>4870925</v>
      </c>
      <c r="CT100" s="431"/>
      <c r="CU100" s="51"/>
      <c r="CV100" s="144"/>
      <c r="CW100" s="432"/>
      <c r="CX100" s="430">
        <f>1833000-80734</f>
        <v>1752266</v>
      </c>
      <c r="CY100" s="431"/>
      <c r="CZ100" s="51"/>
      <c r="DA100" s="144"/>
      <c r="DB100" s="432"/>
      <c r="DC100" s="430">
        <f>3900000-199132</f>
        <v>3700868</v>
      </c>
      <c r="DD100" s="431"/>
      <c r="DE100" s="51"/>
      <c r="DF100" s="144"/>
      <c r="DG100" s="432"/>
      <c r="DH100" s="430">
        <f>3253000-280084</f>
        <v>2972916</v>
      </c>
      <c r="DI100" s="431"/>
      <c r="DJ100" s="51"/>
      <c r="DK100" s="144"/>
      <c r="DL100" s="432"/>
      <c r="DM100" s="430">
        <f>2742589-236282</f>
        <v>2506307</v>
      </c>
      <c r="DN100" s="431"/>
      <c r="DO100" s="51"/>
      <c r="DP100" s="144"/>
      <c r="DQ100" s="432"/>
      <c r="DR100" s="430">
        <f>1953000-192153</f>
        <v>1760847</v>
      </c>
      <c r="DS100" s="431"/>
      <c r="DT100" s="51"/>
      <c r="DU100" s="144"/>
      <c r="DV100" s="432"/>
      <c r="DW100" s="430">
        <f>3908439-314682</f>
        <v>3593757</v>
      </c>
      <c r="DX100" s="431"/>
      <c r="DY100" s="51"/>
      <c r="DZ100" s="144"/>
      <c r="EA100" s="432"/>
      <c r="EB100" s="430">
        <f>1300000-84487</f>
        <v>1215513</v>
      </c>
      <c r="EC100" s="431"/>
      <c r="ED100" s="51"/>
      <c r="EE100" s="144"/>
      <c r="EF100" s="432"/>
      <c r="EG100" s="430">
        <f>1953000-192600</f>
        <v>1760400</v>
      </c>
      <c r="EH100" s="431"/>
      <c r="EI100" s="51"/>
      <c r="EJ100" s="144"/>
      <c r="EK100" s="432"/>
      <c r="EL100" s="430">
        <f t="shared" ref="EL100:EL102" si="7">SUM(CD100:DH100)</f>
        <v>18212850</v>
      </c>
      <c r="EM100" s="431"/>
      <c r="EN100" s="51"/>
      <c r="EO100" s="340"/>
      <c r="ER100" s="39"/>
      <c r="ES100" s="39"/>
    </row>
    <row r="101" spans="1:149" ht="12.75" customHeight="1" x14ac:dyDescent="0.2">
      <c r="A101" s="317"/>
      <c r="B101" s="317"/>
      <c r="D101" s="340" t="s">
        <v>186</v>
      </c>
      <c r="E101" s="144"/>
      <c r="F101" s="347"/>
      <c r="G101" s="51">
        <v>0</v>
      </c>
      <c r="H101" s="50"/>
      <c r="I101" s="51"/>
      <c r="J101" s="144"/>
      <c r="K101" s="144"/>
      <c r="L101" s="51">
        <v>126692</v>
      </c>
      <c r="M101" s="50"/>
      <c r="N101" s="51"/>
      <c r="O101" s="144"/>
      <c r="P101" s="144"/>
      <c r="Q101" s="51">
        <v>352450</v>
      </c>
      <c r="R101" s="50"/>
      <c r="S101" s="51"/>
      <c r="T101" s="144"/>
      <c r="U101" s="144"/>
      <c r="V101" s="51">
        <v>0</v>
      </c>
      <c r="W101" s="50"/>
      <c r="X101" s="51"/>
      <c r="Y101" s="144"/>
      <c r="Z101" s="144"/>
      <c r="AA101" s="51">
        <v>0</v>
      </c>
      <c r="AB101" s="50"/>
      <c r="AC101" s="51"/>
      <c r="AD101" s="144"/>
      <c r="AE101" s="144"/>
      <c r="AF101" s="51">
        <v>362829</v>
      </c>
      <c r="AG101" s="50"/>
      <c r="AH101" s="51"/>
      <c r="AI101" s="144"/>
      <c r="AJ101" s="144"/>
      <c r="AK101" s="51">
        <v>415492</v>
      </c>
      <c r="AL101" s="50"/>
      <c r="AM101" s="51"/>
      <c r="AN101" s="144"/>
      <c r="AO101" s="144"/>
      <c r="AP101" s="51">
        <v>604944</v>
      </c>
      <c r="AQ101" s="50"/>
      <c r="AR101" s="51"/>
      <c r="AS101" s="144"/>
      <c r="AT101" s="144"/>
      <c r="AU101" s="51">
        <v>0</v>
      </c>
      <c r="AV101" s="50"/>
      <c r="AW101" s="51"/>
      <c r="AX101" s="144"/>
      <c r="AY101" s="144"/>
      <c r="AZ101" s="51">
        <v>0</v>
      </c>
      <c r="BA101" s="50"/>
      <c r="BB101" s="51"/>
      <c r="BC101" s="144"/>
      <c r="BD101" s="144"/>
      <c r="BE101" s="51">
        <v>0</v>
      </c>
      <c r="BF101" s="50"/>
      <c r="BG101" s="51"/>
      <c r="BH101" s="144"/>
      <c r="BI101" s="144"/>
      <c r="BJ101" s="51">
        <v>0</v>
      </c>
      <c r="BK101" s="50"/>
      <c r="BL101" s="51"/>
      <c r="BM101" s="144"/>
      <c r="BN101" s="144"/>
      <c r="BO101" s="51">
        <v>0</v>
      </c>
      <c r="BP101" s="50"/>
      <c r="BQ101" s="51"/>
      <c r="BR101" s="144"/>
      <c r="BS101" s="144"/>
      <c r="BT101" s="51">
        <f>SUM(L101:BO101)</f>
        <v>1862407</v>
      </c>
      <c r="BU101" s="50"/>
      <c r="BV101" s="51"/>
      <c r="BW101" s="144"/>
      <c r="BX101" s="144"/>
      <c r="BY101" s="51">
        <v>2247369</v>
      </c>
      <c r="BZ101" s="50"/>
      <c r="CA101" s="51"/>
      <c r="CB101" s="144"/>
      <c r="CC101" s="144"/>
      <c r="CD101" s="51">
        <v>211336</v>
      </c>
      <c r="CE101" s="50"/>
      <c r="CF101" s="51"/>
      <c r="CG101" s="144"/>
      <c r="CH101" s="144"/>
      <c r="CI101" s="51">
        <v>181804</v>
      </c>
      <c r="CJ101" s="50"/>
      <c r="CK101" s="51"/>
      <c r="CL101" s="144"/>
      <c r="CM101" s="144"/>
      <c r="CN101" s="51">
        <v>0</v>
      </c>
      <c r="CO101" s="50"/>
      <c r="CP101" s="51"/>
      <c r="CQ101" s="144"/>
      <c r="CR101" s="144"/>
      <c r="CS101" s="51">
        <v>274075</v>
      </c>
      <c r="CT101" s="50"/>
      <c r="CU101" s="51"/>
      <c r="CV101" s="144"/>
      <c r="CW101" s="144"/>
      <c r="CX101" s="51">
        <v>80734</v>
      </c>
      <c r="CY101" s="50"/>
      <c r="CZ101" s="51"/>
      <c r="DA101" s="144"/>
      <c r="DB101" s="144"/>
      <c r="DC101" s="51">
        <v>199132</v>
      </c>
      <c r="DD101" s="50"/>
      <c r="DE101" s="51"/>
      <c r="DF101" s="144"/>
      <c r="DG101" s="144"/>
      <c r="DH101" s="51">
        <v>280084</v>
      </c>
      <c r="DI101" s="50"/>
      <c r="DJ101" s="51"/>
      <c r="DK101" s="144"/>
      <c r="DL101" s="144"/>
      <c r="DM101" s="51">
        <v>236282</v>
      </c>
      <c r="DN101" s="50"/>
      <c r="DO101" s="51"/>
      <c r="DP101" s="144"/>
      <c r="DQ101" s="144"/>
      <c r="DR101" s="51">
        <v>192153</v>
      </c>
      <c r="DS101" s="50"/>
      <c r="DT101" s="51"/>
      <c r="DU101" s="144"/>
      <c r="DV101" s="144"/>
      <c r="DW101" s="51">
        <v>314682</v>
      </c>
      <c r="DX101" s="50"/>
      <c r="DY101" s="51"/>
      <c r="DZ101" s="144"/>
      <c r="EA101" s="144"/>
      <c r="EB101" s="51">
        <v>84487</v>
      </c>
      <c r="EC101" s="50"/>
      <c r="ED101" s="51"/>
      <c r="EE101" s="144"/>
      <c r="EF101" s="144"/>
      <c r="EG101" s="51">
        <v>192600</v>
      </c>
      <c r="EH101" s="50"/>
      <c r="EI101" s="51"/>
      <c r="EJ101" s="144"/>
      <c r="EK101" s="144"/>
      <c r="EL101" s="51">
        <f t="shared" si="7"/>
        <v>1227165</v>
      </c>
      <c r="EM101" s="50"/>
      <c r="EN101" s="51"/>
      <c r="EO101" s="340"/>
      <c r="ER101" s="39"/>
      <c r="ES101" s="39"/>
    </row>
    <row r="102" spans="1:149" ht="12.75" customHeight="1" x14ac:dyDescent="0.2">
      <c r="A102" s="317"/>
      <c r="B102" s="317"/>
      <c r="D102" s="340" t="s">
        <v>200</v>
      </c>
      <c r="E102" s="144"/>
      <c r="F102" s="371"/>
      <c r="G102" s="95">
        <v>0</v>
      </c>
      <c r="H102" s="94"/>
      <c r="I102" s="51"/>
      <c r="J102" s="144"/>
      <c r="K102" s="187"/>
      <c r="L102" s="95">
        <v>0</v>
      </c>
      <c r="M102" s="94"/>
      <c r="N102" s="51"/>
      <c r="O102" s="144"/>
      <c r="P102" s="187"/>
      <c r="Q102" s="95">
        <v>0</v>
      </c>
      <c r="R102" s="94"/>
      <c r="S102" s="51"/>
      <c r="T102" s="144"/>
      <c r="U102" s="187"/>
      <c r="V102" s="95">
        <v>0</v>
      </c>
      <c r="W102" s="94"/>
      <c r="X102" s="51"/>
      <c r="Y102" s="144"/>
      <c r="Z102" s="187"/>
      <c r="AA102" s="95">
        <v>0</v>
      </c>
      <c r="AB102" s="94"/>
      <c r="AC102" s="51"/>
      <c r="AD102" s="144"/>
      <c r="AE102" s="187"/>
      <c r="AF102" s="95">
        <v>0</v>
      </c>
      <c r="AG102" s="94"/>
      <c r="AH102" s="51"/>
      <c r="AI102" s="144"/>
      <c r="AJ102" s="187"/>
      <c r="AK102" s="95">
        <v>0</v>
      </c>
      <c r="AL102" s="94"/>
      <c r="AM102" s="51"/>
      <c r="AN102" s="144"/>
      <c r="AO102" s="187"/>
      <c r="AP102" s="95">
        <v>0</v>
      </c>
      <c r="AQ102" s="94"/>
      <c r="AR102" s="51"/>
      <c r="AS102" s="144"/>
      <c r="AT102" s="187"/>
      <c r="AU102" s="95">
        <v>0</v>
      </c>
      <c r="AV102" s="94"/>
      <c r="AW102" s="51"/>
      <c r="AX102" s="144"/>
      <c r="AY102" s="187"/>
      <c r="AZ102" s="95">
        <v>0</v>
      </c>
      <c r="BA102" s="94"/>
      <c r="BB102" s="51"/>
      <c r="BC102" s="144"/>
      <c r="BD102" s="187"/>
      <c r="BE102" s="95">
        <v>0</v>
      </c>
      <c r="BF102" s="94"/>
      <c r="BG102" s="51"/>
      <c r="BH102" s="144"/>
      <c r="BI102" s="187"/>
      <c r="BJ102" s="95">
        <v>0</v>
      </c>
      <c r="BK102" s="94"/>
      <c r="BL102" s="51"/>
      <c r="BM102" s="144"/>
      <c r="BN102" s="187"/>
      <c r="BO102" s="95">
        <v>0</v>
      </c>
      <c r="BP102" s="94"/>
      <c r="BQ102" s="51"/>
      <c r="BR102" s="144"/>
      <c r="BS102" s="187"/>
      <c r="BT102" s="95">
        <f>SUM(L102:BO102)</f>
        <v>0</v>
      </c>
      <c r="BU102" s="94"/>
      <c r="BV102" s="51"/>
      <c r="BW102" s="144"/>
      <c r="BX102" s="187"/>
      <c r="BY102" s="95">
        <v>0</v>
      </c>
      <c r="BZ102" s="94"/>
      <c r="CA102" s="51"/>
      <c r="CB102" s="144"/>
      <c r="CC102" s="187"/>
      <c r="CD102" s="95">
        <v>0</v>
      </c>
      <c r="CE102" s="94"/>
      <c r="CF102" s="51"/>
      <c r="CG102" s="144"/>
      <c r="CH102" s="187"/>
      <c r="CI102" s="95">
        <v>0</v>
      </c>
      <c r="CJ102" s="94"/>
      <c r="CK102" s="51"/>
      <c r="CL102" s="144"/>
      <c r="CM102" s="187"/>
      <c r="CN102" s="95">
        <v>0</v>
      </c>
      <c r="CO102" s="94"/>
      <c r="CP102" s="51"/>
      <c r="CQ102" s="144"/>
      <c r="CR102" s="187"/>
      <c r="CS102" s="95">
        <v>0</v>
      </c>
      <c r="CT102" s="94"/>
      <c r="CU102" s="51"/>
      <c r="CV102" s="144"/>
      <c r="CW102" s="187"/>
      <c r="CX102" s="95">
        <v>0</v>
      </c>
      <c r="CY102" s="94"/>
      <c r="CZ102" s="51"/>
      <c r="DA102" s="144"/>
      <c r="DB102" s="187"/>
      <c r="DC102" s="95">
        <v>0</v>
      </c>
      <c r="DD102" s="94"/>
      <c r="DE102" s="51"/>
      <c r="DF102" s="144"/>
      <c r="DG102" s="187"/>
      <c r="DH102" s="95">
        <v>0</v>
      </c>
      <c r="DI102" s="94"/>
      <c r="DJ102" s="51"/>
      <c r="DK102" s="144"/>
      <c r="DL102" s="187"/>
      <c r="DM102" s="95">
        <v>0</v>
      </c>
      <c r="DN102" s="94"/>
      <c r="DO102" s="51"/>
      <c r="DP102" s="144"/>
      <c r="DQ102" s="187"/>
      <c r="DR102" s="95">
        <v>0</v>
      </c>
      <c r="DS102" s="94"/>
      <c r="DT102" s="51"/>
      <c r="DU102" s="144"/>
      <c r="DV102" s="187"/>
      <c r="DW102" s="95">
        <v>0</v>
      </c>
      <c r="DX102" s="94"/>
      <c r="DY102" s="51"/>
      <c r="DZ102" s="144"/>
      <c r="EA102" s="187"/>
      <c r="EB102" s="95">
        <v>0</v>
      </c>
      <c r="EC102" s="94"/>
      <c r="ED102" s="51"/>
      <c r="EE102" s="144"/>
      <c r="EF102" s="187"/>
      <c r="EG102" s="95">
        <v>0</v>
      </c>
      <c r="EH102" s="94"/>
      <c r="EI102" s="51"/>
      <c r="EJ102" s="144"/>
      <c r="EK102" s="187"/>
      <c r="EL102" s="95">
        <f t="shared" si="7"/>
        <v>0</v>
      </c>
      <c r="EM102" s="94"/>
      <c r="EN102" s="51"/>
      <c r="EO102" s="340"/>
      <c r="ER102" s="39"/>
      <c r="ES102" s="39"/>
    </row>
    <row r="103" spans="1:149" ht="12.75" customHeight="1" x14ac:dyDescent="0.2">
      <c r="A103" s="317"/>
      <c r="B103" s="317"/>
      <c r="D103" s="340"/>
      <c r="E103" s="144"/>
      <c r="F103" s="317"/>
      <c r="G103" s="51"/>
      <c r="H103" s="51"/>
      <c r="I103" s="51"/>
      <c r="J103" s="144"/>
      <c r="K103" s="51"/>
      <c r="L103" s="51"/>
      <c r="M103" s="51"/>
      <c r="N103" s="51"/>
      <c r="O103" s="144"/>
      <c r="P103" s="51"/>
      <c r="Q103" s="51"/>
      <c r="R103" s="51"/>
      <c r="S103" s="51"/>
      <c r="T103" s="144"/>
      <c r="U103" s="51"/>
      <c r="V103" s="51"/>
      <c r="W103" s="51"/>
      <c r="X103" s="51"/>
      <c r="Y103" s="144"/>
      <c r="Z103" s="51"/>
      <c r="AA103" s="51"/>
      <c r="AB103" s="51"/>
      <c r="AC103" s="51"/>
      <c r="AD103" s="144"/>
      <c r="AE103" s="51"/>
      <c r="AF103" s="51"/>
      <c r="AG103" s="51"/>
      <c r="AH103" s="51"/>
      <c r="AI103" s="144"/>
      <c r="AJ103" s="51"/>
      <c r="AK103" s="51"/>
      <c r="AL103" s="51"/>
      <c r="AM103" s="51"/>
      <c r="AN103" s="144"/>
      <c r="AO103" s="51"/>
      <c r="AP103" s="51"/>
      <c r="AQ103" s="51"/>
      <c r="AR103" s="51"/>
      <c r="AS103" s="144"/>
      <c r="AT103" s="51"/>
      <c r="AU103" s="51"/>
      <c r="AV103" s="51"/>
      <c r="AW103" s="51"/>
      <c r="AX103" s="144"/>
      <c r="AY103" s="51"/>
      <c r="AZ103" s="51"/>
      <c r="BA103" s="51"/>
      <c r="BB103" s="51"/>
      <c r="BC103" s="144"/>
      <c r="BD103" s="51"/>
      <c r="BE103" s="51"/>
      <c r="BF103" s="51"/>
      <c r="BG103" s="51"/>
      <c r="BH103" s="144"/>
      <c r="BI103" s="51"/>
      <c r="BJ103" s="51"/>
      <c r="BK103" s="51"/>
      <c r="BL103" s="51"/>
      <c r="BM103" s="144"/>
      <c r="BN103" s="51"/>
      <c r="BO103" s="51"/>
      <c r="BP103" s="51"/>
      <c r="BQ103" s="51"/>
      <c r="BR103" s="144"/>
      <c r="BS103" s="51"/>
      <c r="BT103" s="51"/>
      <c r="BU103" s="51"/>
      <c r="BV103" s="51"/>
      <c r="BW103" s="144"/>
      <c r="BX103" s="51"/>
      <c r="BY103" s="51"/>
      <c r="BZ103" s="51"/>
      <c r="CA103" s="51"/>
      <c r="CB103" s="144"/>
      <c r="CC103" s="51"/>
      <c r="CD103" s="51"/>
      <c r="CE103" s="51"/>
      <c r="CF103" s="51"/>
      <c r="CG103" s="144"/>
      <c r="CH103" s="51"/>
      <c r="CI103" s="51"/>
      <c r="CJ103" s="51"/>
      <c r="CK103" s="51"/>
      <c r="CL103" s="144"/>
      <c r="CM103" s="51"/>
      <c r="CN103" s="51"/>
      <c r="CO103" s="51"/>
      <c r="CP103" s="51"/>
      <c r="CQ103" s="144"/>
      <c r="CR103" s="51"/>
      <c r="CS103" s="51"/>
      <c r="CT103" s="51"/>
      <c r="CU103" s="51"/>
      <c r="CV103" s="144"/>
      <c r="CW103" s="51"/>
      <c r="CX103" s="51"/>
      <c r="CY103" s="51"/>
      <c r="CZ103" s="51"/>
      <c r="DA103" s="144"/>
      <c r="DB103" s="51"/>
      <c r="DC103" s="51"/>
      <c r="DD103" s="51"/>
      <c r="DE103" s="51"/>
      <c r="DF103" s="144"/>
      <c r="DG103" s="51"/>
      <c r="DH103" s="51"/>
      <c r="DI103" s="51"/>
      <c r="DJ103" s="51"/>
      <c r="DK103" s="144"/>
      <c r="DL103" s="51"/>
      <c r="DM103" s="51"/>
      <c r="DN103" s="51"/>
      <c r="DO103" s="51"/>
      <c r="DP103" s="144"/>
      <c r="DQ103" s="51"/>
      <c r="DR103" s="51"/>
      <c r="DS103" s="51"/>
      <c r="DT103" s="51"/>
      <c r="DU103" s="144"/>
      <c r="DV103" s="51"/>
      <c r="DW103" s="51"/>
      <c r="DX103" s="51"/>
      <c r="DY103" s="51"/>
      <c r="DZ103" s="144"/>
      <c r="EA103" s="51"/>
      <c r="EB103" s="51"/>
      <c r="EC103" s="51"/>
      <c r="ED103" s="51"/>
      <c r="EE103" s="144"/>
      <c r="EF103" s="51"/>
      <c r="EG103" s="51"/>
      <c r="EH103" s="51"/>
      <c r="EI103" s="51"/>
      <c r="EJ103" s="144"/>
      <c r="EK103" s="51"/>
      <c r="EL103" s="51"/>
      <c r="EM103" s="51"/>
      <c r="EN103" s="51"/>
      <c r="EO103" s="340"/>
      <c r="ER103" s="39"/>
      <c r="ES103" s="39"/>
    </row>
    <row r="104" spans="1:149" ht="12.75" customHeight="1" x14ac:dyDescent="0.2">
      <c r="A104" s="317"/>
      <c r="B104" s="317"/>
      <c r="D104" s="340" t="s">
        <v>202</v>
      </c>
      <c r="E104" s="144"/>
      <c r="F104" s="317"/>
      <c r="G104" s="51">
        <f>SUM(G105:G107)</f>
        <v>0</v>
      </c>
      <c r="H104" s="51"/>
      <c r="I104" s="51"/>
      <c r="J104" s="144"/>
      <c r="K104" s="51"/>
      <c r="L104" s="51">
        <f>SUM(L105:L107)</f>
        <v>0</v>
      </c>
      <c r="M104" s="51"/>
      <c r="N104" s="51"/>
      <c r="O104" s="144"/>
      <c r="P104" s="51"/>
      <c r="Q104" s="51">
        <f>SUM(Q105:Q107)</f>
        <v>1953000</v>
      </c>
      <c r="R104" s="51"/>
      <c r="S104" s="51"/>
      <c r="T104" s="144"/>
      <c r="U104" s="51"/>
      <c r="V104" s="51">
        <f>SUM(V105:V107)</f>
        <v>1300000</v>
      </c>
      <c r="W104" s="51"/>
      <c r="X104" s="51"/>
      <c r="Y104" s="144"/>
      <c r="Z104" s="51"/>
      <c r="AA104" s="51">
        <f>SUM(AA105:AA107)</f>
        <v>1953000</v>
      </c>
      <c r="AB104" s="51"/>
      <c r="AC104" s="51"/>
      <c r="AD104" s="144"/>
      <c r="AE104" s="51"/>
      <c r="AF104" s="51">
        <f>SUM(AF105:AF107)</f>
        <v>3905000</v>
      </c>
      <c r="AG104" s="51"/>
      <c r="AH104" s="51"/>
      <c r="AI104" s="144"/>
      <c r="AJ104" s="51"/>
      <c r="AK104" s="51">
        <f>SUM(AK105:AK107)</f>
        <v>1300000</v>
      </c>
      <c r="AL104" s="51"/>
      <c r="AM104" s="51"/>
      <c r="AN104" s="144"/>
      <c r="AO104" s="51"/>
      <c r="AP104" s="51">
        <f>SUM(AP105:AP107)</f>
        <v>1300000</v>
      </c>
      <c r="AQ104" s="51"/>
      <c r="AR104" s="51"/>
      <c r="AS104" s="144"/>
      <c r="AT104" s="51"/>
      <c r="AU104" s="51">
        <f>SUM(AU105:AU107)</f>
        <v>0</v>
      </c>
      <c r="AV104" s="51"/>
      <c r="AW104" s="51"/>
      <c r="AX104" s="144"/>
      <c r="AY104" s="51"/>
      <c r="AZ104" s="51">
        <f>SUM(AZ105:AZ107)</f>
        <v>0</v>
      </c>
      <c r="BA104" s="51"/>
      <c r="BB104" s="51"/>
      <c r="BC104" s="144"/>
      <c r="BD104" s="51"/>
      <c r="BE104" s="51">
        <f>SUM(BE105:BE107)</f>
        <v>0</v>
      </c>
      <c r="BF104" s="51"/>
      <c r="BG104" s="51"/>
      <c r="BH104" s="144"/>
      <c r="BI104" s="51"/>
      <c r="BJ104" s="51">
        <f>SUM(BJ105:BJ107)</f>
        <v>0</v>
      </c>
      <c r="BK104" s="51"/>
      <c r="BL104" s="51"/>
      <c r="BM104" s="144"/>
      <c r="BN104" s="51"/>
      <c r="BO104" s="51">
        <f>SUM(BO105:BO107)</f>
        <v>0</v>
      </c>
      <c r="BP104" s="51"/>
      <c r="BQ104" s="51"/>
      <c r="BR104" s="144"/>
      <c r="BS104" s="51"/>
      <c r="BT104" s="51">
        <f>SUM(BT105:BT107)</f>
        <v>11711000</v>
      </c>
      <c r="BU104" s="51"/>
      <c r="BV104" s="51"/>
      <c r="BW104" s="144"/>
      <c r="BX104" s="51"/>
      <c r="BY104" s="51">
        <f>SUM(BY105:BY107)</f>
        <v>22953000</v>
      </c>
      <c r="BZ104" s="51"/>
      <c r="CA104" s="51"/>
      <c r="CB104" s="144"/>
      <c r="CC104" s="51"/>
      <c r="CD104" s="51">
        <f>SUM(CD105:CD107)</f>
        <v>4806000</v>
      </c>
      <c r="CE104" s="51"/>
      <c r="CF104" s="51"/>
      <c r="CG104" s="144"/>
      <c r="CH104" s="51"/>
      <c r="CI104" s="51">
        <f>SUM(CI105:CI107)</f>
        <v>3591000</v>
      </c>
      <c r="CJ104" s="51"/>
      <c r="CK104" s="51"/>
      <c r="CL104" s="144"/>
      <c r="CM104" s="51"/>
      <c r="CN104" s="51">
        <f>SUM(CN105:CN107)</f>
        <v>4123000</v>
      </c>
      <c r="CO104" s="51"/>
      <c r="CP104" s="51"/>
      <c r="CQ104" s="144"/>
      <c r="CR104" s="51"/>
      <c r="CS104" s="51">
        <f>SUM(CS105:CS107)</f>
        <v>0</v>
      </c>
      <c r="CT104" s="51"/>
      <c r="CU104" s="51"/>
      <c r="CV104" s="144"/>
      <c r="CW104" s="51"/>
      <c r="CX104" s="51">
        <f>SUM(CX105:CX107)</f>
        <v>4740000</v>
      </c>
      <c r="CY104" s="51"/>
      <c r="CZ104" s="51"/>
      <c r="DA104" s="144"/>
      <c r="DB104" s="51"/>
      <c r="DC104" s="51">
        <f>SUM(DC105:DC107)</f>
        <v>1790000</v>
      </c>
      <c r="DD104" s="51"/>
      <c r="DE104" s="51"/>
      <c r="DF104" s="144"/>
      <c r="DG104" s="51"/>
      <c r="DH104" s="51">
        <f>SUM(DH105:DH107)</f>
        <v>0</v>
      </c>
      <c r="DI104" s="51"/>
      <c r="DJ104" s="51"/>
      <c r="DK104" s="144"/>
      <c r="DL104" s="51"/>
      <c r="DM104" s="51">
        <f>SUM(DM105:DM107)</f>
        <v>1950000</v>
      </c>
      <c r="DN104" s="51"/>
      <c r="DO104" s="51"/>
      <c r="DP104" s="144"/>
      <c r="DQ104" s="51"/>
      <c r="DR104" s="51">
        <f>SUM(DR105:DR107)</f>
        <v>0</v>
      </c>
      <c r="DS104" s="51"/>
      <c r="DT104" s="51"/>
      <c r="DU104" s="144"/>
      <c r="DV104" s="51"/>
      <c r="DW104" s="51">
        <f>SUM(DW105:DW107)</f>
        <v>0</v>
      </c>
      <c r="DX104" s="51"/>
      <c r="DY104" s="51"/>
      <c r="DZ104" s="144"/>
      <c r="EA104" s="51"/>
      <c r="EB104" s="51">
        <f>SUM(EB105:EB107)</f>
        <v>1953000</v>
      </c>
      <c r="EC104" s="51"/>
      <c r="ED104" s="51"/>
      <c r="EE104" s="144"/>
      <c r="EF104" s="51"/>
      <c r="EG104" s="51">
        <f>SUM(EG105:EG107)</f>
        <v>0</v>
      </c>
      <c r="EH104" s="51"/>
      <c r="EI104" s="51"/>
      <c r="EJ104" s="144"/>
      <c r="EK104" s="51"/>
      <c r="EL104" s="51">
        <f>SUM(EL105:EL107)</f>
        <v>19050000</v>
      </c>
      <c r="EM104" s="51"/>
      <c r="EN104" s="51"/>
      <c r="EO104" s="340"/>
      <c r="ER104" s="39"/>
      <c r="ES104" s="39"/>
    </row>
    <row r="105" spans="1:149" ht="12.75" customHeight="1" x14ac:dyDescent="0.2">
      <c r="A105" s="317"/>
      <c r="B105" s="317"/>
      <c r="D105" s="340" t="s">
        <v>183</v>
      </c>
      <c r="E105" s="144"/>
      <c r="F105" s="354"/>
      <c r="G105" s="430">
        <v>0</v>
      </c>
      <c r="H105" s="431"/>
      <c r="I105" s="51"/>
      <c r="J105" s="144"/>
      <c r="K105" s="432"/>
      <c r="L105" s="430">
        <v>0</v>
      </c>
      <c r="M105" s="431"/>
      <c r="N105" s="51"/>
      <c r="O105" s="144"/>
      <c r="P105" s="432"/>
      <c r="Q105" s="430">
        <f>1953000-341763</f>
        <v>1611237</v>
      </c>
      <c r="R105" s="431"/>
      <c r="S105" s="51"/>
      <c r="T105" s="144"/>
      <c r="U105" s="432"/>
      <c r="V105" s="430">
        <f>1300000-229554</f>
        <v>1070446</v>
      </c>
      <c r="W105" s="431"/>
      <c r="X105" s="51"/>
      <c r="Y105" s="144"/>
      <c r="Z105" s="432"/>
      <c r="AA105" s="430">
        <f>1953000-461549</f>
        <v>1491451</v>
      </c>
      <c r="AB105" s="431"/>
      <c r="AC105" s="51"/>
      <c r="AD105" s="144"/>
      <c r="AE105" s="432"/>
      <c r="AF105" s="430">
        <f>3905000-784345</f>
        <v>3120655</v>
      </c>
      <c r="AG105" s="431"/>
      <c r="AH105" s="51"/>
      <c r="AI105" s="144"/>
      <c r="AJ105" s="432"/>
      <c r="AK105" s="430">
        <f>1300000-254792</f>
        <v>1045208</v>
      </c>
      <c r="AL105" s="431"/>
      <c r="AM105" s="51"/>
      <c r="AN105" s="144"/>
      <c r="AO105" s="432"/>
      <c r="AP105" s="430">
        <f>1300000-291599</f>
        <v>1008401</v>
      </c>
      <c r="AQ105" s="431"/>
      <c r="AR105" s="51"/>
      <c r="AS105" s="144"/>
      <c r="AT105" s="432"/>
      <c r="AU105" s="430">
        <v>0</v>
      </c>
      <c r="AV105" s="431"/>
      <c r="AW105" s="51"/>
      <c r="AX105" s="144"/>
      <c r="AY105" s="432"/>
      <c r="AZ105" s="430">
        <v>0</v>
      </c>
      <c r="BA105" s="431"/>
      <c r="BB105" s="51"/>
      <c r="BC105" s="144"/>
      <c r="BD105" s="432"/>
      <c r="BE105" s="430">
        <v>0</v>
      </c>
      <c r="BF105" s="431"/>
      <c r="BG105" s="51"/>
      <c r="BH105" s="144"/>
      <c r="BI105" s="432"/>
      <c r="BJ105" s="430">
        <v>0</v>
      </c>
      <c r="BK105" s="431"/>
      <c r="BL105" s="51"/>
      <c r="BM105" s="144"/>
      <c r="BN105" s="432"/>
      <c r="BO105" s="430">
        <v>0</v>
      </c>
      <c r="BP105" s="431"/>
      <c r="BQ105" s="51"/>
      <c r="BR105" s="144"/>
      <c r="BS105" s="432"/>
      <c r="BT105" s="430">
        <f>SUM(L105:BO105)</f>
        <v>9347398</v>
      </c>
      <c r="BU105" s="431"/>
      <c r="BV105" s="51"/>
      <c r="BW105" s="144"/>
      <c r="BX105" s="432"/>
      <c r="BY105" s="430">
        <v>19478598</v>
      </c>
      <c r="BZ105" s="431"/>
      <c r="CA105" s="51"/>
      <c r="CB105" s="144"/>
      <c r="CC105" s="432"/>
      <c r="CD105" s="430">
        <f>4806000-803639</f>
        <v>4002361</v>
      </c>
      <c r="CE105" s="431"/>
      <c r="CF105" s="51"/>
      <c r="CG105" s="144"/>
      <c r="CH105" s="432"/>
      <c r="CI105" s="430">
        <f>3591000-567759</f>
        <v>3023241</v>
      </c>
      <c r="CJ105" s="431"/>
      <c r="CK105" s="51"/>
      <c r="CL105" s="144"/>
      <c r="CM105" s="432"/>
      <c r="CN105" s="430">
        <f>4123000-553104</f>
        <v>3569896</v>
      </c>
      <c r="CO105" s="431"/>
      <c r="CP105" s="51"/>
      <c r="CQ105" s="144"/>
      <c r="CR105" s="432"/>
      <c r="CS105" s="430">
        <v>0</v>
      </c>
      <c r="CT105" s="431"/>
      <c r="CU105" s="51"/>
      <c r="CV105" s="144"/>
      <c r="CW105" s="432"/>
      <c r="CX105" s="430">
        <f>4740000-677434</f>
        <v>4062566</v>
      </c>
      <c r="CY105" s="431"/>
      <c r="CZ105" s="51"/>
      <c r="DA105" s="144"/>
      <c r="DB105" s="432"/>
      <c r="DC105" s="430">
        <f>1790000-242920</f>
        <v>1547080</v>
      </c>
      <c r="DD105" s="431"/>
      <c r="DE105" s="51"/>
      <c r="DF105" s="144"/>
      <c r="DG105" s="432"/>
      <c r="DH105" s="430">
        <v>0</v>
      </c>
      <c r="DI105" s="431"/>
      <c r="DJ105" s="51"/>
      <c r="DK105" s="144"/>
      <c r="DL105" s="432"/>
      <c r="DM105" s="430">
        <f>1950000-347037</f>
        <v>1602963</v>
      </c>
      <c r="DN105" s="431"/>
      <c r="DO105" s="51"/>
      <c r="DP105" s="144"/>
      <c r="DQ105" s="432"/>
      <c r="DR105" s="430">
        <v>0</v>
      </c>
      <c r="DS105" s="431"/>
      <c r="DT105" s="51"/>
      <c r="DU105" s="144"/>
      <c r="DV105" s="432"/>
      <c r="DW105" s="430">
        <v>0</v>
      </c>
      <c r="DX105" s="431"/>
      <c r="DY105" s="51"/>
      <c r="DZ105" s="144"/>
      <c r="EA105" s="432"/>
      <c r="EB105" s="430">
        <f>1953000-282509</f>
        <v>1670491</v>
      </c>
      <c r="EC105" s="431"/>
      <c r="ED105" s="51"/>
      <c r="EE105" s="144"/>
      <c r="EF105" s="432"/>
      <c r="EG105" s="430">
        <v>0</v>
      </c>
      <c r="EH105" s="431"/>
      <c r="EI105" s="51"/>
      <c r="EJ105" s="144"/>
      <c r="EK105" s="432"/>
      <c r="EL105" s="430">
        <f t="shared" ref="EL105:EL107" si="8">SUM(CD105:DH105)</f>
        <v>16205144</v>
      </c>
      <c r="EM105" s="431"/>
      <c r="EN105" s="51"/>
      <c r="EO105" s="340"/>
      <c r="ER105" s="39"/>
      <c r="ES105" s="39"/>
    </row>
    <row r="106" spans="1:149" ht="12.75" customHeight="1" x14ac:dyDescent="0.2">
      <c r="A106" s="317"/>
      <c r="B106" s="317"/>
      <c r="D106" s="340" t="s">
        <v>186</v>
      </c>
      <c r="E106" s="144"/>
      <c r="F106" s="347"/>
      <c r="G106" s="51">
        <v>0</v>
      </c>
      <c r="H106" s="50"/>
      <c r="I106" s="51"/>
      <c r="J106" s="144"/>
      <c r="K106" s="144"/>
      <c r="L106" s="51">
        <v>0</v>
      </c>
      <c r="M106" s="50"/>
      <c r="N106" s="51"/>
      <c r="O106" s="144"/>
      <c r="P106" s="144"/>
      <c r="Q106" s="51">
        <v>341763</v>
      </c>
      <c r="R106" s="50"/>
      <c r="S106" s="51"/>
      <c r="T106" s="144"/>
      <c r="U106" s="144"/>
      <c r="V106" s="51">
        <v>229554</v>
      </c>
      <c r="W106" s="50"/>
      <c r="X106" s="51"/>
      <c r="Y106" s="144"/>
      <c r="Z106" s="144"/>
      <c r="AA106" s="51">
        <v>461549</v>
      </c>
      <c r="AB106" s="50"/>
      <c r="AC106" s="51"/>
      <c r="AD106" s="144"/>
      <c r="AE106" s="144"/>
      <c r="AF106" s="51">
        <v>784345</v>
      </c>
      <c r="AG106" s="50"/>
      <c r="AH106" s="51"/>
      <c r="AI106" s="144"/>
      <c r="AJ106" s="144"/>
      <c r="AK106" s="51">
        <v>254792</v>
      </c>
      <c r="AL106" s="50"/>
      <c r="AM106" s="51"/>
      <c r="AN106" s="144"/>
      <c r="AO106" s="144"/>
      <c r="AP106" s="51">
        <v>291599</v>
      </c>
      <c r="AQ106" s="50"/>
      <c r="AR106" s="51"/>
      <c r="AS106" s="144"/>
      <c r="AT106" s="144"/>
      <c r="AU106" s="51">
        <v>0</v>
      </c>
      <c r="AV106" s="50"/>
      <c r="AW106" s="51"/>
      <c r="AX106" s="144"/>
      <c r="AY106" s="144"/>
      <c r="AZ106" s="51">
        <v>0</v>
      </c>
      <c r="BA106" s="50"/>
      <c r="BB106" s="51"/>
      <c r="BC106" s="144"/>
      <c r="BD106" s="144"/>
      <c r="BE106" s="51">
        <v>0</v>
      </c>
      <c r="BF106" s="50"/>
      <c r="BG106" s="51"/>
      <c r="BH106" s="144"/>
      <c r="BI106" s="144"/>
      <c r="BJ106" s="51">
        <v>0</v>
      </c>
      <c r="BK106" s="50"/>
      <c r="BL106" s="51"/>
      <c r="BM106" s="144"/>
      <c r="BN106" s="144"/>
      <c r="BO106" s="51">
        <v>0</v>
      </c>
      <c r="BP106" s="50"/>
      <c r="BQ106" s="51"/>
      <c r="BR106" s="144"/>
      <c r="BS106" s="144"/>
      <c r="BT106" s="51">
        <f>SUM(L106:BO106)</f>
        <v>2363602</v>
      </c>
      <c r="BU106" s="50"/>
      <c r="BV106" s="51"/>
      <c r="BW106" s="144"/>
      <c r="BX106" s="144"/>
      <c r="BY106" s="51">
        <v>3474402</v>
      </c>
      <c r="BZ106" s="50"/>
      <c r="CA106" s="51"/>
      <c r="CB106" s="144"/>
      <c r="CC106" s="144"/>
      <c r="CD106" s="51">
        <v>803639</v>
      </c>
      <c r="CE106" s="50"/>
      <c r="CF106" s="51"/>
      <c r="CG106" s="144"/>
      <c r="CH106" s="144"/>
      <c r="CI106" s="51">
        <v>567759</v>
      </c>
      <c r="CJ106" s="50"/>
      <c r="CK106" s="51"/>
      <c r="CL106" s="144"/>
      <c r="CM106" s="144"/>
      <c r="CN106" s="51">
        <v>553104</v>
      </c>
      <c r="CO106" s="50"/>
      <c r="CP106" s="51"/>
      <c r="CQ106" s="144"/>
      <c r="CR106" s="144"/>
      <c r="CS106" s="51">
        <v>0</v>
      </c>
      <c r="CT106" s="50"/>
      <c r="CU106" s="51"/>
      <c r="CV106" s="144"/>
      <c r="CW106" s="144"/>
      <c r="CX106" s="51">
        <v>677434</v>
      </c>
      <c r="CY106" s="50"/>
      <c r="CZ106" s="51"/>
      <c r="DA106" s="144"/>
      <c r="DB106" s="144"/>
      <c r="DC106" s="51">
        <v>242920</v>
      </c>
      <c r="DD106" s="50"/>
      <c r="DE106" s="51"/>
      <c r="DF106" s="144"/>
      <c r="DG106" s="144"/>
      <c r="DH106" s="51">
        <v>0</v>
      </c>
      <c r="DI106" s="50"/>
      <c r="DJ106" s="51"/>
      <c r="DK106" s="144"/>
      <c r="DL106" s="144"/>
      <c r="DM106" s="51">
        <v>347037</v>
      </c>
      <c r="DN106" s="50"/>
      <c r="DO106" s="51"/>
      <c r="DP106" s="144"/>
      <c r="DQ106" s="144"/>
      <c r="DR106" s="51">
        <v>0</v>
      </c>
      <c r="DS106" s="50"/>
      <c r="DT106" s="51"/>
      <c r="DU106" s="144"/>
      <c r="DV106" s="144"/>
      <c r="DW106" s="51">
        <v>0</v>
      </c>
      <c r="DX106" s="50"/>
      <c r="DY106" s="51"/>
      <c r="DZ106" s="144"/>
      <c r="EA106" s="144"/>
      <c r="EB106" s="51">
        <v>282509</v>
      </c>
      <c r="EC106" s="50"/>
      <c r="ED106" s="51"/>
      <c r="EE106" s="144"/>
      <c r="EF106" s="144"/>
      <c r="EG106" s="51">
        <v>0</v>
      </c>
      <c r="EH106" s="50"/>
      <c r="EI106" s="51"/>
      <c r="EJ106" s="144"/>
      <c r="EK106" s="144"/>
      <c r="EL106" s="51">
        <f t="shared" si="8"/>
        <v>2844856</v>
      </c>
      <c r="EM106" s="50"/>
      <c r="EN106" s="51"/>
      <c r="EO106" s="340"/>
      <c r="ER106" s="39"/>
      <c r="ES106" s="39"/>
    </row>
    <row r="107" spans="1:149" ht="12.75" customHeight="1" x14ac:dyDescent="0.2">
      <c r="A107" s="317"/>
      <c r="B107" s="317"/>
      <c r="D107" s="340" t="s">
        <v>200</v>
      </c>
      <c r="E107" s="144"/>
      <c r="F107" s="371"/>
      <c r="G107" s="95">
        <v>0</v>
      </c>
      <c r="H107" s="94"/>
      <c r="I107" s="51"/>
      <c r="J107" s="144"/>
      <c r="K107" s="187"/>
      <c r="L107" s="95">
        <v>0</v>
      </c>
      <c r="M107" s="94"/>
      <c r="N107" s="51"/>
      <c r="O107" s="144"/>
      <c r="P107" s="187"/>
      <c r="Q107" s="95">
        <v>0</v>
      </c>
      <c r="R107" s="94"/>
      <c r="S107" s="51"/>
      <c r="T107" s="144"/>
      <c r="U107" s="187"/>
      <c r="V107" s="95">
        <v>0</v>
      </c>
      <c r="W107" s="94"/>
      <c r="X107" s="51"/>
      <c r="Y107" s="144"/>
      <c r="Z107" s="187"/>
      <c r="AA107" s="95">
        <v>0</v>
      </c>
      <c r="AB107" s="94"/>
      <c r="AC107" s="51"/>
      <c r="AD107" s="144"/>
      <c r="AE107" s="187"/>
      <c r="AF107" s="95">
        <v>0</v>
      </c>
      <c r="AG107" s="94"/>
      <c r="AH107" s="51"/>
      <c r="AI107" s="144"/>
      <c r="AJ107" s="187"/>
      <c r="AK107" s="95">
        <v>0</v>
      </c>
      <c r="AL107" s="94"/>
      <c r="AM107" s="51"/>
      <c r="AN107" s="144"/>
      <c r="AO107" s="187"/>
      <c r="AP107" s="95">
        <v>0</v>
      </c>
      <c r="AQ107" s="94"/>
      <c r="AR107" s="51"/>
      <c r="AS107" s="144"/>
      <c r="AT107" s="187"/>
      <c r="AU107" s="95">
        <v>0</v>
      </c>
      <c r="AV107" s="94"/>
      <c r="AW107" s="51"/>
      <c r="AX107" s="144"/>
      <c r="AY107" s="187"/>
      <c r="AZ107" s="95">
        <v>0</v>
      </c>
      <c r="BA107" s="94"/>
      <c r="BB107" s="51"/>
      <c r="BC107" s="144"/>
      <c r="BD107" s="187"/>
      <c r="BE107" s="95">
        <v>0</v>
      </c>
      <c r="BF107" s="94"/>
      <c r="BG107" s="51"/>
      <c r="BH107" s="144"/>
      <c r="BI107" s="187"/>
      <c r="BJ107" s="95">
        <v>0</v>
      </c>
      <c r="BK107" s="94"/>
      <c r="BL107" s="51"/>
      <c r="BM107" s="144"/>
      <c r="BN107" s="187"/>
      <c r="BO107" s="95">
        <v>0</v>
      </c>
      <c r="BP107" s="94"/>
      <c r="BQ107" s="51"/>
      <c r="BR107" s="144"/>
      <c r="BS107" s="187"/>
      <c r="BT107" s="95">
        <f>SUM(L107:BO107)</f>
        <v>0</v>
      </c>
      <c r="BU107" s="94"/>
      <c r="BV107" s="51"/>
      <c r="BW107" s="144"/>
      <c r="BX107" s="187"/>
      <c r="BY107" s="95">
        <v>0</v>
      </c>
      <c r="BZ107" s="94"/>
      <c r="CA107" s="51"/>
      <c r="CB107" s="144"/>
      <c r="CC107" s="187"/>
      <c r="CD107" s="95">
        <v>0</v>
      </c>
      <c r="CE107" s="94"/>
      <c r="CF107" s="51"/>
      <c r="CG107" s="144"/>
      <c r="CH107" s="187"/>
      <c r="CI107" s="95">
        <v>0</v>
      </c>
      <c r="CJ107" s="94"/>
      <c r="CK107" s="51"/>
      <c r="CL107" s="144"/>
      <c r="CM107" s="187"/>
      <c r="CN107" s="95">
        <v>0</v>
      </c>
      <c r="CO107" s="94"/>
      <c r="CP107" s="51"/>
      <c r="CQ107" s="144"/>
      <c r="CR107" s="187"/>
      <c r="CS107" s="95">
        <v>0</v>
      </c>
      <c r="CT107" s="94"/>
      <c r="CU107" s="51"/>
      <c r="CV107" s="144"/>
      <c r="CW107" s="187"/>
      <c r="CX107" s="95">
        <v>0</v>
      </c>
      <c r="CY107" s="94"/>
      <c r="CZ107" s="51"/>
      <c r="DA107" s="144"/>
      <c r="DB107" s="187"/>
      <c r="DC107" s="95">
        <v>0</v>
      </c>
      <c r="DD107" s="94"/>
      <c r="DE107" s="51"/>
      <c r="DF107" s="144"/>
      <c r="DG107" s="187"/>
      <c r="DH107" s="95">
        <v>0</v>
      </c>
      <c r="DI107" s="94"/>
      <c r="DJ107" s="51"/>
      <c r="DK107" s="144"/>
      <c r="DL107" s="187"/>
      <c r="DM107" s="95">
        <v>0</v>
      </c>
      <c r="DN107" s="94"/>
      <c r="DO107" s="51"/>
      <c r="DP107" s="144"/>
      <c r="DQ107" s="187"/>
      <c r="DR107" s="95">
        <v>0</v>
      </c>
      <c r="DS107" s="94"/>
      <c r="DT107" s="51"/>
      <c r="DU107" s="144"/>
      <c r="DV107" s="187"/>
      <c r="DW107" s="95">
        <v>0</v>
      </c>
      <c r="DX107" s="94"/>
      <c r="DY107" s="51"/>
      <c r="DZ107" s="144"/>
      <c r="EA107" s="187"/>
      <c r="EB107" s="95">
        <v>0</v>
      </c>
      <c r="EC107" s="94"/>
      <c r="ED107" s="51"/>
      <c r="EE107" s="144"/>
      <c r="EF107" s="187"/>
      <c r="EG107" s="95">
        <v>0</v>
      </c>
      <c r="EH107" s="94"/>
      <c r="EI107" s="51"/>
      <c r="EJ107" s="144"/>
      <c r="EK107" s="187"/>
      <c r="EL107" s="95">
        <f t="shared" si="8"/>
        <v>0</v>
      </c>
      <c r="EM107" s="94"/>
      <c r="EN107" s="51"/>
      <c r="EO107" s="340"/>
      <c r="ER107" s="39"/>
      <c r="ES107" s="39"/>
    </row>
    <row r="108" spans="1:149" ht="12.75" customHeight="1" x14ac:dyDescent="0.2">
      <c r="A108" s="317"/>
      <c r="B108" s="317"/>
      <c r="D108" s="340"/>
      <c r="E108" s="144"/>
      <c r="F108" s="317"/>
      <c r="G108" s="51"/>
      <c r="H108" s="51"/>
      <c r="I108" s="51"/>
      <c r="J108" s="144"/>
      <c r="K108" s="51"/>
      <c r="L108" s="51"/>
      <c r="M108" s="51"/>
      <c r="N108" s="51"/>
      <c r="O108" s="144"/>
      <c r="P108" s="51"/>
      <c r="Q108" s="51"/>
      <c r="R108" s="51"/>
      <c r="S108" s="51"/>
      <c r="T108" s="144"/>
      <c r="U108" s="51"/>
      <c r="V108" s="51"/>
      <c r="W108" s="51"/>
      <c r="X108" s="51"/>
      <c r="Y108" s="144"/>
      <c r="Z108" s="51"/>
      <c r="AA108" s="51"/>
      <c r="AB108" s="51"/>
      <c r="AC108" s="51"/>
      <c r="AD108" s="144"/>
      <c r="AE108" s="51"/>
      <c r="AF108" s="51"/>
      <c r="AG108" s="51"/>
      <c r="AH108" s="51"/>
      <c r="AI108" s="144"/>
      <c r="AJ108" s="51"/>
      <c r="AK108" s="51"/>
      <c r="AL108" s="51"/>
      <c r="AM108" s="51"/>
      <c r="AN108" s="144"/>
      <c r="AO108" s="51"/>
      <c r="AP108" s="51"/>
      <c r="AQ108" s="51"/>
      <c r="AR108" s="51"/>
      <c r="AS108" s="144"/>
      <c r="AT108" s="51"/>
      <c r="AU108" s="51"/>
      <c r="AV108" s="51"/>
      <c r="AW108" s="51"/>
      <c r="AX108" s="144"/>
      <c r="AY108" s="51"/>
      <c r="AZ108" s="51"/>
      <c r="BA108" s="51"/>
      <c r="BB108" s="51"/>
      <c r="BC108" s="144"/>
      <c r="BD108" s="51"/>
      <c r="BE108" s="51"/>
      <c r="BF108" s="51"/>
      <c r="BG108" s="51"/>
      <c r="BH108" s="144"/>
      <c r="BI108" s="51"/>
      <c r="BJ108" s="51"/>
      <c r="BK108" s="51"/>
      <c r="BL108" s="51"/>
      <c r="BM108" s="144"/>
      <c r="BN108" s="51"/>
      <c r="BO108" s="51"/>
      <c r="BP108" s="51"/>
      <c r="BQ108" s="51"/>
      <c r="BR108" s="144"/>
      <c r="BS108" s="51"/>
      <c r="BT108" s="51"/>
      <c r="BU108" s="51"/>
      <c r="BV108" s="51"/>
      <c r="BW108" s="144"/>
      <c r="BX108" s="51"/>
      <c r="BY108" s="51"/>
      <c r="BZ108" s="51"/>
      <c r="CA108" s="51"/>
      <c r="CB108" s="144"/>
      <c r="CC108" s="51"/>
      <c r="CD108" s="51"/>
      <c r="CE108" s="51"/>
      <c r="CF108" s="51"/>
      <c r="CG108" s="144"/>
      <c r="CH108" s="51"/>
      <c r="CI108" s="51"/>
      <c r="CJ108" s="51"/>
      <c r="CK108" s="51"/>
      <c r="CL108" s="144"/>
      <c r="CM108" s="51"/>
      <c r="CN108" s="51"/>
      <c r="CO108" s="51"/>
      <c r="CP108" s="51"/>
      <c r="CQ108" s="144"/>
      <c r="CR108" s="51"/>
      <c r="CS108" s="51"/>
      <c r="CT108" s="51"/>
      <c r="CU108" s="51"/>
      <c r="CV108" s="144"/>
      <c r="CW108" s="51"/>
      <c r="CX108" s="51"/>
      <c r="CY108" s="51"/>
      <c r="CZ108" s="51"/>
      <c r="DA108" s="144"/>
      <c r="DB108" s="51"/>
      <c r="DC108" s="51"/>
      <c r="DD108" s="51"/>
      <c r="DE108" s="51"/>
      <c r="DF108" s="144"/>
      <c r="DG108" s="51"/>
      <c r="DH108" s="51"/>
      <c r="DI108" s="51"/>
      <c r="DJ108" s="51"/>
      <c r="DK108" s="144"/>
      <c r="DL108" s="51"/>
      <c r="DM108" s="51"/>
      <c r="DN108" s="51"/>
      <c r="DO108" s="51"/>
      <c r="DP108" s="144"/>
      <c r="DQ108" s="51"/>
      <c r="DR108" s="51"/>
      <c r="DS108" s="51"/>
      <c r="DT108" s="51"/>
      <c r="DU108" s="144"/>
      <c r="DV108" s="51"/>
      <c r="DW108" s="51"/>
      <c r="DX108" s="51"/>
      <c r="DY108" s="51"/>
      <c r="DZ108" s="144"/>
      <c r="EA108" s="51"/>
      <c r="EB108" s="51"/>
      <c r="EC108" s="51"/>
      <c r="ED108" s="51"/>
      <c r="EE108" s="144"/>
      <c r="EF108" s="51"/>
      <c r="EG108" s="51"/>
      <c r="EH108" s="51"/>
      <c r="EI108" s="51"/>
      <c r="EJ108" s="144"/>
      <c r="EK108" s="51"/>
      <c r="EL108" s="51"/>
      <c r="EM108" s="51"/>
      <c r="EN108" s="51"/>
      <c r="EO108" s="340"/>
      <c r="ER108" s="39"/>
      <c r="ES108" s="39"/>
    </row>
    <row r="109" spans="1:149" ht="12.75" customHeight="1" x14ac:dyDescent="0.2">
      <c r="A109" s="317"/>
      <c r="B109" s="317"/>
      <c r="D109" s="340" t="s">
        <v>203</v>
      </c>
      <c r="E109" s="144"/>
      <c r="F109" s="317"/>
      <c r="G109" s="51">
        <f>SUM(G110:G112)</f>
        <v>0</v>
      </c>
      <c r="H109" s="51"/>
      <c r="I109" s="51"/>
      <c r="J109" s="144"/>
      <c r="K109" s="51"/>
      <c r="L109" s="51">
        <f>SUM(L110:L112)</f>
        <v>4553000</v>
      </c>
      <c r="M109" s="51"/>
      <c r="N109" s="51"/>
      <c r="O109" s="144"/>
      <c r="P109" s="51"/>
      <c r="Q109" s="51">
        <f>SUM(Q110:Q112)</f>
        <v>3599000</v>
      </c>
      <c r="R109" s="51"/>
      <c r="S109" s="51"/>
      <c r="T109" s="144"/>
      <c r="U109" s="51"/>
      <c r="V109" s="51">
        <f>SUM(V110:V112)</f>
        <v>1300000</v>
      </c>
      <c r="W109" s="51"/>
      <c r="X109" s="51"/>
      <c r="Y109" s="144"/>
      <c r="Z109" s="51"/>
      <c r="AA109" s="51">
        <f>SUM(AA110:AA112)</f>
        <v>2896000</v>
      </c>
      <c r="AB109" s="51"/>
      <c r="AC109" s="51"/>
      <c r="AD109" s="144"/>
      <c r="AE109" s="51"/>
      <c r="AF109" s="51">
        <f>SUM(AF110:AF112)</f>
        <v>3899000</v>
      </c>
      <c r="AG109" s="51"/>
      <c r="AH109" s="51"/>
      <c r="AI109" s="144"/>
      <c r="AJ109" s="51"/>
      <c r="AK109" s="51">
        <f>SUM(AK110:AK112)</f>
        <v>3186000</v>
      </c>
      <c r="AL109" s="51"/>
      <c r="AM109" s="51"/>
      <c r="AN109" s="144"/>
      <c r="AO109" s="51"/>
      <c r="AP109" s="51">
        <f>SUM(AP110:AP112)</f>
        <v>2600000</v>
      </c>
      <c r="AQ109" s="51"/>
      <c r="AR109" s="51"/>
      <c r="AS109" s="144"/>
      <c r="AT109" s="51"/>
      <c r="AU109" s="51">
        <f>SUM(AU110:AU112)</f>
        <v>0</v>
      </c>
      <c r="AV109" s="51"/>
      <c r="AW109" s="51"/>
      <c r="AX109" s="144"/>
      <c r="AY109" s="51"/>
      <c r="AZ109" s="51">
        <f>SUM(AZ110:AZ112)</f>
        <v>0</v>
      </c>
      <c r="BA109" s="51"/>
      <c r="BB109" s="51"/>
      <c r="BC109" s="144"/>
      <c r="BD109" s="51"/>
      <c r="BE109" s="51">
        <f>SUM(BE110:BE112)</f>
        <v>0</v>
      </c>
      <c r="BF109" s="51"/>
      <c r="BG109" s="51"/>
      <c r="BH109" s="144"/>
      <c r="BI109" s="51"/>
      <c r="BJ109" s="51">
        <f>SUM(BJ110:BJ112)</f>
        <v>0</v>
      </c>
      <c r="BK109" s="51"/>
      <c r="BL109" s="51"/>
      <c r="BM109" s="144"/>
      <c r="BN109" s="51"/>
      <c r="BO109" s="51">
        <f>SUM(BO110:BO112)</f>
        <v>0</v>
      </c>
      <c r="BP109" s="51"/>
      <c r="BQ109" s="51"/>
      <c r="BR109" s="144"/>
      <c r="BS109" s="95"/>
      <c r="BT109" s="95">
        <f>SUM(BT110:BT112)</f>
        <v>22033000</v>
      </c>
      <c r="BU109" s="51"/>
      <c r="BV109" s="51"/>
      <c r="BW109" s="144"/>
      <c r="BX109" s="51"/>
      <c r="BY109" s="51">
        <f>SUM(BY110:BY112)</f>
        <v>36346170</v>
      </c>
      <c r="BZ109" s="51"/>
      <c r="CA109" s="51"/>
      <c r="CB109" s="144"/>
      <c r="CC109" s="51"/>
      <c r="CD109" s="51">
        <f>SUM(CD110:CD112)</f>
        <v>2400000</v>
      </c>
      <c r="CE109" s="51"/>
      <c r="CF109" s="51"/>
      <c r="CG109" s="144"/>
      <c r="CH109" s="51"/>
      <c r="CI109" s="51">
        <f>SUM(CI110:CI112)</f>
        <v>1305964</v>
      </c>
      <c r="CJ109" s="51"/>
      <c r="CK109" s="51"/>
      <c r="CL109" s="144"/>
      <c r="CM109" s="51"/>
      <c r="CN109" s="51">
        <f>SUM(CN110:CN112)</f>
        <v>5190000</v>
      </c>
      <c r="CO109" s="51"/>
      <c r="CP109" s="51"/>
      <c r="CQ109" s="144"/>
      <c r="CR109" s="51"/>
      <c r="CS109" s="51">
        <f>SUM(CS110:CS112)</f>
        <v>3903000</v>
      </c>
      <c r="CT109" s="51"/>
      <c r="CU109" s="51"/>
      <c r="CV109" s="144"/>
      <c r="CW109" s="51"/>
      <c r="CX109" s="51">
        <f>SUM(CX110:CX112)</f>
        <v>3899000</v>
      </c>
      <c r="CY109" s="51"/>
      <c r="CZ109" s="51"/>
      <c r="DA109" s="144"/>
      <c r="DB109" s="51"/>
      <c r="DC109" s="51">
        <f>SUM(DC110:DC112)</f>
        <v>1300000</v>
      </c>
      <c r="DD109" s="51"/>
      <c r="DE109" s="51"/>
      <c r="DF109" s="144"/>
      <c r="DG109" s="51"/>
      <c r="DH109" s="51">
        <f>SUM(DH110:DH112)</f>
        <v>3255000</v>
      </c>
      <c r="DI109" s="51"/>
      <c r="DJ109" s="51"/>
      <c r="DK109" s="144"/>
      <c r="DL109" s="51"/>
      <c r="DM109" s="51">
        <f>SUM(DM110:DM112)</f>
        <v>3022000</v>
      </c>
      <c r="DN109" s="51"/>
      <c r="DO109" s="51"/>
      <c r="DP109" s="144"/>
      <c r="DQ109" s="51"/>
      <c r="DR109" s="51">
        <f>SUM(DR110:DR112)</f>
        <v>3908206</v>
      </c>
      <c r="DS109" s="51"/>
      <c r="DT109" s="51"/>
      <c r="DU109" s="144"/>
      <c r="DV109" s="51"/>
      <c r="DW109" s="51">
        <f>SUM(DW110:DW112)</f>
        <v>0</v>
      </c>
      <c r="DX109" s="51"/>
      <c r="DY109" s="51"/>
      <c r="DZ109" s="144"/>
      <c r="EA109" s="51"/>
      <c r="EB109" s="51">
        <f>SUM(EB110:EB112)</f>
        <v>4913000</v>
      </c>
      <c r="EC109" s="51"/>
      <c r="ED109" s="51"/>
      <c r="EE109" s="144"/>
      <c r="EF109" s="51"/>
      <c r="EG109" s="51">
        <f>SUM(EG110:EG112)</f>
        <v>3250000</v>
      </c>
      <c r="EH109" s="51"/>
      <c r="EI109" s="50"/>
      <c r="EJ109" s="144"/>
      <c r="EK109" s="51"/>
      <c r="EL109" s="95">
        <f>SUM(EL110:EL112)</f>
        <v>21252964</v>
      </c>
      <c r="EM109" s="51"/>
      <c r="EN109" s="51"/>
      <c r="EO109" s="340"/>
      <c r="ER109" s="39"/>
      <c r="ES109" s="39"/>
    </row>
    <row r="110" spans="1:149" ht="12.75" customHeight="1" x14ac:dyDescent="0.2">
      <c r="A110" s="317"/>
      <c r="B110" s="317"/>
      <c r="D110" s="340" t="s">
        <v>183</v>
      </c>
      <c r="E110" s="144"/>
      <c r="F110" s="354"/>
      <c r="G110" s="430">
        <v>0</v>
      </c>
      <c r="H110" s="431"/>
      <c r="I110" s="51"/>
      <c r="J110" s="144"/>
      <c r="K110" s="432"/>
      <c r="L110" s="430">
        <f>4553000-498539</f>
        <v>4054461</v>
      </c>
      <c r="M110" s="431"/>
      <c r="N110" s="51"/>
      <c r="O110" s="144"/>
      <c r="P110" s="432"/>
      <c r="Q110" s="430">
        <f>3599000-465928</f>
        <v>3133072</v>
      </c>
      <c r="R110" s="431"/>
      <c r="S110" s="51"/>
      <c r="T110" s="144"/>
      <c r="U110" s="432"/>
      <c r="V110" s="430">
        <f>1300000-168249</f>
        <v>1131751</v>
      </c>
      <c r="W110" s="431"/>
      <c r="X110" s="51"/>
      <c r="Y110" s="144"/>
      <c r="Z110" s="432"/>
      <c r="AA110" s="430">
        <f>2896000-447929</f>
        <v>2448071</v>
      </c>
      <c r="AB110" s="431"/>
      <c r="AC110" s="51"/>
      <c r="AD110" s="144"/>
      <c r="AE110" s="432"/>
      <c r="AF110" s="430">
        <f>3899000-566873</f>
        <v>3332127</v>
      </c>
      <c r="AG110" s="431"/>
      <c r="AH110" s="51"/>
      <c r="AI110" s="144"/>
      <c r="AJ110" s="432"/>
      <c r="AK110" s="430">
        <f>3186000-478154</f>
        <v>2707846</v>
      </c>
      <c r="AL110" s="431"/>
      <c r="AM110" s="51"/>
      <c r="AN110" s="144"/>
      <c r="AO110" s="432"/>
      <c r="AP110" s="430">
        <f>2600000-434125</f>
        <v>2165875</v>
      </c>
      <c r="AQ110" s="431"/>
      <c r="AR110" s="51"/>
      <c r="AS110" s="144"/>
      <c r="AT110" s="432"/>
      <c r="AU110" s="430">
        <v>0</v>
      </c>
      <c r="AV110" s="431"/>
      <c r="AW110" s="51"/>
      <c r="AX110" s="144"/>
      <c r="AY110" s="432"/>
      <c r="AZ110" s="430">
        <v>0</v>
      </c>
      <c r="BA110" s="431"/>
      <c r="BB110" s="51"/>
      <c r="BC110" s="144"/>
      <c r="BD110" s="432"/>
      <c r="BE110" s="430">
        <v>0</v>
      </c>
      <c r="BF110" s="431"/>
      <c r="BG110" s="51"/>
      <c r="BH110" s="144"/>
      <c r="BI110" s="432"/>
      <c r="BJ110" s="430">
        <v>0</v>
      </c>
      <c r="BK110" s="431"/>
      <c r="BL110" s="51"/>
      <c r="BM110" s="144"/>
      <c r="BN110" s="432"/>
      <c r="BO110" s="430">
        <v>0</v>
      </c>
      <c r="BP110" s="431"/>
      <c r="BQ110" s="51"/>
      <c r="BR110" s="144"/>
      <c r="BS110" s="144"/>
      <c r="BT110" s="51">
        <f>SUM(L110:BO110)</f>
        <v>18973203</v>
      </c>
      <c r="BU110" s="431"/>
      <c r="BV110" s="51"/>
      <c r="BW110" s="144"/>
      <c r="BX110" s="432"/>
      <c r="BY110" s="430">
        <v>32674556</v>
      </c>
      <c r="BZ110" s="431"/>
      <c r="CA110" s="51"/>
      <c r="CB110" s="144"/>
      <c r="CC110" s="432"/>
      <c r="CD110" s="430">
        <f>2400000-321947</f>
        <v>2078053</v>
      </c>
      <c r="CE110" s="431"/>
      <c r="CF110" s="51"/>
      <c r="CG110" s="144"/>
      <c r="CH110" s="432"/>
      <c r="CI110" s="430">
        <f>1305964-120058</f>
        <v>1185906</v>
      </c>
      <c r="CJ110" s="431"/>
      <c r="CK110" s="51"/>
      <c r="CL110" s="144"/>
      <c r="CM110" s="432"/>
      <c r="CN110" s="430">
        <f>5190000-449333</f>
        <v>4740667</v>
      </c>
      <c r="CO110" s="431"/>
      <c r="CP110" s="51"/>
      <c r="CQ110" s="144"/>
      <c r="CR110" s="432"/>
      <c r="CS110" s="430">
        <f>3903000-370705</f>
        <v>3532295</v>
      </c>
      <c r="CT110" s="431"/>
      <c r="CU110" s="51"/>
      <c r="CV110" s="144"/>
      <c r="CW110" s="432"/>
      <c r="CX110" s="430">
        <f>3899000-356046</f>
        <v>3542954</v>
      </c>
      <c r="CY110" s="431"/>
      <c r="CZ110" s="51"/>
      <c r="DA110" s="144"/>
      <c r="DB110" s="432"/>
      <c r="DC110" s="430">
        <f>1300000-112960</f>
        <v>1187040</v>
      </c>
      <c r="DD110" s="431"/>
      <c r="DE110" s="51"/>
      <c r="DF110" s="144"/>
      <c r="DG110" s="432"/>
      <c r="DH110" s="430">
        <f>3255000-370605</f>
        <v>2884395</v>
      </c>
      <c r="DI110" s="431"/>
      <c r="DJ110" s="51"/>
      <c r="DK110" s="144"/>
      <c r="DL110" s="432"/>
      <c r="DM110" s="430">
        <f>3022000-339245</f>
        <v>2682755</v>
      </c>
      <c r="DN110" s="431"/>
      <c r="DO110" s="51"/>
      <c r="DP110" s="144"/>
      <c r="DQ110" s="432"/>
      <c r="DR110" s="430">
        <f>3908206-415757</f>
        <v>3492449</v>
      </c>
      <c r="DS110" s="431"/>
      <c r="DT110" s="51"/>
      <c r="DU110" s="144"/>
      <c r="DV110" s="432"/>
      <c r="DW110" s="430">
        <v>0</v>
      </c>
      <c r="DX110" s="431"/>
      <c r="DY110" s="51"/>
      <c r="DZ110" s="144"/>
      <c r="EA110" s="432"/>
      <c r="EB110" s="430">
        <f>4913000-453769</f>
        <v>4459231</v>
      </c>
      <c r="EC110" s="431"/>
      <c r="ED110" s="51"/>
      <c r="EE110" s="144"/>
      <c r="EF110" s="432"/>
      <c r="EG110" s="430">
        <f>3250000-361189</f>
        <v>2888811</v>
      </c>
      <c r="EH110" s="431"/>
      <c r="EI110" s="50"/>
      <c r="EJ110" s="47"/>
      <c r="EK110" s="432"/>
      <c r="EL110" s="51">
        <f t="shared" ref="EL110:EL112" si="9">SUM(CD110:DH110)</f>
        <v>19151310</v>
      </c>
      <c r="EM110" s="431"/>
      <c r="EN110" s="51"/>
      <c r="EO110" s="340"/>
      <c r="ER110" s="39"/>
      <c r="ES110" s="39"/>
    </row>
    <row r="111" spans="1:149" ht="12.75" customHeight="1" x14ac:dyDescent="0.2">
      <c r="A111" s="317"/>
      <c r="B111" s="317"/>
      <c r="D111" s="340" t="s">
        <v>186</v>
      </c>
      <c r="E111" s="144"/>
      <c r="F111" s="347"/>
      <c r="G111" s="51">
        <v>0</v>
      </c>
      <c r="H111" s="50"/>
      <c r="I111" s="51"/>
      <c r="J111" s="144"/>
      <c r="K111" s="144"/>
      <c r="L111" s="51">
        <v>498539</v>
      </c>
      <c r="M111" s="50"/>
      <c r="N111" s="51"/>
      <c r="O111" s="144"/>
      <c r="P111" s="144"/>
      <c r="Q111" s="51">
        <v>465928</v>
      </c>
      <c r="R111" s="50"/>
      <c r="S111" s="51"/>
      <c r="T111" s="144"/>
      <c r="U111" s="144"/>
      <c r="V111" s="51">
        <v>168249</v>
      </c>
      <c r="W111" s="50"/>
      <c r="X111" s="51"/>
      <c r="Y111" s="144"/>
      <c r="Z111" s="144"/>
      <c r="AA111" s="51">
        <v>447929</v>
      </c>
      <c r="AB111" s="50"/>
      <c r="AC111" s="51"/>
      <c r="AD111" s="144"/>
      <c r="AE111" s="144"/>
      <c r="AF111" s="51">
        <v>566873</v>
      </c>
      <c r="AG111" s="50"/>
      <c r="AH111" s="51"/>
      <c r="AI111" s="144"/>
      <c r="AJ111" s="144"/>
      <c r="AK111" s="51">
        <v>478154</v>
      </c>
      <c r="AL111" s="50"/>
      <c r="AM111" s="51"/>
      <c r="AN111" s="144"/>
      <c r="AO111" s="144"/>
      <c r="AP111" s="51">
        <v>434125</v>
      </c>
      <c r="AQ111" s="50"/>
      <c r="AR111" s="51"/>
      <c r="AS111" s="144"/>
      <c r="AT111" s="144"/>
      <c r="AU111" s="51">
        <v>0</v>
      </c>
      <c r="AV111" s="50"/>
      <c r="AW111" s="51"/>
      <c r="AX111" s="144"/>
      <c r="AY111" s="144"/>
      <c r="AZ111" s="51">
        <v>0</v>
      </c>
      <c r="BA111" s="50"/>
      <c r="BB111" s="51"/>
      <c r="BC111" s="144"/>
      <c r="BD111" s="144"/>
      <c r="BE111" s="51">
        <v>0</v>
      </c>
      <c r="BF111" s="50"/>
      <c r="BG111" s="51"/>
      <c r="BH111" s="144"/>
      <c r="BI111" s="144"/>
      <c r="BJ111" s="51">
        <v>0</v>
      </c>
      <c r="BK111" s="50"/>
      <c r="BL111" s="51"/>
      <c r="BM111" s="144"/>
      <c r="BN111" s="144"/>
      <c r="BO111" s="51">
        <v>0</v>
      </c>
      <c r="BP111" s="50"/>
      <c r="BQ111" s="51"/>
      <c r="BR111" s="144"/>
      <c r="BS111" s="144"/>
      <c r="BT111" s="51">
        <f>SUM(L111:BO111)</f>
        <v>3059797</v>
      </c>
      <c r="BU111" s="50"/>
      <c r="BV111" s="51"/>
      <c r="BW111" s="144"/>
      <c r="BX111" s="144"/>
      <c r="BY111" s="51">
        <v>3671614</v>
      </c>
      <c r="BZ111" s="50"/>
      <c r="CA111" s="51"/>
      <c r="CB111" s="144"/>
      <c r="CC111" s="144"/>
      <c r="CD111" s="51">
        <v>321947</v>
      </c>
      <c r="CE111" s="50"/>
      <c r="CF111" s="51"/>
      <c r="CG111" s="144"/>
      <c r="CH111" s="144"/>
      <c r="CI111" s="51">
        <v>120058</v>
      </c>
      <c r="CJ111" s="50"/>
      <c r="CK111" s="51"/>
      <c r="CL111" s="144"/>
      <c r="CM111" s="144"/>
      <c r="CN111" s="51">
        <v>449333</v>
      </c>
      <c r="CO111" s="50"/>
      <c r="CP111" s="51"/>
      <c r="CQ111" s="144"/>
      <c r="CR111" s="144"/>
      <c r="CS111" s="51">
        <v>370705</v>
      </c>
      <c r="CT111" s="50"/>
      <c r="CU111" s="51"/>
      <c r="CV111" s="144"/>
      <c r="CW111" s="144"/>
      <c r="CX111" s="51">
        <v>356046</v>
      </c>
      <c r="CY111" s="50"/>
      <c r="CZ111" s="51"/>
      <c r="DA111" s="144"/>
      <c r="DB111" s="144"/>
      <c r="DC111" s="51">
        <v>112960</v>
      </c>
      <c r="DD111" s="50"/>
      <c r="DE111" s="51"/>
      <c r="DF111" s="144"/>
      <c r="DG111" s="144"/>
      <c r="DH111" s="51">
        <v>370605</v>
      </c>
      <c r="DI111" s="50"/>
      <c r="DJ111" s="51"/>
      <c r="DK111" s="144"/>
      <c r="DL111" s="144"/>
      <c r="DM111" s="51">
        <v>339245</v>
      </c>
      <c r="DN111" s="50"/>
      <c r="DO111" s="51"/>
      <c r="DP111" s="144"/>
      <c r="DQ111" s="144"/>
      <c r="DR111" s="51">
        <v>415757</v>
      </c>
      <c r="DS111" s="50"/>
      <c r="DT111" s="51"/>
      <c r="DU111" s="144"/>
      <c r="DV111" s="144"/>
      <c r="DW111" s="51">
        <v>0</v>
      </c>
      <c r="DX111" s="50"/>
      <c r="DY111" s="51"/>
      <c r="DZ111" s="144"/>
      <c r="EA111" s="144"/>
      <c r="EB111" s="51">
        <v>453769</v>
      </c>
      <c r="EC111" s="50"/>
      <c r="ED111" s="51"/>
      <c r="EE111" s="144"/>
      <c r="EF111" s="144"/>
      <c r="EG111" s="51">
        <v>361189</v>
      </c>
      <c r="EH111" s="50"/>
      <c r="EI111" s="51"/>
      <c r="EJ111" s="144"/>
      <c r="EK111" s="144"/>
      <c r="EL111" s="51">
        <f t="shared" si="9"/>
        <v>2101654</v>
      </c>
      <c r="EM111" s="50"/>
      <c r="EN111" s="51"/>
      <c r="EO111" s="340"/>
      <c r="ER111" s="39"/>
      <c r="ES111" s="39"/>
    </row>
    <row r="112" spans="1:149" ht="12.75" customHeight="1" x14ac:dyDescent="0.2">
      <c r="A112" s="317"/>
      <c r="B112" s="317"/>
      <c r="D112" s="340" t="s">
        <v>200</v>
      </c>
      <c r="E112" s="144"/>
      <c r="F112" s="371"/>
      <c r="G112" s="95">
        <v>0</v>
      </c>
      <c r="H112" s="94"/>
      <c r="I112" s="51"/>
      <c r="J112" s="144"/>
      <c r="K112" s="187"/>
      <c r="L112" s="95">
        <v>0</v>
      </c>
      <c r="M112" s="94"/>
      <c r="N112" s="51"/>
      <c r="O112" s="144"/>
      <c r="P112" s="187"/>
      <c r="Q112" s="95">
        <v>0</v>
      </c>
      <c r="R112" s="94"/>
      <c r="S112" s="51"/>
      <c r="T112" s="144"/>
      <c r="U112" s="187"/>
      <c r="V112" s="95">
        <v>0</v>
      </c>
      <c r="W112" s="94"/>
      <c r="X112" s="51"/>
      <c r="Y112" s="144"/>
      <c r="Z112" s="187"/>
      <c r="AA112" s="95">
        <v>0</v>
      </c>
      <c r="AB112" s="94"/>
      <c r="AC112" s="51"/>
      <c r="AD112" s="144"/>
      <c r="AE112" s="187"/>
      <c r="AF112" s="95">
        <v>0</v>
      </c>
      <c r="AG112" s="94"/>
      <c r="AH112" s="51"/>
      <c r="AI112" s="144"/>
      <c r="AJ112" s="187"/>
      <c r="AK112" s="95">
        <v>0</v>
      </c>
      <c r="AL112" s="94"/>
      <c r="AM112" s="51"/>
      <c r="AN112" s="144"/>
      <c r="AO112" s="187"/>
      <c r="AP112" s="95">
        <v>0</v>
      </c>
      <c r="AQ112" s="94"/>
      <c r="AR112" s="51"/>
      <c r="AS112" s="144"/>
      <c r="AT112" s="187"/>
      <c r="AU112" s="95">
        <v>0</v>
      </c>
      <c r="AV112" s="94"/>
      <c r="AW112" s="51"/>
      <c r="AX112" s="144"/>
      <c r="AY112" s="187"/>
      <c r="AZ112" s="95">
        <v>0</v>
      </c>
      <c r="BA112" s="94"/>
      <c r="BB112" s="51"/>
      <c r="BC112" s="144"/>
      <c r="BD112" s="187"/>
      <c r="BE112" s="95">
        <v>0</v>
      </c>
      <c r="BF112" s="94"/>
      <c r="BG112" s="51"/>
      <c r="BH112" s="144"/>
      <c r="BI112" s="187"/>
      <c r="BJ112" s="95">
        <v>0</v>
      </c>
      <c r="BK112" s="94"/>
      <c r="BL112" s="51"/>
      <c r="BM112" s="144"/>
      <c r="BN112" s="187"/>
      <c r="BO112" s="95">
        <v>0</v>
      </c>
      <c r="BP112" s="94"/>
      <c r="BQ112" s="51"/>
      <c r="BR112" s="144"/>
      <c r="BS112" s="187"/>
      <c r="BT112" s="95">
        <f>SUM(L112:BO112)</f>
        <v>0</v>
      </c>
      <c r="BU112" s="94"/>
      <c r="BV112" s="51"/>
      <c r="BW112" s="144"/>
      <c r="BX112" s="187"/>
      <c r="BY112" s="95">
        <v>0</v>
      </c>
      <c r="BZ112" s="94"/>
      <c r="CA112" s="51"/>
      <c r="CB112" s="144"/>
      <c r="CC112" s="187"/>
      <c r="CD112" s="95">
        <v>0</v>
      </c>
      <c r="CE112" s="94"/>
      <c r="CF112" s="51"/>
      <c r="CG112" s="144"/>
      <c r="CH112" s="187"/>
      <c r="CI112" s="95">
        <v>0</v>
      </c>
      <c r="CJ112" s="94"/>
      <c r="CK112" s="51"/>
      <c r="CL112" s="144"/>
      <c r="CM112" s="187"/>
      <c r="CN112" s="95">
        <v>0</v>
      </c>
      <c r="CO112" s="94"/>
      <c r="CP112" s="51"/>
      <c r="CQ112" s="144"/>
      <c r="CR112" s="187"/>
      <c r="CS112" s="95">
        <v>0</v>
      </c>
      <c r="CT112" s="94"/>
      <c r="CU112" s="51"/>
      <c r="CV112" s="144"/>
      <c r="CW112" s="187"/>
      <c r="CX112" s="95">
        <v>0</v>
      </c>
      <c r="CY112" s="94"/>
      <c r="CZ112" s="51"/>
      <c r="DA112" s="144"/>
      <c r="DB112" s="187"/>
      <c r="DC112" s="95">
        <v>0</v>
      </c>
      <c r="DD112" s="94"/>
      <c r="DE112" s="51"/>
      <c r="DF112" s="144"/>
      <c r="DG112" s="187"/>
      <c r="DH112" s="95">
        <v>0</v>
      </c>
      <c r="DI112" s="94"/>
      <c r="DJ112" s="51"/>
      <c r="DK112" s="144"/>
      <c r="DL112" s="187"/>
      <c r="DM112" s="95">
        <v>0</v>
      </c>
      <c r="DN112" s="94"/>
      <c r="DO112" s="51"/>
      <c r="DP112" s="144"/>
      <c r="DQ112" s="187"/>
      <c r="DR112" s="95">
        <v>0</v>
      </c>
      <c r="DS112" s="94"/>
      <c r="DT112" s="51"/>
      <c r="DU112" s="144"/>
      <c r="DV112" s="187"/>
      <c r="DW112" s="95">
        <v>0</v>
      </c>
      <c r="DX112" s="94"/>
      <c r="DY112" s="51"/>
      <c r="DZ112" s="144"/>
      <c r="EA112" s="187"/>
      <c r="EB112" s="95">
        <v>0</v>
      </c>
      <c r="EC112" s="94"/>
      <c r="ED112" s="51"/>
      <c r="EE112" s="144"/>
      <c r="EF112" s="187"/>
      <c r="EG112" s="95">
        <v>0</v>
      </c>
      <c r="EH112" s="94"/>
      <c r="EI112" s="51"/>
      <c r="EJ112" s="144"/>
      <c r="EK112" s="187"/>
      <c r="EL112" s="95">
        <f t="shared" si="9"/>
        <v>0</v>
      </c>
      <c r="EM112" s="94"/>
      <c r="EN112" s="51"/>
      <c r="EO112" s="340"/>
      <c r="ER112" s="39"/>
      <c r="ES112" s="39"/>
    </row>
    <row r="113" spans="1:149" ht="12.75" customHeight="1" x14ac:dyDescent="0.2">
      <c r="A113" s="317"/>
      <c r="B113" s="317"/>
      <c r="D113" s="340"/>
      <c r="E113" s="144"/>
      <c r="F113" s="317"/>
      <c r="G113" s="51"/>
      <c r="H113" s="51"/>
      <c r="I113" s="51"/>
      <c r="J113" s="144"/>
      <c r="K113" s="51"/>
      <c r="L113" s="51"/>
      <c r="M113" s="51"/>
      <c r="N113" s="51"/>
      <c r="O113" s="144"/>
      <c r="P113" s="51"/>
      <c r="Q113" s="51"/>
      <c r="R113" s="51"/>
      <c r="S113" s="51"/>
      <c r="T113" s="144"/>
      <c r="U113" s="51"/>
      <c r="V113" s="51"/>
      <c r="W113" s="51"/>
      <c r="X113" s="51"/>
      <c r="Y113" s="144"/>
      <c r="Z113" s="51"/>
      <c r="AA113" s="51"/>
      <c r="AB113" s="51"/>
      <c r="AC113" s="51"/>
      <c r="AD113" s="144"/>
      <c r="AE113" s="51"/>
      <c r="AF113" s="51"/>
      <c r="AG113" s="51"/>
      <c r="AH113" s="51"/>
      <c r="AI113" s="144"/>
      <c r="AJ113" s="51"/>
      <c r="AK113" s="51"/>
      <c r="AL113" s="51"/>
      <c r="AM113" s="51"/>
      <c r="AN113" s="144"/>
      <c r="AO113" s="51"/>
      <c r="AP113" s="51"/>
      <c r="AQ113" s="51"/>
      <c r="AR113" s="51"/>
      <c r="AS113" s="144"/>
      <c r="AT113" s="51"/>
      <c r="AU113" s="51"/>
      <c r="AV113" s="51"/>
      <c r="AW113" s="51"/>
      <c r="AX113" s="144"/>
      <c r="AY113" s="51"/>
      <c r="AZ113" s="51"/>
      <c r="BA113" s="51"/>
      <c r="BB113" s="51"/>
      <c r="BC113" s="144"/>
      <c r="BD113" s="51"/>
      <c r="BE113" s="51"/>
      <c r="BF113" s="51"/>
      <c r="BG113" s="51"/>
      <c r="BH113" s="144"/>
      <c r="BI113" s="51"/>
      <c r="BJ113" s="51"/>
      <c r="BK113" s="51"/>
      <c r="BL113" s="51"/>
      <c r="BM113" s="144"/>
      <c r="BN113" s="51"/>
      <c r="BO113" s="51"/>
      <c r="BP113" s="51"/>
      <c r="BQ113" s="51"/>
      <c r="BR113" s="144"/>
      <c r="BS113" s="51"/>
      <c r="BT113" s="51"/>
      <c r="BU113" s="51"/>
      <c r="BV113" s="51"/>
      <c r="BW113" s="144"/>
      <c r="BX113" s="51"/>
      <c r="BY113" s="51"/>
      <c r="BZ113" s="51"/>
      <c r="CA113" s="51"/>
      <c r="CB113" s="144"/>
      <c r="CC113" s="51"/>
      <c r="CD113" s="51"/>
      <c r="CE113" s="51"/>
      <c r="CF113" s="51"/>
      <c r="CG113" s="144"/>
      <c r="CH113" s="51"/>
      <c r="CI113" s="51"/>
      <c r="CJ113" s="51"/>
      <c r="CK113" s="51"/>
      <c r="CL113" s="144"/>
      <c r="CM113" s="51"/>
      <c r="CN113" s="51"/>
      <c r="CO113" s="51"/>
      <c r="CP113" s="51"/>
      <c r="CQ113" s="144"/>
      <c r="CR113" s="51"/>
      <c r="CS113" s="51"/>
      <c r="CT113" s="51"/>
      <c r="CU113" s="51"/>
      <c r="CV113" s="144"/>
      <c r="CW113" s="51"/>
      <c r="CX113" s="51"/>
      <c r="CY113" s="51"/>
      <c r="CZ113" s="51"/>
      <c r="DA113" s="144"/>
      <c r="DB113" s="51"/>
      <c r="DC113" s="51"/>
      <c r="DD113" s="51"/>
      <c r="DE113" s="51"/>
      <c r="DF113" s="144"/>
      <c r="DG113" s="51"/>
      <c r="DH113" s="51"/>
      <c r="DI113" s="51"/>
      <c r="DJ113" s="51"/>
      <c r="DK113" s="144"/>
      <c r="DL113" s="51"/>
      <c r="DM113" s="51"/>
      <c r="DN113" s="51"/>
      <c r="DO113" s="51"/>
      <c r="DP113" s="144"/>
      <c r="DQ113" s="51"/>
      <c r="DR113" s="51"/>
      <c r="DS113" s="51"/>
      <c r="DT113" s="51"/>
      <c r="DU113" s="144"/>
      <c r="DV113" s="51"/>
      <c r="DW113" s="51"/>
      <c r="DX113" s="51"/>
      <c r="DY113" s="51"/>
      <c r="DZ113" s="144"/>
      <c r="EA113" s="51"/>
      <c r="EB113" s="51"/>
      <c r="EC113" s="51"/>
      <c r="ED113" s="51"/>
      <c r="EE113" s="144"/>
      <c r="EF113" s="51"/>
      <c r="EG113" s="51"/>
      <c r="EH113" s="51"/>
      <c r="EI113" s="51"/>
      <c r="EJ113" s="144"/>
      <c r="EK113" s="51"/>
      <c r="EL113" s="51"/>
      <c r="EM113" s="51"/>
      <c r="EN113" s="51"/>
      <c r="EO113" s="340"/>
      <c r="ER113" s="39"/>
      <c r="ES113" s="39"/>
    </row>
    <row r="114" spans="1:149" ht="12.75" customHeight="1" x14ac:dyDescent="0.2">
      <c r="A114" s="317"/>
      <c r="B114" s="317"/>
      <c r="D114" s="340" t="s">
        <v>204</v>
      </c>
      <c r="E114" s="144"/>
      <c r="F114" s="317"/>
      <c r="G114" s="51">
        <f>SUM(G115:G117)</f>
        <v>0</v>
      </c>
      <c r="H114" s="51"/>
      <c r="I114" s="51"/>
      <c r="J114" s="144"/>
      <c r="K114" s="51"/>
      <c r="L114" s="51">
        <f>SUM(L115:L117)</f>
        <v>3252265</v>
      </c>
      <c r="M114" s="51"/>
      <c r="N114" s="51"/>
      <c r="O114" s="144"/>
      <c r="P114" s="51"/>
      <c r="Q114" s="51">
        <f>SUM(Q115:Q117)</f>
        <v>5850000</v>
      </c>
      <c r="R114" s="51"/>
      <c r="S114" s="51"/>
      <c r="T114" s="144"/>
      <c r="U114" s="51"/>
      <c r="V114" s="51">
        <f>SUM(V115:V117)</f>
        <v>3908000</v>
      </c>
      <c r="W114" s="51"/>
      <c r="X114" s="51"/>
      <c r="Y114" s="144"/>
      <c r="Z114" s="51"/>
      <c r="AA114" s="51">
        <f>SUM(AA115:AA117)</f>
        <v>3249000</v>
      </c>
      <c r="AB114" s="51"/>
      <c r="AC114" s="51"/>
      <c r="AD114" s="144"/>
      <c r="AE114" s="51"/>
      <c r="AF114" s="51">
        <f>SUM(AF115:AF117)</f>
        <v>1949000</v>
      </c>
      <c r="AG114" s="51"/>
      <c r="AH114" s="51"/>
      <c r="AI114" s="144"/>
      <c r="AJ114" s="51"/>
      <c r="AK114" s="51">
        <f>SUM(AK115:AK117)</f>
        <v>2600000</v>
      </c>
      <c r="AL114" s="51"/>
      <c r="AM114" s="51"/>
      <c r="AN114" s="144"/>
      <c r="AO114" s="51"/>
      <c r="AP114" s="51">
        <f>SUM(AP115:AP117)</f>
        <v>2600000</v>
      </c>
      <c r="AQ114" s="51"/>
      <c r="AR114" s="51"/>
      <c r="AS114" s="144"/>
      <c r="AT114" s="51"/>
      <c r="AU114" s="51">
        <f>SUM(AU115:AU117)</f>
        <v>0</v>
      </c>
      <c r="AV114" s="51"/>
      <c r="AW114" s="51"/>
      <c r="AX114" s="144"/>
      <c r="AY114" s="51"/>
      <c r="AZ114" s="51">
        <f>SUM(AZ115:AZ117)</f>
        <v>0</v>
      </c>
      <c r="BA114" s="51"/>
      <c r="BB114" s="51"/>
      <c r="BC114" s="144"/>
      <c r="BD114" s="51"/>
      <c r="BE114" s="51">
        <f>SUM(BE115:BE117)</f>
        <v>0</v>
      </c>
      <c r="BF114" s="51"/>
      <c r="BG114" s="51"/>
      <c r="BH114" s="144"/>
      <c r="BI114" s="51"/>
      <c r="BJ114" s="51">
        <f>SUM(BJ115:BJ117)</f>
        <v>0</v>
      </c>
      <c r="BK114" s="51"/>
      <c r="BL114" s="51"/>
      <c r="BM114" s="144"/>
      <c r="BN114" s="51"/>
      <c r="BO114" s="51">
        <f>SUM(BO115:BO117)</f>
        <v>0</v>
      </c>
      <c r="BP114" s="51"/>
      <c r="BQ114" s="51"/>
      <c r="BR114" s="144"/>
      <c r="BS114" s="51"/>
      <c r="BT114" s="51">
        <f>SUM(BT115:BT117)</f>
        <v>23408265</v>
      </c>
      <c r="BU114" s="51"/>
      <c r="BV114" s="51"/>
      <c r="BW114" s="144"/>
      <c r="BX114" s="51"/>
      <c r="BY114" s="51">
        <f>SUM(BY115:BY117)</f>
        <v>36214000</v>
      </c>
      <c r="BZ114" s="51"/>
      <c r="CA114" s="51"/>
      <c r="CB114" s="144"/>
      <c r="CC114" s="51"/>
      <c r="CD114" s="51">
        <f>SUM(CD115:CD117)</f>
        <v>2395000</v>
      </c>
      <c r="CE114" s="51"/>
      <c r="CF114" s="51"/>
      <c r="CG114" s="144"/>
      <c r="CH114" s="51"/>
      <c r="CI114" s="51">
        <f>SUM(CI115:CI117)</f>
        <v>6087000</v>
      </c>
      <c r="CJ114" s="51"/>
      <c r="CK114" s="51"/>
      <c r="CL114" s="144"/>
      <c r="CM114" s="51"/>
      <c r="CN114" s="51">
        <f>SUM(CN115:CN117)</f>
        <v>3854000</v>
      </c>
      <c r="CO114" s="51"/>
      <c r="CP114" s="51"/>
      <c r="CQ114" s="144"/>
      <c r="CR114" s="51"/>
      <c r="CS114" s="51">
        <f>SUM(CS115:CS117)</f>
        <v>3901000</v>
      </c>
      <c r="CT114" s="51"/>
      <c r="CU114" s="51"/>
      <c r="CV114" s="144"/>
      <c r="CW114" s="51"/>
      <c r="CX114" s="51">
        <f>SUM(CX115:CX117)</f>
        <v>1948000</v>
      </c>
      <c r="CY114" s="51"/>
      <c r="CZ114" s="51"/>
      <c r="DA114" s="144"/>
      <c r="DB114" s="51"/>
      <c r="DC114" s="51">
        <f>SUM(DC115:DC117)</f>
        <v>1949000</v>
      </c>
      <c r="DD114" s="51"/>
      <c r="DE114" s="51"/>
      <c r="DF114" s="144"/>
      <c r="DG114" s="51"/>
      <c r="DH114" s="51">
        <f>SUM(DH115:DH117)</f>
        <v>5683000</v>
      </c>
      <c r="DI114" s="51"/>
      <c r="DJ114" s="51"/>
      <c r="DK114" s="144"/>
      <c r="DL114" s="51"/>
      <c r="DM114" s="51">
        <f>SUM(DM115:DM117)</f>
        <v>5846000</v>
      </c>
      <c r="DN114" s="51"/>
      <c r="DO114" s="51"/>
      <c r="DP114" s="144"/>
      <c r="DQ114" s="51"/>
      <c r="DR114" s="51">
        <f>SUM(DR115:DR117)</f>
        <v>0</v>
      </c>
      <c r="DS114" s="51"/>
      <c r="DT114" s="51"/>
      <c r="DU114" s="144"/>
      <c r="DV114" s="51"/>
      <c r="DW114" s="51">
        <f>SUM(DW115:DW117)</f>
        <v>1300000</v>
      </c>
      <c r="DX114" s="51"/>
      <c r="DY114" s="51"/>
      <c r="DZ114" s="144"/>
      <c r="EA114" s="51"/>
      <c r="EB114" s="51">
        <f>SUM(EB115:EB117)</f>
        <v>1951000</v>
      </c>
      <c r="EC114" s="51"/>
      <c r="ED114" s="51"/>
      <c r="EE114" s="144"/>
      <c r="EF114" s="51"/>
      <c r="EG114" s="51">
        <f>SUM(EG115:EG117)</f>
        <v>1300000</v>
      </c>
      <c r="EH114" s="51"/>
      <c r="EI114" s="51"/>
      <c r="EJ114" s="144"/>
      <c r="EK114" s="51"/>
      <c r="EL114" s="51">
        <f>SUM(EL115:EL117)</f>
        <v>25817000</v>
      </c>
      <c r="EM114" s="51"/>
      <c r="EN114" s="51"/>
      <c r="EO114" s="340"/>
      <c r="ER114" s="39"/>
      <c r="ES114" s="39"/>
    </row>
    <row r="115" spans="1:149" ht="12.75" customHeight="1" x14ac:dyDescent="0.2">
      <c r="A115" s="317"/>
      <c r="B115" s="317"/>
      <c r="D115" s="340" t="s">
        <v>183</v>
      </c>
      <c r="E115" s="144"/>
      <c r="F115" s="354"/>
      <c r="G115" s="430">
        <v>0</v>
      </c>
      <c r="H115" s="431"/>
      <c r="I115" s="51"/>
      <c r="J115" s="144"/>
      <c r="K115" s="432"/>
      <c r="L115" s="430">
        <f>3252265-341046</f>
        <v>2911219</v>
      </c>
      <c r="M115" s="431"/>
      <c r="N115" s="51"/>
      <c r="O115" s="144"/>
      <c r="P115" s="432"/>
      <c r="Q115" s="430">
        <f>5850000-749189</f>
        <v>5100811</v>
      </c>
      <c r="R115" s="431"/>
      <c r="S115" s="51"/>
      <c r="T115" s="144"/>
      <c r="U115" s="432"/>
      <c r="V115" s="430">
        <f>3908000-579851</f>
        <v>3328149</v>
      </c>
      <c r="W115" s="431"/>
      <c r="X115" s="51"/>
      <c r="Y115" s="144"/>
      <c r="Z115" s="432"/>
      <c r="AA115" s="430">
        <f>3249000-580069</f>
        <v>2668931</v>
      </c>
      <c r="AB115" s="431"/>
      <c r="AC115" s="51"/>
      <c r="AD115" s="144"/>
      <c r="AE115" s="432"/>
      <c r="AF115" s="430">
        <f>1949000-286383</f>
        <v>1662617</v>
      </c>
      <c r="AG115" s="431"/>
      <c r="AH115" s="51"/>
      <c r="AI115" s="144"/>
      <c r="AJ115" s="432"/>
      <c r="AK115" s="430">
        <f>2600000-360109</f>
        <v>2239891</v>
      </c>
      <c r="AL115" s="431"/>
      <c r="AM115" s="51"/>
      <c r="AN115" s="144"/>
      <c r="AO115" s="432"/>
      <c r="AP115" s="430">
        <f>2600000-460459</f>
        <v>2139541</v>
      </c>
      <c r="AQ115" s="431"/>
      <c r="AR115" s="51"/>
      <c r="AS115" s="144"/>
      <c r="AT115" s="432"/>
      <c r="AU115" s="430">
        <v>0</v>
      </c>
      <c r="AV115" s="431"/>
      <c r="AW115" s="51"/>
      <c r="AX115" s="144"/>
      <c r="AY115" s="432"/>
      <c r="AZ115" s="430">
        <v>0</v>
      </c>
      <c r="BA115" s="431"/>
      <c r="BB115" s="51"/>
      <c r="BC115" s="144"/>
      <c r="BD115" s="432"/>
      <c r="BE115" s="430">
        <v>0</v>
      </c>
      <c r="BF115" s="431"/>
      <c r="BG115" s="51"/>
      <c r="BH115" s="144"/>
      <c r="BI115" s="432"/>
      <c r="BJ115" s="430">
        <v>0</v>
      </c>
      <c r="BK115" s="431"/>
      <c r="BL115" s="51"/>
      <c r="BM115" s="144"/>
      <c r="BN115" s="432"/>
      <c r="BO115" s="430">
        <v>0</v>
      </c>
      <c r="BP115" s="431"/>
      <c r="BQ115" s="51"/>
      <c r="BR115" s="144"/>
      <c r="BS115" s="432"/>
      <c r="BT115" s="430">
        <f>SUM(L115:BO115)</f>
        <v>20051159</v>
      </c>
      <c r="BU115" s="431"/>
      <c r="BV115" s="51"/>
      <c r="BW115" s="144"/>
      <c r="BX115" s="432"/>
      <c r="BY115" s="430">
        <v>32279228</v>
      </c>
      <c r="BZ115" s="431"/>
      <c r="CA115" s="51"/>
      <c r="CB115" s="144"/>
      <c r="CC115" s="432"/>
      <c r="CD115" s="430">
        <f>2395000-355787</f>
        <v>2039213</v>
      </c>
      <c r="CE115" s="431"/>
      <c r="CF115" s="51"/>
      <c r="CG115" s="144"/>
      <c r="CH115" s="432"/>
      <c r="CI115" s="430">
        <f>6087000-722665</f>
        <v>5364335</v>
      </c>
      <c r="CJ115" s="431"/>
      <c r="CK115" s="51"/>
      <c r="CL115" s="144"/>
      <c r="CM115" s="432"/>
      <c r="CN115" s="430">
        <f>3854000-388279</f>
        <v>3465721</v>
      </c>
      <c r="CO115" s="431"/>
      <c r="CP115" s="51"/>
      <c r="CQ115" s="144"/>
      <c r="CR115" s="432"/>
      <c r="CS115" s="430">
        <f>3901000-413079</f>
        <v>3487921</v>
      </c>
      <c r="CT115" s="431"/>
      <c r="CU115" s="51"/>
      <c r="CV115" s="144"/>
      <c r="CW115" s="432"/>
      <c r="CX115" s="430">
        <f>1948000-173795</f>
        <v>1774205</v>
      </c>
      <c r="CY115" s="431"/>
      <c r="CZ115" s="51"/>
      <c r="DA115" s="144"/>
      <c r="DB115" s="432"/>
      <c r="DC115" s="430">
        <f>1949000-171112</f>
        <v>1777888</v>
      </c>
      <c r="DD115" s="431"/>
      <c r="DE115" s="51"/>
      <c r="DF115" s="144"/>
      <c r="DG115" s="432"/>
      <c r="DH115" s="430">
        <f>5683000-666819</f>
        <v>5016181</v>
      </c>
      <c r="DI115" s="431"/>
      <c r="DJ115" s="51"/>
      <c r="DK115" s="144"/>
      <c r="DL115" s="432"/>
      <c r="DM115" s="430">
        <f>5846000-635885</f>
        <v>5210115</v>
      </c>
      <c r="DN115" s="431"/>
      <c r="DO115" s="51"/>
      <c r="DP115" s="144"/>
      <c r="DQ115" s="432"/>
      <c r="DR115" s="430">
        <v>0</v>
      </c>
      <c r="DS115" s="431"/>
      <c r="DT115" s="51"/>
      <c r="DU115" s="144"/>
      <c r="DV115" s="432"/>
      <c r="DW115" s="430">
        <f>1300000-126196</f>
        <v>1173804</v>
      </c>
      <c r="DX115" s="431"/>
      <c r="DY115" s="51"/>
      <c r="DZ115" s="144"/>
      <c r="EA115" s="432"/>
      <c r="EB115" s="430">
        <f>1951000-155185</f>
        <v>1795815</v>
      </c>
      <c r="EC115" s="431"/>
      <c r="ED115" s="51"/>
      <c r="EE115" s="144"/>
      <c r="EF115" s="432"/>
      <c r="EG115" s="430">
        <f>1300000-125970</f>
        <v>1174030</v>
      </c>
      <c r="EH115" s="431"/>
      <c r="EI115" s="51"/>
      <c r="EJ115" s="144"/>
      <c r="EK115" s="432"/>
      <c r="EL115" s="430">
        <f t="shared" ref="EL115:EL117" si="10">SUM(CD115:DH115)</f>
        <v>22925464</v>
      </c>
      <c r="EM115" s="431"/>
      <c r="EN115" s="51"/>
      <c r="EO115" s="340"/>
      <c r="ER115" s="39"/>
      <c r="ES115" s="39"/>
    </row>
    <row r="116" spans="1:149" ht="12.75" customHeight="1" x14ac:dyDescent="0.2">
      <c r="A116" s="317"/>
      <c r="B116" s="317"/>
      <c r="D116" s="340" t="s">
        <v>186</v>
      </c>
      <c r="E116" s="144"/>
      <c r="F116" s="347"/>
      <c r="G116" s="51">
        <v>0</v>
      </c>
      <c r="H116" s="50"/>
      <c r="I116" s="51"/>
      <c r="J116" s="144"/>
      <c r="K116" s="144"/>
      <c r="L116" s="51">
        <v>341046</v>
      </c>
      <c r="M116" s="50"/>
      <c r="N116" s="51"/>
      <c r="O116" s="144"/>
      <c r="P116" s="144"/>
      <c r="Q116" s="51">
        <v>749189</v>
      </c>
      <c r="R116" s="50"/>
      <c r="S116" s="51"/>
      <c r="T116" s="144"/>
      <c r="U116" s="144"/>
      <c r="V116" s="51">
        <v>579851</v>
      </c>
      <c r="W116" s="50"/>
      <c r="X116" s="51"/>
      <c r="Y116" s="144"/>
      <c r="Z116" s="144"/>
      <c r="AA116" s="51">
        <v>580069</v>
      </c>
      <c r="AB116" s="50"/>
      <c r="AC116" s="51"/>
      <c r="AD116" s="144"/>
      <c r="AE116" s="144"/>
      <c r="AF116" s="51">
        <v>286383</v>
      </c>
      <c r="AG116" s="50"/>
      <c r="AH116" s="51"/>
      <c r="AI116" s="144"/>
      <c r="AJ116" s="144"/>
      <c r="AK116" s="51">
        <v>360109</v>
      </c>
      <c r="AL116" s="50"/>
      <c r="AM116" s="51"/>
      <c r="AN116" s="144"/>
      <c r="AO116" s="144"/>
      <c r="AP116" s="51">
        <v>460459</v>
      </c>
      <c r="AQ116" s="50"/>
      <c r="AR116" s="51"/>
      <c r="AS116" s="144"/>
      <c r="AT116" s="144"/>
      <c r="AU116" s="51">
        <v>0</v>
      </c>
      <c r="AV116" s="50"/>
      <c r="AW116" s="51"/>
      <c r="AX116" s="144"/>
      <c r="AY116" s="144"/>
      <c r="AZ116" s="51">
        <v>0</v>
      </c>
      <c r="BA116" s="50"/>
      <c r="BB116" s="51"/>
      <c r="BC116" s="144"/>
      <c r="BD116" s="144"/>
      <c r="BE116" s="51">
        <v>0</v>
      </c>
      <c r="BF116" s="50"/>
      <c r="BG116" s="51"/>
      <c r="BH116" s="144"/>
      <c r="BI116" s="144"/>
      <c r="BJ116" s="51">
        <v>0</v>
      </c>
      <c r="BK116" s="50"/>
      <c r="BL116" s="51"/>
      <c r="BM116" s="144"/>
      <c r="BN116" s="144"/>
      <c r="BO116" s="51">
        <v>0</v>
      </c>
      <c r="BP116" s="50"/>
      <c r="BQ116" s="51"/>
      <c r="BR116" s="144"/>
      <c r="BS116" s="144"/>
      <c r="BT116" s="51">
        <f>SUM(L116:BO116)</f>
        <v>3357106</v>
      </c>
      <c r="BU116" s="50"/>
      <c r="BV116" s="51"/>
      <c r="BW116" s="144"/>
      <c r="BX116" s="144"/>
      <c r="BY116" s="51">
        <v>3934772</v>
      </c>
      <c r="BZ116" s="50"/>
      <c r="CA116" s="51"/>
      <c r="CB116" s="144"/>
      <c r="CC116" s="144"/>
      <c r="CD116" s="51">
        <v>355787</v>
      </c>
      <c r="CE116" s="50"/>
      <c r="CF116" s="51"/>
      <c r="CG116" s="144"/>
      <c r="CH116" s="144"/>
      <c r="CI116" s="51">
        <v>722665</v>
      </c>
      <c r="CJ116" s="50"/>
      <c r="CK116" s="51"/>
      <c r="CL116" s="144"/>
      <c r="CM116" s="144"/>
      <c r="CN116" s="51">
        <v>388279</v>
      </c>
      <c r="CO116" s="50"/>
      <c r="CP116" s="51"/>
      <c r="CQ116" s="144"/>
      <c r="CR116" s="144"/>
      <c r="CS116" s="51">
        <v>413079</v>
      </c>
      <c r="CT116" s="50"/>
      <c r="CU116" s="51"/>
      <c r="CV116" s="144"/>
      <c r="CW116" s="144"/>
      <c r="CX116" s="51">
        <v>173795</v>
      </c>
      <c r="CY116" s="50"/>
      <c r="CZ116" s="51"/>
      <c r="DA116" s="144"/>
      <c r="DB116" s="144"/>
      <c r="DC116" s="51">
        <v>171112</v>
      </c>
      <c r="DD116" s="50"/>
      <c r="DE116" s="51"/>
      <c r="DF116" s="144"/>
      <c r="DG116" s="144"/>
      <c r="DH116" s="51">
        <v>666819</v>
      </c>
      <c r="DI116" s="50"/>
      <c r="DJ116" s="51"/>
      <c r="DK116" s="144"/>
      <c r="DL116" s="144"/>
      <c r="DM116" s="51">
        <v>635885</v>
      </c>
      <c r="DN116" s="50"/>
      <c r="DO116" s="51"/>
      <c r="DP116" s="144"/>
      <c r="DQ116" s="144"/>
      <c r="DR116" s="51">
        <v>0</v>
      </c>
      <c r="DS116" s="50"/>
      <c r="DT116" s="51"/>
      <c r="DU116" s="144"/>
      <c r="DV116" s="144"/>
      <c r="DW116" s="51">
        <v>126196</v>
      </c>
      <c r="DX116" s="50"/>
      <c r="DY116" s="51"/>
      <c r="DZ116" s="144"/>
      <c r="EA116" s="144"/>
      <c r="EB116" s="51">
        <v>155185</v>
      </c>
      <c r="EC116" s="50"/>
      <c r="ED116" s="51"/>
      <c r="EE116" s="144"/>
      <c r="EF116" s="144"/>
      <c r="EG116" s="51">
        <v>125970</v>
      </c>
      <c r="EH116" s="50"/>
      <c r="EI116" s="51"/>
      <c r="EJ116" s="144"/>
      <c r="EK116" s="144"/>
      <c r="EL116" s="51">
        <f t="shared" si="10"/>
        <v>2891536</v>
      </c>
      <c r="EM116" s="50"/>
      <c r="EN116" s="51"/>
      <c r="EO116" s="340"/>
      <c r="ER116" s="39"/>
      <c r="ES116" s="39"/>
    </row>
    <row r="117" spans="1:149" ht="12.75" customHeight="1" x14ac:dyDescent="0.2">
      <c r="A117" s="317"/>
      <c r="B117" s="317"/>
      <c r="D117" s="340" t="s">
        <v>200</v>
      </c>
      <c r="E117" s="144"/>
      <c r="F117" s="371"/>
      <c r="G117" s="95">
        <v>0</v>
      </c>
      <c r="H117" s="94"/>
      <c r="I117" s="51"/>
      <c r="J117" s="144"/>
      <c r="K117" s="187"/>
      <c r="L117" s="95">
        <v>0</v>
      </c>
      <c r="M117" s="94"/>
      <c r="N117" s="51"/>
      <c r="O117" s="144"/>
      <c r="P117" s="187"/>
      <c r="Q117" s="95">
        <v>0</v>
      </c>
      <c r="R117" s="94"/>
      <c r="S117" s="51"/>
      <c r="T117" s="144"/>
      <c r="U117" s="187"/>
      <c r="V117" s="95">
        <v>0</v>
      </c>
      <c r="W117" s="94"/>
      <c r="X117" s="51"/>
      <c r="Y117" s="144"/>
      <c r="Z117" s="187"/>
      <c r="AA117" s="95">
        <v>0</v>
      </c>
      <c r="AB117" s="94"/>
      <c r="AC117" s="51"/>
      <c r="AD117" s="144"/>
      <c r="AE117" s="187"/>
      <c r="AF117" s="95">
        <v>0</v>
      </c>
      <c r="AG117" s="94"/>
      <c r="AH117" s="51"/>
      <c r="AI117" s="144"/>
      <c r="AJ117" s="187"/>
      <c r="AK117" s="95">
        <v>0</v>
      </c>
      <c r="AL117" s="94"/>
      <c r="AM117" s="51"/>
      <c r="AN117" s="144"/>
      <c r="AO117" s="187"/>
      <c r="AP117" s="95">
        <v>0</v>
      </c>
      <c r="AQ117" s="94"/>
      <c r="AR117" s="51"/>
      <c r="AS117" s="144"/>
      <c r="AT117" s="187"/>
      <c r="AU117" s="95">
        <v>0</v>
      </c>
      <c r="AV117" s="94"/>
      <c r="AW117" s="51"/>
      <c r="AX117" s="144"/>
      <c r="AY117" s="187"/>
      <c r="AZ117" s="95">
        <v>0</v>
      </c>
      <c r="BA117" s="94"/>
      <c r="BB117" s="51"/>
      <c r="BC117" s="144"/>
      <c r="BD117" s="187"/>
      <c r="BE117" s="95">
        <v>0</v>
      </c>
      <c r="BF117" s="94"/>
      <c r="BG117" s="51"/>
      <c r="BH117" s="144"/>
      <c r="BI117" s="187"/>
      <c r="BJ117" s="95">
        <v>0</v>
      </c>
      <c r="BK117" s="94"/>
      <c r="BL117" s="51"/>
      <c r="BM117" s="144"/>
      <c r="BN117" s="187"/>
      <c r="BO117" s="95">
        <v>0</v>
      </c>
      <c r="BP117" s="94"/>
      <c r="BQ117" s="51"/>
      <c r="BR117" s="144"/>
      <c r="BS117" s="187"/>
      <c r="BT117" s="95">
        <f>SUM(L117:BO117)</f>
        <v>0</v>
      </c>
      <c r="BU117" s="94"/>
      <c r="BV117" s="51"/>
      <c r="BW117" s="144"/>
      <c r="BX117" s="187"/>
      <c r="BY117" s="95">
        <v>0</v>
      </c>
      <c r="BZ117" s="94"/>
      <c r="CA117" s="51"/>
      <c r="CB117" s="144"/>
      <c r="CC117" s="187"/>
      <c r="CD117" s="95">
        <v>0</v>
      </c>
      <c r="CE117" s="94"/>
      <c r="CF117" s="51"/>
      <c r="CG117" s="144"/>
      <c r="CH117" s="187"/>
      <c r="CI117" s="95">
        <v>0</v>
      </c>
      <c r="CJ117" s="94"/>
      <c r="CK117" s="51"/>
      <c r="CL117" s="144"/>
      <c r="CM117" s="187"/>
      <c r="CN117" s="95">
        <v>0</v>
      </c>
      <c r="CO117" s="94"/>
      <c r="CP117" s="51"/>
      <c r="CQ117" s="144"/>
      <c r="CR117" s="187"/>
      <c r="CS117" s="95">
        <v>0</v>
      </c>
      <c r="CT117" s="94"/>
      <c r="CU117" s="51"/>
      <c r="CV117" s="144"/>
      <c r="CW117" s="187"/>
      <c r="CX117" s="95">
        <v>0</v>
      </c>
      <c r="CY117" s="94"/>
      <c r="CZ117" s="51"/>
      <c r="DA117" s="144"/>
      <c r="DB117" s="187"/>
      <c r="DC117" s="95">
        <v>0</v>
      </c>
      <c r="DD117" s="94"/>
      <c r="DE117" s="51"/>
      <c r="DF117" s="144"/>
      <c r="DG117" s="187"/>
      <c r="DH117" s="95">
        <v>0</v>
      </c>
      <c r="DI117" s="94"/>
      <c r="DJ117" s="51"/>
      <c r="DK117" s="144"/>
      <c r="DL117" s="187"/>
      <c r="DM117" s="95">
        <v>0</v>
      </c>
      <c r="DN117" s="94"/>
      <c r="DO117" s="51"/>
      <c r="DP117" s="144"/>
      <c r="DQ117" s="187"/>
      <c r="DR117" s="95">
        <v>0</v>
      </c>
      <c r="DS117" s="94"/>
      <c r="DT117" s="51"/>
      <c r="DU117" s="144"/>
      <c r="DV117" s="187"/>
      <c r="DW117" s="95">
        <v>0</v>
      </c>
      <c r="DX117" s="94"/>
      <c r="DY117" s="51"/>
      <c r="DZ117" s="144"/>
      <c r="EA117" s="187"/>
      <c r="EB117" s="95">
        <v>0</v>
      </c>
      <c r="EC117" s="94"/>
      <c r="ED117" s="51"/>
      <c r="EE117" s="144"/>
      <c r="EF117" s="187"/>
      <c r="EG117" s="95">
        <v>0</v>
      </c>
      <c r="EH117" s="94"/>
      <c r="EI117" s="51"/>
      <c r="EJ117" s="144"/>
      <c r="EK117" s="187"/>
      <c r="EL117" s="95">
        <f t="shared" si="10"/>
        <v>0</v>
      </c>
      <c r="EM117" s="94"/>
      <c r="EN117" s="51"/>
      <c r="EO117" s="340"/>
      <c r="ER117" s="39"/>
      <c r="ES117" s="39"/>
    </row>
    <row r="118" spans="1:149" ht="12.75" customHeight="1" x14ac:dyDescent="0.2">
      <c r="A118" s="317"/>
      <c r="B118" s="317"/>
      <c r="D118" s="340"/>
      <c r="E118" s="144"/>
      <c r="F118" s="317"/>
      <c r="G118" s="51"/>
      <c r="H118" s="51"/>
      <c r="I118" s="51"/>
      <c r="J118" s="144"/>
      <c r="K118" s="51"/>
      <c r="L118" s="51"/>
      <c r="M118" s="51"/>
      <c r="N118" s="51"/>
      <c r="O118" s="144"/>
      <c r="P118" s="51"/>
      <c r="Q118" s="51"/>
      <c r="R118" s="51"/>
      <c r="S118" s="51"/>
      <c r="T118" s="144"/>
      <c r="U118" s="51"/>
      <c r="V118" s="51"/>
      <c r="W118" s="51"/>
      <c r="X118" s="51"/>
      <c r="Y118" s="144"/>
      <c r="Z118" s="51"/>
      <c r="AA118" s="51"/>
      <c r="AB118" s="51"/>
      <c r="AC118" s="51"/>
      <c r="AD118" s="144"/>
      <c r="AE118" s="51"/>
      <c r="AF118" s="51"/>
      <c r="AG118" s="51"/>
      <c r="AH118" s="51"/>
      <c r="AI118" s="144"/>
      <c r="AJ118" s="51"/>
      <c r="AK118" s="51"/>
      <c r="AL118" s="51"/>
      <c r="AM118" s="51"/>
      <c r="AN118" s="144"/>
      <c r="AO118" s="51"/>
      <c r="AP118" s="51"/>
      <c r="AQ118" s="51"/>
      <c r="AR118" s="51"/>
      <c r="AS118" s="144"/>
      <c r="AT118" s="51"/>
      <c r="AU118" s="51"/>
      <c r="AV118" s="51"/>
      <c r="AW118" s="51"/>
      <c r="AX118" s="144"/>
      <c r="AY118" s="51"/>
      <c r="AZ118" s="51"/>
      <c r="BA118" s="51"/>
      <c r="BB118" s="51"/>
      <c r="BC118" s="144"/>
      <c r="BD118" s="51"/>
      <c r="BE118" s="51"/>
      <c r="BF118" s="51"/>
      <c r="BG118" s="51"/>
      <c r="BH118" s="144"/>
      <c r="BI118" s="51"/>
      <c r="BJ118" s="51"/>
      <c r="BK118" s="51"/>
      <c r="BL118" s="51"/>
      <c r="BM118" s="144"/>
      <c r="BN118" s="51"/>
      <c r="BO118" s="51"/>
      <c r="BP118" s="51"/>
      <c r="BQ118" s="51"/>
      <c r="BR118" s="144"/>
      <c r="BS118" s="51"/>
      <c r="BT118" s="51"/>
      <c r="BU118" s="51"/>
      <c r="BV118" s="51"/>
      <c r="BW118" s="144"/>
      <c r="BX118" s="51"/>
      <c r="BY118" s="51"/>
      <c r="BZ118" s="51"/>
      <c r="CA118" s="51"/>
      <c r="CB118" s="144"/>
      <c r="CC118" s="51"/>
      <c r="CD118" s="51"/>
      <c r="CE118" s="51"/>
      <c r="CF118" s="51"/>
      <c r="CG118" s="144"/>
      <c r="CH118" s="51"/>
      <c r="CI118" s="51"/>
      <c r="CJ118" s="51"/>
      <c r="CK118" s="51"/>
      <c r="CL118" s="144"/>
      <c r="CM118" s="51"/>
      <c r="CN118" s="51"/>
      <c r="CO118" s="51"/>
      <c r="CP118" s="51"/>
      <c r="CQ118" s="144"/>
      <c r="CR118" s="51"/>
      <c r="CS118" s="51"/>
      <c r="CT118" s="51"/>
      <c r="CU118" s="51"/>
      <c r="CV118" s="144"/>
      <c r="CW118" s="51"/>
      <c r="CX118" s="51"/>
      <c r="CY118" s="51"/>
      <c r="CZ118" s="51"/>
      <c r="DA118" s="144"/>
      <c r="DB118" s="51"/>
      <c r="DC118" s="51"/>
      <c r="DD118" s="51"/>
      <c r="DE118" s="51"/>
      <c r="DF118" s="144"/>
      <c r="DG118" s="51"/>
      <c r="DH118" s="51"/>
      <c r="DI118" s="51"/>
      <c r="DJ118" s="51"/>
      <c r="DK118" s="144"/>
      <c r="DL118" s="51"/>
      <c r="DM118" s="51"/>
      <c r="DN118" s="51"/>
      <c r="DO118" s="51"/>
      <c r="DP118" s="144"/>
      <c r="DQ118" s="51"/>
      <c r="DR118" s="51"/>
      <c r="DS118" s="51"/>
      <c r="DT118" s="51"/>
      <c r="DU118" s="144"/>
      <c r="DV118" s="51"/>
      <c r="DW118" s="51"/>
      <c r="DX118" s="51"/>
      <c r="DY118" s="51"/>
      <c r="DZ118" s="144"/>
      <c r="EA118" s="51"/>
      <c r="EB118" s="51"/>
      <c r="EC118" s="51"/>
      <c r="ED118" s="51"/>
      <c r="EE118" s="144"/>
      <c r="EF118" s="51"/>
      <c r="EG118" s="51"/>
      <c r="EH118" s="51"/>
      <c r="EI118" s="51"/>
      <c r="EJ118" s="144"/>
      <c r="EK118" s="51"/>
      <c r="EL118" s="51"/>
      <c r="EM118" s="51"/>
      <c r="EN118" s="51"/>
      <c r="EO118" s="340"/>
      <c r="ER118" s="39"/>
      <c r="ES118" s="39"/>
    </row>
    <row r="119" spans="1:149" ht="12.75" hidden="1" customHeight="1" x14ac:dyDescent="0.2">
      <c r="A119" s="317"/>
      <c r="B119" s="317"/>
      <c r="D119" s="340" t="s">
        <v>205</v>
      </c>
      <c r="E119" s="144"/>
      <c r="F119" s="317"/>
      <c r="G119" s="51">
        <f>SUM(G120:G122)</f>
        <v>0</v>
      </c>
      <c r="H119" s="51"/>
      <c r="I119" s="51"/>
      <c r="J119" s="144"/>
      <c r="K119" s="51"/>
      <c r="L119" s="51">
        <f>SUM(L120:L122)</f>
        <v>0</v>
      </c>
      <c r="M119" s="51"/>
      <c r="N119" s="51"/>
      <c r="O119" s="144"/>
      <c r="P119" s="51"/>
      <c r="Q119" s="51">
        <f>SUM(Q120:Q122)</f>
        <v>0</v>
      </c>
      <c r="R119" s="51"/>
      <c r="S119" s="51"/>
      <c r="T119" s="144"/>
      <c r="U119" s="51"/>
      <c r="V119" s="51">
        <f>SUM(V120:V122)</f>
        <v>0</v>
      </c>
      <c r="W119" s="51"/>
      <c r="X119" s="51"/>
      <c r="Y119" s="144"/>
      <c r="Z119" s="51"/>
      <c r="AA119" s="51">
        <f>SUM(AA120:AA122)</f>
        <v>0</v>
      </c>
      <c r="AB119" s="51"/>
      <c r="AC119" s="51"/>
      <c r="AD119" s="144"/>
      <c r="AE119" s="51"/>
      <c r="AF119" s="51">
        <f>SUM(AF120:AF122)</f>
        <v>0</v>
      </c>
      <c r="AG119" s="51"/>
      <c r="AH119" s="51"/>
      <c r="AI119" s="144"/>
      <c r="AJ119" s="51"/>
      <c r="AK119" s="51">
        <f>SUM(AK120:AK122)</f>
        <v>0</v>
      </c>
      <c r="AL119" s="51"/>
      <c r="AM119" s="51"/>
      <c r="AN119" s="144"/>
      <c r="AO119" s="51"/>
      <c r="AP119" s="51">
        <f>SUM(AP120:AP122)</f>
        <v>0</v>
      </c>
      <c r="AQ119" s="51"/>
      <c r="AR119" s="51"/>
      <c r="AS119" s="144"/>
      <c r="AT119" s="51"/>
      <c r="AU119" s="51">
        <f>SUM(AU120:AU122)</f>
        <v>0</v>
      </c>
      <c r="AV119" s="51"/>
      <c r="AW119" s="51"/>
      <c r="AX119" s="144"/>
      <c r="AY119" s="51"/>
      <c r="AZ119" s="51">
        <f>SUM(AZ120:AZ122)</f>
        <v>0</v>
      </c>
      <c r="BA119" s="51"/>
      <c r="BB119" s="51"/>
      <c r="BC119" s="144"/>
      <c r="BD119" s="51"/>
      <c r="BE119" s="51">
        <f>SUM(BE120:BE122)</f>
        <v>0</v>
      </c>
      <c r="BF119" s="51"/>
      <c r="BG119" s="51"/>
      <c r="BH119" s="144"/>
      <c r="BI119" s="51"/>
      <c r="BJ119" s="51">
        <f>SUM(BJ120:BJ122)</f>
        <v>0</v>
      </c>
      <c r="BK119" s="51"/>
      <c r="BL119" s="51"/>
      <c r="BM119" s="144"/>
      <c r="BN119" s="51"/>
      <c r="BO119" s="51">
        <f>SUM(BO120:BO122)</f>
        <v>0</v>
      </c>
      <c r="BP119" s="51"/>
      <c r="BQ119" s="51"/>
      <c r="BR119" s="144"/>
      <c r="BS119" s="51"/>
      <c r="BT119" s="51">
        <f>SUM(BT120:BT122)</f>
        <v>0</v>
      </c>
      <c r="BU119" s="51"/>
      <c r="BV119" s="51"/>
      <c r="BW119" s="144"/>
      <c r="BX119" s="51"/>
      <c r="BY119" s="51">
        <f>SUM(BY120:BY122)</f>
        <v>0</v>
      </c>
      <c r="BZ119" s="51"/>
      <c r="CA119" s="51"/>
      <c r="CB119" s="144"/>
      <c r="CC119" s="51"/>
      <c r="CD119" s="51">
        <f>SUM(CD120:CD122)</f>
        <v>0</v>
      </c>
      <c r="CE119" s="51"/>
      <c r="CF119" s="51"/>
      <c r="CG119" s="144"/>
      <c r="CH119" s="51"/>
      <c r="CI119" s="51">
        <f>SUM(CI120:CI122)</f>
        <v>0</v>
      </c>
      <c r="CJ119" s="51"/>
      <c r="CK119" s="51"/>
      <c r="CL119" s="144"/>
      <c r="CM119" s="51"/>
      <c r="CN119" s="51">
        <f>SUM(CN120:CN122)</f>
        <v>0</v>
      </c>
      <c r="CO119" s="51"/>
      <c r="CP119" s="51"/>
      <c r="CQ119" s="144"/>
      <c r="CR119" s="51"/>
      <c r="CS119" s="51">
        <f>SUM(CS120:CS122)</f>
        <v>0</v>
      </c>
      <c r="CT119" s="51"/>
      <c r="CU119" s="51"/>
      <c r="CV119" s="144"/>
      <c r="CW119" s="51"/>
      <c r="CX119" s="51">
        <f>SUM(CX120:CX122)</f>
        <v>0</v>
      </c>
      <c r="CY119" s="51"/>
      <c r="CZ119" s="51"/>
      <c r="DA119" s="144"/>
      <c r="DB119" s="51"/>
      <c r="DC119" s="51">
        <f>SUM(DC120:DC122)</f>
        <v>0</v>
      </c>
      <c r="DD119" s="51"/>
      <c r="DE119" s="51"/>
      <c r="DF119" s="144"/>
      <c r="DG119" s="51"/>
      <c r="DH119" s="51">
        <f>SUM(DH120:DH122)</f>
        <v>0</v>
      </c>
      <c r="DI119" s="51"/>
      <c r="DJ119" s="51"/>
      <c r="DK119" s="144"/>
      <c r="DL119" s="51"/>
      <c r="DM119" s="51">
        <f>SUM(DM120:DM122)</f>
        <v>0</v>
      </c>
      <c r="DN119" s="51"/>
      <c r="DO119" s="51"/>
      <c r="DP119" s="144"/>
      <c r="DQ119" s="51"/>
      <c r="DR119" s="51">
        <f>SUM(DR120:DR122)</f>
        <v>0</v>
      </c>
      <c r="DS119" s="51"/>
      <c r="DT119" s="51"/>
      <c r="DU119" s="144"/>
      <c r="DV119" s="51"/>
      <c r="DW119" s="51">
        <f>SUM(DW120:DW122)</f>
        <v>0</v>
      </c>
      <c r="DX119" s="51"/>
      <c r="DY119" s="51"/>
      <c r="DZ119" s="144"/>
      <c r="EA119" s="51"/>
      <c r="EB119" s="51">
        <f>SUM(EB120:EB122)</f>
        <v>0</v>
      </c>
      <c r="EC119" s="51"/>
      <c r="ED119" s="51"/>
      <c r="EE119" s="144"/>
      <c r="EF119" s="51"/>
      <c r="EG119" s="51">
        <f>SUM(EG120:EG122)</f>
        <v>0</v>
      </c>
      <c r="EH119" s="51"/>
      <c r="EI119" s="51"/>
      <c r="EJ119" s="144"/>
      <c r="EK119" s="51"/>
      <c r="EL119" s="51">
        <f>SUM(EL120:EL122)</f>
        <v>0</v>
      </c>
      <c r="EM119" s="51"/>
      <c r="EN119" s="51"/>
      <c r="EO119" s="340"/>
      <c r="ER119" s="39"/>
      <c r="ES119" s="39"/>
    </row>
    <row r="120" spans="1:149" ht="12.75" hidden="1" customHeight="1" x14ac:dyDescent="0.2">
      <c r="A120" s="317"/>
      <c r="B120" s="317"/>
      <c r="D120" s="340" t="s">
        <v>183</v>
      </c>
      <c r="E120" s="144"/>
      <c r="F120" s="354"/>
      <c r="G120" s="430">
        <v>0</v>
      </c>
      <c r="H120" s="431"/>
      <c r="I120" s="51"/>
      <c r="J120" s="144"/>
      <c r="K120" s="432"/>
      <c r="L120" s="430">
        <v>0</v>
      </c>
      <c r="M120" s="431"/>
      <c r="N120" s="51"/>
      <c r="O120" s="144"/>
      <c r="P120" s="432"/>
      <c r="Q120" s="430">
        <v>0</v>
      </c>
      <c r="R120" s="431"/>
      <c r="S120" s="51"/>
      <c r="T120" s="144"/>
      <c r="U120" s="432"/>
      <c r="V120" s="430">
        <v>0</v>
      </c>
      <c r="W120" s="431"/>
      <c r="X120" s="51"/>
      <c r="Y120" s="144"/>
      <c r="Z120" s="432"/>
      <c r="AA120" s="430">
        <v>0</v>
      </c>
      <c r="AB120" s="431"/>
      <c r="AC120" s="51"/>
      <c r="AD120" s="144"/>
      <c r="AE120" s="432"/>
      <c r="AF120" s="430">
        <v>0</v>
      </c>
      <c r="AG120" s="431"/>
      <c r="AH120" s="51"/>
      <c r="AI120" s="144"/>
      <c r="AJ120" s="432"/>
      <c r="AK120" s="430">
        <v>0</v>
      </c>
      <c r="AL120" s="431"/>
      <c r="AM120" s="51"/>
      <c r="AN120" s="144"/>
      <c r="AO120" s="432"/>
      <c r="AP120" s="430">
        <v>0</v>
      </c>
      <c r="AQ120" s="431"/>
      <c r="AR120" s="51"/>
      <c r="AS120" s="144"/>
      <c r="AT120" s="432"/>
      <c r="AU120" s="430">
        <v>0</v>
      </c>
      <c r="AV120" s="431"/>
      <c r="AW120" s="51"/>
      <c r="AX120" s="144"/>
      <c r="AY120" s="432"/>
      <c r="AZ120" s="430">
        <v>0</v>
      </c>
      <c r="BA120" s="431"/>
      <c r="BB120" s="51"/>
      <c r="BC120" s="144"/>
      <c r="BD120" s="432"/>
      <c r="BE120" s="430">
        <v>0</v>
      </c>
      <c r="BF120" s="431"/>
      <c r="BG120" s="51"/>
      <c r="BH120" s="144"/>
      <c r="BI120" s="432"/>
      <c r="BJ120" s="430">
        <v>0</v>
      </c>
      <c r="BK120" s="431"/>
      <c r="BL120" s="51"/>
      <c r="BM120" s="144"/>
      <c r="BN120" s="432"/>
      <c r="BO120" s="430">
        <v>0</v>
      </c>
      <c r="BP120" s="431"/>
      <c r="BQ120" s="51"/>
      <c r="BR120" s="144"/>
      <c r="BS120" s="432"/>
      <c r="BT120" s="430">
        <f>SUM(L120:BO120)</f>
        <v>0</v>
      </c>
      <c r="BU120" s="431"/>
      <c r="BV120" s="51"/>
      <c r="BW120" s="144"/>
      <c r="BX120" s="432"/>
      <c r="BY120" s="430">
        <v>0</v>
      </c>
      <c r="BZ120" s="431"/>
      <c r="CA120" s="51"/>
      <c r="CB120" s="144"/>
      <c r="CC120" s="432"/>
      <c r="CD120" s="430">
        <v>0</v>
      </c>
      <c r="CE120" s="431"/>
      <c r="CF120" s="51"/>
      <c r="CG120" s="144"/>
      <c r="CH120" s="432"/>
      <c r="CI120" s="430">
        <v>0</v>
      </c>
      <c r="CJ120" s="431"/>
      <c r="CK120" s="51"/>
      <c r="CL120" s="144"/>
      <c r="CM120" s="432"/>
      <c r="CN120" s="430">
        <v>0</v>
      </c>
      <c r="CO120" s="431"/>
      <c r="CP120" s="51"/>
      <c r="CQ120" s="144"/>
      <c r="CR120" s="432"/>
      <c r="CS120" s="430">
        <v>0</v>
      </c>
      <c r="CT120" s="431"/>
      <c r="CU120" s="51"/>
      <c r="CV120" s="144"/>
      <c r="CW120" s="432"/>
      <c r="CX120" s="430">
        <v>0</v>
      </c>
      <c r="CY120" s="431"/>
      <c r="CZ120" s="51"/>
      <c r="DA120" s="144"/>
      <c r="DB120" s="432"/>
      <c r="DC120" s="430">
        <v>0</v>
      </c>
      <c r="DD120" s="431"/>
      <c r="DE120" s="51"/>
      <c r="DF120" s="144"/>
      <c r="DG120" s="432"/>
      <c r="DH120" s="430">
        <v>0</v>
      </c>
      <c r="DI120" s="431"/>
      <c r="DJ120" s="51"/>
      <c r="DK120" s="144"/>
      <c r="DL120" s="432"/>
      <c r="DM120" s="430">
        <v>0</v>
      </c>
      <c r="DN120" s="431"/>
      <c r="DO120" s="51"/>
      <c r="DP120" s="144"/>
      <c r="DQ120" s="432"/>
      <c r="DR120" s="430">
        <v>0</v>
      </c>
      <c r="DS120" s="431"/>
      <c r="DT120" s="51"/>
      <c r="DU120" s="144"/>
      <c r="DV120" s="432"/>
      <c r="DW120" s="430">
        <v>0</v>
      </c>
      <c r="DX120" s="431"/>
      <c r="DY120" s="51"/>
      <c r="DZ120" s="144"/>
      <c r="EA120" s="432"/>
      <c r="EB120" s="430">
        <v>0</v>
      </c>
      <c r="EC120" s="431"/>
      <c r="ED120" s="51"/>
      <c r="EE120" s="144"/>
      <c r="EF120" s="432"/>
      <c r="EG120" s="430">
        <v>0</v>
      </c>
      <c r="EH120" s="431"/>
      <c r="EI120" s="51"/>
      <c r="EJ120" s="144"/>
      <c r="EK120" s="432"/>
      <c r="EL120" s="430">
        <f>SUM(CD120:CD120)</f>
        <v>0</v>
      </c>
      <c r="EM120" s="431"/>
      <c r="EN120" s="51"/>
      <c r="EO120" s="340"/>
      <c r="ER120" s="39"/>
      <c r="ES120" s="39"/>
    </row>
    <row r="121" spans="1:149" ht="12.75" hidden="1" customHeight="1" x14ac:dyDescent="0.2">
      <c r="A121" s="317"/>
      <c r="B121" s="317"/>
      <c r="D121" s="340" t="s">
        <v>186</v>
      </c>
      <c r="E121" s="144"/>
      <c r="F121" s="347"/>
      <c r="G121" s="51">
        <v>0</v>
      </c>
      <c r="H121" s="50"/>
      <c r="I121" s="51"/>
      <c r="J121" s="144"/>
      <c r="K121" s="144"/>
      <c r="L121" s="51">
        <v>0</v>
      </c>
      <c r="M121" s="50"/>
      <c r="N121" s="51"/>
      <c r="O121" s="144"/>
      <c r="P121" s="144"/>
      <c r="Q121" s="51">
        <v>0</v>
      </c>
      <c r="R121" s="50"/>
      <c r="S121" s="51"/>
      <c r="T121" s="144"/>
      <c r="U121" s="144"/>
      <c r="V121" s="51">
        <v>0</v>
      </c>
      <c r="W121" s="50"/>
      <c r="X121" s="51"/>
      <c r="Y121" s="144"/>
      <c r="Z121" s="144"/>
      <c r="AA121" s="51">
        <v>0</v>
      </c>
      <c r="AB121" s="50"/>
      <c r="AC121" s="51"/>
      <c r="AD121" s="144"/>
      <c r="AE121" s="144"/>
      <c r="AF121" s="51">
        <v>0</v>
      </c>
      <c r="AG121" s="50"/>
      <c r="AH121" s="51"/>
      <c r="AI121" s="144"/>
      <c r="AJ121" s="144"/>
      <c r="AK121" s="51">
        <v>0</v>
      </c>
      <c r="AL121" s="50"/>
      <c r="AM121" s="51"/>
      <c r="AN121" s="144"/>
      <c r="AO121" s="144"/>
      <c r="AP121" s="51">
        <v>0</v>
      </c>
      <c r="AQ121" s="50"/>
      <c r="AR121" s="51"/>
      <c r="AS121" s="144"/>
      <c r="AT121" s="144"/>
      <c r="AU121" s="51">
        <v>0</v>
      </c>
      <c r="AV121" s="50"/>
      <c r="AW121" s="51"/>
      <c r="AX121" s="144"/>
      <c r="AY121" s="144"/>
      <c r="AZ121" s="51">
        <v>0</v>
      </c>
      <c r="BA121" s="50"/>
      <c r="BB121" s="51"/>
      <c r="BC121" s="144"/>
      <c r="BD121" s="144"/>
      <c r="BE121" s="51">
        <v>0</v>
      </c>
      <c r="BF121" s="50"/>
      <c r="BG121" s="51"/>
      <c r="BH121" s="144"/>
      <c r="BI121" s="144"/>
      <c r="BJ121" s="51">
        <v>0</v>
      </c>
      <c r="BK121" s="50"/>
      <c r="BL121" s="51"/>
      <c r="BM121" s="144"/>
      <c r="BN121" s="144"/>
      <c r="BO121" s="51">
        <v>0</v>
      </c>
      <c r="BP121" s="50"/>
      <c r="BQ121" s="51"/>
      <c r="BR121" s="144"/>
      <c r="BS121" s="144"/>
      <c r="BT121" s="51">
        <f>SUM(L121:BO121)</f>
        <v>0</v>
      </c>
      <c r="BU121" s="50"/>
      <c r="BV121" s="51"/>
      <c r="BW121" s="144"/>
      <c r="BX121" s="144"/>
      <c r="BY121" s="51">
        <v>0</v>
      </c>
      <c r="BZ121" s="50"/>
      <c r="CA121" s="51"/>
      <c r="CB121" s="144"/>
      <c r="CC121" s="144"/>
      <c r="CD121" s="51">
        <v>0</v>
      </c>
      <c r="CE121" s="50"/>
      <c r="CF121" s="51"/>
      <c r="CG121" s="144"/>
      <c r="CH121" s="144"/>
      <c r="CI121" s="51">
        <v>0</v>
      </c>
      <c r="CJ121" s="50"/>
      <c r="CK121" s="51"/>
      <c r="CL121" s="144"/>
      <c r="CM121" s="144"/>
      <c r="CN121" s="51">
        <v>0</v>
      </c>
      <c r="CO121" s="50"/>
      <c r="CP121" s="51"/>
      <c r="CQ121" s="144"/>
      <c r="CR121" s="144"/>
      <c r="CS121" s="51">
        <v>0</v>
      </c>
      <c r="CT121" s="50"/>
      <c r="CU121" s="51"/>
      <c r="CV121" s="144"/>
      <c r="CW121" s="144"/>
      <c r="CX121" s="51">
        <v>0</v>
      </c>
      <c r="CY121" s="50"/>
      <c r="CZ121" s="51"/>
      <c r="DA121" s="144"/>
      <c r="DB121" s="144"/>
      <c r="DC121" s="51">
        <v>0</v>
      </c>
      <c r="DD121" s="50"/>
      <c r="DE121" s="51"/>
      <c r="DF121" s="144"/>
      <c r="DG121" s="144"/>
      <c r="DH121" s="51">
        <v>0</v>
      </c>
      <c r="DI121" s="50"/>
      <c r="DJ121" s="51"/>
      <c r="DK121" s="144"/>
      <c r="DL121" s="144"/>
      <c r="DM121" s="51">
        <v>0</v>
      </c>
      <c r="DN121" s="50"/>
      <c r="DO121" s="51"/>
      <c r="DP121" s="144"/>
      <c r="DQ121" s="144"/>
      <c r="DR121" s="51">
        <v>0</v>
      </c>
      <c r="DS121" s="50"/>
      <c r="DT121" s="51"/>
      <c r="DU121" s="144"/>
      <c r="DV121" s="144"/>
      <c r="DW121" s="51">
        <v>0</v>
      </c>
      <c r="DX121" s="50"/>
      <c r="DY121" s="51"/>
      <c r="DZ121" s="144"/>
      <c r="EA121" s="144"/>
      <c r="EB121" s="51">
        <v>0</v>
      </c>
      <c r="EC121" s="50"/>
      <c r="ED121" s="51"/>
      <c r="EE121" s="144"/>
      <c r="EF121" s="144"/>
      <c r="EG121" s="51">
        <v>0</v>
      </c>
      <c r="EH121" s="50"/>
      <c r="EI121" s="51"/>
      <c r="EJ121" s="144"/>
      <c r="EK121" s="144"/>
      <c r="EL121" s="51">
        <f>SUM(CD121:CD121)</f>
        <v>0</v>
      </c>
      <c r="EM121" s="50"/>
      <c r="EN121" s="51"/>
      <c r="EO121" s="340"/>
      <c r="ER121" s="39"/>
      <c r="ES121" s="39"/>
    </row>
    <row r="122" spans="1:149" ht="12.75" hidden="1" customHeight="1" x14ac:dyDescent="0.2">
      <c r="A122" s="317"/>
      <c r="B122" s="317"/>
      <c r="D122" s="340" t="s">
        <v>200</v>
      </c>
      <c r="E122" s="144"/>
      <c r="F122" s="371"/>
      <c r="G122" s="95">
        <v>0</v>
      </c>
      <c r="H122" s="94"/>
      <c r="I122" s="51"/>
      <c r="J122" s="144"/>
      <c r="K122" s="187"/>
      <c r="L122" s="95">
        <v>0</v>
      </c>
      <c r="M122" s="94"/>
      <c r="N122" s="51"/>
      <c r="O122" s="144"/>
      <c r="P122" s="187"/>
      <c r="Q122" s="95">
        <v>0</v>
      </c>
      <c r="R122" s="94"/>
      <c r="S122" s="51"/>
      <c r="T122" s="144"/>
      <c r="U122" s="187"/>
      <c r="V122" s="95">
        <v>0</v>
      </c>
      <c r="W122" s="94"/>
      <c r="X122" s="51"/>
      <c r="Y122" s="144"/>
      <c r="Z122" s="187"/>
      <c r="AA122" s="95">
        <v>0</v>
      </c>
      <c r="AB122" s="94"/>
      <c r="AC122" s="51"/>
      <c r="AD122" s="144"/>
      <c r="AE122" s="187"/>
      <c r="AF122" s="95">
        <v>0</v>
      </c>
      <c r="AG122" s="94"/>
      <c r="AH122" s="51"/>
      <c r="AI122" s="144"/>
      <c r="AJ122" s="187"/>
      <c r="AK122" s="95">
        <v>0</v>
      </c>
      <c r="AL122" s="94"/>
      <c r="AM122" s="51"/>
      <c r="AN122" s="144"/>
      <c r="AO122" s="187"/>
      <c r="AP122" s="95">
        <v>0</v>
      </c>
      <c r="AQ122" s="94"/>
      <c r="AR122" s="51"/>
      <c r="AS122" s="144"/>
      <c r="AT122" s="187"/>
      <c r="AU122" s="95">
        <v>0</v>
      </c>
      <c r="AV122" s="94"/>
      <c r="AW122" s="51"/>
      <c r="AX122" s="144"/>
      <c r="AY122" s="187"/>
      <c r="AZ122" s="95">
        <v>0</v>
      </c>
      <c r="BA122" s="94"/>
      <c r="BB122" s="51"/>
      <c r="BC122" s="144"/>
      <c r="BD122" s="187"/>
      <c r="BE122" s="95">
        <v>0</v>
      </c>
      <c r="BF122" s="94"/>
      <c r="BG122" s="51"/>
      <c r="BH122" s="144"/>
      <c r="BI122" s="187"/>
      <c r="BJ122" s="95">
        <v>0</v>
      </c>
      <c r="BK122" s="94"/>
      <c r="BL122" s="51"/>
      <c r="BM122" s="144"/>
      <c r="BN122" s="187"/>
      <c r="BO122" s="95">
        <v>0</v>
      </c>
      <c r="BP122" s="94"/>
      <c r="BQ122" s="51"/>
      <c r="BR122" s="144"/>
      <c r="BS122" s="187"/>
      <c r="BT122" s="95">
        <f>SUM(L122:BO122)</f>
        <v>0</v>
      </c>
      <c r="BU122" s="94"/>
      <c r="BV122" s="51"/>
      <c r="BW122" s="144"/>
      <c r="BX122" s="187"/>
      <c r="BY122" s="95">
        <v>0</v>
      </c>
      <c r="BZ122" s="94"/>
      <c r="CA122" s="51"/>
      <c r="CB122" s="144"/>
      <c r="CC122" s="187"/>
      <c r="CD122" s="95">
        <v>0</v>
      </c>
      <c r="CE122" s="94"/>
      <c r="CF122" s="51"/>
      <c r="CG122" s="144"/>
      <c r="CH122" s="187"/>
      <c r="CI122" s="95">
        <v>0</v>
      </c>
      <c r="CJ122" s="94"/>
      <c r="CK122" s="51"/>
      <c r="CL122" s="144"/>
      <c r="CM122" s="187"/>
      <c r="CN122" s="95">
        <v>0</v>
      </c>
      <c r="CO122" s="94"/>
      <c r="CP122" s="51"/>
      <c r="CQ122" s="144"/>
      <c r="CR122" s="187"/>
      <c r="CS122" s="95">
        <v>0</v>
      </c>
      <c r="CT122" s="94"/>
      <c r="CU122" s="51"/>
      <c r="CV122" s="144"/>
      <c r="CW122" s="187"/>
      <c r="CX122" s="95">
        <v>0</v>
      </c>
      <c r="CY122" s="94"/>
      <c r="CZ122" s="51"/>
      <c r="DA122" s="144"/>
      <c r="DB122" s="187"/>
      <c r="DC122" s="95">
        <v>0</v>
      </c>
      <c r="DD122" s="94"/>
      <c r="DE122" s="51"/>
      <c r="DF122" s="144"/>
      <c r="DG122" s="187"/>
      <c r="DH122" s="95">
        <v>0</v>
      </c>
      <c r="DI122" s="94"/>
      <c r="DJ122" s="51"/>
      <c r="DK122" s="144"/>
      <c r="DL122" s="187"/>
      <c r="DM122" s="95">
        <v>0</v>
      </c>
      <c r="DN122" s="94"/>
      <c r="DO122" s="51"/>
      <c r="DP122" s="144"/>
      <c r="DQ122" s="187"/>
      <c r="DR122" s="95">
        <v>0</v>
      </c>
      <c r="DS122" s="94"/>
      <c r="DT122" s="51"/>
      <c r="DU122" s="144"/>
      <c r="DV122" s="187"/>
      <c r="DW122" s="95">
        <v>0</v>
      </c>
      <c r="DX122" s="94"/>
      <c r="DY122" s="51"/>
      <c r="DZ122" s="144"/>
      <c r="EA122" s="187"/>
      <c r="EB122" s="95">
        <v>0</v>
      </c>
      <c r="EC122" s="94"/>
      <c r="ED122" s="51"/>
      <c r="EE122" s="144"/>
      <c r="EF122" s="187"/>
      <c r="EG122" s="95">
        <v>0</v>
      </c>
      <c r="EH122" s="94"/>
      <c r="EI122" s="51"/>
      <c r="EJ122" s="144"/>
      <c r="EK122" s="187"/>
      <c r="EL122" s="95">
        <f>SUM(CD122:CD122)</f>
        <v>0</v>
      </c>
      <c r="EM122" s="94"/>
      <c r="EN122" s="51"/>
      <c r="EO122" s="340"/>
      <c r="ER122" s="39"/>
      <c r="ES122" s="39"/>
    </row>
    <row r="123" spans="1:149" ht="12.75" hidden="1" customHeight="1" x14ac:dyDescent="0.2">
      <c r="A123" s="317"/>
      <c r="B123" s="317"/>
      <c r="D123" s="340"/>
      <c r="E123" s="144"/>
      <c r="F123" s="317"/>
      <c r="G123" s="51"/>
      <c r="H123" s="51"/>
      <c r="I123" s="51"/>
      <c r="J123" s="144"/>
      <c r="K123" s="51"/>
      <c r="L123" s="51"/>
      <c r="M123" s="51"/>
      <c r="N123" s="51"/>
      <c r="O123" s="144"/>
      <c r="P123" s="51"/>
      <c r="Q123" s="51"/>
      <c r="R123" s="51"/>
      <c r="S123" s="51"/>
      <c r="T123" s="144"/>
      <c r="U123" s="51"/>
      <c r="V123" s="51"/>
      <c r="W123" s="51"/>
      <c r="X123" s="51"/>
      <c r="Y123" s="144"/>
      <c r="Z123" s="51"/>
      <c r="AA123" s="51"/>
      <c r="AB123" s="51"/>
      <c r="AC123" s="51"/>
      <c r="AD123" s="144"/>
      <c r="AE123" s="51"/>
      <c r="AF123" s="51"/>
      <c r="AG123" s="51"/>
      <c r="AH123" s="51"/>
      <c r="AI123" s="144"/>
      <c r="AJ123" s="51"/>
      <c r="AK123" s="51"/>
      <c r="AL123" s="51"/>
      <c r="AM123" s="51"/>
      <c r="AN123" s="144"/>
      <c r="AO123" s="51"/>
      <c r="AP123" s="51"/>
      <c r="AQ123" s="51"/>
      <c r="AR123" s="51"/>
      <c r="AS123" s="144"/>
      <c r="AT123" s="51"/>
      <c r="AU123" s="51"/>
      <c r="AV123" s="51"/>
      <c r="AW123" s="51"/>
      <c r="AX123" s="144"/>
      <c r="AY123" s="51"/>
      <c r="AZ123" s="51"/>
      <c r="BA123" s="51"/>
      <c r="BB123" s="51"/>
      <c r="BC123" s="144"/>
      <c r="BD123" s="51"/>
      <c r="BE123" s="51"/>
      <c r="BF123" s="51"/>
      <c r="BG123" s="51"/>
      <c r="BH123" s="144"/>
      <c r="BI123" s="51"/>
      <c r="BJ123" s="51"/>
      <c r="BK123" s="51"/>
      <c r="BL123" s="51"/>
      <c r="BM123" s="144"/>
      <c r="BN123" s="51"/>
      <c r="BO123" s="51"/>
      <c r="BP123" s="51"/>
      <c r="BQ123" s="51"/>
      <c r="BR123" s="144"/>
      <c r="BS123" s="51"/>
      <c r="BT123" s="51"/>
      <c r="BU123" s="51"/>
      <c r="BV123" s="51"/>
      <c r="BW123" s="144"/>
      <c r="BX123" s="51"/>
      <c r="BY123" s="51"/>
      <c r="BZ123" s="51"/>
      <c r="CA123" s="51"/>
      <c r="CB123" s="144"/>
      <c r="CC123" s="51"/>
      <c r="CD123" s="51"/>
      <c r="CE123" s="51"/>
      <c r="CF123" s="51"/>
      <c r="CG123" s="144"/>
      <c r="CH123" s="51"/>
      <c r="CI123" s="51"/>
      <c r="CJ123" s="51"/>
      <c r="CK123" s="51"/>
      <c r="CL123" s="144"/>
      <c r="CM123" s="51"/>
      <c r="CN123" s="51"/>
      <c r="CO123" s="51"/>
      <c r="CP123" s="51"/>
      <c r="CQ123" s="144"/>
      <c r="CR123" s="51"/>
      <c r="CS123" s="51"/>
      <c r="CT123" s="51"/>
      <c r="CU123" s="51"/>
      <c r="CV123" s="144"/>
      <c r="CW123" s="51"/>
      <c r="CX123" s="51"/>
      <c r="CY123" s="51"/>
      <c r="CZ123" s="51"/>
      <c r="DA123" s="144"/>
      <c r="DB123" s="51"/>
      <c r="DC123" s="51"/>
      <c r="DD123" s="51"/>
      <c r="DE123" s="51"/>
      <c r="DF123" s="144"/>
      <c r="DG123" s="51"/>
      <c r="DH123" s="51"/>
      <c r="DI123" s="51"/>
      <c r="DJ123" s="51"/>
      <c r="DK123" s="144"/>
      <c r="DL123" s="51"/>
      <c r="DM123" s="51"/>
      <c r="DN123" s="51"/>
      <c r="DO123" s="51"/>
      <c r="DP123" s="144"/>
      <c r="DQ123" s="51"/>
      <c r="DR123" s="51"/>
      <c r="DS123" s="51"/>
      <c r="DT123" s="51"/>
      <c r="DU123" s="144"/>
      <c r="DV123" s="51"/>
      <c r="DW123" s="51"/>
      <c r="DX123" s="51"/>
      <c r="DY123" s="51"/>
      <c r="DZ123" s="144"/>
      <c r="EA123" s="51"/>
      <c r="EB123" s="51"/>
      <c r="EC123" s="51"/>
      <c r="ED123" s="51"/>
      <c r="EE123" s="144"/>
      <c r="EF123" s="51"/>
      <c r="EG123" s="51"/>
      <c r="EH123" s="51"/>
      <c r="EI123" s="51"/>
      <c r="EJ123" s="144"/>
      <c r="EK123" s="51"/>
      <c r="EL123" s="51"/>
      <c r="EM123" s="51"/>
      <c r="EN123" s="51"/>
      <c r="EO123" s="340"/>
      <c r="ER123" s="39"/>
      <c r="ES123" s="39"/>
    </row>
    <row r="124" spans="1:149" x14ac:dyDescent="0.2">
      <c r="A124" s="317"/>
      <c r="B124" s="317"/>
      <c r="D124" s="340" t="s">
        <v>206</v>
      </c>
      <c r="E124" s="144"/>
      <c r="F124" s="317"/>
      <c r="G124" s="51">
        <f>SUM(G125:G127)</f>
        <v>0</v>
      </c>
      <c r="H124" s="51"/>
      <c r="I124" s="51"/>
      <c r="J124" s="144"/>
      <c r="K124" s="51"/>
      <c r="L124" s="51">
        <f>SUM(L125:L127)</f>
        <v>1300000</v>
      </c>
      <c r="M124" s="51"/>
      <c r="N124" s="51"/>
      <c r="O124" s="144"/>
      <c r="P124" s="51"/>
      <c r="Q124" s="51">
        <f>SUM(Q125:Q127)</f>
        <v>0</v>
      </c>
      <c r="R124" s="51"/>
      <c r="S124" s="51"/>
      <c r="T124" s="144"/>
      <c r="U124" s="51"/>
      <c r="V124" s="51">
        <f>SUM(V125:V127)</f>
        <v>3210000</v>
      </c>
      <c r="W124" s="51"/>
      <c r="X124" s="51"/>
      <c r="Y124" s="144"/>
      <c r="Z124" s="51"/>
      <c r="AA124" s="51">
        <f>SUM(AA125:AA127)</f>
        <v>4500000</v>
      </c>
      <c r="AB124" s="51"/>
      <c r="AC124" s="51"/>
      <c r="AD124" s="144"/>
      <c r="AE124" s="51"/>
      <c r="AF124" s="51">
        <f>SUM(AF125:AF127)</f>
        <v>3249000</v>
      </c>
      <c r="AG124" s="51"/>
      <c r="AH124" s="51"/>
      <c r="AI124" s="144"/>
      <c r="AJ124" s="51"/>
      <c r="AK124" s="51">
        <f>SUM(AK125:AK127)</f>
        <v>4369000</v>
      </c>
      <c r="AL124" s="51"/>
      <c r="AM124" s="51"/>
      <c r="AN124" s="144"/>
      <c r="AO124" s="51"/>
      <c r="AP124" s="51">
        <f>SUM(AP125:AP127)</f>
        <v>1436000</v>
      </c>
      <c r="AQ124" s="51"/>
      <c r="AR124" s="51"/>
      <c r="AS124" s="144"/>
      <c r="AT124" s="51"/>
      <c r="AU124" s="51">
        <f>SUM(AU125:AU127)</f>
        <v>0</v>
      </c>
      <c r="AV124" s="51"/>
      <c r="AW124" s="51"/>
      <c r="AX124" s="144"/>
      <c r="AY124" s="51"/>
      <c r="AZ124" s="51">
        <f>SUM(AZ125:AZ127)</f>
        <v>0</v>
      </c>
      <c r="BA124" s="51"/>
      <c r="BB124" s="51"/>
      <c r="BC124" s="144"/>
      <c r="BD124" s="51"/>
      <c r="BE124" s="51">
        <f>SUM(BE125:BE127)</f>
        <v>0</v>
      </c>
      <c r="BF124" s="51"/>
      <c r="BG124" s="51"/>
      <c r="BH124" s="144"/>
      <c r="BI124" s="51"/>
      <c r="BJ124" s="51">
        <f>SUM(BJ125:BJ127)</f>
        <v>0</v>
      </c>
      <c r="BK124" s="51"/>
      <c r="BL124" s="51"/>
      <c r="BM124" s="144"/>
      <c r="BN124" s="51"/>
      <c r="BO124" s="51">
        <f>SUM(BO125:BO127)</f>
        <v>0</v>
      </c>
      <c r="BP124" s="51"/>
      <c r="BQ124" s="51"/>
      <c r="BR124" s="144"/>
      <c r="BS124" s="51"/>
      <c r="BT124" s="51">
        <f>SUM(BT125:BT127)</f>
        <v>18064000</v>
      </c>
      <c r="BU124" s="51"/>
      <c r="BV124" s="51"/>
      <c r="BW124" s="144"/>
      <c r="BX124" s="51"/>
      <c r="BY124" s="51">
        <f>SUM(BY125:BY127)</f>
        <v>30251715</v>
      </c>
      <c r="BZ124" s="51"/>
      <c r="CA124" s="51"/>
      <c r="CB124" s="144"/>
      <c r="CC124" s="51"/>
      <c r="CD124" s="51">
        <f>SUM(CD125:CD127)</f>
        <v>7133339</v>
      </c>
      <c r="CE124" s="51"/>
      <c r="CF124" s="51"/>
      <c r="CG124" s="144"/>
      <c r="CH124" s="51"/>
      <c r="CI124" s="51">
        <f>SUM(CI125:CI127)</f>
        <v>1659710</v>
      </c>
      <c r="CJ124" s="51"/>
      <c r="CK124" s="51"/>
      <c r="CL124" s="144"/>
      <c r="CM124" s="51"/>
      <c r="CN124" s="51">
        <f>SUM(CN125:CN127)</f>
        <v>2600000</v>
      </c>
      <c r="CO124" s="51"/>
      <c r="CP124" s="51"/>
      <c r="CQ124" s="144"/>
      <c r="CR124" s="51"/>
      <c r="CS124" s="51">
        <f>SUM(CS125:CS127)</f>
        <v>3250000</v>
      </c>
      <c r="CT124" s="51"/>
      <c r="CU124" s="51"/>
      <c r="CV124" s="144"/>
      <c r="CW124" s="51"/>
      <c r="CX124" s="51">
        <f>SUM(CX125:CX127)</f>
        <v>3246000</v>
      </c>
      <c r="CY124" s="51"/>
      <c r="CZ124" s="51"/>
      <c r="DA124" s="144"/>
      <c r="DB124" s="51"/>
      <c r="DC124" s="51">
        <f>SUM(DC125:DC127)</f>
        <v>1300000</v>
      </c>
      <c r="DD124" s="51"/>
      <c r="DE124" s="51"/>
      <c r="DF124" s="144"/>
      <c r="DG124" s="51"/>
      <c r="DH124" s="51">
        <f>SUM(DH125:DH127)</f>
        <v>0</v>
      </c>
      <c r="DI124" s="51"/>
      <c r="DJ124" s="51"/>
      <c r="DK124" s="144"/>
      <c r="DL124" s="51"/>
      <c r="DM124" s="51">
        <f>SUM(DM125:DM127)</f>
        <v>2848</v>
      </c>
      <c r="DN124" s="51"/>
      <c r="DO124" s="51"/>
      <c r="DP124" s="144"/>
      <c r="DQ124" s="51"/>
      <c r="DR124" s="51">
        <f>SUM(DR125:DR127)</f>
        <v>3901000</v>
      </c>
      <c r="DS124" s="51"/>
      <c r="DT124" s="51"/>
      <c r="DU124" s="144"/>
      <c r="DV124" s="51"/>
      <c r="DW124" s="51">
        <f>SUM(DW125:DW127)</f>
        <v>1957559</v>
      </c>
      <c r="DX124" s="51"/>
      <c r="DY124" s="51"/>
      <c r="DZ124" s="144"/>
      <c r="EA124" s="51"/>
      <c r="EB124" s="51">
        <f>SUM(EB125:EB127)</f>
        <v>1301259</v>
      </c>
      <c r="EC124" s="51"/>
      <c r="ED124" s="51"/>
      <c r="EE124" s="144"/>
      <c r="EF124" s="51"/>
      <c r="EG124" s="51">
        <f>SUM(EG125:EG127)</f>
        <v>3900000</v>
      </c>
      <c r="EH124" s="51"/>
      <c r="EI124" s="51"/>
      <c r="EJ124" s="144"/>
      <c r="EK124" s="51"/>
      <c r="EL124" s="51">
        <f>SUM(EL125:EL127)</f>
        <v>19189049</v>
      </c>
      <c r="EM124" s="51"/>
      <c r="EN124" s="51"/>
      <c r="EO124" s="340"/>
      <c r="ER124" s="39"/>
      <c r="ES124" s="39"/>
    </row>
    <row r="125" spans="1:149" x14ac:dyDescent="0.2">
      <c r="A125" s="317"/>
      <c r="B125" s="317"/>
      <c r="D125" s="340" t="s">
        <v>183</v>
      </c>
      <c r="E125" s="144"/>
      <c r="F125" s="354"/>
      <c r="G125" s="430">
        <v>0</v>
      </c>
      <c r="H125" s="431"/>
      <c r="I125" s="51"/>
      <c r="J125" s="144"/>
      <c r="K125" s="432"/>
      <c r="L125" s="430">
        <f>1300000-178665</f>
        <v>1121335</v>
      </c>
      <c r="M125" s="431"/>
      <c r="N125" s="51"/>
      <c r="O125" s="144"/>
      <c r="P125" s="432"/>
      <c r="Q125" s="430">
        <v>0</v>
      </c>
      <c r="R125" s="431"/>
      <c r="S125" s="51"/>
      <c r="T125" s="144"/>
      <c r="U125" s="432"/>
      <c r="V125" s="430">
        <f>3210000-556362</f>
        <v>2653638</v>
      </c>
      <c r="W125" s="431"/>
      <c r="X125" s="51"/>
      <c r="Y125" s="144"/>
      <c r="Z125" s="432"/>
      <c r="AA125" s="430">
        <f>4500000-941168</f>
        <v>3558832</v>
      </c>
      <c r="AB125" s="431"/>
      <c r="AC125" s="51"/>
      <c r="AD125" s="144"/>
      <c r="AE125" s="432"/>
      <c r="AF125" s="430">
        <f>3249000-581122</f>
        <v>2667878</v>
      </c>
      <c r="AG125" s="431"/>
      <c r="AH125" s="51"/>
      <c r="AI125" s="144"/>
      <c r="AJ125" s="432"/>
      <c r="AK125" s="430">
        <f>4369000-891839</f>
        <v>3477161</v>
      </c>
      <c r="AL125" s="431"/>
      <c r="AM125" s="51"/>
      <c r="AN125" s="144"/>
      <c r="AO125" s="432"/>
      <c r="AP125" s="430">
        <f>1436000-306108</f>
        <v>1129892</v>
      </c>
      <c r="AQ125" s="431"/>
      <c r="AR125" s="51"/>
      <c r="AS125" s="144"/>
      <c r="AT125" s="432"/>
      <c r="AU125" s="430">
        <v>0</v>
      </c>
      <c r="AV125" s="431"/>
      <c r="AW125" s="51"/>
      <c r="AX125" s="144"/>
      <c r="AY125" s="432"/>
      <c r="AZ125" s="430">
        <v>0</v>
      </c>
      <c r="BA125" s="431"/>
      <c r="BB125" s="51"/>
      <c r="BC125" s="144"/>
      <c r="BD125" s="432"/>
      <c r="BE125" s="430">
        <v>0</v>
      </c>
      <c r="BF125" s="431"/>
      <c r="BG125" s="51"/>
      <c r="BH125" s="144"/>
      <c r="BI125" s="432"/>
      <c r="BJ125" s="430">
        <v>0</v>
      </c>
      <c r="BK125" s="431"/>
      <c r="BL125" s="51"/>
      <c r="BM125" s="144"/>
      <c r="BN125" s="432"/>
      <c r="BO125" s="430">
        <v>0</v>
      </c>
      <c r="BP125" s="431"/>
      <c r="BQ125" s="51"/>
      <c r="BR125" s="144"/>
      <c r="BS125" s="432"/>
      <c r="BT125" s="430">
        <f>SUM(L125:BO125)</f>
        <v>14608736</v>
      </c>
      <c r="BU125" s="431"/>
      <c r="BV125" s="51"/>
      <c r="BW125" s="144"/>
      <c r="BX125" s="432"/>
      <c r="BY125" s="430">
        <v>25375940</v>
      </c>
      <c r="BZ125" s="431"/>
      <c r="CA125" s="51"/>
      <c r="CB125" s="144"/>
      <c r="CC125" s="432"/>
      <c r="CD125" s="430">
        <f>7133339-1317664</f>
        <v>5815675</v>
      </c>
      <c r="CE125" s="431"/>
      <c r="CF125" s="51"/>
      <c r="CG125" s="144"/>
      <c r="CH125" s="432"/>
      <c r="CI125" s="430">
        <f>1659710-268322</f>
        <v>1391388</v>
      </c>
      <c r="CJ125" s="431"/>
      <c r="CK125" s="51"/>
      <c r="CL125" s="144"/>
      <c r="CM125" s="432"/>
      <c r="CN125" s="430">
        <f>2600000-331557</f>
        <v>2268443</v>
      </c>
      <c r="CO125" s="431"/>
      <c r="CP125" s="51"/>
      <c r="CQ125" s="144"/>
      <c r="CR125" s="432"/>
      <c r="CS125" s="430">
        <f>3250000-459769</f>
        <v>2790231</v>
      </c>
      <c r="CT125" s="431"/>
      <c r="CU125" s="51"/>
      <c r="CV125" s="144"/>
      <c r="CW125" s="432"/>
      <c r="CX125" s="430">
        <f>3246000-497899</f>
        <v>2748101</v>
      </c>
      <c r="CY125" s="431"/>
      <c r="CZ125" s="51"/>
      <c r="DA125" s="144"/>
      <c r="DB125" s="432"/>
      <c r="DC125" s="430">
        <f>1300000-167463</f>
        <v>1132537</v>
      </c>
      <c r="DD125" s="431"/>
      <c r="DE125" s="51"/>
      <c r="DF125" s="144"/>
      <c r="DG125" s="432"/>
      <c r="DH125" s="430">
        <v>0</v>
      </c>
      <c r="DI125" s="431"/>
      <c r="DJ125" s="51"/>
      <c r="DK125" s="144"/>
      <c r="DL125" s="432"/>
      <c r="DM125" s="430">
        <f>2848-478</f>
        <v>2370</v>
      </c>
      <c r="DN125" s="431"/>
      <c r="DO125" s="51"/>
      <c r="DP125" s="144"/>
      <c r="DQ125" s="432"/>
      <c r="DR125" s="430">
        <f>3901000-653269</f>
        <v>3247731</v>
      </c>
      <c r="DS125" s="431"/>
      <c r="DT125" s="51"/>
      <c r="DU125" s="144"/>
      <c r="DV125" s="432"/>
      <c r="DW125" s="430">
        <f>1957559-324416</f>
        <v>1633143</v>
      </c>
      <c r="DX125" s="431"/>
      <c r="DY125" s="51"/>
      <c r="DZ125" s="144"/>
      <c r="EA125" s="432"/>
      <c r="EB125" s="430">
        <f>1301259-165194</f>
        <v>1136065</v>
      </c>
      <c r="EC125" s="431"/>
      <c r="ED125" s="51"/>
      <c r="EE125" s="144"/>
      <c r="EF125" s="432"/>
      <c r="EG125" s="430">
        <f>3900000-689744</f>
        <v>3210256</v>
      </c>
      <c r="EH125" s="431"/>
      <c r="EI125" s="51"/>
      <c r="EJ125" s="144"/>
      <c r="EK125" s="432"/>
      <c r="EL125" s="430">
        <f t="shared" ref="EL125:EL127" si="11">SUM(CD125:DH125)</f>
        <v>16146375</v>
      </c>
      <c r="EM125" s="431"/>
      <c r="EN125" s="51"/>
      <c r="EO125" s="340"/>
      <c r="ER125" s="39"/>
      <c r="ES125" s="39"/>
    </row>
    <row r="126" spans="1:149" x14ac:dyDescent="0.2">
      <c r="A126" s="317"/>
      <c r="B126" s="317"/>
      <c r="D126" s="340" t="s">
        <v>186</v>
      </c>
      <c r="E126" s="144"/>
      <c r="F126" s="347"/>
      <c r="G126" s="51">
        <v>0</v>
      </c>
      <c r="H126" s="50"/>
      <c r="I126" s="51"/>
      <c r="J126" s="144"/>
      <c r="K126" s="144"/>
      <c r="L126" s="51">
        <v>178665</v>
      </c>
      <c r="M126" s="50"/>
      <c r="N126" s="51"/>
      <c r="O126" s="144"/>
      <c r="P126" s="144"/>
      <c r="Q126" s="51">
        <v>0</v>
      </c>
      <c r="R126" s="50"/>
      <c r="S126" s="51"/>
      <c r="T126" s="144"/>
      <c r="U126" s="144"/>
      <c r="V126" s="51">
        <v>556362</v>
      </c>
      <c r="W126" s="50"/>
      <c r="X126" s="51"/>
      <c r="Y126" s="144"/>
      <c r="Z126" s="144"/>
      <c r="AA126" s="51">
        <v>941168</v>
      </c>
      <c r="AB126" s="50"/>
      <c r="AC126" s="51"/>
      <c r="AD126" s="144"/>
      <c r="AE126" s="144"/>
      <c r="AF126" s="51">
        <v>581122</v>
      </c>
      <c r="AG126" s="50"/>
      <c r="AH126" s="51"/>
      <c r="AI126" s="144"/>
      <c r="AJ126" s="144"/>
      <c r="AK126" s="51">
        <v>891839</v>
      </c>
      <c r="AL126" s="50"/>
      <c r="AM126" s="51"/>
      <c r="AN126" s="144"/>
      <c r="AO126" s="144"/>
      <c r="AP126" s="51">
        <v>306108</v>
      </c>
      <c r="AQ126" s="50"/>
      <c r="AR126" s="51"/>
      <c r="AS126" s="144"/>
      <c r="AT126" s="144"/>
      <c r="AU126" s="51">
        <v>0</v>
      </c>
      <c r="AV126" s="50"/>
      <c r="AW126" s="51"/>
      <c r="AX126" s="144"/>
      <c r="AY126" s="144"/>
      <c r="AZ126" s="51">
        <v>0</v>
      </c>
      <c r="BA126" s="50"/>
      <c r="BB126" s="51"/>
      <c r="BC126" s="144"/>
      <c r="BD126" s="144"/>
      <c r="BE126" s="51">
        <v>0</v>
      </c>
      <c r="BF126" s="50"/>
      <c r="BG126" s="51"/>
      <c r="BH126" s="144"/>
      <c r="BI126" s="144"/>
      <c r="BJ126" s="51">
        <v>0</v>
      </c>
      <c r="BK126" s="50"/>
      <c r="BL126" s="51"/>
      <c r="BM126" s="144"/>
      <c r="BN126" s="144"/>
      <c r="BO126" s="51">
        <v>0</v>
      </c>
      <c r="BP126" s="50"/>
      <c r="BQ126" s="51"/>
      <c r="BR126" s="144"/>
      <c r="BS126" s="144"/>
      <c r="BT126" s="51">
        <f>SUM(L126:BO126)</f>
        <v>3455264</v>
      </c>
      <c r="BU126" s="50"/>
      <c r="BV126" s="51"/>
      <c r="BW126" s="144"/>
      <c r="BX126" s="144"/>
      <c r="BY126" s="51">
        <v>4875775</v>
      </c>
      <c r="BZ126" s="50"/>
      <c r="CA126" s="51"/>
      <c r="CB126" s="144"/>
      <c r="CC126" s="144"/>
      <c r="CD126" s="51">
        <v>1317664</v>
      </c>
      <c r="CE126" s="50"/>
      <c r="CF126" s="51"/>
      <c r="CG126" s="144"/>
      <c r="CH126" s="144"/>
      <c r="CI126" s="51">
        <v>268322</v>
      </c>
      <c r="CJ126" s="50"/>
      <c r="CK126" s="51"/>
      <c r="CL126" s="144"/>
      <c r="CM126" s="144"/>
      <c r="CN126" s="51">
        <v>331557</v>
      </c>
      <c r="CO126" s="50"/>
      <c r="CP126" s="51"/>
      <c r="CQ126" s="144"/>
      <c r="CR126" s="144"/>
      <c r="CS126" s="51">
        <v>459769</v>
      </c>
      <c r="CT126" s="50"/>
      <c r="CU126" s="51"/>
      <c r="CV126" s="144"/>
      <c r="CW126" s="144"/>
      <c r="CX126" s="51">
        <v>497899</v>
      </c>
      <c r="CY126" s="50"/>
      <c r="CZ126" s="51"/>
      <c r="DA126" s="144"/>
      <c r="DB126" s="144"/>
      <c r="DC126" s="51">
        <v>167463</v>
      </c>
      <c r="DD126" s="50"/>
      <c r="DE126" s="51"/>
      <c r="DF126" s="144"/>
      <c r="DG126" s="144"/>
      <c r="DH126" s="51">
        <v>0</v>
      </c>
      <c r="DI126" s="50"/>
      <c r="DJ126" s="51"/>
      <c r="DK126" s="144"/>
      <c r="DL126" s="144"/>
      <c r="DM126" s="51">
        <v>478</v>
      </c>
      <c r="DN126" s="50"/>
      <c r="DO126" s="51"/>
      <c r="DP126" s="144"/>
      <c r="DQ126" s="144"/>
      <c r="DR126" s="51">
        <v>653269</v>
      </c>
      <c r="DS126" s="50"/>
      <c r="DT126" s="51"/>
      <c r="DU126" s="144"/>
      <c r="DV126" s="144"/>
      <c r="DW126" s="51">
        <v>324416</v>
      </c>
      <c r="DX126" s="50"/>
      <c r="DY126" s="51"/>
      <c r="DZ126" s="144"/>
      <c r="EA126" s="144"/>
      <c r="EB126" s="51">
        <v>165194</v>
      </c>
      <c r="EC126" s="50"/>
      <c r="ED126" s="51"/>
      <c r="EE126" s="144"/>
      <c r="EF126" s="144"/>
      <c r="EG126" s="51">
        <v>689744</v>
      </c>
      <c r="EH126" s="50"/>
      <c r="EI126" s="51"/>
      <c r="EJ126" s="144"/>
      <c r="EK126" s="144"/>
      <c r="EL126" s="51">
        <f t="shared" si="11"/>
        <v>3042674</v>
      </c>
      <c r="EM126" s="50"/>
      <c r="EN126" s="51"/>
      <c r="EO126" s="340"/>
      <c r="ER126" s="39"/>
      <c r="ES126" s="39"/>
    </row>
    <row r="127" spans="1:149" x14ac:dyDescent="0.2">
      <c r="A127" s="317"/>
      <c r="B127" s="317"/>
      <c r="D127" s="340" t="s">
        <v>200</v>
      </c>
      <c r="E127" s="144"/>
      <c r="F127" s="371"/>
      <c r="G127" s="95">
        <v>0</v>
      </c>
      <c r="H127" s="94"/>
      <c r="I127" s="51"/>
      <c r="J127" s="144"/>
      <c r="K127" s="187"/>
      <c r="L127" s="95">
        <v>0</v>
      </c>
      <c r="M127" s="94"/>
      <c r="N127" s="51"/>
      <c r="O127" s="144"/>
      <c r="P127" s="187"/>
      <c r="Q127" s="95">
        <v>0</v>
      </c>
      <c r="R127" s="94"/>
      <c r="S127" s="51"/>
      <c r="T127" s="144"/>
      <c r="U127" s="187"/>
      <c r="V127" s="95">
        <v>0</v>
      </c>
      <c r="W127" s="94"/>
      <c r="X127" s="51"/>
      <c r="Y127" s="144"/>
      <c r="Z127" s="187"/>
      <c r="AA127" s="95">
        <v>0</v>
      </c>
      <c r="AB127" s="94"/>
      <c r="AC127" s="51"/>
      <c r="AD127" s="144"/>
      <c r="AE127" s="187"/>
      <c r="AF127" s="95">
        <v>0</v>
      </c>
      <c r="AG127" s="94"/>
      <c r="AH127" s="51"/>
      <c r="AI127" s="144"/>
      <c r="AJ127" s="187"/>
      <c r="AK127" s="95">
        <v>0</v>
      </c>
      <c r="AL127" s="94"/>
      <c r="AM127" s="51"/>
      <c r="AN127" s="144"/>
      <c r="AO127" s="187"/>
      <c r="AP127" s="95">
        <v>0</v>
      </c>
      <c r="AQ127" s="94"/>
      <c r="AR127" s="51"/>
      <c r="AS127" s="144"/>
      <c r="AT127" s="187"/>
      <c r="AU127" s="95">
        <v>0</v>
      </c>
      <c r="AV127" s="94"/>
      <c r="AW127" s="51"/>
      <c r="AX127" s="144"/>
      <c r="AY127" s="187"/>
      <c r="AZ127" s="95">
        <v>0</v>
      </c>
      <c r="BA127" s="94"/>
      <c r="BB127" s="51"/>
      <c r="BC127" s="144"/>
      <c r="BD127" s="187"/>
      <c r="BE127" s="95">
        <v>0</v>
      </c>
      <c r="BF127" s="94"/>
      <c r="BG127" s="51"/>
      <c r="BH127" s="144"/>
      <c r="BI127" s="187"/>
      <c r="BJ127" s="95">
        <v>0</v>
      </c>
      <c r="BK127" s="94"/>
      <c r="BL127" s="51"/>
      <c r="BM127" s="144"/>
      <c r="BN127" s="187"/>
      <c r="BO127" s="95">
        <v>0</v>
      </c>
      <c r="BP127" s="94"/>
      <c r="BQ127" s="51"/>
      <c r="BR127" s="144"/>
      <c r="BS127" s="187"/>
      <c r="BT127" s="95">
        <f>SUM(L127:BO127)</f>
        <v>0</v>
      </c>
      <c r="BU127" s="94"/>
      <c r="BV127" s="51"/>
      <c r="BW127" s="144"/>
      <c r="BX127" s="187"/>
      <c r="BY127" s="95">
        <v>0</v>
      </c>
      <c r="BZ127" s="94"/>
      <c r="CA127" s="51"/>
      <c r="CB127" s="144"/>
      <c r="CC127" s="187"/>
      <c r="CD127" s="95">
        <v>0</v>
      </c>
      <c r="CE127" s="94"/>
      <c r="CF127" s="51"/>
      <c r="CG127" s="144"/>
      <c r="CH127" s="187"/>
      <c r="CI127" s="95">
        <v>0</v>
      </c>
      <c r="CJ127" s="94"/>
      <c r="CK127" s="51"/>
      <c r="CL127" s="144"/>
      <c r="CM127" s="187"/>
      <c r="CN127" s="95">
        <v>0</v>
      </c>
      <c r="CO127" s="94"/>
      <c r="CP127" s="51"/>
      <c r="CQ127" s="144"/>
      <c r="CR127" s="187"/>
      <c r="CS127" s="95">
        <v>0</v>
      </c>
      <c r="CT127" s="94"/>
      <c r="CU127" s="51"/>
      <c r="CV127" s="144"/>
      <c r="CW127" s="187"/>
      <c r="CX127" s="95">
        <v>0</v>
      </c>
      <c r="CY127" s="94"/>
      <c r="CZ127" s="51"/>
      <c r="DA127" s="144"/>
      <c r="DB127" s="187"/>
      <c r="DC127" s="95">
        <v>0</v>
      </c>
      <c r="DD127" s="94"/>
      <c r="DE127" s="51"/>
      <c r="DF127" s="144"/>
      <c r="DG127" s="187"/>
      <c r="DH127" s="95">
        <v>0</v>
      </c>
      <c r="DI127" s="94"/>
      <c r="DJ127" s="51"/>
      <c r="DK127" s="144"/>
      <c r="DL127" s="187"/>
      <c r="DM127" s="95">
        <v>0</v>
      </c>
      <c r="DN127" s="94"/>
      <c r="DO127" s="51"/>
      <c r="DP127" s="144"/>
      <c r="DQ127" s="187"/>
      <c r="DR127" s="95">
        <v>0</v>
      </c>
      <c r="DS127" s="94"/>
      <c r="DT127" s="51"/>
      <c r="DU127" s="144"/>
      <c r="DV127" s="187"/>
      <c r="DW127" s="95">
        <v>0</v>
      </c>
      <c r="DX127" s="94"/>
      <c r="DY127" s="51"/>
      <c r="DZ127" s="144"/>
      <c r="EA127" s="187"/>
      <c r="EB127" s="95">
        <v>0</v>
      </c>
      <c r="EC127" s="94"/>
      <c r="ED127" s="51"/>
      <c r="EE127" s="144"/>
      <c r="EF127" s="187"/>
      <c r="EG127" s="95">
        <v>0</v>
      </c>
      <c r="EH127" s="94"/>
      <c r="EI127" s="51"/>
      <c r="EJ127" s="144"/>
      <c r="EK127" s="187"/>
      <c r="EL127" s="95">
        <f t="shared" si="11"/>
        <v>0</v>
      </c>
      <c r="EM127" s="94"/>
      <c r="EN127" s="51"/>
      <c r="EO127" s="340"/>
      <c r="ER127" s="39"/>
      <c r="ES127" s="39"/>
    </row>
    <row r="128" spans="1:149" x14ac:dyDescent="0.2">
      <c r="A128" s="317"/>
      <c r="B128" s="317"/>
      <c r="D128" s="340"/>
      <c r="E128" s="144"/>
      <c r="F128" s="317"/>
      <c r="G128" s="51"/>
      <c r="H128" s="51"/>
      <c r="I128" s="51"/>
      <c r="J128" s="144"/>
      <c r="K128" s="51"/>
      <c r="L128" s="51"/>
      <c r="M128" s="51"/>
      <c r="N128" s="51"/>
      <c r="O128" s="144"/>
      <c r="P128" s="51"/>
      <c r="Q128" s="51"/>
      <c r="R128" s="51"/>
      <c r="S128" s="51"/>
      <c r="T128" s="144"/>
      <c r="U128" s="51"/>
      <c r="V128" s="51"/>
      <c r="W128" s="51"/>
      <c r="X128" s="51"/>
      <c r="Y128" s="144"/>
      <c r="Z128" s="51"/>
      <c r="AA128" s="51"/>
      <c r="AB128" s="51"/>
      <c r="AC128" s="51"/>
      <c r="AD128" s="144"/>
      <c r="AE128" s="51"/>
      <c r="AF128" s="51"/>
      <c r="AG128" s="51"/>
      <c r="AH128" s="51"/>
      <c r="AI128" s="144"/>
      <c r="AJ128" s="51"/>
      <c r="AK128" s="51"/>
      <c r="AL128" s="51"/>
      <c r="AM128" s="51"/>
      <c r="AN128" s="144"/>
      <c r="AO128" s="51"/>
      <c r="AP128" s="51"/>
      <c r="AQ128" s="51"/>
      <c r="AR128" s="51"/>
      <c r="AS128" s="144"/>
      <c r="AT128" s="51"/>
      <c r="AU128" s="51"/>
      <c r="AV128" s="51"/>
      <c r="AW128" s="51"/>
      <c r="AX128" s="144"/>
      <c r="AY128" s="51"/>
      <c r="AZ128" s="51"/>
      <c r="BA128" s="51"/>
      <c r="BB128" s="51"/>
      <c r="BC128" s="144"/>
      <c r="BD128" s="51"/>
      <c r="BE128" s="51"/>
      <c r="BF128" s="51"/>
      <c r="BG128" s="51"/>
      <c r="BH128" s="144"/>
      <c r="BI128" s="51"/>
      <c r="BJ128" s="51"/>
      <c r="BK128" s="51"/>
      <c r="BL128" s="51"/>
      <c r="BM128" s="144"/>
      <c r="BN128" s="51"/>
      <c r="BO128" s="51"/>
      <c r="BP128" s="51"/>
      <c r="BQ128" s="51"/>
      <c r="BR128" s="144"/>
      <c r="BS128" s="51"/>
      <c r="BT128" s="51"/>
      <c r="BU128" s="51"/>
      <c r="BV128" s="51"/>
      <c r="BW128" s="144"/>
      <c r="BX128" s="51"/>
      <c r="BY128" s="51"/>
      <c r="BZ128" s="51"/>
      <c r="CA128" s="51"/>
      <c r="CB128" s="144"/>
      <c r="CC128" s="51"/>
      <c r="CD128" s="51"/>
      <c r="CE128" s="51"/>
      <c r="CF128" s="51"/>
      <c r="CG128" s="144"/>
      <c r="CH128" s="51"/>
      <c r="CI128" s="51"/>
      <c r="CJ128" s="51"/>
      <c r="CK128" s="51"/>
      <c r="CL128" s="144"/>
      <c r="CM128" s="51"/>
      <c r="CN128" s="51"/>
      <c r="CO128" s="51"/>
      <c r="CP128" s="51"/>
      <c r="CQ128" s="144"/>
      <c r="CR128" s="51"/>
      <c r="CS128" s="51"/>
      <c r="CT128" s="51"/>
      <c r="CU128" s="51"/>
      <c r="CV128" s="144"/>
      <c r="CW128" s="51"/>
      <c r="CX128" s="51"/>
      <c r="CY128" s="51"/>
      <c r="CZ128" s="51"/>
      <c r="DA128" s="144"/>
      <c r="DB128" s="51"/>
      <c r="DC128" s="51"/>
      <c r="DD128" s="51"/>
      <c r="DE128" s="51"/>
      <c r="DF128" s="144"/>
      <c r="DG128" s="51"/>
      <c r="DH128" s="51"/>
      <c r="DI128" s="51"/>
      <c r="DJ128" s="51"/>
      <c r="DK128" s="144"/>
      <c r="DL128" s="51"/>
      <c r="DM128" s="51"/>
      <c r="DN128" s="51"/>
      <c r="DO128" s="51"/>
      <c r="DP128" s="144"/>
      <c r="DQ128" s="51"/>
      <c r="DR128" s="51"/>
      <c r="DS128" s="51"/>
      <c r="DT128" s="51"/>
      <c r="DU128" s="144"/>
      <c r="DV128" s="51"/>
      <c r="DW128" s="51"/>
      <c r="DX128" s="51"/>
      <c r="DY128" s="51"/>
      <c r="DZ128" s="144"/>
      <c r="EA128" s="51"/>
      <c r="EB128" s="51"/>
      <c r="EC128" s="51"/>
      <c r="ED128" s="51"/>
      <c r="EE128" s="144"/>
      <c r="EF128" s="51"/>
      <c r="EG128" s="51"/>
      <c r="EH128" s="51"/>
      <c r="EI128" s="51"/>
      <c r="EJ128" s="144"/>
      <c r="EK128" s="51"/>
      <c r="EL128" s="51"/>
      <c r="EM128" s="51"/>
      <c r="EN128" s="51"/>
      <c r="EO128" s="340"/>
      <c r="ER128" s="39"/>
      <c r="ES128" s="39"/>
    </row>
    <row r="129" spans="1:149" ht="12.75" customHeight="1" x14ac:dyDescent="0.2">
      <c r="A129" s="317"/>
      <c r="B129" s="317"/>
      <c r="D129" s="340" t="s">
        <v>207</v>
      </c>
      <c r="E129" s="144"/>
      <c r="F129" s="317"/>
      <c r="G129" s="51">
        <f>SUM(G130:G132)</f>
        <v>0</v>
      </c>
      <c r="H129" s="51"/>
      <c r="I129" s="51"/>
      <c r="J129" s="144"/>
      <c r="K129" s="51"/>
      <c r="L129" s="51">
        <f>SUM(L130:L132)</f>
        <v>1391046</v>
      </c>
      <c r="M129" s="51"/>
      <c r="N129" s="51"/>
      <c r="O129" s="144"/>
      <c r="P129" s="51"/>
      <c r="Q129" s="51">
        <f>SUM(Q130:Q132)</f>
        <v>3251000</v>
      </c>
      <c r="R129" s="51"/>
      <c r="S129" s="51"/>
      <c r="T129" s="144"/>
      <c r="U129" s="51"/>
      <c r="V129" s="51">
        <f>SUM(V130:V132)</f>
        <v>3898000</v>
      </c>
      <c r="W129" s="51"/>
      <c r="X129" s="51"/>
      <c r="Y129" s="144"/>
      <c r="Z129" s="51"/>
      <c r="AA129" s="51">
        <f>SUM(AA130:AA132)</f>
        <v>3248000</v>
      </c>
      <c r="AB129" s="51"/>
      <c r="AC129" s="51"/>
      <c r="AD129" s="144"/>
      <c r="AE129" s="51"/>
      <c r="AF129" s="51">
        <f>SUM(AF130:AF132)</f>
        <v>3896000</v>
      </c>
      <c r="AG129" s="51"/>
      <c r="AH129" s="51"/>
      <c r="AI129" s="144"/>
      <c r="AJ129" s="51"/>
      <c r="AK129" s="51">
        <f>SUM(AK130:AK132)</f>
        <v>3900000</v>
      </c>
      <c r="AL129" s="51"/>
      <c r="AM129" s="51"/>
      <c r="AN129" s="144"/>
      <c r="AO129" s="51"/>
      <c r="AP129" s="51">
        <f>SUM(AP130:AP132)</f>
        <v>2784000</v>
      </c>
      <c r="AQ129" s="51"/>
      <c r="AR129" s="51"/>
      <c r="AS129" s="144"/>
      <c r="AT129" s="51"/>
      <c r="AU129" s="51">
        <f>SUM(AU130:AU132)</f>
        <v>0</v>
      </c>
      <c r="AV129" s="51"/>
      <c r="AW129" s="51"/>
      <c r="AX129" s="144"/>
      <c r="AY129" s="51"/>
      <c r="AZ129" s="51">
        <f>SUM(AZ130:AZ132)</f>
        <v>0</v>
      </c>
      <c r="BA129" s="51"/>
      <c r="BB129" s="51"/>
      <c r="BC129" s="144"/>
      <c r="BD129" s="51"/>
      <c r="BE129" s="51">
        <f>SUM(BE130:BE132)</f>
        <v>0</v>
      </c>
      <c r="BF129" s="51"/>
      <c r="BG129" s="51"/>
      <c r="BH129" s="144"/>
      <c r="BI129" s="51"/>
      <c r="BJ129" s="51">
        <f>SUM(BJ130:BJ132)</f>
        <v>0</v>
      </c>
      <c r="BK129" s="51"/>
      <c r="BL129" s="51"/>
      <c r="BM129" s="144"/>
      <c r="BN129" s="51"/>
      <c r="BO129" s="51">
        <f>SUM(BO130:BO132)</f>
        <v>0</v>
      </c>
      <c r="BP129" s="51"/>
      <c r="BQ129" s="51"/>
      <c r="BR129" s="144"/>
      <c r="BS129" s="51"/>
      <c r="BT129" s="51">
        <f>SUM(BT130:BT132)</f>
        <v>22368046</v>
      </c>
      <c r="BU129" s="51"/>
      <c r="BV129" s="51"/>
      <c r="BW129" s="144"/>
      <c r="BX129" s="51"/>
      <c r="BY129" s="51">
        <f>SUM(BY130:BY132)</f>
        <v>27588392</v>
      </c>
      <c r="BZ129" s="51"/>
      <c r="CA129" s="51"/>
      <c r="CB129" s="144"/>
      <c r="CC129" s="51"/>
      <c r="CD129" s="51">
        <f>SUM(CD130:CD132)</f>
        <v>3833</v>
      </c>
      <c r="CE129" s="51"/>
      <c r="CF129" s="51"/>
      <c r="CG129" s="144"/>
      <c r="CH129" s="51"/>
      <c r="CI129" s="51">
        <f>SUM(CI130:CI132)</f>
        <v>1600000</v>
      </c>
      <c r="CJ129" s="51"/>
      <c r="CK129" s="51"/>
      <c r="CL129" s="144"/>
      <c r="CM129" s="51"/>
      <c r="CN129" s="51">
        <f>SUM(CN130:CN132)</f>
        <v>1948000</v>
      </c>
      <c r="CO129" s="51"/>
      <c r="CP129" s="51"/>
      <c r="CQ129" s="144"/>
      <c r="CR129" s="51"/>
      <c r="CS129" s="51">
        <f>SUM(CS130:CS132)</f>
        <v>5196000</v>
      </c>
      <c r="CT129" s="51"/>
      <c r="CU129" s="51"/>
      <c r="CV129" s="144"/>
      <c r="CW129" s="51"/>
      <c r="CX129" s="51">
        <f>SUM(CX130:CX132)</f>
        <v>1300000</v>
      </c>
      <c r="CY129" s="51"/>
      <c r="CZ129" s="51"/>
      <c r="DA129" s="144"/>
      <c r="DB129" s="51"/>
      <c r="DC129" s="51">
        <f>SUM(DC130:DC132)</f>
        <v>0</v>
      </c>
      <c r="DD129" s="51"/>
      <c r="DE129" s="51"/>
      <c r="DF129" s="144"/>
      <c r="DG129" s="51"/>
      <c r="DH129" s="51">
        <f>SUM(DH130:DH132)</f>
        <v>3900000</v>
      </c>
      <c r="DI129" s="51"/>
      <c r="DJ129" s="51"/>
      <c r="DK129" s="144"/>
      <c r="DL129" s="51"/>
      <c r="DM129" s="51">
        <f>SUM(DM130:DM132)</f>
        <v>2600000</v>
      </c>
      <c r="DN129" s="51"/>
      <c r="DO129" s="51"/>
      <c r="DP129" s="144"/>
      <c r="DQ129" s="51"/>
      <c r="DR129" s="51">
        <f>SUM(DR130:DR132)</f>
        <v>3897000</v>
      </c>
      <c r="DS129" s="51"/>
      <c r="DT129" s="51"/>
      <c r="DU129" s="144"/>
      <c r="DV129" s="51"/>
      <c r="DW129" s="51">
        <f>SUM(DW130:DW132)</f>
        <v>1300000</v>
      </c>
      <c r="DX129" s="51"/>
      <c r="DY129" s="51"/>
      <c r="DZ129" s="144"/>
      <c r="EA129" s="51"/>
      <c r="EB129" s="51">
        <f>SUM(EB130:EB132)</f>
        <v>5843559</v>
      </c>
      <c r="EC129" s="51"/>
      <c r="ED129" s="51"/>
      <c r="EE129" s="144"/>
      <c r="EF129" s="51"/>
      <c r="EG129" s="51">
        <f>SUM(EG130:EG132)</f>
        <v>0</v>
      </c>
      <c r="EH129" s="51"/>
      <c r="EI129" s="51"/>
      <c r="EJ129" s="144"/>
      <c r="EK129" s="51"/>
      <c r="EL129" s="51">
        <f>SUM(EL130:EL132)</f>
        <v>13947833</v>
      </c>
      <c r="EM129" s="51"/>
      <c r="EN129" s="51"/>
      <c r="EO129" s="340"/>
      <c r="ER129" s="39"/>
      <c r="ES129" s="39"/>
    </row>
    <row r="130" spans="1:149" ht="12.75" customHeight="1" x14ac:dyDescent="0.2">
      <c r="A130" s="317"/>
      <c r="B130" s="317"/>
      <c r="D130" s="340" t="s">
        <v>183</v>
      </c>
      <c r="E130" s="144"/>
      <c r="F130" s="354"/>
      <c r="G130" s="430">
        <v>0</v>
      </c>
      <c r="H130" s="431"/>
      <c r="I130" s="51"/>
      <c r="J130" s="144"/>
      <c r="K130" s="354"/>
      <c r="L130" s="430">
        <f>1391046-164791</f>
        <v>1226255</v>
      </c>
      <c r="M130" s="431"/>
      <c r="N130" s="51"/>
      <c r="O130" s="144"/>
      <c r="P130" s="432"/>
      <c r="Q130" s="430">
        <f>3251000-508470</f>
        <v>2742530</v>
      </c>
      <c r="R130" s="431"/>
      <c r="S130" s="51"/>
      <c r="T130" s="144"/>
      <c r="U130" s="432"/>
      <c r="V130" s="430">
        <f>3898000-701748</f>
        <v>3196252</v>
      </c>
      <c r="W130" s="431"/>
      <c r="X130" s="51"/>
      <c r="Y130" s="144"/>
      <c r="Z130" s="432"/>
      <c r="AA130" s="430">
        <f>3248000-668223</f>
        <v>2579777</v>
      </c>
      <c r="AB130" s="431"/>
      <c r="AC130" s="51"/>
      <c r="AD130" s="144"/>
      <c r="AE130" s="432"/>
      <c r="AF130" s="430">
        <f>3896000-649518</f>
        <v>3246482</v>
      </c>
      <c r="AG130" s="431"/>
      <c r="AH130" s="51"/>
      <c r="AI130" s="144"/>
      <c r="AJ130" s="432"/>
      <c r="AK130" s="430">
        <f>3900000-720836</f>
        <v>3179164</v>
      </c>
      <c r="AL130" s="431"/>
      <c r="AM130" s="51"/>
      <c r="AN130" s="144"/>
      <c r="AO130" s="432"/>
      <c r="AP130" s="430">
        <f>2784000-587999</f>
        <v>2196001</v>
      </c>
      <c r="AQ130" s="431"/>
      <c r="AR130" s="51"/>
      <c r="AS130" s="144"/>
      <c r="AT130" s="432"/>
      <c r="AU130" s="430">
        <v>0</v>
      </c>
      <c r="AV130" s="431"/>
      <c r="AW130" s="51"/>
      <c r="AX130" s="144"/>
      <c r="AY130" s="432"/>
      <c r="AZ130" s="430">
        <v>0</v>
      </c>
      <c r="BA130" s="431"/>
      <c r="BB130" s="51"/>
      <c r="BC130" s="144"/>
      <c r="BD130" s="432"/>
      <c r="BE130" s="430">
        <v>0</v>
      </c>
      <c r="BF130" s="431"/>
      <c r="BG130" s="51"/>
      <c r="BH130" s="144"/>
      <c r="BI130" s="432"/>
      <c r="BJ130" s="430">
        <v>0</v>
      </c>
      <c r="BK130" s="431"/>
      <c r="BL130" s="51"/>
      <c r="BM130" s="144"/>
      <c r="BN130" s="432"/>
      <c r="BO130" s="430">
        <v>0</v>
      </c>
      <c r="BP130" s="431"/>
      <c r="BQ130" s="51"/>
      <c r="BR130" s="144"/>
      <c r="BS130" s="432"/>
      <c r="BT130" s="430">
        <f>SUM(L130:BO130)</f>
        <v>18366461</v>
      </c>
      <c r="BU130" s="431"/>
      <c r="BV130" s="51"/>
      <c r="BW130" s="144"/>
      <c r="BX130" s="432"/>
      <c r="BY130" s="430">
        <v>23943727</v>
      </c>
      <c r="BZ130" s="431"/>
      <c r="CA130" s="51"/>
      <c r="CB130" s="144"/>
      <c r="CC130" s="354"/>
      <c r="CD130" s="430">
        <f>3833-702</f>
        <v>3131</v>
      </c>
      <c r="CE130" s="431"/>
      <c r="CF130" s="51"/>
      <c r="CG130" s="144"/>
      <c r="CH130" s="432"/>
      <c r="CI130" s="430">
        <f>1600000-270504</f>
        <v>1329496</v>
      </c>
      <c r="CJ130" s="431"/>
      <c r="CK130" s="51"/>
      <c r="CL130" s="144"/>
      <c r="CM130" s="432"/>
      <c r="CN130" s="430">
        <f>1948000-256347</f>
        <v>1691653</v>
      </c>
      <c r="CO130" s="431"/>
      <c r="CP130" s="51"/>
      <c r="CQ130" s="144"/>
      <c r="CR130" s="432"/>
      <c r="CS130" s="430">
        <f>5196000-664184</f>
        <v>4531816</v>
      </c>
      <c r="CT130" s="431"/>
      <c r="CU130" s="51"/>
      <c r="CV130" s="144"/>
      <c r="CW130" s="432"/>
      <c r="CX130" s="430">
        <f>1300000-150121</f>
        <v>1149879</v>
      </c>
      <c r="CY130" s="431"/>
      <c r="CZ130" s="51"/>
      <c r="DA130" s="144"/>
      <c r="DB130" s="432"/>
      <c r="DC130" s="430">
        <v>0</v>
      </c>
      <c r="DD130" s="431"/>
      <c r="DE130" s="51"/>
      <c r="DF130" s="144"/>
      <c r="DG130" s="432"/>
      <c r="DH130" s="430">
        <f>3900000-580016</f>
        <v>3319984</v>
      </c>
      <c r="DI130" s="431"/>
      <c r="DJ130" s="51"/>
      <c r="DK130" s="144"/>
      <c r="DL130" s="432"/>
      <c r="DM130" s="430">
        <f>2600000-341887</f>
        <v>2258113</v>
      </c>
      <c r="DN130" s="431"/>
      <c r="DO130" s="51"/>
      <c r="DP130" s="144"/>
      <c r="DQ130" s="432"/>
      <c r="DR130" s="430">
        <f>3897000-571332</f>
        <v>3325668</v>
      </c>
      <c r="DS130" s="431"/>
      <c r="DT130" s="51"/>
      <c r="DU130" s="144"/>
      <c r="DV130" s="432"/>
      <c r="DW130" s="430">
        <f>1300000-154383</f>
        <v>1145617</v>
      </c>
      <c r="DX130" s="431"/>
      <c r="DY130" s="51"/>
      <c r="DZ130" s="144"/>
      <c r="EA130" s="432"/>
      <c r="EB130" s="430">
        <f>5843559-655189</f>
        <v>5188370</v>
      </c>
      <c r="EC130" s="431"/>
      <c r="ED130" s="51"/>
      <c r="EE130" s="144"/>
      <c r="EF130" s="432"/>
      <c r="EG130" s="430">
        <v>0</v>
      </c>
      <c r="EH130" s="431"/>
      <c r="EI130" s="51"/>
      <c r="EJ130" s="144"/>
      <c r="EK130" s="432"/>
      <c r="EL130" s="430">
        <f t="shared" ref="EL130:EL132" si="12">SUM(CD130:DH130)</f>
        <v>12025959</v>
      </c>
      <c r="EM130" s="431"/>
      <c r="EN130" s="51"/>
      <c r="EO130" s="340"/>
      <c r="ER130" s="39"/>
      <c r="ES130" s="39"/>
    </row>
    <row r="131" spans="1:149" ht="12.75" customHeight="1" x14ac:dyDescent="0.2">
      <c r="A131" s="317"/>
      <c r="B131" s="317"/>
      <c r="D131" s="340" t="s">
        <v>186</v>
      </c>
      <c r="E131" s="144"/>
      <c r="F131" s="347"/>
      <c r="G131" s="51">
        <v>0</v>
      </c>
      <c r="H131" s="50"/>
      <c r="I131" s="51"/>
      <c r="J131" s="144"/>
      <c r="K131" s="347"/>
      <c r="L131" s="51">
        <v>164791</v>
      </c>
      <c r="M131" s="50"/>
      <c r="N131" s="51"/>
      <c r="O131" s="144"/>
      <c r="P131" s="144"/>
      <c r="Q131" s="51">
        <v>508470</v>
      </c>
      <c r="R131" s="50"/>
      <c r="S131" s="51"/>
      <c r="T131" s="144"/>
      <c r="U131" s="144"/>
      <c r="V131" s="51">
        <v>701748</v>
      </c>
      <c r="W131" s="50"/>
      <c r="X131" s="51"/>
      <c r="Y131" s="144"/>
      <c r="Z131" s="144"/>
      <c r="AA131" s="51">
        <v>668223</v>
      </c>
      <c r="AB131" s="50"/>
      <c r="AC131" s="51"/>
      <c r="AD131" s="144"/>
      <c r="AE131" s="144"/>
      <c r="AF131" s="51">
        <v>649518</v>
      </c>
      <c r="AG131" s="50"/>
      <c r="AH131" s="51"/>
      <c r="AI131" s="144"/>
      <c r="AJ131" s="144"/>
      <c r="AK131" s="51">
        <v>720836</v>
      </c>
      <c r="AL131" s="50"/>
      <c r="AM131" s="51"/>
      <c r="AN131" s="144"/>
      <c r="AO131" s="144"/>
      <c r="AP131" s="51">
        <v>587999</v>
      </c>
      <c r="AQ131" s="50"/>
      <c r="AR131" s="51"/>
      <c r="AS131" s="144"/>
      <c r="AT131" s="144"/>
      <c r="AU131" s="51">
        <v>0</v>
      </c>
      <c r="AV131" s="50"/>
      <c r="AW131" s="51"/>
      <c r="AX131" s="144"/>
      <c r="AY131" s="144"/>
      <c r="AZ131" s="51">
        <v>0</v>
      </c>
      <c r="BA131" s="50"/>
      <c r="BB131" s="51"/>
      <c r="BC131" s="144"/>
      <c r="BD131" s="144"/>
      <c r="BE131" s="51">
        <v>0</v>
      </c>
      <c r="BF131" s="50"/>
      <c r="BG131" s="51"/>
      <c r="BH131" s="144"/>
      <c r="BI131" s="144"/>
      <c r="BJ131" s="51">
        <v>0</v>
      </c>
      <c r="BK131" s="50"/>
      <c r="BL131" s="51"/>
      <c r="BM131" s="144"/>
      <c r="BN131" s="144"/>
      <c r="BO131" s="51">
        <v>0</v>
      </c>
      <c r="BP131" s="50"/>
      <c r="BQ131" s="51"/>
      <c r="BR131" s="144"/>
      <c r="BS131" s="144"/>
      <c r="BT131" s="51">
        <f>SUM(L131:BO131)</f>
        <v>4001585</v>
      </c>
      <c r="BU131" s="50"/>
      <c r="BV131" s="51"/>
      <c r="BW131" s="144"/>
      <c r="BX131" s="144"/>
      <c r="BY131" s="51">
        <v>3644665</v>
      </c>
      <c r="BZ131" s="50"/>
      <c r="CA131" s="51"/>
      <c r="CB131" s="144"/>
      <c r="CC131" s="347"/>
      <c r="CD131" s="51">
        <v>702</v>
      </c>
      <c r="CE131" s="50"/>
      <c r="CF131" s="51"/>
      <c r="CG131" s="144"/>
      <c r="CH131" s="144"/>
      <c r="CI131" s="51">
        <v>270504</v>
      </c>
      <c r="CJ131" s="50"/>
      <c r="CK131" s="51"/>
      <c r="CL131" s="144"/>
      <c r="CM131" s="144"/>
      <c r="CN131" s="51">
        <v>256347</v>
      </c>
      <c r="CO131" s="50"/>
      <c r="CP131" s="51"/>
      <c r="CQ131" s="144"/>
      <c r="CR131" s="144"/>
      <c r="CS131" s="51">
        <v>664184</v>
      </c>
      <c r="CT131" s="50"/>
      <c r="CU131" s="51"/>
      <c r="CV131" s="144"/>
      <c r="CW131" s="144"/>
      <c r="CX131" s="51">
        <v>150121</v>
      </c>
      <c r="CY131" s="50"/>
      <c r="CZ131" s="51"/>
      <c r="DA131" s="144"/>
      <c r="DB131" s="144"/>
      <c r="DC131" s="51">
        <v>0</v>
      </c>
      <c r="DD131" s="50"/>
      <c r="DE131" s="51"/>
      <c r="DF131" s="144"/>
      <c r="DG131" s="144"/>
      <c r="DH131" s="51">
        <v>580016</v>
      </c>
      <c r="DI131" s="50"/>
      <c r="DJ131" s="51"/>
      <c r="DK131" s="144"/>
      <c r="DL131" s="144"/>
      <c r="DM131" s="51">
        <v>341887</v>
      </c>
      <c r="DN131" s="50"/>
      <c r="DO131" s="51"/>
      <c r="DP131" s="144"/>
      <c r="DQ131" s="144"/>
      <c r="DR131" s="51">
        <v>571332</v>
      </c>
      <c r="DS131" s="50"/>
      <c r="DT131" s="51"/>
      <c r="DU131" s="144"/>
      <c r="DV131" s="144"/>
      <c r="DW131" s="51">
        <v>154383</v>
      </c>
      <c r="DX131" s="50"/>
      <c r="DY131" s="51"/>
      <c r="DZ131" s="144"/>
      <c r="EA131" s="144"/>
      <c r="EB131" s="51">
        <v>655189</v>
      </c>
      <c r="EC131" s="50"/>
      <c r="ED131" s="51"/>
      <c r="EE131" s="144"/>
      <c r="EF131" s="144"/>
      <c r="EG131" s="51">
        <v>0</v>
      </c>
      <c r="EH131" s="50"/>
      <c r="EI131" s="51"/>
      <c r="EJ131" s="144"/>
      <c r="EK131" s="144"/>
      <c r="EL131" s="51">
        <f t="shared" si="12"/>
        <v>1921874</v>
      </c>
      <c r="EM131" s="50"/>
      <c r="EN131" s="51"/>
      <c r="EO131" s="340"/>
      <c r="ER131" s="39"/>
      <c r="ES131" s="39"/>
    </row>
    <row r="132" spans="1:149" ht="12.75" customHeight="1" x14ac:dyDescent="0.2">
      <c r="A132" s="317"/>
      <c r="B132" s="317"/>
      <c r="D132" s="340" t="s">
        <v>188</v>
      </c>
      <c r="F132" s="371"/>
      <c r="G132" s="95">
        <v>0</v>
      </c>
      <c r="H132" s="94"/>
      <c r="I132" s="51"/>
      <c r="J132" s="144"/>
      <c r="K132" s="371"/>
      <c r="L132" s="95">
        <v>0</v>
      </c>
      <c r="M132" s="94"/>
      <c r="N132" s="51"/>
      <c r="O132" s="144"/>
      <c r="P132" s="187"/>
      <c r="Q132" s="95">
        <v>0</v>
      </c>
      <c r="R132" s="94"/>
      <c r="S132" s="51"/>
      <c r="T132" s="144"/>
      <c r="U132" s="187"/>
      <c r="V132" s="95">
        <v>0</v>
      </c>
      <c r="W132" s="94"/>
      <c r="X132" s="51"/>
      <c r="Y132" s="144"/>
      <c r="Z132" s="187"/>
      <c r="AA132" s="95">
        <v>0</v>
      </c>
      <c r="AB132" s="94"/>
      <c r="AC132" s="51"/>
      <c r="AD132" s="144"/>
      <c r="AE132" s="187"/>
      <c r="AF132" s="95">
        <v>0</v>
      </c>
      <c r="AG132" s="94"/>
      <c r="AH132" s="51"/>
      <c r="AI132" s="144"/>
      <c r="AJ132" s="187"/>
      <c r="AK132" s="95">
        <v>0</v>
      </c>
      <c r="AL132" s="94"/>
      <c r="AM132" s="51"/>
      <c r="AN132" s="144"/>
      <c r="AO132" s="187"/>
      <c r="AP132" s="95">
        <v>0</v>
      </c>
      <c r="AQ132" s="94"/>
      <c r="AR132" s="51"/>
      <c r="AS132" s="144"/>
      <c r="AT132" s="187"/>
      <c r="AU132" s="95">
        <v>0</v>
      </c>
      <c r="AV132" s="94"/>
      <c r="AW132" s="51"/>
      <c r="AX132" s="144"/>
      <c r="AY132" s="187"/>
      <c r="AZ132" s="95">
        <v>0</v>
      </c>
      <c r="BA132" s="94"/>
      <c r="BB132" s="51"/>
      <c r="BC132" s="144"/>
      <c r="BD132" s="187"/>
      <c r="BE132" s="95">
        <v>0</v>
      </c>
      <c r="BF132" s="94"/>
      <c r="BG132" s="51"/>
      <c r="BH132" s="144"/>
      <c r="BI132" s="187"/>
      <c r="BJ132" s="95">
        <v>0</v>
      </c>
      <c r="BK132" s="94"/>
      <c r="BL132" s="51"/>
      <c r="BM132" s="144"/>
      <c r="BN132" s="187"/>
      <c r="BO132" s="95">
        <v>0</v>
      </c>
      <c r="BP132" s="94"/>
      <c r="BQ132" s="51"/>
      <c r="BR132" s="144"/>
      <c r="BS132" s="187"/>
      <c r="BT132" s="95">
        <f>SUM(L132:BO132)</f>
        <v>0</v>
      </c>
      <c r="BU132" s="94"/>
      <c r="BV132" s="51"/>
      <c r="BW132" s="144"/>
      <c r="BX132" s="187"/>
      <c r="BY132" s="95">
        <v>0</v>
      </c>
      <c r="BZ132" s="94"/>
      <c r="CA132" s="51"/>
      <c r="CB132" s="144"/>
      <c r="CC132" s="371"/>
      <c r="CD132" s="95">
        <v>0</v>
      </c>
      <c r="CE132" s="94"/>
      <c r="CF132" s="51"/>
      <c r="CG132" s="144"/>
      <c r="CH132" s="187"/>
      <c r="CI132" s="95">
        <v>0</v>
      </c>
      <c r="CJ132" s="94"/>
      <c r="CK132" s="51"/>
      <c r="CL132" s="144"/>
      <c r="CM132" s="187"/>
      <c r="CN132" s="95">
        <v>0</v>
      </c>
      <c r="CO132" s="94"/>
      <c r="CP132" s="51"/>
      <c r="CQ132" s="144"/>
      <c r="CR132" s="187"/>
      <c r="CS132" s="95">
        <v>0</v>
      </c>
      <c r="CT132" s="94"/>
      <c r="CU132" s="51"/>
      <c r="CV132" s="144"/>
      <c r="CW132" s="187"/>
      <c r="CX132" s="95">
        <v>0</v>
      </c>
      <c r="CY132" s="94"/>
      <c r="CZ132" s="51"/>
      <c r="DA132" s="144"/>
      <c r="DB132" s="187"/>
      <c r="DC132" s="95">
        <v>0</v>
      </c>
      <c r="DD132" s="94"/>
      <c r="DE132" s="51"/>
      <c r="DF132" s="144"/>
      <c r="DG132" s="187"/>
      <c r="DH132" s="95">
        <v>0</v>
      </c>
      <c r="DI132" s="94"/>
      <c r="DJ132" s="51"/>
      <c r="DK132" s="144"/>
      <c r="DL132" s="187"/>
      <c r="DM132" s="95">
        <v>0</v>
      </c>
      <c r="DN132" s="94"/>
      <c r="DO132" s="51"/>
      <c r="DP132" s="144"/>
      <c r="DQ132" s="187"/>
      <c r="DR132" s="95">
        <v>0</v>
      </c>
      <c r="DS132" s="94"/>
      <c r="DT132" s="51"/>
      <c r="DU132" s="144"/>
      <c r="DV132" s="187"/>
      <c r="DW132" s="95">
        <v>0</v>
      </c>
      <c r="DX132" s="94"/>
      <c r="DY132" s="51"/>
      <c r="DZ132" s="144"/>
      <c r="EA132" s="187"/>
      <c r="EB132" s="95">
        <v>0</v>
      </c>
      <c r="EC132" s="94"/>
      <c r="ED132" s="51"/>
      <c r="EE132" s="144"/>
      <c r="EF132" s="187"/>
      <c r="EG132" s="95">
        <v>0</v>
      </c>
      <c r="EH132" s="94"/>
      <c r="EI132" s="51"/>
      <c r="EJ132" s="144"/>
      <c r="EK132" s="187"/>
      <c r="EL132" s="95">
        <f t="shared" si="12"/>
        <v>0</v>
      </c>
      <c r="EM132" s="94"/>
      <c r="EN132" s="51"/>
      <c r="EO132" s="340"/>
      <c r="ER132" s="39"/>
      <c r="ES132" s="39"/>
    </row>
    <row r="133" spans="1:149" ht="12.75" customHeight="1" x14ac:dyDescent="0.2">
      <c r="A133" s="317"/>
      <c r="B133" s="317"/>
      <c r="D133" s="340"/>
      <c r="F133" s="317"/>
      <c r="G133" s="51"/>
      <c r="H133" s="51"/>
      <c r="I133" s="51"/>
      <c r="J133" s="144"/>
      <c r="K133" s="51"/>
      <c r="L133" s="51"/>
      <c r="M133" s="51"/>
      <c r="N133" s="51"/>
      <c r="O133" s="144"/>
      <c r="P133" s="51"/>
      <c r="Q133" s="51"/>
      <c r="R133" s="51"/>
      <c r="S133" s="51"/>
      <c r="T133" s="144"/>
      <c r="U133" s="51"/>
      <c r="V133" s="51"/>
      <c r="W133" s="51"/>
      <c r="X133" s="51"/>
      <c r="Y133" s="144"/>
      <c r="Z133" s="51"/>
      <c r="AA133" s="51"/>
      <c r="AB133" s="51"/>
      <c r="AC133" s="51"/>
      <c r="AD133" s="144"/>
      <c r="AE133" s="51"/>
      <c r="AF133" s="51"/>
      <c r="AG133" s="51"/>
      <c r="AH133" s="51"/>
      <c r="AI133" s="144"/>
      <c r="AJ133" s="51"/>
      <c r="AK133" s="51"/>
      <c r="AL133" s="51"/>
      <c r="AM133" s="51"/>
      <c r="AN133" s="144"/>
      <c r="AO133" s="51"/>
      <c r="AP133" s="51"/>
      <c r="AQ133" s="51"/>
      <c r="AR133" s="51"/>
      <c r="AS133" s="144"/>
      <c r="AT133" s="51"/>
      <c r="AU133" s="51"/>
      <c r="AV133" s="51"/>
      <c r="AW133" s="51"/>
      <c r="AX133" s="144"/>
      <c r="AY133" s="51"/>
      <c r="AZ133" s="51"/>
      <c r="BA133" s="51"/>
      <c r="BB133" s="51"/>
      <c r="BC133" s="144"/>
      <c r="BD133" s="51"/>
      <c r="BE133" s="51"/>
      <c r="BF133" s="51"/>
      <c r="BG133" s="51"/>
      <c r="BH133" s="144"/>
      <c r="BI133" s="51"/>
      <c r="BJ133" s="51"/>
      <c r="BK133" s="51"/>
      <c r="BL133" s="51"/>
      <c r="BM133" s="144"/>
      <c r="BN133" s="51"/>
      <c r="BO133" s="51"/>
      <c r="BP133" s="51"/>
      <c r="BQ133" s="51"/>
      <c r="BR133" s="144"/>
      <c r="BS133" s="51"/>
      <c r="BT133" s="51"/>
      <c r="BU133" s="51"/>
      <c r="BV133" s="51"/>
      <c r="BW133" s="144"/>
      <c r="BX133" s="51"/>
      <c r="BY133" s="51"/>
      <c r="BZ133" s="51"/>
      <c r="CA133" s="51"/>
      <c r="CB133" s="144"/>
      <c r="CC133" s="51"/>
      <c r="CD133" s="51"/>
      <c r="CE133" s="51"/>
      <c r="CF133" s="51"/>
      <c r="CG133" s="144"/>
      <c r="CH133" s="51"/>
      <c r="CI133" s="51"/>
      <c r="CJ133" s="51"/>
      <c r="CK133" s="51"/>
      <c r="CL133" s="144"/>
      <c r="CM133" s="51"/>
      <c r="CN133" s="51"/>
      <c r="CO133" s="51"/>
      <c r="CP133" s="51"/>
      <c r="CQ133" s="144"/>
      <c r="CR133" s="51"/>
      <c r="CS133" s="51"/>
      <c r="CT133" s="51"/>
      <c r="CU133" s="51"/>
      <c r="CV133" s="144"/>
      <c r="CW133" s="51"/>
      <c r="CX133" s="51"/>
      <c r="CY133" s="51"/>
      <c r="CZ133" s="51"/>
      <c r="DA133" s="144"/>
      <c r="DB133" s="51"/>
      <c r="DC133" s="51"/>
      <c r="DD133" s="51"/>
      <c r="DE133" s="51"/>
      <c r="DF133" s="144"/>
      <c r="DG133" s="51"/>
      <c r="DH133" s="51"/>
      <c r="DI133" s="51"/>
      <c r="DJ133" s="51"/>
      <c r="DK133" s="144"/>
      <c r="DL133" s="51"/>
      <c r="DM133" s="51"/>
      <c r="DN133" s="51"/>
      <c r="DO133" s="51"/>
      <c r="DP133" s="144"/>
      <c r="DQ133" s="51"/>
      <c r="DR133" s="51"/>
      <c r="DS133" s="51"/>
      <c r="DT133" s="51"/>
      <c r="DU133" s="144"/>
      <c r="DV133" s="51"/>
      <c r="DW133" s="51"/>
      <c r="DX133" s="51"/>
      <c r="DY133" s="51"/>
      <c r="DZ133" s="144"/>
      <c r="EA133" s="51"/>
      <c r="EB133" s="51"/>
      <c r="EC133" s="51"/>
      <c r="ED133" s="51"/>
      <c r="EE133" s="144"/>
      <c r="EF133" s="51"/>
      <c r="EG133" s="51"/>
      <c r="EH133" s="51"/>
      <c r="EI133" s="51"/>
      <c r="EJ133" s="144"/>
      <c r="EK133" s="51"/>
      <c r="EL133" s="51"/>
      <c r="EM133" s="51"/>
      <c r="EN133" s="51"/>
      <c r="EO133" s="340"/>
      <c r="ER133" s="39"/>
      <c r="ES133" s="39"/>
    </row>
    <row r="134" spans="1:149" ht="12.75" hidden="1" customHeight="1" x14ac:dyDescent="0.2">
      <c r="A134" s="317"/>
      <c r="B134" s="317"/>
      <c r="D134" s="340" t="s">
        <v>208</v>
      </c>
      <c r="F134" s="317"/>
      <c r="G134" s="51">
        <f>SUM(G135:G137)</f>
        <v>0</v>
      </c>
      <c r="H134" s="51"/>
      <c r="I134" s="51"/>
      <c r="J134" s="144"/>
      <c r="K134" s="51"/>
      <c r="L134" s="51">
        <f>SUM(L135:L137)</f>
        <v>0</v>
      </c>
      <c r="M134" s="51"/>
      <c r="N134" s="51"/>
      <c r="O134" s="144"/>
      <c r="P134" s="51"/>
      <c r="Q134" s="51">
        <f>SUM(Q135:Q137)</f>
        <v>0</v>
      </c>
      <c r="R134" s="51"/>
      <c r="S134" s="51"/>
      <c r="T134" s="144"/>
      <c r="U134" s="51"/>
      <c r="V134" s="51">
        <f>SUM(V135:V137)</f>
        <v>0</v>
      </c>
      <c r="W134" s="51"/>
      <c r="X134" s="51"/>
      <c r="Y134" s="144"/>
      <c r="Z134" s="51"/>
      <c r="AA134" s="51">
        <f>SUM(AA135:AA137)</f>
        <v>0</v>
      </c>
      <c r="AB134" s="51"/>
      <c r="AC134" s="51"/>
      <c r="AD134" s="144"/>
      <c r="AE134" s="51"/>
      <c r="AF134" s="51">
        <f>SUM(AF135:AF137)</f>
        <v>0</v>
      </c>
      <c r="AG134" s="51"/>
      <c r="AH134" s="51"/>
      <c r="AI134" s="144"/>
      <c r="AJ134" s="51"/>
      <c r="AK134" s="51">
        <f>SUM(AK135:AK137)</f>
        <v>0</v>
      </c>
      <c r="AL134" s="51"/>
      <c r="AM134" s="51"/>
      <c r="AN134" s="144"/>
      <c r="AO134" s="51"/>
      <c r="AP134" s="51">
        <f>SUM(AP135:AP137)</f>
        <v>0</v>
      </c>
      <c r="AQ134" s="51"/>
      <c r="AR134" s="51"/>
      <c r="AS134" s="144"/>
      <c r="AT134" s="51"/>
      <c r="AU134" s="51">
        <f>SUM(AU135:AU137)</f>
        <v>0</v>
      </c>
      <c r="AV134" s="51"/>
      <c r="AW134" s="51"/>
      <c r="AX134" s="144"/>
      <c r="AY134" s="51"/>
      <c r="AZ134" s="51">
        <f>SUM(AZ135:AZ137)</f>
        <v>0</v>
      </c>
      <c r="BA134" s="51"/>
      <c r="BB134" s="51"/>
      <c r="BC134" s="144"/>
      <c r="BD134" s="51"/>
      <c r="BE134" s="51">
        <f>SUM(BE135:BE137)</f>
        <v>0</v>
      </c>
      <c r="BF134" s="51"/>
      <c r="BG134" s="51"/>
      <c r="BH134" s="144"/>
      <c r="BI134" s="51"/>
      <c r="BJ134" s="51">
        <f>SUM(BJ135:BJ137)</f>
        <v>0</v>
      </c>
      <c r="BK134" s="51"/>
      <c r="BL134" s="51"/>
      <c r="BM134" s="144"/>
      <c r="BN134" s="51"/>
      <c r="BO134" s="51">
        <f>SUM(BO135:BO137)</f>
        <v>0</v>
      </c>
      <c r="BP134" s="51"/>
      <c r="BQ134" s="51"/>
      <c r="BR134" s="144"/>
      <c r="BS134" s="51"/>
      <c r="BT134" s="51">
        <f>SUM(BT135:BT137)</f>
        <v>0</v>
      </c>
      <c r="BU134" s="51"/>
      <c r="BV134" s="51"/>
      <c r="BW134" s="144"/>
      <c r="BX134" s="51"/>
      <c r="BY134" s="51">
        <f>SUM(BY135:BY137)</f>
        <v>0</v>
      </c>
      <c r="BZ134" s="51"/>
      <c r="CA134" s="51"/>
      <c r="CB134" s="144"/>
      <c r="CC134" s="51"/>
      <c r="CD134" s="51">
        <f>SUM(CD135:CD137)</f>
        <v>0</v>
      </c>
      <c r="CE134" s="51"/>
      <c r="CF134" s="51"/>
      <c r="CG134" s="144"/>
      <c r="CH134" s="51"/>
      <c r="CI134" s="51">
        <f>SUM(CI135:CI137)</f>
        <v>0</v>
      </c>
      <c r="CJ134" s="51"/>
      <c r="CK134" s="51"/>
      <c r="CL134" s="144"/>
      <c r="CM134" s="51"/>
      <c r="CN134" s="51">
        <f>SUM(CN135:CN137)</f>
        <v>0</v>
      </c>
      <c r="CO134" s="51"/>
      <c r="CP134" s="51"/>
      <c r="CQ134" s="144"/>
      <c r="CR134" s="51"/>
      <c r="CS134" s="51">
        <f>SUM(CS135:CS137)</f>
        <v>0</v>
      </c>
      <c r="CT134" s="51"/>
      <c r="CU134" s="51"/>
      <c r="CV134" s="144"/>
      <c r="CW134" s="51"/>
      <c r="CX134" s="51">
        <f>SUM(CX135:CX137)</f>
        <v>0</v>
      </c>
      <c r="CY134" s="51"/>
      <c r="CZ134" s="51"/>
      <c r="DA134" s="144"/>
      <c r="DB134" s="51"/>
      <c r="DC134" s="51">
        <f>SUM(DC135:DC137)</f>
        <v>0</v>
      </c>
      <c r="DD134" s="51"/>
      <c r="DE134" s="51"/>
      <c r="DF134" s="144"/>
      <c r="DG134" s="51"/>
      <c r="DH134" s="51">
        <f>SUM(DH135:DH137)</f>
        <v>0</v>
      </c>
      <c r="DI134" s="51"/>
      <c r="DJ134" s="51"/>
      <c r="DK134" s="144"/>
      <c r="DL134" s="51"/>
      <c r="DM134" s="51">
        <f>SUM(DM135:DM137)</f>
        <v>0</v>
      </c>
      <c r="DN134" s="51"/>
      <c r="DO134" s="51"/>
      <c r="DP134" s="144"/>
      <c r="DQ134" s="51"/>
      <c r="DR134" s="51">
        <f>SUM(DR135:DR137)</f>
        <v>0</v>
      </c>
      <c r="DS134" s="51"/>
      <c r="DT134" s="51"/>
      <c r="DU134" s="144"/>
      <c r="DV134" s="51"/>
      <c r="DW134" s="51">
        <f>SUM(DW135:DW137)</f>
        <v>0</v>
      </c>
      <c r="DX134" s="51"/>
      <c r="DY134" s="51"/>
      <c r="DZ134" s="144"/>
      <c r="EA134" s="51"/>
      <c r="EB134" s="51">
        <f>SUM(EB135:EB137)</f>
        <v>0</v>
      </c>
      <c r="EC134" s="51"/>
      <c r="ED134" s="51"/>
      <c r="EE134" s="144"/>
      <c r="EF134" s="51"/>
      <c r="EG134" s="51">
        <f>SUM(EG135:EG137)</f>
        <v>0</v>
      </c>
      <c r="EH134" s="51"/>
      <c r="EI134" s="51"/>
      <c r="EJ134" s="144"/>
      <c r="EK134" s="51"/>
      <c r="EL134" s="51">
        <f>SUM(EL135:EL137)</f>
        <v>0</v>
      </c>
      <c r="EM134" s="51"/>
      <c r="EN134" s="51"/>
      <c r="EO134" s="340"/>
      <c r="ER134" s="39"/>
      <c r="ES134" s="39"/>
    </row>
    <row r="135" spans="1:149" ht="12.75" hidden="1" customHeight="1" x14ac:dyDescent="0.2">
      <c r="A135" s="317"/>
      <c r="B135" s="317"/>
      <c r="D135" s="340" t="s">
        <v>183</v>
      </c>
      <c r="F135" s="354"/>
      <c r="G135" s="430">
        <v>0</v>
      </c>
      <c r="H135" s="431"/>
      <c r="I135" s="51"/>
      <c r="J135" s="144"/>
      <c r="K135" s="354"/>
      <c r="L135" s="430">
        <v>0</v>
      </c>
      <c r="M135" s="431"/>
      <c r="N135" s="51"/>
      <c r="O135" s="144"/>
      <c r="P135" s="354"/>
      <c r="Q135" s="430">
        <v>0</v>
      </c>
      <c r="R135" s="431"/>
      <c r="S135" s="51"/>
      <c r="T135" s="144"/>
      <c r="U135" s="354"/>
      <c r="V135" s="430">
        <v>0</v>
      </c>
      <c r="W135" s="431"/>
      <c r="X135" s="51"/>
      <c r="Y135" s="144"/>
      <c r="Z135" s="354"/>
      <c r="AA135" s="430">
        <v>0</v>
      </c>
      <c r="AB135" s="431"/>
      <c r="AC135" s="51"/>
      <c r="AD135" s="144"/>
      <c r="AE135" s="354"/>
      <c r="AF135" s="430">
        <v>0</v>
      </c>
      <c r="AG135" s="431"/>
      <c r="AH135" s="51"/>
      <c r="AI135" s="144"/>
      <c r="AJ135" s="354"/>
      <c r="AK135" s="430">
        <v>0</v>
      </c>
      <c r="AL135" s="431"/>
      <c r="AM135" s="51"/>
      <c r="AN135" s="144"/>
      <c r="AO135" s="354"/>
      <c r="AP135" s="430">
        <v>0</v>
      </c>
      <c r="AQ135" s="431"/>
      <c r="AR135" s="51"/>
      <c r="AS135" s="144"/>
      <c r="AT135" s="432"/>
      <c r="AU135" s="430">
        <v>0</v>
      </c>
      <c r="AV135" s="431"/>
      <c r="AW135" s="51"/>
      <c r="AX135" s="144"/>
      <c r="AY135" s="432"/>
      <c r="AZ135" s="430">
        <v>0</v>
      </c>
      <c r="BA135" s="431"/>
      <c r="BB135" s="51"/>
      <c r="BC135" s="144"/>
      <c r="BD135" s="432"/>
      <c r="BE135" s="430">
        <v>0</v>
      </c>
      <c r="BF135" s="431"/>
      <c r="BG135" s="51"/>
      <c r="BH135" s="144"/>
      <c r="BI135" s="432"/>
      <c r="BJ135" s="430">
        <v>0</v>
      </c>
      <c r="BK135" s="431"/>
      <c r="BL135" s="51"/>
      <c r="BM135" s="144"/>
      <c r="BN135" s="432"/>
      <c r="BO135" s="430">
        <v>0</v>
      </c>
      <c r="BP135" s="431"/>
      <c r="BQ135" s="51"/>
      <c r="BR135" s="144"/>
      <c r="BS135" s="432"/>
      <c r="BT135" s="430">
        <f>SUM(L135:BO135)</f>
        <v>0</v>
      </c>
      <c r="BU135" s="431"/>
      <c r="BV135" s="51"/>
      <c r="BW135" s="144"/>
      <c r="BX135" s="432"/>
      <c r="BY135" s="430">
        <v>0</v>
      </c>
      <c r="BZ135" s="431"/>
      <c r="CA135" s="51"/>
      <c r="CB135" s="144"/>
      <c r="CC135" s="354"/>
      <c r="CD135" s="430">
        <v>0</v>
      </c>
      <c r="CE135" s="431"/>
      <c r="CF135" s="51"/>
      <c r="CG135" s="144"/>
      <c r="CH135" s="354"/>
      <c r="CI135" s="430">
        <v>0</v>
      </c>
      <c r="CJ135" s="431"/>
      <c r="CK135" s="51"/>
      <c r="CL135" s="144"/>
      <c r="CM135" s="354"/>
      <c r="CN135" s="430">
        <v>0</v>
      </c>
      <c r="CO135" s="431"/>
      <c r="CP135" s="51"/>
      <c r="CQ135" s="144"/>
      <c r="CR135" s="354"/>
      <c r="CS135" s="430">
        <v>0</v>
      </c>
      <c r="CT135" s="431"/>
      <c r="CU135" s="51"/>
      <c r="CV135" s="144"/>
      <c r="CW135" s="354"/>
      <c r="CX135" s="430">
        <v>0</v>
      </c>
      <c r="CY135" s="431"/>
      <c r="CZ135" s="51"/>
      <c r="DA135" s="144"/>
      <c r="DB135" s="354"/>
      <c r="DC135" s="430">
        <v>0</v>
      </c>
      <c r="DD135" s="431"/>
      <c r="DE135" s="51"/>
      <c r="DF135" s="144"/>
      <c r="DG135" s="354"/>
      <c r="DH135" s="430">
        <v>0</v>
      </c>
      <c r="DI135" s="431"/>
      <c r="DJ135" s="51"/>
      <c r="DK135" s="144"/>
      <c r="DL135" s="432"/>
      <c r="DM135" s="430">
        <v>0</v>
      </c>
      <c r="DN135" s="431"/>
      <c r="DO135" s="51"/>
      <c r="DP135" s="144"/>
      <c r="DQ135" s="432"/>
      <c r="DR135" s="430">
        <v>0</v>
      </c>
      <c r="DS135" s="431"/>
      <c r="DT135" s="51"/>
      <c r="DU135" s="144"/>
      <c r="DV135" s="432"/>
      <c r="DW135" s="430">
        <v>0</v>
      </c>
      <c r="DX135" s="431"/>
      <c r="DY135" s="51"/>
      <c r="DZ135" s="144"/>
      <c r="EA135" s="432"/>
      <c r="EB135" s="430">
        <v>0</v>
      </c>
      <c r="EC135" s="431"/>
      <c r="ED135" s="51"/>
      <c r="EE135" s="144"/>
      <c r="EF135" s="432"/>
      <c r="EG135" s="430">
        <v>0</v>
      </c>
      <c r="EH135" s="431"/>
      <c r="EI135" s="51"/>
      <c r="EJ135" s="144"/>
      <c r="EK135" s="432"/>
      <c r="EL135" s="430">
        <f>SUM(CD135:CD135)</f>
        <v>0</v>
      </c>
      <c r="EM135" s="431"/>
      <c r="EN135" s="51"/>
      <c r="EO135" s="340"/>
      <c r="ER135" s="39"/>
      <c r="ES135" s="39"/>
    </row>
    <row r="136" spans="1:149" ht="12.75" hidden="1" customHeight="1" x14ac:dyDescent="0.2">
      <c r="A136" s="317"/>
      <c r="B136" s="317"/>
      <c r="D136" s="340" t="s">
        <v>186</v>
      </c>
      <c r="F136" s="347"/>
      <c r="G136" s="51">
        <v>0</v>
      </c>
      <c r="H136" s="50"/>
      <c r="I136" s="51"/>
      <c r="J136" s="144"/>
      <c r="K136" s="347"/>
      <c r="L136" s="51">
        <v>0</v>
      </c>
      <c r="M136" s="50"/>
      <c r="N136" s="51"/>
      <c r="O136" s="144"/>
      <c r="P136" s="347"/>
      <c r="Q136" s="51">
        <v>0</v>
      </c>
      <c r="R136" s="50"/>
      <c r="S136" s="51"/>
      <c r="T136" s="144"/>
      <c r="U136" s="347"/>
      <c r="V136" s="51">
        <v>0</v>
      </c>
      <c r="W136" s="50"/>
      <c r="X136" s="51"/>
      <c r="Y136" s="144"/>
      <c r="Z136" s="347"/>
      <c r="AA136" s="51">
        <v>0</v>
      </c>
      <c r="AB136" s="50"/>
      <c r="AC136" s="51"/>
      <c r="AD136" s="144"/>
      <c r="AE136" s="347"/>
      <c r="AF136" s="51">
        <v>0</v>
      </c>
      <c r="AG136" s="50"/>
      <c r="AH136" s="51"/>
      <c r="AI136" s="144"/>
      <c r="AJ136" s="347"/>
      <c r="AK136" s="51">
        <v>0</v>
      </c>
      <c r="AL136" s="50"/>
      <c r="AM136" s="51"/>
      <c r="AN136" s="144"/>
      <c r="AO136" s="347"/>
      <c r="AP136" s="51">
        <v>0</v>
      </c>
      <c r="AQ136" s="50"/>
      <c r="AR136" s="51"/>
      <c r="AS136" s="144"/>
      <c r="AT136" s="144"/>
      <c r="AU136" s="51">
        <v>0</v>
      </c>
      <c r="AV136" s="50"/>
      <c r="AW136" s="51"/>
      <c r="AX136" s="144"/>
      <c r="AY136" s="144"/>
      <c r="AZ136" s="51">
        <v>0</v>
      </c>
      <c r="BA136" s="50"/>
      <c r="BB136" s="51"/>
      <c r="BC136" s="144"/>
      <c r="BD136" s="144"/>
      <c r="BE136" s="51">
        <v>0</v>
      </c>
      <c r="BF136" s="50"/>
      <c r="BG136" s="51"/>
      <c r="BH136" s="144"/>
      <c r="BI136" s="144"/>
      <c r="BJ136" s="51">
        <v>0</v>
      </c>
      <c r="BK136" s="50"/>
      <c r="BL136" s="51"/>
      <c r="BM136" s="144"/>
      <c r="BN136" s="144"/>
      <c r="BO136" s="51">
        <v>0</v>
      </c>
      <c r="BP136" s="50"/>
      <c r="BQ136" s="51"/>
      <c r="BR136" s="144"/>
      <c r="BS136" s="144"/>
      <c r="BT136" s="51">
        <f>SUM(L136:BO136)</f>
        <v>0</v>
      </c>
      <c r="BU136" s="50"/>
      <c r="BV136" s="51"/>
      <c r="BW136" s="144"/>
      <c r="BX136" s="144"/>
      <c r="BY136" s="51">
        <v>0</v>
      </c>
      <c r="BZ136" s="50"/>
      <c r="CA136" s="51"/>
      <c r="CB136" s="144"/>
      <c r="CC136" s="347"/>
      <c r="CD136" s="51">
        <v>0</v>
      </c>
      <c r="CE136" s="50"/>
      <c r="CF136" s="51"/>
      <c r="CG136" s="144"/>
      <c r="CH136" s="347"/>
      <c r="CI136" s="51">
        <v>0</v>
      </c>
      <c r="CJ136" s="50"/>
      <c r="CK136" s="51"/>
      <c r="CL136" s="144"/>
      <c r="CM136" s="347"/>
      <c r="CN136" s="51">
        <v>0</v>
      </c>
      <c r="CO136" s="50"/>
      <c r="CP136" s="51"/>
      <c r="CQ136" s="144"/>
      <c r="CR136" s="347"/>
      <c r="CS136" s="51">
        <v>0</v>
      </c>
      <c r="CT136" s="50"/>
      <c r="CU136" s="51"/>
      <c r="CV136" s="144"/>
      <c r="CW136" s="347"/>
      <c r="CX136" s="51">
        <v>0</v>
      </c>
      <c r="CY136" s="50"/>
      <c r="CZ136" s="51"/>
      <c r="DA136" s="144"/>
      <c r="DB136" s="347"/>
      <c r="DC136" s="51">
        <v>0</v>
      </c>
      <c r="DD136" s="50"/>
      <c r="DE136" s="51"/>
      <c r="DF136" s="144"/>
      <c r="DG136" s="347"/>
      <c r="DH136" s="51">
        <v>0</v>
      </c>
      <c r="DI136" s="50"/>
      <c r="DJ136" s="51"/>
      <c r="DK136" s="144"/>
      <c r="DL136" s="144"/>
      <c r="DM136" s="51">
        <v>0</v>
      </c>
      <c r="DN136" s="50"/>
      <c r="DO136" s="51"/>
      <c r="DP136" s="144"/>
      <c r="DQ136" s="144"/>
      <c r="DR136" s="51">
        <v>0</v>
      </c>
      <c r="DS136" s="50"/>
      <c r="DT136" s="51"/>
      <c r="DU136" s="144"/>
      <c r="DV136" s="144"/>
      <c r="DW136" s="51">
        <v>0</v>
      </c>
      <c r="DX136" s="50"/>
      <c r="DY136" s="51"/>
      <c r="DZ136" s="144"/>
      <c r="EA136" s="144"/>
      <c r="EB136" s="51">
        <v>0</v>
      </c>
      <c r="EC136" s="50"/>
      <c r="ED136" s="51"/>
      <c r="EE136" s="144"/>
      <c r="EF136" s="144"/>
      <c r="EG136" s="51">
        <v>0</v>
      </c>
      <c r="EH136" s="50"/>
      <c r="EI136" s="51"/>
      <c r="EJ136" s="144"/>
      <c r="EK136" s="144"/>
      <c r="EL136" s="51">
        <f>SUM(CD136:CD136)</f>
        <v>0</v>
      </c>
      <c r="EM136" s="50"/>
      <c r="EN136" s="51"/>
      <c r="EO136" s="340"/>
      <c r="ER136" s="39"/>
      <c r="ES136" s="39"/>
    </row>
    <row r="137" spans="1:149" ht="12.75" hidden="1" customHeight="1" x14ac:dyDescent="0.2">
      <c r="A137" s="317"/>
      <c r="B137" s="317"/>
      <c r="D137" s="340" t="s">
        <v>187</v>
      </c>
      <c r="F137" s="371"/>
      <c r="G137" s="95">
        <v>0</v>
      </c>
      <c r="H137" s="94"/>
      <c r="I137" s="51"/>
      <c r="J137" s="144"/>
      <c r="K137" s="371"/>
      <c r="L137" s="95">
        <v>0</v>
      </c>
      <c r="M137" s="94"/>
      <c r="N137" s="51"/>
      <c r="O137" s="144"/>
      <c r="P137" s="371"/>
      <c r="Q137" s="95">
        <v>0</v>
      </c>
      <c r="R137" s="94"/>
      <c r="S137" s="51"/>
      <c r="T137" s="144"/>
      <c r="U137" s="371"/>
      <c r="V137" s="95">
        <v>0</v>
      </c>
      <c r="W137" s="94"/>
      <c r="X137" s="51"/>
      <c r="Y137" s="144"/>
      <c r="Z137" s="371"/>
      <c r="AA137" s="95">
        <v>0</v>
      </c>
      <c r="AB137" s="94"/>
      <c r="AC137" s="51"/>
      <c r="AD137" s="144"/>
      <c r="AE137" s="371"/>
      <c r="AF137" s="95">
        <v>0</v>
      </c>
      <c r="AG137" s="94"/>
      <c r="AH137" s="51"/>
      <c r="AI137" s="144"/>
      <c r="AJ137" s="371"/>
      <c r="AK137" s="95">
        <v>0</v>
      </c>
      <c r="AL137" s="94"/>
      <c r="AM137" s="51"/>
      <c r="AN137" s="144"/>
      <c r="AO137" s="371"/>
      <c r="AP137" s="95">
        <v>0</v>
      </c>
      <c r="AQ137" s="94"/>
      <c r="AR137" s="51"/>
      <c r="AS137" s="144"/>
      <c r="AT137" s="187"/>
      <c r="AU137" s="95">
        <v>0</v>
      </c>
      <c r="AV137" s="94"/>
      <c r="AW137" s="51"/>
      <c r="AX137" s="144"/>
      <c r="AY137" s="187"/>
      <c r="AZ137" s="95">
        <v>0</v>
      </c>
      <c r="BA137" s="94"/>
      <c r="BB137" s="51"/>
      <c r="BC137" s="144"/>
      <c r="BD137" s="187"/>
      <c r="BE137" s="95">
        <v>0</v>
      </c>
      <c r="BF137" s="94"/>
      <c r="BG137" s="51"/>
      <c r="BH137" s="144"/>
      <c r="BI137" s="187"/>
      <c r="BJ137" s="95">
        <v>0</v>
      </c>
      <c r="BK137" s="94"/>
      <c r="BL137" s="51"/>
      <c r="BM137" s="144"/>
      <c r="BN137" s="187"/>
      <c r="BO137" s="95">
        <v>0</v>
      </c>
      <c r="BP137" s="94"/>
      <c r="BQ137" s="51"/>
      <c r="BR137" s="144"/>
      <c r="BS137" s="187"/>
      <c r="BT137" s="95">
        <f>SUM(L137:BO137)</f>
        <v>0</v>
      </c>
      <c r="BU137" s="94"/>
      <c r="BV137" s="51"/>
      <c r="BW137" s="144"/>
      <c r="BX137" s="187"/>
      <c r="BY137" s="95">
        <v>0</v>
      </c>
      <c r="BZ137" s="94"/>
      <c r="CA137" s="51"/>
      <c r="CB137" s="144"/>
      <c r="CC137" s="371"/>
      <c r="CD137" s="95">
        <v>0</v>
      </c>
      <c r="CE137" s="94"/>
      <c r="CF137" s="51"/>
      <c r="CG137" s="144"/>
      <c r="CH137" s="371"/>
      <c r="CI137" s="95">
        <v>0</v>
      </c>
      <c r="CJ137" s="94"/>
      <c r="CK137" s="51"/>
      <c r="CL137" s="144"/>
      <c r="CM137" s="371"/>
      <c r="CN137" s="95">
        <v>0</v>
      </c>
      <c r="CO137" s="94"/>
      <c r="CP137" s="51"/>
      <c r="CQ137" s="144"/>
      <c r="CR137" s="371"/>
      <c r="CS137" s="95">
        <v>0</v>
      </c>
      <c r="CT137" s="94"/>
      <c r="CU137" s="51"/>
      <c r="CV137" s="144"/>
      <c r="CW137" s="371"/>
      <c r="CX137" s="95">
        <v>0</v>
      </c>
      <c r="CY137" s="94"/>
      <c r="CZ137" s="51"/>
      <c r="DA137" s="144"/>
      <c r="DB137" s="371"/>
      <c r="DC137" s="95">
        <v>0</v>
      </c>
      <c r="DD137" s="94"/>
      <c r="DE137" s="51"/>
      <c r="DF137" s="144"/>
      <c r="DG137" s="371"/>
      <c r="DH137" s="95">
        <v>0</v>
      </c>
      <c r="DI137" s="94"/>
      <c r="DJ137" s="51"/>
      <c r="DK137" s="144"/>
      <c r="DL137" s="187"/>
      <c r="DM137" s="95">
        <v>0</v>
      </c>
      <c r="DN137" s="94"/>
      <c r="DO137" s="51"/>
      <c r="DP137" s="144"/>
      <c r="DQ137" s="187"/>
      <c r="DR137" s="95">
        <v>0</v>
      </c>
      <c r="DS137" s="94"/>
      <c r="DT137" s="51"/>
      <c r="DU137" s="144"/>
      <c r="DV137" s="187"/>
      <c r="DW137" s="95">
        <v>0</v>
      </c>
      <c r="DX137" s="94"/>
      <c r="DY137" s="51"/>
      <c r="DZ137" s="144"/>
      <c r="EA137" s="187"/>
      <c r="EB137" s="95">
        <v>0</v>
      </c>
      <c r="EC137" s="94"/>
      <c r="ED137" s="51"/>
      <c r="EE137" s="144"/>
      <c r="EF137" s="187"/>
      <c r="EG137" s="95">
        <v>0</v>
      </c>
      <c r="EH137" s="94"/>
      <c r="EI137" s="51"/>
      <c r="EJ137" s="144"/>
      <c r="EK137" s="187"/>
      <c r="EL137" s="95">
        <f>SUM(CD137:CD137)</f>
        <v>0</v>
      </c>
      <c r="EM137" s="94"/>
      <c r="EN137" s="51"/>
      <c r="EO137" s="340"/>
      <c r="ER137" s="39"/>
      <c r="ES137" s="39"/>
    </row>
    <row r="138" spans="1:149" ht="12.75" hidden="1" customHeight="1" x14ac:dyDescent="0.2">
      <c r="A138" s="317"/>
      <c r="B138" s="317"/>
      <c r="D138" s="340"/>
      <c r="F138" s="317"/>
      <c r="G138" s="51"/>
      <c r="H138" s="51"/>
      <c r="I138" s="51"/>
      <c r="J138" s="144"/>
      <c r="K138" s="51"/>
      <c r="L138" s="51"/>
      <c r="M138" s="51"/>
      <c r="N138" s="51"/>
      <c r="O138" s="144"/>
      <c r="P138" s="51"/>
      <c r="Q138" s="51"/>
      <c r="R138" s="51"/>
      <c r="S138" s="51"/>
      <c r="T138" s="144"/>
      <c r="U138" s="51"/>
      <c r="V138" s="51"/>
      <c r="W138" s="51"/>
      <c r="X138" s="51"/>
      <c r="Y138" s="144"/>
      <c r="Z138" s="51"/>
      <c r="AA138" s="51"/>
      <c r="AB138" s="51"/>
      <c r="AC138" s="51"/>
      <c r="AD138" s="144"/>
      <c r="AE138" s="51"/>
      <c r="AF138" s="51"/>
      <c r="AG138" s="51"/>
      <c r="AH138" s="51"/>
      <c r="AI138" s="144"/>
      <c r="AJ138" s="51"/>
      <c r="AK138" s="51"/>
      <c r="AL138" s="51"/>
      <c r="AM138" s="51"/>
      <c r="AN138" s="144"/>
      <c r="AO138" s="51"/>
      <c r="AP138" s="51"/>
      <c r="AQ138" s="51"/>
      <c r="AR138" s="51"/>
      <c r="AS138" s="144"/>
      <c r="AT138" s="51"/>
      <c r="AU138" s="51"/>
      <c r="AV138" s="51"/>
      <c r="AW138" s="51"/>
      <c r="AX138" s="144"/>
      <c r="AY138" s="51"/>
      <c r="AZ138" s="51"/>
      <c r="BA138" s="51"/>
      <c r="BB138" s="51"/>
      <c r="BC138" s="144"/>
      <c r="BD138" s="51"/>
      <c r="BE138" s="51"/>
      <c r="BF138" s="51"/>
      <c r="BG138" s="51"/>
      <c r="BH138" s="144"/>
      <c r="BI138" s="51"/>
      <c r="BJ138" s="51"/>
      <c r="BK138" s="51"/>
      <c r="BL138" s="51"/>
      <c r="BM138" s="144"/>
      <c r="BN138" s="51"/>
      <c r="BO138" s="51"/>
      <c r="BP138" s="51"/>
      <c r="BQ138" s="51"/>
      <c r="BR138" s="144"/>
      <c r="BS138" s="51"/>
      <c r="BT138" s="51"/>
      <c r="BU138" s="51"/>
      <c r="BV138" s="51"/>
      <c r="BW138" s="144"/>
      <c r="BX138" s="51"/>
      <c r="BY138" s="51"/>
      <c r="BZ138" s="51"/>
      <c r="CA138" s="51"/>
      <c r="CB138" s="144"/>
      <c r="CC138" s="51"/>
      <c r="CD138" s="51"/>
      <c r="CE138" s="51"/>
      <c r="CF138" s="51"/>
      <c r="CG138" s="144"/>
      <c r="CH138" s="51"/>
      <c r="CI138" s="51"/>
      <c r="CJ138" s="51"/>
      <c r="CK138" s="51"/>
      <c r="CL138" s="144"/>
      <c r="CM138" s="51"/>
      <c r="CN138" s="51"/>
      <c r="CO138" s="51"/>
      <c r="CP138" s="51"/>
      <c r="CQ138" s="144"/>
      <c r="CR138" s="51"/>
      <c r="CS138" s="51"/>
      <c r="CT138" s="51"/>
      <c r="CU138" s="51"/>
      <c r="CV138" s="144"/>
      <c r="CW138" s="51"/>
      <c r="CX138" s="51"/>
      <c r="CY138" s="51"/>
      <c r="CZ138" s="51"/>
      <c r="DA138" s="144"/>
      <c r="DB138" s="51"/>
      <c r="DC138" s="51"/>
      <c r="DD138" s="51"/>
      <c r="DE138" s="51"/>
      <c r="DF138" s="144"/>
      <c r="DG138" s="51"/>
      <c r="DH138" s="51"/>
      <c r="DI138" s="51"/>
      <c r="DJ138" s="51"/>
      <c r="DK138" s="144"/>
      <c r="DL138" s="51"/>
      <c r="DM138" s="51"/>
      <c r="DN138" s="51"/>
      <c r="DO138" s="51"/>
      <c r="DP138" s="144"/>
      <c r="DQ138" s="51"/>
      <c r="DR138" s="51"/>
      <c r="DS138" s="51"/>
      <c r="DT138" s="51"/>
      <c r="DU138" s="144"/>
      <c r="DV138" s="51"/>
      <c r="DW138" s="51"/>
      <c r="DX138" s="51"/>
      <c r="DY138" s="51"/>
      <c r="DZ138" s="144"/>
      <c r="EA138" s="51"/>
      <c r="EB138" s="51"/>
      <c r="EC138" s="51"/>
      <c r="ED138" s="51"/>
      <c r="EE138" s="144"/>
      <c r="EF138" s="51"/>
      <c r="EG138" s="51"/>
      <c r="EH138" s="51"/>
      <c r="EI138" s="51"/>
      <c r="EJ138" s="144"/>
      <c r="EK138" s="51"/>
      <c r="EL138" s="51"/>
      <c r="EM138" s="51"/>
      <c r="EN138" s="51"/>
      <c r="EO138" s="340"/>
      <c r="ER138" s="39"/>
      <c r="ES138" s="39"/>
    </row>
    <row r="139" spans="1:149" ht="12.75" customHeight="1" x14ac:dyDescent="0.2">
      <c r="A139" s="317"/>
      <c r="B139" s="317"/>
      <c r="D139" s="340" t="s">
        <v>209</v>
      </c>
      <c r="F139" s="317"/>
      <c r="G139" s="51">
        <f>SUM(G140:G142)</f>
        <v>0</v>
      </c>
      <c r="H139" s="51"/>
      <c r="I139" s="51"/>
      <c r="J139" s="144"/>
      <c r="K139" s="51"/>
      <c r="L139" s="51">
        <f>SUM(L140:L142)</f>
        <v>1300520</v>
      </c>
      <c r="M139" s="51"/>
      <c r="N139" s="51"/>
      <c r="O139" s="144"/>
      <c r="P139" s="51"/>
      <c r="Q139" s="51">
        <f>SUM(Q140:Q142)</f>
        <v>2600000</v>
      </c>
      <c r="R139" s="51"/>
      <c r="S139" s="51"/>
      <c r="T139" s="144"/>
      <c r="U139" s="51"/>
      <c r="V139" s="51">
        <f>SUM(V140:V142)</f>
        <v>3336000</v>
      </c>
      <c r="W139" s="51"/>
      <c r="X139" s="51"/>
      <c r="Y139" s="144"/>
      <c r="Z139" s="51"/>
      <c r="AA139" s="51">
        <f>SUM(AA140:AA142)</f>
        <v>4993000</v>
      </c>
      <c r="AB139" s="51"/>
      <c r="AC139" s="51"/>
      <c r="AD139" s="144"/>
      <c r="AE139" s="51"/>
      <c r="AF139" s="51">
        <f>SUM(AF140:AF142)</f>
        <v>0</v>
      </c>
      <c r="AG139" s="51"/>
      <c r="AH139" s="51"/>
      <c r="AI139" s="144"/>
      <c r="AJ139" s="51"/>
      <c r="AK139" s="51">
        <f>SUM(AK140:AK142)</f>
        <v>1300000</v>
      </c>
      <c r="AL139" s="51"/>
      <c r="AM139" s="51"/>
      <c r="AN139" s="144"/>
      <c r="AO139" s="51"/>
      <c r="AP139" s="51">
        <f>SUM(AP140:AP142)</f>
        <v>1300000</v>
      </c>
      <c r="AQ139" s="51"/>
      <c r="AR139" s="51"/>
      <c r="AS139" s="144"/>
      <c r="AT139" s="51"/>
      <c r="AU139" s="51">
        <f>SUM(AU140:AU142)</f>
        <v>0</v>
      </c>
      <c r="AV139" s="51"/>
      <c r="AW139" s="51"/>
      <c r="AX139" s="144"/>
      <c r="AY139" s="51"/>
      <c r="AZ139" s="51">
        <f>SUM(AZ140:AZ142)</f>
        <v>0</v>
      </c>
      <c r="BA139" s="51"/>
      <c r="BB139" s="51"/>
      <c r="BC139" s="144"/>
      <c r="BD139" s="51"/>
      <c r="BE139" s="51">
        <f>SUM(BE140:BE142)</f>
        <v>0</v>
      </c>
      <c r="BF139" s="51"/>
      <c r="BG139" s="51"/>
      <c r="BH139" s="144"/>
      <c r="BI139" s="51"/>
      <c r="BJ139" s="51">
        <f>SUM(BJ140:BJ142)</f>
        <v>0</v>
      </c>
      <c r="BK139" s="51"/>
      <c r="BL139" s="51"/>
      <c r="BM139" s="144"/>
      <c r="BN139" s="51"/>
      <c r="BO139" s="51">
        <f>SUM(BO140:BO142)</f>
        <v>0</v>
      </c>
      <c r="BP139" s="51"/>
      <c r="BQ139" s="51"/>
      <c r="BR139" s="144"/>
      <c r="BS139" s="51"/>
      <c r="BT139" s="51">
        <f>SUM(BT140:BT142)</f>
        <v>14829520</v>
      </c>
      <c r="BU139" s="51"/>
      <c r="BV139" s="51"/>
      <c r="BW139" s="144"/>
      <c r="BX139" s="51"/>
      <c r="BY139" s="51">
        <f>SUM(BY140:BY142)</f>
        <v>27246490</v>
      </c>
      <c r="BZ139" s="51"/>
      <c r="CA139" s="51"/>
      <c r="CB139" s="144"/>
      <c r="CC139" s="51"/>
      <c r="CD139" s="51">
        <f>SUM(CD140:CD142)</f>
        <v>4796000</v>
      </c>
      <c r="CE139" s="51"/>
      <c r="CF139" s="51"/>
      <c r="CG139" s="144"/>
      <c r="CH139" s="51"/>
      <c r="CI139" s="51">
        <f>SUM(CI140:CI142)</f>
        <v>1940000</v>
      </c>
      <c r="CJ139" s="51"/>
      <c r="CK139" s="51"/>
      <c r="CL139" s="144"/>
      <c r="CM139" s="51"/>
      <c r="CN139" s="51">
        <f>SUM(CN140:CN142)</f>
        <v>0</v>
      </c>
      <c r="CO139" s="51"/>
      <c r="CP139" s="51"/>
      <c r="CQ139" s="144"/>
      <c r="CR139" s="51"/>
      <c r="CS139" s="51">
        <f>SUM(CS140:CS142)</f>
        <v>1300000</v>
      </c>
      <c r="CT139" s="51"/>
      <c r="CU139" s="51"/>
      <c r="CV139" s="144"/>
      <c r="CW139" s="51"/>
      <c r="CX139" s="51">
        <f>SUM(CX140:CX142)</f>
        <v>1947000</v>
      </c>
      <c r="CY139" s="51"/>
      <c r="CZ139" s="51"/>
      <c r="DA139" s="144"/>
      <c r="DB139" s="51"/>
      <c r="DC139" s="51">
        <f>SUM(DC140:DC142)</f>
        <v>6090000</v>
      </c>
      <c r="DD139" s="51"/>
      <c r="DE139" s="51"/>
      <c r="DF139" s="144"/>
      <c r="DG139" s="51"/>
      <c r="DH139" s="51">
        <f>SUM(DH140:DH142)</f>
        <v>3248000</v>
      </c>
      <c r="DI139" s="51"/>
      <c r="DJ139" s="51"/>
      <c r="DK139" s="144"/>
      <c r="DL139" s="51"/>
      <c r="DM139" s="51">
        <f>SUM(DM140:DM142)</f>
        <v>135490</v>
      </c>
      <c r="DN139" s="51"/>
      <c r="DO139" s="51"/>
      <c r="DP139" s="144"/>
      <c r="DQ139" s="51"/>
      <c r="DR139" s="51">
        <f>SUM(DR140:DR142)</f>
        <v>0</v>
      </c>
      <c r="DS139" s="51"/>
      <c r="DT139" s="51"/>
      <c r="DU139" s="144"/>
      <c r="DV139" s="51"/>
      <c r="DW139" s="51">
        <f>SUM(DW140:DW142)</f>
        <v>3896000</v>
      </c>
      <c r="DX139" s="51"/>
      <c r="DY139" s="51"/>
      <c r="DZ139" s="144"/>
      <c r="EA139" s="51"/>
      <c r="EB139" s="51">
        <f>SUM(EB140:EB142)</f>
        <v>0</v>
      </c>
      <c r="EC139" s="51"/>
      <c r="ED139" s="51"/>
      <c r="EE139" s="144"/>
      <c r="EF139" s="51"/>
      <c r="EG139" s="51">
        <f>SUM(EG140:EG142)</f>
        <v>3894000</v>
      </c>
      <c r="EH139" s="51"/>
      <c r="EI139" s="51"/>
      <c r="EJ139" s="144"/>
      <c r="EK139" s="51"/>
      <c r="EL139" s="51">
        <f>SUM(EL140:EL142)</f>
        <v>19321000</v>
      </c>
      <c r="EM139" s="51"/>
      <c r="EN139" s="51"/>
      <c r="EO139" s="340"/>
      <c r="ER139" s="39"/>
      <c r="ES139" s="39"/>
    </row>
    <row r="140" spans="1:149" ht="12.75" customHeight="1" x14ac:dyDescent="0.2">
      <c r="A140" s="317"/>
      <c r="B140" s="317"/>
      <c r="D140" s="340" t="s">
        <v>183</v>
      </c>
      <c r="F140" s="354"/>
      <c r="G140" s="430">
        <v>0</v>
      </c>
      <c r="H140" s="431"/>
      <c r="I140" s="51"/>
      <c r="J140" s="144"/>
      <c r="K140" s="432"/>
      <c r="L140" s="430">
        <f>1300520-211756</f>
        <v>1088764</v>
      </c>
      <c r="M140" s="431"/>
      <c r="N140" s="51"/>
      <c r="O140" s="144"/>
      <c r="P140" s="432"/>
      <c r="Q140" s="430">
        <f>2600000-463213</f>
        <v>2136787</v>
      </c>
      <c r="R140" s="431"/>
      <c r="S140" s="51"/>
      <c r="T140" s="144"/>
      <c r="U140" s="432"/>
      <c r="V140" s="430">
        <f>3336000-682685</f>
        <v>2653315</v>
      </c>
      <c r="W140" s="431"/>
      <c r="X140" s="51"/>
      <c r="Y140" s="144"/>
      <c r="Z140" s="432"/>
      <c r="AA140" s="430">
        <f>4993000-1121363</f>
        <v>3871637</v>
      </c>
      <c r="AB140" s="431"/>
      <c r="AC140" s="51"/>
      <c r="AD140" s="144"/>
      <c r="AE140" s="432"/>
      <c r="AF140" s="430">
        <v>0</v>
      </c>
      <c r="AG140" s="431"/>
      <c r="AH140" s="51"/>
      <c r="AI140" s="144"/>
      <c r="AJ140" s="432"/>
      <c r="AK140" s="430">
        <f>1300000-255341</f>
        <v>1044659</v>
      </c>
      <c r="AL140" s="431"/>
      <c r="AM140" s="51"/>
      <c r="AN140" s="144"/>
      <c r="AO140" s="432"/>
      <c r="AP140" s="430">
        <f>1300000-319232</f>
        <v>980768</v>
      </c>
      <c r="AQ140" s="431"/>
      <c r="AR140" s="51"/>
      <c r="AS140" s="144"/>
      <c r="AT140" s="432"/>
      <c r="AU140" s="430">
        <v>0</v>
      </c>
      <c r="AV140" s="431"/>
      <c r="AW140" s="51"/>
      <c r="AX140" s="144"/>
      <c r="AY140" s="432"/>
      <c r="AZ140" s="430">
        <v>0</v>
      </c>
      <c r="BA140" s="431"/>
      <c r="BB140" s="51"/>
      <c r="BC140" s="144"/>
      <c r="BD140" s="432"/>
      <c r="BE140" s="430">
        <v>0</v>
      </c>
      <c r="BF140" s="431"/>
      <c r="BG140" s="51"/>
      <c r="BH140" s="144"/>
      <c r="BI140" s="432"/>
      <c r="BJ140" s="430">
        <v>0</v>
      </c>
      <c r="BK140" s="431"/>
      <c r="BL140" s="51"/>
      <c r="BM140" s="144"/>
      <c r="BN140" s="432"/>
      <c r="BO140" s="430">
        <v>0</v>
      </c>
      <c r="BP140" s="431"/>
      <c r="BQ140" s="51"/>
      <c r="BR140" s="144"/>
      <c r="BS140" s="432"/>
      <c r="BT140" s="430">
        <f>SUM(L140:BO140)</f>
        <v>11775930</v>
      </c>
      <c r="BU140" s="431"/>
      <c r="BV140" s="51"/>
      <c r="BW140" s="144"/>
      <c r="BX140" s="432"/>
      <c r="BY140" s="430">
        <v>22526538</v>
      </c>
      <c r="BZ140" s="431"/>
      <c r="CA140" s="51"/>
      <c r="CB140" s="144"/>
      <c r="CC140" s="432"/>
      <c r="CD140" s="430">
        <f>4796000-995903</f>
        <v>3800097</v>
      </c>
      <c r="CE140" s="431"/>
      <c r="CF140" s="51"/>
      <c r="CG140" s="144"/>
      <c r="CH140" s="432"/>
      <c r="CI140" s="430">
        <f>1940000-344210</f>
        <v>1595790</v>
      </c>
      <c r="CJ140" s="431"/>
      <c r="CK140" s="51"/>
      <c r="CL140" s="144"/>
      <c r="CM140" s="432"/>
      <c r="CN140" s="430">
        <v>0</v>
      </c>
      <c r="CO140" s="431"/>
      <c r="CP140" s="51"/>
      <c r="CQ140" s="144"/>
      <c r="CR140" s="432"/>
      <c r="CS140" s="430">
        <f>1300000-210894</f>
        <v>1089106</v>
      </c>
      <c r="CT140" s="431"/>
      <c r="CU140" s="51"/>
      <c r="CV140" s="144"/>
      <c r="CW140" s="432"/>
      <c r="CX140" s="430">
        <f>1947000-310670</f>
        <v>1636330</v>
      </c>
      <c r="CY140" s="431"/>
      <c r="CZ140" s="51"/>
      <c r="DA140" s="144"/>
      <c r="DB140" s="432"/>
      <c r="DC140" s="430">
        <f>6090000-907310</f>
        <v>5182690</v>
      </c>
      <c r="DD140" s="431"/>
      <c r="DE140" s="51"/>
      <c r="DF140" s="144"/>
      <c r="DG140" s="432"/>
      <c r="DH140" s="430">
        <f>3248000-596729</f>
        <v>2651271</v>
      </c>
      <c r="DI140" s="431"/>
      <c r="DJ140" s="51"/>
      <c r="DK140" s="144"/>
      <c r="DL140" s="432"/>
      <c r="DM140" s="430">
        <f>135490-24443</f>
        <v>111047</v>
      </c>
      <c r="DN140" s="431"/>
      <c r="DO140" s="51"/>
      <c r="DP140" s="144"/>
      <c r="DQ140" s="432"/>
      <c r="DR140" s="430">
        <v>0</v>
      </c>
      <c r="DS140" s="431"/>
      <c r="DT140" s="51"/>
      <c r="DU140" s="144"/>
      <c r="DV140" s="432"/>
      <c r="DW140" s="430">
        <f>3896000-651827</f>
        <v>3244173</v>
      </c>
      <c r="DX140" s="431"/>
      <c r="DY140" s="51"/>
      <c r="DZ140" s="144"/>
      <c r="EA140" s="432"/>
      <c r="EB140" s="430">
        <v>0</v>
      </c>
      <c r="EC140" s="431"/>
      <c r="ED140" s="51"/>
      <c r="EE140" s="144"/>
      <c r="EF140" s="432"/>
      <c r="EG140" s="430">
        <f>3894000-677966</f>
        <v>3216034</v>
      </c>
      <c r="EH140" s="431"/>
      <c r="EI140" s="51"/>
      <c r="EJ140" s="144"/>
      <c r="EK140" s="432"/>
      <c r="EL140" s="430">
        <f t="shared" ref="EL140:EL142" si="13">SUM(CD140:DH140)</f>
        <v>15955284</v>
      </c>
      <c r="EM140" s="431"/>
      <c r="EN140" s="51"/>
      <c r="EO140" s="340"/>
      <c r="ER140" s="39"/>
      <c r="ES140" s="39"/>
    </row>
    <row r="141" spans="1:149" ht="12.75" customHeight="1" x14ac:dyDescent="0.2">
      <c r="A141" s="317"/>
      <c r="B141" s="317"/>
      <c r="D141" s="340" t="s">
        <v>186</v>
      </c>
      <c r="F141" s="347"/>
      <c r="G141" s="51">
        <v>0</v>
      </c>
      <c r="H141" s="50"/>
      <c r="I141" s="51"/>
      <c r="J141" s="144"/>
      <c r="K141" s="144"/>
      <c r="L141" s="51">
        <v>211756</v>
      </c>
      <c r="M141" s="50"/>
      <c r="N141" s="51"/>
      <c r="O141" s="144"/>
      <c r="P141" s="144"/>
      <c r="Q141" s="51">
        <v>463213</v>
      </c>
      <c r="R141" s="50"/>
      <c r="S141" s="51"/>
      <c r="T141" s="144"/>
      <c r="U141" s="144"/>
      <c r="V141" s="51">
        <v>682685</v>
      </c>
      <c r="W141" s="50"/>
      <c r="X141" s="51"/>
      <c r="Y141" s="144"/>
      <c r="Z141" s="144"/>
      <c r="AA141" s="51">
        <v>1121363</v>
      </c>
      <c r="AB141" s="50"/>
      <c r="AC141" s="51"/>
      <c r="AD141" s="144"/>
      <c r="AE141" s="144"/>
      <c r="AF141" s="51">
        <v>0</v>
      </c>
      <c r="AG141" s="50"/>
      <c r="AH141" s="51"/>
      <c r="AI141" s="144"/>
      <c r="AJ141" s="144"/>
      <c r="AK141" s="51">
        <v>255341</v>
      </c>
      <c r="AL141" s="50"/>
      <c r="AM141" s="51"/>
      <c r="AN141" s="144"/>
      <c r="AO141" s="144"/>
      <c r="AP141" s="51">
        <v>319232</v>
      </c>
      <c r="AQ141" s="50"/>
      <c r="AR141" s="51"/>
      <c r="AS141" s="144"/>
      <c r="AT141" s="144"/>
      <c r="AU141" s="51">
        <v>0</v>
      </c>
      <c r="AV141" s="50"/>
      <c r="AW141" s="51"/>
      <c r="AX141" s="144"/>
      <c r="AY141" s="144"/>
      <c r="AZ141" s="51">
        <v>0</v>
      </c>
      <c r="BA141" s="50"/>
      <c r="BB141" s="51"/>
      <c r="BC141" s="144"/>
      <c r="BD141" s="144"/>
      <c r="BE141" s="51">
        <v>0</v>
      </c>
      <c r="BF141" s="50"/>
      <c r="BG141" s="51"/>
      <c r="BH141" s="144"/>
      <c r="BI141" s="144"/>
      <c r="BJ141" s="51">
        <v>0</v>
      </c>
      <c r="BK141" s="50"/>
      <c r="BL141" s="51"/>
      <c r="BM141" s="144"/>
      <c r="BN141" s="144"/>
      <c r="BO141" s="51">
        <v>0</v>
      </c>
      <c r="BP141" s="50"/>
      <c r="BQ141" s="51"/>
      <c r="BR141" s="144"/>
      <c r="BS141" s="144"/>
      <c r="BT141" s="51">
        <f>SUM(L141:BO141)</f>
        <v>3053590</v>
      </c>
      <c r="BU141" s="50"/>
      <c r="BV141" s="51"/>
      <c r="BW141" s="144"/>
      <c r="BX141" s="144"/>
      <c r="BY141" s="51">
        <v>4719952</v>
      </c>
      <c r="BZ141" s="50"/>
      <c r="CA141" s="51"/>
      <c r="CB141" s="144"/>
      <c r="CC141" s="144"/>
      <c r="CD141" s="51">
        <v>995903</v>
      </c>
      <c r="CE141" s="50"/>
      <c r="CF141" s="51"/>
      <c r="CG141" s="144"/>
      <c r="CH141" s="144"/>
      <c r="CI141" s="51">
        <v>344210</v>
      </c>
      <c r="CJ141" s="50"/>
      <c r="CK141" s="51"/>
      <c r="CL141" s="144"/>
      <c r="CM141" s="144"/>
      <c r="CN141" s="51">
        <v>0</v>
      </c>
      <c r="CO141" s="50"/>
      <c r="CP141" s="51"/>
      <c r="CQ141" s="144"/>
      <c r="CR141" s="144"/>
      <c r="CS141" s="51">
        <v>210894</v>
      </c>
      <c r="CT141" s="50"/>
      <c r="CU141" s="51"/>
      <c r="CV141" s="144"/>
      <c r="CW141" s="144"/>
      <c r="CX141" s="51">
        <v>310670</v>
      </c>
      <c r="CY141" s="50"/>
      <c r="CZ141" s="51"/>
      <c r="DA141" s="144"/>
      <c r="DB141" s="144"/>
      <c r="DC141" s="51">
        <v>907310</v>
      </c>
      <c r="DD141" s="50"/>
      <c r="DE141" s="51"/>
      <c r="DF141" s="144"/>
      <c r="DG141" s="144"/>
      <c r="DH141" s="51">
        <v>596729</v>
      </c>
      <c r="DI141" s="50"/>
      <c r="DJ141" s="51"/>
      <c r="DK141" s="144"/>
      <c r="DL141" s="144"/>
      <c r="DM141" s="51">
        <v>24443</v>
      </c>
      <c r="DN141" s="50"/>
      <c r="DO141" s="51"/>
      <c r="DP141" s="144"/>
      <c r="DQ141" s="144"/>
      <c r="DR141" s="51">
        <v>0</v>
      </c>
      <c r="DS141" s="50"/>
      <c r="DT141" s="51"/>
      <c r="DU141" s="144"/>
      <c r="DV141" s="144"/>
      <c r="DW141" s="51">
        <v>651827</v>
      </c>
      <c r="DX141" s="50"/>
      <c r="DY141" s="51"/>
      <c r="DZ141" s="144"/>
      <c r="EA141" s="144"/>
      <c r="EB141" s="51">
        <v>0</v>
      </c>
      <c r="EC141" s="50"/>
      <c r="ED141" s="51"/>
      <c r="EE141" s="144"/>
      <c r="EF141" s="144"/>
      <c r="EG141" s="51">
        <v>677966</v>
      </c>
      <c r="EH141" s="50"/>
      <c r="EI141" s="51"/>
      <c r="EJ141" s="144"/>
      <c r="EK141" s="144"/>
      <c r="EL141" s="51">
        <f t="shared" si="13"/>
        <v>3365716</v>
      </c>
      <c r="EM141" s="50"/>
      <c r="EN141" s="51"/>
      <c r="EO141" s="340"/>
      <c r="ER141" s="39"/>
      <c r="ES141" s="39"/>
    </row>
    <row r="142" spans="1:149" ht="12.75" customHeight="1" x14ac:dyDescent="0.2">
      <c r="A142" s="317"/>
      <c r="B142" s="317"/>
      <c r="D142" s="340" t="s">
        <v>187</v>
      </c>
      <c r="F142" s="371"/>
      <c r="G142" s="95">
        <v>0</v>
      </c>
      <c r="H142" s="94"/>
      <c r="I142" s="51"/>
      <c r="J142" s="144"/>
      <c r="K142" s="187"/>
      <c r="L142" s="95">
        <v>0</v>
      </c>
      <c r="M142" s="94"/>
      <c r="N142" s="51"/>
      <c r="O142" s="144"/>
      <c r="P142" s="187"/>
      <c r="Q142" s="95">
        <v>0</v>
      </c>
      <c r="R142" s="94"/>
      <c r="S142" s="51"/>
      <c r="T142" s="144"/>
      <c r="U142" s="187"/>
      <c r="V142" s="95">
        <v>0</v>
      </c>
      <c r="W142" s="94"/>
      <c r="X142" s="51"/>
      <c r="Y142" s="144"/>
      <c r="Z142" s="187"/>
      <c r="AA142" s="95">
        <v>0</v>
      </c>
      <c r="AB142" s="94"/>
      <c r="AC142" s="51"/>
      <c r="AD142" s="144"/>
      <c r="AE142" s="187"/>
      <c r="AF142" s="95">
        <v>0</v>
      </c>
      <c r="AG142" s="94"/>
      <c r="AH142" s="51"/>
      <c r="AI142" s="144"/>
      <c r="AJ142" s="187"/>
      <c r="AK142" s="95">
        <v>0</v>
      </c>
      <c r="AL142" s="94"/>
      <c r="AM142" s="51"/>
      <c r="AN142" s="144"/>
      <c r="AO142" s="187"/>
      <c r="AP142" s="95">
        <v>0</v>
      </c>
      <c r="AQ142" s="94"/>
      <c r="AR142" s="51"/>
      <c r="AS142" s="144"/>
      <c r="AT142" s="187"/>
      <c r="AU142" s="95">
        <v>0</v>
      </c>
      <c r="AV142" s="94"/>
      <c r="AW142" s="51"/>
      <c r="AX142" s="144"/>
      <c r="AY142" s="187"/>
      <c r="AZ142" s="95">
        <v>0</v>
      </c>
      <c r="BA142" s="94"/>
      <c r="BB142" s="51"/>
      <c r="BC142" s="144"/>
      <c r="BD142" s="187"/>
      <c r="BE142" s="95">
        <v>0</v>
      </c>
      <c r="BF142" s="94"/>
      <c r="BG142" s="51"/>
      <c r="BH142" s="144"/>
      <c r="BI142" s="187"/>
      <c r="BJ142" s="95">
        <v>0</v>
      </c>
      <c r="BK142" s="94"/>
      <c r="BL142" s="51"/>
      <c r="BM142" s="144"/>
      <c r="BN142" s="187"/>
      <c r="BO142" s="95">
        <v>0</v>
      </c>
      <c r="BP142" s="94"/>
      <c r="BQ142" s="51"/>
      <c r="BR142" s="144"/>
      <c r="BS142" s="187"/>
      <c r="BT142" s="95">
        <f>SUM(L142:BO142)</f>
        <v>0</v>
      </c>
      <c r="BU142" s="94"/>
      <c r="BV142" s="51"/>
      <c r="BW142" s="144"/>
      <c r="BX142" s="187"/>
      <c r="BY142" s="95">
        <v>0</v>
      </c>
      <c r="BZ142" s="94"/>
      <c r="CA142" s="51"/>
      <c r="CB142" s="144"/>
      <c r="CC142" s="187"/>
      <c r="CD142" s="95">
        <v>0</v>
      </c>
      <c r="CE142" s="94"/>
      <c r="CF142" s="51"/>
      <c r="CG142" s="144"/>
      <c r="CH142" s="187"/>
      <c r="CI142" s="95">
        <v>0</v>
      </c>
      <c r="CJ142" s="94"/>
      <c r="CK142" s="51"/>
      <c r="CL142" s="144"/>
      <c r="CM142" s="187"/>
      <c r="CN142" s="95">
        <v>0</v>
      </c>
      <c r="CO142" s="94"/>
      <c r="CP142" s="51"/>
      <c r="CQ142" s="144"/>
      <c r="CR142" s="187"/>
      <c r="CS142" s="95">
        <v>0</v>
      </c>
      <c r="CT142" s="94"/>
      <c r="CU142" s="51"/>
      <c r="CV142" s="144"/>
      <c r="CW142" s="187"/>
      <c r="CX142" s="95">
        <v>0</v>
      </c>
      <c r="CY142" s="94"/>
      <c r="CZ142" s="51"/>
      <c r="DA142" s="144"/>
      <c r="DB142" s="187"/>
      <c r="DC142" s="95">
        <v>0</v>
      </c>
      <c r="DD142" s="94"/>
      <c r="DE142" s="51"/>
      <c r="DF142" s="144"/>
      <c r="DG142" s="187"/>
      <c r="DH142" s="95">
        <v>0</v>
      </c>
      <c r="DI142" s="94"/>
      <c r="DJ142" s="51"/>
      <c r="DK142" s="144"/>
      <c r="DL142" s="187"/>
      <c r="DM142" s="95">
        <v>0</v>
      </c>
      <c r="DN142" s="94"/>
      <c r="DO142" s="51"/>
      <c r="DP142" s="144"/>
      <c r="DQ142" s="187"/>
      <c r="DR142" s="95">
        <v>0</v>
      </c>
      <c r="DS142" s="94"/>
      <c r="DT142" s="51"/>
      <c r="DU142" s="144"/>
      <c r="DV142" s="187"/>
      <c r="DW142" s="95">
        <v>0</v>
      </c>
      <c r="DX142" s="94"/>
      <c r="DY142" s="51"/>
      <c r="DZ142" s="144"/>
      <c r="EA142" s="187"/>
      <c r="EB142" s="95">
        <v>0</v>
      </c>
      <c r="EC142" s="94"/>
      <c r="ED142" s="51"/>
      <c r="EE142" s="144"/>
      <c r="EF142" s="187"/>
      <c r="EG142" s="95">
        <v>0</v>
      </c>
      <c r="EH142" s="94"/>
      <c r="EI142" s="51"/>
      <c r="EJ142" s="144"/>
      <c r="EK142" s="187"/>
      <c r="EL142" s="95">
        <f t="shared" si="13"/>
        <v>0</v>
      </c>
      <c r="EM142" s="94"/>
      <c r="EN142" s="51"/>
      <c r="EO142" s="340"/>
      <c r="ER142" s="39"/>
      <c r="ES142" s="39"/>
    </row>
    <row r="143" spans="1:149" ht="12.75" customHeight="1" x14ac:dyDescent="0.2">
      <c r="A143" s="317"/>
      <c r="B143" s="317"/>
      <c r="D143" s="340"/>
      <c r="F143" s="317"/>
      <c r="G143" s="51"/>
      <c r="H143" s="51"/>
      <c r="I143" s="51"/>
      <c r="J143" s="144"/>
      <c r="K143" s="51"/>
      <c r="L143" s="51"/>
      <c r="M143" s="51"/>
      <c r="N143" s="51"/>
      <c r="O143" s="144"/>
      <c r="P143" s="51"/>
      <c r="Q143" s="51"/>
      <c r="R143" s="51"/>
      <c r="S143" s="51"/>
      <c r="T143" s="144"/>
      <c r="U143" s="51"/>
      <c r="V143" s="51"/>
      <c r="W143" s="51"/>
      <c r="X143" s="51"/>
      <c r="Y143" s="144"/>
      <c r="Z143" s="51"/>
      <c r="AA143" s="51"/>
      <c r="AB143" s="51"/>
      <c r="AC143" s="51"/>
      <c r="AD143" s="144"/>
      <c r="AE143" s="51"/>
      <c r="AF143" s="51"/>
      <c r="AG143" s="51"/>
      <c r="AH143" s="51"/>
      <c r="AI143" s="144"/>
      <c r="AJ143" s="51"/>
      <c r="AK143" s="51"/>
      <c r="AL143" s="51"/>
      <c r="AM143" s="51"/>
      <c r="AN143" s="144"/>
      <c r="AO143" s="51"/>
      <c r="AP143" s="51"/>
      <c r="AQ143" s="51"/>
      <c r="AR143" s="51"/>
      <c r="AS143" s="144"/>
      <c r="AT143" s="51"/>
      <c r="AU143" s="51"/>
      <c r="AV143" s="51"/>
      <c r="AW143" s="51"/>
      <c r="AX143" s="144"/>
      <c r="AY143" s="51"/>
      <c r="AZ143" s="51"/>
      <c r="BA143" s="51"/>
      <c r="BB143" s="51"/>
      <c r="BC143" s="144"/>
      <c r="BD143" s="51"/>
      <c r="BE143" s="51"/>
      <c r="BF143" s="51"/>
      <c r="BG143" s="51"/>
      <c r="BH143" s="144"/>
      <c r="BI143" s="51"/>
      <c r="BJ143" s="51"/>
      <c r="BK143" s="51"/>
      <c r="BL143" s="51"/>
      <c r="BM143" s="144"/>
      <c r="BN143" s="51"/>
      <c r="BO143" s="51"/>
      <c r="BP143" s="51"/>
      <c r="BQ143" s="51"/>
      <c r="BR143" s="144"/>
      <c r="BS143" s="51"/>
      <c r="BT143" s="51"/>
      <c r="BU143" s="51"/>
      <c r="BV143" s="51"/>
      <c r="BW143" s="144"/>
      <c r="BX143" s="51"/>
      <c r="BY143" s="51"/>
      <c r="BZ143" s="51"/>
      <c r="CA143" s="51"/>
      <c r="CB143" s="144"/>
      <c r="CC143" s="51"/>
      <c r="CD143" s="51"/>
      <c r="CE143" s="51"/>
      <c r="CF143" s="51"/>
      <c r="CG143" s="144"/>
      <c r="CH143" s="51"/>
      <c r="CI143" s="51"/>
      <c r="CJ143" s="51"/>
      <c r="CK143" s="51"/>
      <c r="CL143" s="144"/>
      <c r="CM143" s="51"/>
      <c r="CN143" s="51"/>
      <c r="CO143" s="51"/>
      <c r="CP143" s="51"/>
      <c r="CQ143" s="144"/>
      <c r="CR143" s="51"/>
      <c r="CS143" s="51"/>
      <c r="CT143" s="51"/>
      <c r="CU143" s="51"/>
      <c r="CV143" s="144"/>
      <c r="CW143" s="51"/>
      <c r="CX143" s="51"/>
      <c r="CY143" s="51"/>
      <c r="CZ143" s="51"/>
      <c r="DA143" s="144"/>
      <c r="DB143" s="51"/>
      <c r="DC143" s="51"/>
      <c r="DD143" s="51"/>
      <c r="DE143" s="51"/>
      <c r="DF143" s="144"/>
      <c r="DG143" s="51"/>
      <c r="DH143" s="51"/>
      <c r="DI143" s="51"/>
      <c r="DJ143" s="51"/>
      <c r="DK143" s="144"/>
      <c r="DL143" s="51"/>
      <c r="DM143" s="51"/>
      <c r="DN143" s="51"/>
      <c r="DO143" s="51"/>
      <c r="DP143" s="144"/>
      <c r="DQ143" s="51"/>
      <c r="DR143" s="51"/>
      <c r="DS143" s="51"/>
      <c r="DT143" s="51"/>
      <c r="DU143" s="144"/>
      <c r="DV143" s="51"/>
      <c r="DW143" s="51"/>
      <c r="DX143" s="51"/>
      <c r="DY143" s="51"/>
      <c r="DZ143" s="144"/>
      <c r="EA143" s="51"/>
      <c r="EB143" s="51"/>
      <c r="EC143" s="51"/>
      <c r="ED143" s="51"/>
      <c r="EE143" s="144"/>
      <c r="EF143" s="51"/>
      <c r="EG143" s="51"/>
      <c r="EH143" s="51"/>
      <c r="EI143" s="51"/>
      <c r="EJ143" s="144"/>
      <c r="EK143" s="51"/>
      <c r="EL143" s="51"/>
      <c r="EM143" s="51"/>
      <c r="EN143" s="51"/>
      <c r="EO143" s="340"/>
      <c r="ER143" s="39"/>
      <c r="ES143" s="39"/>
    </row>
    <row r="144" spans="1:149" ht="12.75" customHeight="1" x14ac:dyDescent="0.2">
      <c r="A144" s="317"/>
      <c r="B144" s="317"/>
      <c r="D144" s="340" t="s">
        <v>210</v>
      </c>
      <c r="F144" s="317"/>
      <c r="G144" s="51">
        <f>SUM(G145:G147)</f>
        <v>0</v>
      </c>
      <c r="H144" s="51"/>
      <c r="I144" s="51"/>
      <c r="J144" s="144"/>
      <c r="K144" s="51"/>
      <c r="L144" s="51">
        <f>SUM(L145:L147)</f>
        <v>4548724</v>
      </c>
      <c r="M144" s="51"/>
      <c r="N144" s="51"/>
      <c r="O144" s="144"/>
      <c r="P144" s="51"/>
      <c r="Q144" s="51">
        <f>SUM(Q145:Q147)</f>
        <v>3893000</v>
      </c>
      <c r="R144" s="51"/>
      <c r="S144" s="51"/>
      <c r="T144" s="144"/>
      <c r="U144" s="51"/>
      <c r="V144" s="51">
        <f>SUM(V145:V147)</f>
        <v>3247000</v>
      </c>
      <c r="W144" s="51"/>
      <c r="X144" s="51"/>
      <c r="Y144" s="144"/>
      <c r="Z144" s="51"/>
      <c r="AA144" s="51">
        <f>SUM(AA145:AA147)</f>
        <v>3248000</v>
      </c>
      <c r="AB144" s="51"/>
      <c r="AC144" s="51"/>
      <c r="AD144" s="144"/>
      <c r="AE144" s="51"/>
      <c r="AF144" s="51">
        <f>SUM(AF145:AF147)</f>
        <v>1300000</v>
      </c>
      <c r="AG144" s="51"/>
      <c r="AH144" s="51"/>
      <c r="AI144" s="144"/>
      <c r="AJ144" s="51"/>
      <c r="AK144" s="51">
        <f>SUM(AK145:AK147)</f>
        <v>1300000</v>
      </c>
      <c r="AL144" s="51"/>
      <c r="AM144" s="51"/>
      <c r="AN144" s="144"/>
      <c r="AO144" s="51"/>
      <c r="AP144" s="51">
        <f>SUM(AP145:AP147)</f>
        <v>0</v>
      </c>
      <c r="AQ144" s="51"/>
      <c r="AR144" s="51"/>
      <c r="AS144" s="144"/>
      <c r="AT144" s="51"/>
      <c r="AU144" s="51">
        <f>SUM(AU145:AU147)</f>
        <v>0</v>
      </c>
      <c r="AV144" s="51"/>
      <c r="AW144" s="51"/>
      <c r="AX144" s="144"/>
      <c r="AY144" s="51"/>
      <c r="AZ144" s="51">
        <f>SUM(AZ145:AZ147)</f>
        <v>0</v>
      </c>
      <c r="BA144" s="51"/>
      <c r="BB144" s="51"/>
      <c r="BC144" s="144"/>
      <c r="BD144" s="51"/>
      <c r="BE144" s="51">
        <f>SUM(BE145:BE147)</f>
        <v>0</v>
      </c>
      <c r="BF144" s="51"/>
      <c r="BG144" s="51"/>
      <c r="BH144" s="144"/>
      <c r="BI144" s="51"/>
      <c r="BJ144" s="51">
        <f>SUM(BJ145:BJ147)</f>
        <v>0</v>
      </c>
      <c r="BK144" s="51"/>
      <c r="BL144" s="51"/>
      <c r="BM144" s="144"/>
      <c r="BN144" s="51"/>
      <c r="BO144" s="51">
        <f>SUM(BO145:BO147)</f>
        <v>0</v>
      </c>
      <c r="BP144" s="51"/>
      <c r="BQ144" s="51"/>
      <c r="BR144" s="144"/>
      <c r="BS144" s="51"/>
      <c r="BT144" s="51">
        <f>SUM(BT145:BT147)</f>
        <v>17536724</v>
      </c>
      <c r="BU144" s="51"/>
      <c r="BV144" s="51"/>
      <c r="BW144" s="144"/>
      <c r="BX144" s="51"/>
      <c r="BY144" s="51">
        <f>SUM(BY145:BY147)</f>
        <v>30467573</v>
      </c>
      <c r="BZ144" s="51"/>
      <c r="CA144" s="51"/>
      <c r="CB144" s="144"/>
      <c r="CC144" s="51"/>
      <c r="CD144" s="51">
        <f>SUM(CD145:CD147)</f>
        <v>4795000</v>
      </c>
      <c r="CE144" s="51"/>
      <c r="CF144" s="51"/>
      <c r="CG144" s="144"/>
      <c r="CH144" s="51"/>
      <c r="CI144" s="51">
        <f>SUM(CI145:CI147)</f>
        <v>3180309</v>
      </c>
      <c r="CJ144" s="51"/>
      <c r="CK144" s="51"/>
      <c r="CL144" s="144"/>
      <c r="CM144" s="51"/>
      <c r="CN144" s="51">
        <f>SUM(CN145:CN147)</f>
        <v>1754000</v>
      </c>
      <c r="CO144" s="51"/>
      <c r="CP144" s="51"/>
      <c r="CQ144" s="144"/>
      <c r="CR144" s="51"/>
      <c r="CS144" s="51">
        <f>SUM(CS145:CS147)</f>
        <v>1948000</v>
      </c>
      <c r="CT144" s="51"/>
      <c r="CU144" s="51"/>
      <c r="CV144" s="144"/>
      <c r="CW144" s="51"/>
      <c r="CX144" s="51">
        <f>SUM(CX145:CX147)</f>
        <v>1300000</v>
      </c>
      <c r="CY144" s="51"/>
      <c r="CZ144" s="51"/>
      <c r="DA144" s="144"/>
      <c r="DB144" s="51"/>
      <c r="DC144" s="51">
        <f>SUM(DC145:DC147)</f>
        <v>1300000</v>
      </c>
      <c r="DD144" s="51"/>
      <c r="DE144" s="51"/>
      <c r="DF144" s="144"/>
      <c r="DG144" s="51"/>
      <c r="DH144" s="51">
        <f>SUM(DH145:DH147)</f>
        <v>6845000</v>
      </c>
      <c r="DI144" s="51"/>
      <c r="DJ144" s="51"/>
      <c r="DK144" s="144"/>
      <c r="DL144" s="51"/>
      <c r="DM144" s="51">
        <f>SUM(DM145:DM147)</f>
        <v>1555000</v>
      </c>
      <c r="DN144" s="51"/>
      <c r="DO144" s="51"/>
      <c r="DP144" s="144"/>
      <c r="DQ144" s="51"/>
      <c r="DR144" s="51">
        <f>SUM(DR145:DR147)</f>
        <v>3894000</v>
      </c>
      <c r="DS144" s="51"/>
      <c r="DT144" s="51"/>
      <c r="DU144" s="144"/>
      <c r="DV144" s="51"/>
      <c r="DW144" s="51">
        <f>SUM(DW145:DW147)</f>
        <v>3264</v>
      </c>
      <c r="DX144" s="51"/>
      <c r="DY144" s="51"/>
      <c r="DZ144" s="144"/>
      <c r="EA144" s="51"/>
      <c r="EB144" s="51">
        <f>SUM(EB145:EB147)</f>
        <v>1947000</v>
      </c>
      <c r="EC144" s="51"/>
      <c r="ED144" s="51"/>
      <c r="EE144" s="144"/>
      <c r="EF144" s="51"/>
      <c r="EG144" s="51">
        <f>SUM(EG145:EG147)</f>
        <v>1946000</v>
      </c>
      <c r="EH144" s="51"/>
      <c r="EI144" s="51"/>
      <c r="EJ144" s="144"/>
      <c r="EK144" s="51"/>
      <c r="EL144" s="51">
        <f>SUM(EL145:EL147)</f>
        <v>21122309</v>
      </c>
      <c r="EM144" s="51"/>
      <c r="EN144" s="51"/>
      <c r="EO144" s="340"/>
      <c r="ER144" s="39"/>
      <c r="ES144" s="39"/>
    </row>
    <row r="145" spans="1:149" ht="12.75" customHeight="1" x14ac:dyDescent="0.2">
      <c r="A145" s="317"/>
      <c r="B145" s="317"/>
      <c r="D145" s="340" t="s">
        <v>183</v>
      </c>
      <c r="F145" s="354"/>
      <c r="G145" s="430">
        <v>0</v>
      </c>
      <c r="H145" s="431"/>
      <c r="I145" s="51"/>
      <c r="J145" s="144"/>
      <c r="K145" s="432"/>
      <c r="L145" s="430">
        <f>4548724-755821</f>
        <v>3792903</v>
      </c>
      <c r="M145" s="431"/>
      <c r="N145" s="51"/>
      <c r="O145" s="144"/>
      <c r="P145" s="432"/>
      <c r="Q145" s="430">
        <f>3893000-761368</f>
        <v>3131632</v>
      </c>
      <c r="R145" s="431"/>
      <c r="S145" s="51"/>
      <c r="T145" s="144"/>
      <c r="U145" s="432"/>
      <c r="V145" s="430">
        <f>3247000-665905</f>
        <v>2581095</v>
      </c>
      <c r="W145" s="431"/>
      <c r="X145" s="51"/>
      <c r="Y145" s="144"/>
      <c r="Z145" s="432"/>
      <c r="AA145" s="430">
        <f>3248000-779351</f>
        <v>2468649</v>
      </c>
      <c r="AB145" s="431"/>
      <c r="AC145" s="51"/>
      <c r="AD145" s="144"/>
      <c r="AE145" s="432"/>
      <c r="AF145" s="430">
        <f>1300000-248246</f>
        <v>1051754</v>
      </c>
      <c r="AG145" s="431"/>
      <c r="AH145" s="51"/>
      <c r="AI145" s="144"/>
      <c r="AJ145" s="432"/>
      <c r="AK145" s="430">
        <f>1300000-266715</f>
        <v>1033285</v>
      </c>
      <c r="AL145" s="431"/>
      <c r="AM145" s="51"/>
      <c r="AN145" s="144"/>
      <c r="AO145" s="432"/>
      <c r="AP145" s="430">
        <v>0</v>
      </c>
      <c r="AQ145" s="431"/>
      <c r="AR145" s="51"/>
      <c r="AS145" s="144"/>
      <c r="AT145" s="432"/>
      <c r="AU145" s="430">
        <v>0</v>
      </c>
      <c r="AV145" s="431"/>
      <c r="AW145" s="51"/>
      <c r="AX145" s="144"/>
      <c r="AY145" s="432"/>
      <c r="AZ145" s="430">
        <v>0</v>
      </c>
      <c r="BA145" s="431"/>
      <c r="BB145" s="51"/>
      <c r="BC145" s="144"/>
      <c r="BD145" s="432"/>
      <c r="BE145" s="430">
        <v>0</v>
      </c>
      <c r="BF145" s="431"/>
      <c r="BG145" s="51"/>
      <c r="BH145" s="144"/>
      <c r="BI145" s="432"/>
      <c r="BJ145" s="430">
        <v>0</v>
      </c>
      <c r="BK145" s="431"/>
      <c r="BL145" s="51"/>
      <c r="BM145" s="144"/>
      <c r="BN145" s="432"/>
      <c r="BO145" s="430">
        <v>0</v>
      </c>
      <c r="BP145" s="431"/>
      <c r="BQ145" s="51"/>
      <c r="BR145" s="144"/>
      <c r="BS145" s="432"/>
      <c r="BT145" s="430">
        <f>SUM(L145:BO145)</f>
        <v>14059318</v>
      </c>
      <c r="BU145" s="431"/>
      <c r="BV145" s="51"/>
      <c r="BW145" s="144"/>
      <c r="BX145" s="432"/>
      <c r="BY145" s="430">
        <v>25090426</v>
      </c>
      <c r="BZ145" s="431"/>
      <c r="CA145" s="51"/>
      <c r="CB145" s="144"/>
      <c r="CC145" s="432"/>
      <c r="CD145" s="430">
        <f>4795000-981589</f>
        <v>3813411</v>
      </c>
      <c r="CE145" s="431"/>
      <c r="CF145" s="51"/>
      <c r="CG145" s="144"/>
      <c r="CH145" s="432"/>
      <c r="CI145" s="430">
        <f>3180309-565260</f>
        <v>2615049</v>
      </c>
      <c r="CJ145" s="431"/>
      <c r="CK145" s="51"/>
      <c r="CL145" s="144"/>
      <c r="CM145" s="432"/>
      <c r="CN145" s="430">
        <f>1754000-255037</f>
        <v>1498963</v>
      </c>
      <c r="CO145" s="431"/>
      <c r="CP145" s="51"/>
      <c r="CQ145" s="144"/>
      <c r="CR145" s="432"/>
      <c r="CS145" s="430">
        <f>1948000-336713</f>
        <v>1611287</v>
      </c>
      <c r="CT145" s="431"/>
      <c r="CU145" s="51"/>
      <c r="CV145" s="144"/>
      <c r="CW145" s="432"/>
      <c r="CX145" s="430">
        <f>1300000-194903</f>
        <v>1105097</v>
      </c>
      <c r="CY145" s="431"/>
      <c r="CZ145" s="51"/>
      <c r="DA145" s="144"/>
      <c r="DB145" s="432"/>
      <c r="DC145" s="430">
        <f>1300000-204775</f>
        <v>1095225</v>
      </c>
      <c r="DD145" s="431"/>
      <c r="DE145" s="51"/>
      <c r="DF145" s="144"/>
      <c r="DG145" s="432"/>
      <c r="DH145" s="430">
        <f>6845000-1228552</f>
        <v>5616448</v>
      </c>
      <c r="DI145" s="431"/>
      <c r="DJ145" s="51"/>
      <c r="DK145" s="144"/>
      <c r="DL145" s="432"/>
      <c r="DM145" s="430">
        <f>1555000-239972</f>
        <v>1315028</v>
      </c>
      <c r="DN145" s="431"/>
      <c r="DO145" s="51"/>
      <c r="DP145" s="144"/>
      <c r="DQ145" s="432"/>
      <c r="DR145" s="430">
        <f>3894000-673772</f>
        <v>3220228</v>
      </c>
      <c r="DS145" s="431"/>
      <c r="DT145" s="51"/>
      <c r="DU145" s="144"/>
      <c r="DV145" s="432"/>
      <c r="DW145" s="430">
        <f>3264-565</f>
        <v>2699</v>
      </c>
      <c r="DX145" s="431"/>
      <c r="DY145" s="51"/>
      <c r="DZ145" s="144"/>
      <c r="EA145" s="432"/>
      <c r="EB145" s="430">
        <f>1947000-292585</f>
        <v>1654415</v>
      </c>
      <c r="EC145" s="431"/>
      <c r="ED145" s="51"/>
      <c r="EE145" s="144"/>
      <c r="EF145" s="432"/>
      <c r="EG145" s="430">
        <f>1946000-403424</f>
        <v>1542576</v>
      </c>
      <c r="EH145" s="431"/>
      <c r="EI145" s="51"/>
      <c r="EJ145" s="144"/>
      <c r="EK145" s="432"/>
      <c r="EL145" s="430">
        <f t="shared" ref="EL145:EL147" si="14">SUM(CD145:DH145)</f>
        <v>17355480</v>
      </c>
      <c r="EM145" s="431"/>
      <c r="EN145" s="51"/>
      <c r="EO145" s="340"/>
      <c r="ER145" s="39"/>
      <c r="ES145" s="39"/>
    </row>
    <row r="146" spans="1:149" ht="12.75" customHeight="1" x14ac:dyDescent="0.2">
      <c r="A146" s="317"/>
      <c r="B146" s="317"/>
      <c r="D146" s="340" t="s">
        <v>186</v>
      </c>
      <c r="F146" s="347"/>
      <c r="G146" s="51">
        <v>0</v>
      </c>
      <c r="H146" s="50"/>
      <c r="I146" s="51"/>
      <c r="J146" s="144"/>
      <c r="K146" s="144"/>
      <c r="L146" s="51">
        <v>755821</v>
      </c>
      <c r="M146" s="50"/>
      <c r="N146" s="51"/>
      <c r="O146" s="144"/>
      <c r="P146" s="144"/>
      <c r="Q146" s="51">
        <v>761368</v>
      </c>
      <c r="R146" s="50"/>
      <c r="S146" s="51"/>
      <c r="T146" s="144"/>
      <c r="U146" s="144"/>
      <c r="V146" s="51">
        <v>665905</v>
      </c>
      <c r="W146" s="50"/>
      <c r="X146" s="51"/>
      <c r="Y146" s="144"/>
      <c r="Z146" s="144"/>
      <c r="AA146" s="51">
        <v>779351</v>
      </c>
      <c r="AB146" s="50"/>
      <c r="AC146" s="51"/>
      <c r="AD146" s="144"/>
      <c r="AE146" s="144"/>
      <c r="AF146" s="51">
        <v>248246</v>
      </c>
      <c r="AG146" s="50"/>
      <c r="AH146" s="51"/>
      <c r="AI146" s="144"/>
      <c r="AJ146" s="144"/>
      <c r="AK146" s="51">
        <v>266715</v>
      </c>
      <c r="AL146" s="50"/>
      <c r="AM146" s="51"/>
      <c r="AN146" s="144"/>
      <c r="AO146" s="144"/>
      <c r="AP146" s="51">
        <v>0</v>
      </c>
      <c r="AQ146" s="50"/>
      <c r="AR146" s="51"/>
      <c r="AS146" s="144"/>
      <c r="AT146" s="144"/>
      <c r="AU146" s="51">
        <v>0</v>
      </c>
      <c r="AV146" s="50"/>
      <c r="AW146" s="51"/>
      <c r="AX146" s="144"/>
      <c r="AY146" s="144"/>
      <c r="AZ146" s="51">
        <v>0</v>
      </c>
      <c r="BA146" s="50"/>
      <c r="BB146" s="51"/>
      <c r="BC146" s="144"/>
      <c r="BD146" s="144"/>
      <c r="BE146" s="51">
        <v>0</v>
      </c>
      <c r="BF146" s="50"/>
      <c r="BG146" s="51"/>
      <c r="BH146" s="144"/>
      <c r="BI146" s="144"/>
      <c r="BJ146" s="51">
        <v>0</v>
      </c>
      <c r="BK146" s="50"/>
      <c r="BL146" s="51"/>
      <c r="BM146" s="144"/>
      <c r="BN146" s="144"/>
      <c r="BO146" s="51">
        <v>0</v>
      </c>
      <c r="BP146" s="50"/>
      <c r="BQ146" s="51"/>
      <c r="BR146" s="144"/>
      <c r="BS146" s="144"/>
      <c r="BT146" s="51">
        <f>SUM(L146:BO146)</f>
        <v>3477406</v>
      </c>
      <c r="BU146" s="50"/>
      <c r="BV146" s="51"/>
      <c r="BW146" s="144"/>
      <c r="BX146" s="144"/>
      <c r="BY146" s="51">
        <v>5377147</v>
      </c>
      <c r="BZ146" s="50"/>
      <c r="CA146" s="51"/>
      <c r="CB146" s="144"/>
      <c r="CC146" s="144"/>
      <c r="CD146" s="51">
        <v>981589</v>
      </c>
      <c r="CE146" s="50"/>
      <c r="CF146" s="51"/>
      <c r="CG146" s="144"/>
      <c r="CH146" s="144"/>
      <c r="CI146" s="51">
        <v>565260</v>
      </c>
      <c r="CJ146" s="50"/>
      <c r="CK146" s="51"/>
      <c r="CL146" s="144"/>
      <c r="CM146" s="144"/>
      <c r="CN146" s="51">
        <v>255037</v>
      </c>
      <c r="CO146" s="50"/>
      <c r="CP146" s="51"/>
      <c r="CQ146" s="144"/>
      <c r="CR146" s="144"/>
      <c r="CS146" s="51">
        <v>336713</v>
      </c>
      <c r="CT146" s="50"/>
      <c r="CU146" s="51"/>
      <c r="CV146" s="144"/>
      <c r="CW146" s="144"/>
      <c r="CX146" s="51">
        <v>194903</v>
      </c>
      <c r="CY146" s="50"/>
      <c r="CZ146" s="51"/>
      <c r="DA146" s="144"/>
      <c r="DB146" s="144"/>
      <c r="DC146" s="51">
        <v>204775</v>
      </c>
      <c r="DD146" s="50"/>
      <c r="DE146" s="51"/>
      <c r="DF146" s="144"/>
      <c r="DG146" s="144"/>
      <c r="DH146" s="51">
        <v>1228552</v>
      </c>
      <c r="DI146" s="50"/>
      <c r="DJ146" s="51"/>
      <c r="DK146" s="144"/>
      <c r="DL146" s="144"/>
      <c r="DM146" s="51">
        <v>239972</v>
      </c>
      <c r="DN146" s="50"/>
      <c r="DO146" s="51"/>
      <c r="DP146" s="144"/>
      <c r="DQ146" s="144"/>
      <c r="DR146" s="51">
        <v>673772</v>
      </c>
      <c r="DS146" s="50"/>
      <c r="DT146" s="51"/>
      <c r="DU146" s="144"/>
      <c r="DV146" s="144"/>
      <c r="DW146" s="51">
        <v>565</v>
      </c>
      <c r="DX146" s="50"/>
      <c r="DY146" s="51"/>
      <c r="DZ146" s="144"/>
      <c r="EA146" s="144"/>
      <c r="EB146" s="51">
        <v>292585</v>
      </c>
      <c r="EC146" s="50"/>
      <c r="ED146" s="51"/>
      <c r="EE146" s="144"/>
      <c r="EF146" s="144"/>
      <c r="EG146" s="51">
        <v>403424</v>
      </c>
      <c r="EH146" s="50"/>
      <c r="EI146" s="51"/>
      <c r="EJ146" s="144"/>
      <c r="EK146" s="144"/>
      <c r="EL146" s="51">
        <f t="shared" si="14"/>
        <v>3766829</v>
      </c>
      <c r="EM146" s="50"/>
      <c r="EN146" s="51"/>
      <c r="EO146" s="340"/>
      <c r="ER146" s="39"/>
      <c r="ES146" s="39"/>
    </row>
    <row r="147" spans="1:149" ht="12.75" customHeight="1" x14ac:dyDescent="0.2">
      <c r="A147" s="317"/>
      <c r="B147" s="317"/>
      <c r="D147" s="340" t="s">
        <v>187</v>
      </c>
      <c r="F147" s="371"/>
      <c r="G147" s="95">
        <v>0</v>
      </c>
      <c r="H147" s="94"/>
      <c r="I147" s="51"/>
      <c r="J147" s="144"/>
      <c r="K147" s="187"/>
      <c r="L147" s="95">
        <v>0</v>
      </c>
      <c r="M147" s="94"/>
      <c r="N147" s="51"/>
      <c r="O147" s="144"/>
      <c r="P147" s="187"/>
      <c r="Q147" s="95">
        <v>0</v>
      </c>
      <c r="R147" s="94"/>
      <c r="S147" s="51"/>
      <c r="T147" s="144"/>
      <c r="U147" s="187"/>
      <c r="V147" s="95">
        <v>0</v>
      </c>
      <c r="W147" s="94"/>
      <c r="X147" s="51"/>
      <c r="Y147" s="144"/>
      <c r="Z147" s="187"/>
      <c r="AA147" s="95">
        <v>0</v>
      </c>
      <c r="AB147" s="94"/>
      <c r="AC147" s="51"/>
      <c r="AD147" s="144"/>
      <c r="AE147" s="187"/>
      <c r="AF147" s="95">
        <v>0</v>
      </c>
      <c r="AG147" s="94"/>
      <c r="AH147" s="51"/>
      <c r="AI147" s="144"/>
      <c r="AJ147" s="187"/>
      <c r="AK147" s="95">
        <v>0</v>
      </c>
      <c r="AL147" s="94"/>
      <c r="AM147" s="51"/>
      <c r="AN147" s="144"/>
      <c r="AO147" s="187"/>
      <c r="AP147" s="95">
        <v>0</v>
      </c>
      <c r="AQ147" s="94"/>
      <c r="AR147" s="51"/>
      <c r="AS147" s="144"/>
      <c r="AT147" s="187"/>
      <c r="AU147" s="95">
        <v>0</v>
      </c>
      <c r="AV147" s="94"/>
      <c r="AW147" s="51"/>
      <c r="AX147" s="144"/>
      <c r="AY147" s="187"/>
      <c r="AZ147" s="95">
        <v>0</v>
      </c>
      <c r="BA147" s="94"/>
      <c r="BB147" s="51"/>
      <c r="BC147" s="144"/>
      <c r="BD147" s="187"/>
      <c r="BE147" s="95">
        <v>0</v>
      </c>
      <c r="BF147" s="94"/>
      <c r="BG147" s="51"/>
      <c r="BH147" s="144"/>
      <c r="BI147" s="187"/>
      <c r="BJ147" s="95">
        <v>0</v>
      </c>
      <c r="BK147" s="94"/>
      <c r="BL147" s="51"/>
      <c r="BM147" s="144"/>
      <c r="BN147" s="187"/>
      <c r="BO147" s="95">
        <v>0</v>
      </c>
      <c r="BP147" s="94"/>
      <c r="BQ147" s="51"/>
      <c r="BR147" s="144"/>
      <c r="BS147" s="187"/>
      <c r="BT147" s="95">
        <f>SUM(L147:BO147)</f>
        <v>0</v>
      </c>
      <c r="BU147" s="94"/>
      <c r="BV147" s="51"/>
      <c r="BW147" s="144"/>
      <c r="BX147" s="187"/>
      <c r="BY147" s="95">
        <v>0</v>
      </c>
      <c r="BZ147" s="94"/>
      <c r="CA147" s="51"/>
      <c r="CB147" s="144"/>
      <c r="CC147" s="187"/>
      <c r="CD147" s="95">
        <v>0</v>
      </c>
      <c r="CE147" s="94"/>
      <c r="CF147" s="51"/>
      <c r="CG147" s="144"/>
      <c r="CH147" s="187"/>
      <c r="CI147" s="95">
        <v>0</v>
      </c>
      <c r="CJ147" s="94"/>
      <c r="CK147" s="51"/>
      <c r="CL147" s="144"/>
      <c r="CM147" s="187"/>
      <c r="CN147" s="95">
        <v>0</v>
      </c>
      <c r="CO147" s="94"/>
      <c r="CP147" s="51"/>
      <c r="CQ147" s="144"/>
      <c r="CR147" s="187"/>
      <c r="CS147" s="95">
        <v>0</v>
      </c>
      <c r="CT147" s="94"/>
      <c r="CU147" s="51"/>
      <c r="CV147" s="144"/>
      <c r="CW147" s="187"/>
      <c r="CX147" s="95">
        <v>0</v>
      </c>
      <c r="CY147" s="94"/>
      <c r="CZ147" s="51"/>
      <c r="DA147" s="144"/>
      <c r="DB147" s="187"/>
      <c r="DC147" s="95">
        <v>0</v>
      </c>
      <c r="DD147" s="94"/>
      <c r="DE147" s="51"/>
      <c r="DF147" s="144"/>
      <c r="DG147" s="187"/>
      <c r="DH147" s="95">
        <v>0</v>
      </c>
      <c r="DI147" s="94"/>
      <c r="DJ147" s="51"/>
      <c r="DK147" s="144"/>
      <c r="DL147" s="187"/>
      <c r="DM147" s="95">
        <v>0</v>
      </c>
      <c r="DN147" s="94"/>
      <c r="DO147" s="51"/>
      <c r="DP147" s="144"/>
      <c r="DQ147" s="187"/>
      <c r="DR147" s="95">
        <v>0</v>
      </c>
      <c r="DS147" s="94"/>
      <c r="DT147" s="51"/>
      <c r="DU147" s="144"/>
      <c r="DV147" s="187"/>
      <c r="DW147" s="95">
        <v>0</v>
      </c>
      <c r="DX147" s="94"/>
      <c r="DY147" s="51"/>
      <c r="DZ147" s="144"/>
      <c r="EA147" s="187"/>
      <c r="EB147" s="95">
        <v>0</v>
      </c>
      <c r="EC147" s="94"/>
      <c r="ED147" s="51"/>
      <c r="EE147" s="144"/>
      <c r="EF147" s="187"/>
      <c r="EG147" s="95">
        <v>0</v>
      </c>
      <c r="EH147" s="94"/>
      <c r="EI147" s="51"/>
      <c r="EJ147" s="144"/>
      <c r="EK147" s="187"/>
      <c r="EL147" s="95">
        <f t="shared" si="14"/>
        <v>0</v>
      </c>
      <c r="EM147" s="94"/>
      <c r="EN147" s="51"/>
      <c r="EO147" s="340"/>
      <c r="ER147" s="39"/>
      <c r="ES147" s="39"/>
    </row>
    <row r="148" spans="1:149" ht="12.75" customHeight="1" x14ac:dyDescent="0.2">
      <c r="A148" s="317"/>
      <c r="B148" s="317"/>
      <c r="D148" s="340"/>
      <c r="F148" s="317"/>
      <c r="G148" s="51"/>
      <c r="H148" s="51"/>
      <c r="I148" s="51"/>
      <c r="J148" s="144"/>
      <c r="K148" s="51"/>
      <c r="L148" s="51"/>
      <c r="M148" s="51"/>
      <c r="N148" s="51"/>
      <c r="O148" s="144"/>
      <c r="P148" s="51"/>
      <c r="Q148" s="51"/>
      <c r="R148" s="51"/>
      <c r="S148" s="51"/>
      <c r="T148" s="144"/>
      <c r="U148" s="51"/>
      <c r="V148" s="51"/>
      <c r="W148" s="51"/>
      <c r="X148" s="51"/>
      <c r="Y148" s="144"/>
      <c r="Z148" s="51"/>
      <c r="AA148" s="51"/>
      <c r="AB148" s="51"/>
      <c r="AC148" s="51"/>
      <c r="AD148" s="144"/>
      <c r="AE148" s="51"/>
      <c r="AF148" s="51"/>
      <c r="AG148" s="51"/>
      <c r="AH148" s="51"/>
      <c r="AI148" s="144"/>
      <c r="AJ148" s="51"/>
      <c r="AK148" s="51"/>
      <c r="AL148" s="51"/>
      <c r="AM148" s="51"/>
      <c r="AN148" s="144"/>
      <c r="AO148" s="51"/>
      <c r="AP148" s="51"/>
      <c r="AQ148" s="51"/>
      <c r="AR148" s="51"/>
      <c r="AS148" s="144"/>
      <c r="AT148" s="51"/>
      <c r="AU148" s="51"/>
      <c r="AV148" s="51"/>
      <c r="AW148" s="51"/>
      <c r="AX148" s="144"/>
      <c r="AY148" s="51"/>
      <c r="AZ148" s="51"/>
      <c r="BA148" s="51"/>
      <c r="BB148" s="51"/>
      <c r="BC148" s="144"/>
      <c r="BD148" s="51"/>
      <c r="BE148" s="51"/>
      <c r="BF148" s="51"/>
      <c r="BG148" s="51"/>
      <c r="BH148" s="144"/>
      <c r="BI148" s="51"/>
      <c r="BJ148" s="51"/>
      <c r="BK148" s="51"/>
      <c r="BL148" s="51"/>
      <c r="BM148" s="144"/>
      <c r="BN148" s="51"/>
      <c r="BO148" s="51"/>
      <c r="BP148" s="51"/>
      <c r="BQ148" s="51"/>
      <c r="BR148" s="144"/>
      <c r="BS148" s="51"/>
      <c r="BT148" s="51"/>
      <c r="BU148" s="51"/>
      <c r="BV148" s="51"/>
      <c r="BW148" s="144"/>
      <c r="BX148" s="51"/>
      <c r="BY148" s="51"/>
      <c r="BZ148" s="51"/>
      <c r="CA148" s="51"/>
      <c r="CB148" s="144"/>
      <c r="CC148" s="51"/>
      <c r="CD148" s="51"/>
      <c r="CE148" s="51"/>
      <c r="CF148" s="51"/>
      <c r="CG148" s="144"/>
      <c r="CH148" s="51"/>
      <c r="CI148" s="51"/>
      <c r="CJ148" s="51"/>
      <c r="CK148" s="51"/>
      <c r="CL148" s="144"/>
      <c r="CM148" s="51"/>
      <c r="CN148" s="51"/>
      <c r="CO148" s="51"/>
      <c r="CP148" s="51"/>
      <c r="CQ148" s="144"/>
      <c r="CR148" s="51"/>
      <c r="CS148" s="51"/>
      <c r="CT148" s="51"/>
      <c r="CU148" s="51"/>
      <c r="CV148" s="144"/>
      <c r="CW148" s="51"/>
      <c r="CX148" s="51"/>
      <c r="CY148" s="51"/>
      <c r="CZ148" s="51"/>
      <c r="DA148" s="144"/>
      <c r="DB148" s="51"/>
      <c r="DC148" s="51"/>
      <c r="DD148" s="51"/>
      <c r="DE148" s="51"/>
      <c r="DF148" s="144"/>
      <c r="DG148" s="51"/>
      <c r="DH148" s="51"/>
      <c r="DI148" s="51"/>
      <c r="DJ148" s="51"/>
      <c r="DK148" s="144"/>
      <c r="DL148" s="51"/>
      <c r="DM148" s="51"/>
      <c r="DN148" s="51"/>
      <c r="DO148" s="51"/>
      <c r="DP148" s="144"/>
      <c r="DQ148" s="51"/>
      <c r="DR148" s="51"/>
      <c r="DS148" s="51"/>
      <c r="DT148" s="51"/>
      <c r="DU148" s="144"/>
      <c r="DV148" s="51"/>
      <c r="DW148" s="51"/>
      <c r="DX148" s="51"/>
      <c r="DY148" s="51"/>
      <c r="DZ148" s="144"/>
      <c r="EA148" s="51"/>
      <c r="EB148" s="51"/>
      <c r="EC148" s="51"/>
      <c r="ED148" s="51"/>
      <c r="EE148" s="144"/>
      <c r="EF148" s="51"/>
      <c r="EG148" s="51"/>
      <c r="EH148" s="51"/>
      <c r="EI148" s="51"/>
      <c r="EJ148" s="144"/>
      <c r="EK148" s="51"/>
      <c r="EL148" s="51"/>
      <c r="EM148" s="51"/>
      <c r="EN148" s="51"/>
      <c r="EO148" s="340"/>
      <c r="ER148" s="39"/>
      <c r="ES148" s="39"/>
    </row>
    <row r="149" spans="1:149" ht="12.75" customHeight="1" x14ac:dyDescent="0.2">
      <c r="A149" s="317"/>
      <c r="B149" s="317"/>
      <c r="D149" s="340" t="s">
        <v>211</v>
      </c>
      <c r="F149" s="317"/>
      <c r="G149" s="51">
        <f>SUM(G150:G152)</f>
        <v>0</v>
      </c>
      <c r="H149" s="51"/>
      <c r="I149" s="51"/>
      <c r="J149" s="144"/>
      <c r="K149" s="51"/>
      <c r="L149" s="51">
        <f>SUM(L150:L152)</f>
        <v>0</v>
      </c>
      <c r="M149" s="51"/>
      <c r="N149" s="51"/>
      <c r="O149" s="144"/>
      <c r="P149" s="51"/>
      <c r="Q149" s="51">
        <f>SUM(Q150:Q152)</f>
        <v>0</v>
      </c>
      <c r="R149" s="51"/>
      <c r="S149" s="51"/>
      <c r="T149" s="144"/>
      <c r="U149" s="51"/>
      <c r="V149" s="51">
        <f>SUM(V150:V152)</f>
        <v>0</v>
      </c>
      <c r="W149" s="51"/>
      <c r="X149" s="51"/>
      <c r="Y149" s="144"/>
      <c r="Z149" s="51"/>
      <c r="AA149" s="51">
        <f>SUM(AA150:AA152)</f>
        <v>22595000</v>
      </c>
      <c r="AB149" s="51"/>
      <c r="AC149" s="51"/>
      <c r="AD149" s="144"/>
      <c r="AE149" s="51"/>
      <c r="AF149" s="51">
        <f>SUM(AF150:AF152)</f>
        <v>3905000</v>
      </c>
      <c r="AG149" s="51"/>
      <c r="AH149" s="51"/>
      <c r="AI149" s="144"/>
      <c r="AJ149" s="51"/>
      <c r="AK149" s="51">
        <f>SUM(AK150:AK152)</f>
        <v>9640000</v>
      </c>
      <c r="AL149" s="51"/>
      <c r="AM149" s="51"/>
      <c r="AN149" s="144"/>
      <c r="AO149" s="51"/>
      <c r="AP149" s="51">
        <f>SUM(AP150:AP152)</f>
        <v>8875000</v>
      </c>
      <c r="AQ149" s="51"/>
      <c r="AR149" s="51"/>
      <c r="AS149" s="144"/>
      <c r="AT149" s="51"/>
      <c r="AU149" s="51">
        <f>SUM(AU150:AU152)</f>
        <v>0</v>
      </c>
      <c r="AV149" s="51"/>
      <c r="AW149" s="51"/>
      <c r="AX149" s="144"/>
      <c r="AY149" s="51"/>
      <c r="AZ149" s="51">
        <f>SUM(AZ150:AZ152)</f>
        <v>0</v>
      </c>
      <c r="BA149" s="51"/>
      <c r="BB149" s="51"/>
      <c r="BC149" s="144"/>
      <c r="BD149" s="51"/>
      <c r="BE149" s="51">
        <f>SUM(BE150:BE152)</f>
        <v>0</v>
      </c>
      <c r="BF149" s="51"/>
      <c r="BG149" s="51"/>
      <c r="BH149" s="144"/>
      <c r="BI149" s="51"/>
      <c r="BJ149" s="51">
        <f>SUM(BJ150:BJ152)</f>
        <v>0</v>
      </c>
      <c r="BK149" s="51"/>
      <c r="BL149" s="51"/>
      <c r="BM149" s="144"/>
      <c r="BN149" s="51"/>
      <c r="BO149" s="51">
        <f>SUM(BO150:BO152)</f>
        <v>0</v>
      </c>
      <c r="BP149" s="51"/>
      <c r="BQ149" s="51"/>
      <c r="BR149" s="144"/>
      <c r="BS149" s="51"/>
      <c r="BT149" s="51">
        <f>SUM(BT150:BT152)</f>
        <v>45015000</v>
      </c>
      <c r="BU149" s="51"/>
      <c r="BV149" s="51"/>
      <c r="BW149" s="144"/>
      <c r="BX149" s="51"/>
      <c r="BY149" s="51">
        <f>SUM(BY150:BY152)</f>
        <v>0</v>
      </c>
      <c r="BZ149" s="51"/>
      <c r="CA149" s="51"/>
      <c r="CB149" s="144"/>
      <c r="CC149" s="51"/>
      <c r="CD149" s="51">
        <f>SUM(CD150:CD152)</f>
        <v>0</v>
      </c>
      <c r="CE149" s="51"/>
      <c r="CF149" s="51"/>
      <c r="CG149" s="144"/>
      <c r="CH149" s="51"/>
      <c r="CI149" s="51">
        <f>SUM(CI150:CI152)</f>
        <v>0</v>
      </c>
      <c r="CJ149" s="51"/>
      <c r="CK149" s="51"/>
      <c r="CL149" s="144"/>
      <c r="CM149" s="51"/>
      <c r="CN149" s="51">
        <f>SUM(CN150:CN152)</f>
        <v>0</v>
      </c>
      <c r="CO149" s="51"/>
      <c r="CP149" s="51"/>
      <c r="CQ149" s="144"/>
      <c r="CR149" s="51"/>
      <c r="CS149" s="51">
        <f>SUM(CS150:CS152)</f>
        <v>0</v>
      </c>
      <c r="CT149" s="51"/>
      <c r="CU149" s="51"/>
      <c r="CV149" s="144"/>
      <c r="CW149" s="51"/>
      <c r="CX149" s="51">
        <f>SUM(CX150:CX152)</f>
        <v>0</v>
      </c>
      <c r="CY149" s="51"/>
      <c r="CZ149" s="51"/>
      <c r="DA149" s="144"/>
      <c r="DB149" s="51"/>
      <c r="DC149" s="51">
        <f>SUM(DC150:DC152)</f>
        <v>0</v>
      </c>
      <c r="DD149" s="51"/>
      <c r="DE149" s="51"/>
      <c r="DF149" s="144"/>
      <c r="DG149" s="51"/>
      <c r="DH149" s="51">
        <f>SUM(DH150:DH152)</f>
        <v>0</v>
      </c>
      <c r="DI149" s="51"/>
      <c r="DJ149" s="51"/>
      <c r="DK149" s="144"/>
      <c r="DL149" s="51"/>
      <c r="DM149" s="51">
        <f>SUM(DM150:DM152)</f>
        <v>0</v>
      </c>
      <c r="DN149" s="51"/>
      <c r="DO149" s="51"/>
      <c r="DP149" s="144"/>
      <c r="DQ149" s="51"/>
      <c r="DR149" s="51">
        <f>SUM(DR150:DR152)</f>
        <v>0</v>
      </c>
      <c r="DS149" s="51"/>
      <c r="DT149" s="51"/>
      <c r="DU149" s="144"/>
      <c r="DV149" s="51"/>
      <c r="DW149" s="51">
        <f>SUM(DW150:DW152)</f>
        <v>0</v>
      </c>
      <c r="DX149" s="51"/>
      <c r="DY149" s="51"/>
      <c r="DZ149" s="144"/>
      <c r="EA149" s="51"/>
      <c r="EB149" s="51">
        <f>SUM(EB150:EB152)</f>
        <v>0</v>
      </c>
      <c r="EC149" s="51"/>
      <c r="ED149" s="51"/>
      <c r="EE149" s="144"/>
      <c r="EF149" s="51"/>
      <c r="EG149" s="51">
        <f>SUM(EG150:EG152)</f>
        <v>0</v>
      </c>
      <c r="EH149" s="51"/>
      <c r="EI149" s="51"/>
      <c r="EJ149" s="144"/>
      <c r="EK149" s="51"/>
      <c r="EL149" s="51">
        <f>SUM(EL150:EL152)</f>
        <v>0</v>
      </c>
      <c r="EM149" s="51"/>
      <c r="EN149" s="51"/>
      <c r="EO149" s="340"/>
      <c r="ER149" s="39"/>
      <c r="ES149" s="39"/>
    </row>
    <row r="150" spans="1:149" ht="12.75" customHeight="1" x14ac:dyDescent="0.2">
      <c r="A150" s="317"/>
      <c r="B150" s="317"/>
      <c r="D150" s="340" t="s">
        <v>183</v>
      </c>
      <c r="F150" s="354"/>
      <c r="G150" s="430">
        <v>0</v>
      </c>
      <c r="H150" s="431"/>
      <c r="I150" s="51"/>
      <c r="J150" s="144"/>
      <c r="K150" s="432"/>
      <c r="L150" s="430">
        <v>0</v>
      </c>
      <c r="M150" s="431"/>
      <c r="N150" s="51"/>
      <c r="O150" s="144"/>
      <c r="P150" s="432"/>
      <c r="Q150" s="430">
        <v>0</v>
      </c>
      <c r="R150" s="431"/>
      <c r="S150" s="51"/>
      <c r="T150" s="144"/>
      <c r="U150" s="432"/>
      <c r="V150" s="430">
        <v>0</v>
      </c>
      <c r="W150" s="431"/>
      <c r="X150" s="51"/>
      <c r="Y150" s="144"/>
      <c r="Z150" s="432"/>
      <c r="AA150" s="430">
        <v>22595000</v>
      </c>
      <c r="AB150" s="431"/>
      <c r="AC150" s="51"/>
      <c r="AD150" s="144"/>
      <c r="AE150" s="432"/>
      <c r="AF150" s="430">
        <f>3905000+27779</f>
        <v>3932779</v>
      </c>
      <c r="AG150" s="431"/>
      <c r="AH150" s="51"/>
      <c r="AI150" s="144"/>
      <c r="AJ150" s="432"/>
      <c r="AK150" s="430">
        <f>9640000+116280</f>
        <v>9756280</v>
      </c>
      <c r="AL150" s="431"/>
      <c r="AM150" s="51"/>
      <c r="AN150" s="144"/>
      <c r="AO150" s="432"/>
      <c r="AP150" s="430">
        <f>8875000+158830</f>
        <v>9033830</v>
      </c>
      <c r="AQ150" s="431"/>
      <c r="AR150" s="51"/>
      <c r="AS150" s="144"/>
      <c r="AT150" s="432"/>
      <c r="AU150" s="430">
        <v>0</v>
      </c>
      <c r="AV150" s="431"/>
      <c r="AW150" s="51"/>
      <c r="AX150" s="144"/>
      <c r="AY150" s="432"/>
      <c r="AZ150" s="430">
        <v>0</v>
      </c>
      <c r="BA150" s="431"/>
      <c r="BB150" s="51"/>
      <c r="BC150" s="144"/>
      <c r="BD150" s="432"/>
      <c r="BE150" s="430">
        <v>0</v>
      </c>
      <c r="BF150" s="431"/>
      <c r="BG150" s="51"/>
      <c r="BH150" s="144"/>
      <c r="BI150" s="432"/>
      <c r="BJ150" s="430">
        <v>0</v>
      </c>
      <c r="BK150" s="431"/>
      <c r="BL150" s="51"/>
      <c r="BM150" s="144"/>
      <c r="BN150" s="432"/>
      <c r="BO150" s="430">
        <v>0</v>
      </c>
      <c r="BP150" s="431"/>
      <c r="BQ150" s="51"/>
      <c r="BR150" s="144"/>
      <c r="BS150" s="432"/>
      <c r="BT150" s="430">
        <f>SUM(L150:BO150)</f>
        <v>45317889</v>
      </c>
      <c r="BU150" s="431"/>
      <c r="BV150" s="51"/>
      <c r="BW150" s="144"/>
      <c r="BX150" s="432"/>
      <c r="BY150" s="430">
        <v>0</v>
      </c>
      <c r="BZ150" s="431"/>
      <c r="CA150" s="51"/>
      <c r="CB150" s="144"/>
      <c r="CC150" s="432"/>
      <c r="CD150" s="430">
        <v>0</v>
      </c>
      <c r="CE150" s="431"/>
      <c r="CF150" s="51"/>
      <c r="CG150" s="144"/>
      <c r="CH150" s="432"/>
      <c r="CI150" s="430">
        <v>0</v>
      </c>
      <c r="CJ150" s="431"/>
      <c r="CK150" s="51"/>
      <c r="CL150" s="144"/>
      <c r="CM150" s="432"/>
      <c r="CN150" s="430">
        <v>0</v>
      </c>
      <c r="CO150" s="431"/>
      <c r="CP150" s="51"/>
      <c r="CQ150" s="144"/>
      <c r="CR150" s="432"/>
      <c r="CS150" s="430">
        <v>0</v>
      </c>
      <c r="CT150" s="431"/>
      <c r="CU150" s="51"/>
      <c r="CV150" s="144"/>
      <c r="CW150" s="432"/>
      <c r="CX150" s="430">
        <v>0</v>
      </c>
      <c r="CY150" s="431"/>
      <c r="CZ150" s="51"/>
      <c r="DA150" s="144"/>
      <c r="DB150" s="432"/>
      <c r="DC150" s="430">
        <v>0</v>
      </c>
      <c r="DD150" s="431"/>
      <c r="DE150" s="51"/>
      <c r="DF150" s="144"/>
      <c r="DG150" s="432"/>
      <c r="DH150" s="430">
        <v>0</v>
      </c>
      <c r="DI150" s="431"/>
      <c r="DJ150" s="51"/>
      <c r="DK150" s="144"/>
      <c r="DL150" s="432"/>
      <c r="DM150" s="430">
        <v>0</v>
      </c>
      <c r="DN150" s="431"/>
      <c r="DO150" s="51"/>
      <c r="DP150" s="144"/>
      <c r="DQ150" s="432"/>
      <c r="DR150" s="430">
        <v>0</v>
      </c>
      <c r="DS150" s="431"/>
      <c r="DT150" s="51"/>
      <c r="DU150" s="144"/>
      <c r="DV150" s="432"/>
      <c r="DW150" s="430">
        <v>0</v>
      </c>
      <c r="DX150" s="431"/>
      <c r="DY150" s="51"/>
      <c r="DZ150" s="144"/>
      <c r="EA150" s="432"/>
      <c r="EB150" s="430">
        <v>0</v>
      </c>
      <c r="EC150" s="431"/>
      <c r="ED150" s="51"/>
      <c r="EE150" s="144"/>
      <c r="EF150" s="432"/>
      <c r="EG150" s="430">
        <v>0</v>
      </c>
      <c r="EH150" s="431"/>
      <c r="EI150" s="51"/>
      <c r="EJ150" s="144"/>
      <c r="EK150" s="432"/>
      <c r="EL150" s="430">
        <f t="shared" ref="EL150:EL152" si="15">SUM(CD150:DH150)</f>
        <v>0</v>
      </c>
      <c r="EM150" s="431"/>
      <c r="EN150" s="51"/>
      <c r="EO150" s="340"/>
      <c r="ER150" s="39"/>
      <c r="ES150" s="39"/>
    </row>
    <row r="151" spans="1:149" ht="12.75" customHeight="1" x14ac:dyDescent="0.2">
      <c r="A151" s="317"/>
      <c r="B151" s="317"/>
      <c r="D151" s="340" t="s">
        <v>186</v>
      </c>
      <c r="F151" s="347"/>
      <c r="G151" s="51">
        <v>0</v>
      </c>
      <c r="H151" s="50"/>
      <c r="I151" s="51"/>
      <c r="J151" s="144"/>
      <c r="K151" s="144"/>
      <c r="L151" s="51">
        <v>0</v>
      </c>
      <c r="M151" s="50"/>
      <c r="N151" s="51"/>
      <c r="O151" s="144"/>
      <c r="P151" s="144"/>
      <c r="Q151" s="51">
        <v>0</v>
      </c>
      <c r="R151" s="50"/>
      <c r="S151" s="51"/>
      <c r="T151" s="144"/>
      <c r="U151" s="144"/>
      <c r="V151" s="51">
        <v>0</v>
      </c>
      <c r="W151" s="50"/>
      <c r="X151" s="51"/>
      <c r="Y151" s="144"/>
      <c r="Z151" s="144"/>
      <c r="AA151" s="51">
        <v>0</v>
      </c>
      <c r="AB151" s="50"/>
      <c r="AC151" s="51"/>
      <c r="AD151" s="144"/>
      <c r="AE151" s="144"/>
      <c r="AF151" s="51">
        <v>0</v>
      </c>
      <c r="AG151" s="50"/>
      <c r="AH151" s="51"/>
      <c r="AI151" s="144"/>
      <c r="AJ151" s="144"/>
      <c r="AK151" s="51">
        <v>0</v>
      </c>
      <c r="AL151" s="50"/>
      <c r="AM151" s="51"/>
      <c r="AN151" s="144"/>
      <c r="AO151" s="144"/>
      <c r="AP151" s="51">
        <v>0</v>
      </c>
      <c r="AQ151" s="50"/>
      <c r="AR151" s="51"/>
      <c r="AS151" s="144"/>
      <c r="AT151" s="144"/>
      <c r="AU151" s="51">
        <v>0</v>
      </c>
      <c r="AV151" s="50"/>
      <c r="AW151" s="51"/>
      <c r="AX151" s="144"/>
      <c r="AY151" s="144"/>
      <c r="AZ151" s="51">
        <v>0</v>
      </c>
      <c r="BA151" s="50"/>
      <c r="BB151" s="51"/>
      <c r="BC151" s="144"/>
      <c r="BD151" s="144"/>
      <c r="BE151" s="51">
        <v>0</v>
      </c>
      <c r="BF151" s="50"/>
      <c r="BG151" s="51"/>
      <c r="BH151" s="144"/>
      <c r="BI151" s="144"/>
      <c r="BJ151" s="51">
        <v>0</v>
      </c>
      <c r="BK151" s="50"/>
      <c r="BL151" s="51"/>
      <c r="BM151" s="144"/>
      <c r="BN151" s="144"/>
      <c r="BO151" s="51">
        <v>0</v>
      </c>
      <c r="BP151" s="50"/>
      <c r="BQ151" s="51"/>
      <c r="BR151" s="144"/>
      <c r="BS151" s="144"/>
      <c r="BT151" s="51">
        <f>SUM(L151:BO151)</f>
        <v>0</v>
      </c>
      <c r="BU151" s="50"/>
      <c r="BV151" s="51"/>
      <c r="BW151" s="144"/>
      <c r="BX151" s="144"/>
      <c r="BY151" s="51">
        <v>0</v>
      </c>
      <c r="BZ151" s="50"/>
      <c r="CA151" s="51"/>
      <c r="CB151" s="144"/>
      <c r="CC151" s="144"/>
      <c r="CD151" s="51">
        <v>0</v>
      </c>
      <c r="CE151" s="50"/>
      <c r="CF151" s="51"/>
      <c r="CG151" s="144"/>
      <c r="CH151" s="144"/>
      <c r="CI151" s="51">
        <v>0</v>
      </c>
      <c r="CJ151" s="50"/>
      <c r="CK151" s="51"/>
      <c r="CL151" s="144"/>
      <c r="CM151" s="144"/>
      <c r="CN151" s="51">
        <v>0</v>
      </c>
      <c r="CO151" s="50"/>
      <c r="CP151" s="51"/>
      <c r="CQ151" s="144"/>
      <c r="CR151" s="144"/>
      <c r="CS151" s="51">
        <v>0</v>
      </c>
      <c r="CT151" s="50"/>
      <c r="CU151" s="51"/>
      <c r="CV151" s="144"/>
      <c r="CW151" s="144"/>
      <c r="CX151" s="51">
        <v>0</v>
      </c>
      <c r="CY151" s="50"/>
      <c r="CZ151" s="51"/>
      <c r="DA151" s="144"/>
      <c r="DB151" s="144"/>
      <c r="DC151" s="51">
        <v>0</v>
      </c>
      <c r="DD151" s="50"/>
      <c r="DE151" s="51"/>
      <c r="DF151" s="144"/>
      <c r="DG151" s="144"/>
      <c r="DH151" s="51">
        <v>0</v>
      </c>
      <c r="DI151" s="50"/>
      <c r="DJ151" s="51"/>
      <c r="DK151" s="144"/>
      <c r="DL151" s="144"/>
      <c r="DM151" s="51">
        <v>0</v>
      </c>
      <c r="DN151" s="50"/>
      <c r="DO151" s="51"/>
      <c r="DP151" s="144"/>
      <c r="DQ151" s="144"/>
      <c r="DR151" s="51">
        <v>0</v>
      </c>
      <c r="DS151" s="50"/>
      <c r="DT151" s="51"/>
      <c r="DU151" s="144"/>
      <c r="DV151" s="144"/>
      <c r="DW151" s="51">
        <v>0</v>
      </c>
      <c r="DX151" s="50"/>
      <c r="DY151" s="51"/>
      <c r="DZ151" s="144"/>
      <c r="EA151" s="144"/>
      <c r="EB151" s="51">
        <v>0</v>
      </c>
      <c r="EC151" s="50"/>
      <c r="ED151" s="51"/>
      <c r="EE151" s="144"/>
      <c r="EF151" s="144"/>
      <c r="EG151" s="51">
        <v>0</v>
      </c>
      <c r="EH151" s="50"/>
      <c r="EI151" s="51"/>
      <c r="EJ151" s="144"/>
      <c r="EK151" s="144"/>
      <c r="EL151" s="51">
        <f t="shared" si="15"/>
        <v>0</v>
      </c>
      <c r="EM151" s="50"/>
      <c r="EN151" s="51"/>
      <c r="EO151" s="340"/>
      <c r="ER151" s="39"/>
      <c r="ES151" s="39"/>
    </row>
    <row r="152" spans="1:149" ht="12.75" customHeight="1" x14ac:dyDescent="0.2">
      <c r="A152" s="317"/>
      <c r="B152" s="317"/>
      <c r="D152" s="340" t="s">
        <v>187</v>
      </c>
      <c r="F152" s="371"/>
      <c r="G152" s="95">
        <v>0</v>
      </c>
      <c r="H152" s="94"/>
      <c r="I152" s="51"/>
      <c r="J152" s="144"/>
      <c r="K152" s="187"/>
      <c r="L152" s="95">
        <v>0</v>
      </c>
      <c r="M152" s="94"/>
      <c r="N152" s="51"/>
      <c r="O152" s="144"/>
      <c r="P152" s="187"/>
      <c r="Q152" s="95">
        <v>0</v>
      </c>
      <c r="R152" s="94"/>
      <c r="S152" s="51"/>
      <c r="T152" s="144"/>
      <c r="U152" s="187"/>
      <c r="V152" s="95">
        <v>0</v>
      </c>
      <c r="W152" s="94"/>
      <c r="X152" s="51"/>
      <c r="Y152" s="144"/>
      <c r="Z152" s="187"/>
      <c r="AA152" s="95">
        <v>0</v>
      </c>
      <c r="AB152" s="94"/>
      <c r="AC152" s="51"/>
      <c r="AD152" s="144"/>
      <c r="AE152" s="187"/>
      <c r="AF152" s="95">
        <v>-27779</v>
      </c>
      <c r="AG152" s="94"/>
      <c r="AH152" s="51"/>
      <c r="AI152" s="144"/>
      <c r="AJ152" s="187"/>
      <c r="AK152" s="95">
        <v>-116280</v>
      </c>
      <c r="AL152" s="94"/>
      <c r="AM152" s="51"/>
      <c r="AN152" s="144"/>
      <c r="AO152" s="187"/>
      <c r="AP152" s="95">
        <v>-158830</v>
      </c>
      <c r="AQ152" s="94"/>
      <c r="AR152" s="51"/>
      <c r="AS152" s="144"/>
      <c r="AT152" s="187"/>
      <c r="AU152" s="95">
        <v>0</v>
      </c>
      <c r="AV152" s="94"/>
      <c r="AW152" s="51"/>
      <c r="AX152" s="144"/>
      <c r="AY152" s="187"/>
      <c r="AZ152" s="95">
        <v>0</v>
      </c>
      <c r="BA152" s="94"/>
      <c r="BB152" s="51"/>
      <c r="BC152" s="144"/>
      <c r="BD152" s="187"/>
      <c r="BE152" s="95">
        <v>0</v>
      </c>
      <c r="BF152" s="94"/>
      <c r="BG152" s="51"/>
      <c r="BH152" s="144"/>
      <c r="BI152" s="187"/>
      <c r="BJ152" s="95">
        <v>0</v>
      </c>
      <c r="BK152" s="94"/>
      <c r="BL152" s="51"/>
      <c r="BM152" s="144"/>
      <c r="BN152" s="187"/>
      <c r="BO152" s="95">
        <v>0</v>
      </c>
      <c r="BP152" s="94"/>
      <c r="BQ152" s="51"/>
      <c r="BR152" s="144"/>
      <c r="BS152" s="187"/>
      <c r="BT152" s="95">
        <f>SUM(L152:BO152)</f>
        <v>-302889</v>
      </c>
      <c r="BU152" s="94"/>
      <c r="BV152" s="51"/>
      <c r="BW152" s="144"/>
      <c r="BX152" s="187"/>
      <c r="BY152" s="95">
        <v>0</v>
      </c>
      <c r="BZ152" s="94"/>
      <c r="CA152" s="51"/>
      <c r="CB152" s="144"/>
      <c r="CC152" s="187"/>
      <c r="CD152" s="95">
        <v>0</v>
      </c>
      <c r="CE152" s="94"/>
      <c r="CF152" s="51"/>
      <c r="CG152" s="144"/>
      <c r="CH152" s="187"/>
      <c r="CI152" s="95">
        <v>0</v>
      </c>
      <c r="CJ152" s="94"/>
      <c r="CK152" s="51"/>
      <c r="CL152" s="144"/>
      <c r="CM152" s="187"/>
      <c r="CN152" s="95">
        <v>0</v>
      </c>
      <c r="CO152" s="94"/>
      <c r="CP152" s="51"/>
      <c r="CQ152" s="144"/>
      <c r="CR152" s="187"/>
      <c r="CS152" s="95">
        <v>0</v>
      </c>
      <c r="CT152" s="94"/>
      <c r="CU152" s="51"/>
      <c r="CV152" s="144"/>
      <c r="CW152" s="187"/>
      <c r="CX152" s="95">
        <v>0</v>
      </c>
      <c r="CY152" s="94"/>
      <c r="CZ152" s="51"/>
      <c r="DA152" s="144"/>
      <c r="DB152" s="187"/>
      <c r="DC152" s="95">
        <v>0</v>
      </c>
      <c r="DD152" s="94"/>
      <c r="DE152" s="51"/>
      <c r="DF152" s="144"/>
      <c r="DG152" s="187"/>
      <c r="DH152" s="95">
        <v>0</v>
      </c>
      <c r="DI152" s="94"/>
      <c r="DJ152" s="51"/>
      <c r="DK152" s="144"/>
      <c r="DL152" s="187"/>
      <c r="DM152" s="95">
        <v>0</v>
      </c>
      <c r="DN152" s="94"/>
      <c r="DO152" s="51"/>
      <c r="DP152" s="144"/>
      <c r="DQ152" s="187"/>
      <c r="DR152" s="95">
        <v>0</v>
      </c>
      <c r="DS152" s="94"/>
      <c r="DT152" s="51"/>
      <c r="DU152" s="144"/>
      <c r="DV152" s="187"/>
      <c r="DW152" s="95">
        <v>0</v>
      </c>
      <c r="DX152" s="94"/>
      <c r="DY152" s="51"/>
      <c r="DZ152" s="144"/>
      <c r="EA152" s="187"/>
      <c r="EB152" s="95">
        <v>0</v>
      </c>
      <c r="EC152" s="94"/>
      <c r="ED152" s="51"/>
      <c r="EE152" s="144"/>
      <c r="EF152" s="187"/>
      <c r="EG152" s="95">
        <v>0</v>
      </c>
      <c r="EH152" s="94"/>
      <c r="EI152" s="51"/>
      <c r="EJ152" s="144"/>
      <c r="EK152" s="187"/>
      <c r="EL152" s="95">
        <f t="shared" si="15"/>
        <v>0</v>
      </c>
      <c r="EM152" s="94"/>
      <c r="EN152" s="51"/>
      <c r="EO152" s="340"/>
      <c r="ER152" s="39"/>
      <c r="ES152" s="39"/>
    </row>
    <row r="153" spans="1:149" ht="12.75" hidden="1" customHeight="1" x14ac:dyDescent="0.2">
      <c r="A153" s="317"/>
      <c r="B153" s="317"/>
      <c r="D153" s="340"/>
      <c r="F153" s="317"/>
      <c r="G153" s="51"/>
      <c r="H153" s="51"/>
      <c r="I153" s="51"/>
      <c r="J153" s="144"/>
      <c r="K153" s="51"/>
      <c r="L153" s="51"/>
      <c r="M153" s="51"/>
      <c r="N153" s="51"/>
      <c r="O153" s="144"/>
      <c r="P153" s="51"/>
      <c r="Q153" s="51"/>
      <c r="R153" s="51"/>
      <c r="S153" s="51"/>
      <c r="T153" s="144"/>
      <c r="U153" s="51"/>
      <c r="V153" s="51"/>
      <c r="W153" s="51"/>
      <c r="X153" s="51"/>
      <c r="Y153" s="144"/>
      <c r="Z153" s="51"/>
      <c r="AA153" s="51"/>
      <c r="AB153" s="51"/>
      <c r="AC153" s="51"/>
      <c r="AD153" s="144"/>
      <c r="AE153" s="51"/>
      <c r="AF153" s="51"/>
      <c r="AG153" s="51"/>
      <c r="AH153" s="51"/>
      <c r="AI153" s="144"/>
      <c r="AJ153" s="51"/>
      <c r="AK153" s="51"/>
      <c r="AL153" s="51"/>
      <c r="AM153" s="51"/>
      <c r="AN153" s="144"/>
      <c r="AO153" s="51"/>
      <c r="AP153" s="51"/>
      <c r="AQ153" s="51"/>
      <c r="AR153" s="51"/>
      <c r="AS153" s="144"/>
      <c r="AT153" s="51"/>
      <c r="AU153" s="51"/>
      <c r="AV153" s="51"/>
      <c r="AW153" s="51"/>
      <c r="AX153" s="144"/>
      <c r="AY153" s="51"/>
      <c r="AZ153" s="51"/>
      <c r="BA153" s="51"/>
      <c r="BB153" s="51"/>
      <c r="BC153" s="144"/>
      <c r="BD153" s="51"/>
      <c r="BE153" s="51"/>
      <c r="BF153" s="51"/>
      <c r="BG153" s="51"/>
      <c r="BH153" s="144"/>
      <c r="BI153" s="51"/>
      <c r="BJ153" s="51"/>
      <c r="BK153" s="51"/>
      <c r="BL153" s="51"/>
      <c r="BM153" s="144"/>
      <c r="BN153" s="51"/>
      <c r="BO153" s="51"/>
      <c r="BP153" s="51"/>
      <c r="BQ153" s="51"/>
      <c r="BR153" s="144"/>
      <c r="BS153" s="51"/>
      <c r="BT153" s="51"/>
      <c r="BU153" s="51"/>
      <c r="BV153" s="51"/>
      <c r="BW153" s="144"/>
      <c r="BX153" s="51"/>
      <c r="BY153" s="51"/>
      <c r="BZ153" s="51"/>
      <c r="CA153" s="51"/>
      <c r="CB153" s="144"/>
      <c r="CC153" s="51"/>
      <c r="CD153" s="51"/>
      <c r="CE153" s="51"/>
      <c r="CF153" s="51"/>
      <c r="CG153" s="144"/>
      <c r="CH153" s="51"/>
      <c r="CI153" s="51"/>
      <c r="CJ153" s="51"/>
      <c r="CK153" s="51"/>
      <c r="CL153" s="144"/>
      <c r="CM153" s="51"/>
      <c r="CN153" s="51"/>
      <c r="CO153" s="51"/>
      <c r="CP153" s="51"/>
      <c r="CQ153" s="144"/>
      <c r="CR153" s="51"/>
      <c r="CS153" s="51"/>
      <c r="CT153" s="51"/>
      <c r="CU153" s="51"/>
      <c r="CV153" s="144"/>
      <c r="CW153" s="51"/>
      <c r="CX153" s="51"/>
      <c r="CY153" s="51"/>
      <c r="CZ153" s="51"/>
      <c r="DA153" s="144"/>
      <c r="DB153" s="51"/>
      <c r="DC153" s="51"/>
      <c r="DD153" s="51"/>
      <c r="DE153" s="51"/>
      <c r="DF153" s="144"/>
      <c r="DG153" s="51"/>
      <c r="DH153" s="51"/>
      <c r="DI153" s="51"/>
      <c r="DJ153" s="51"/>
      <c r="DK153" s="144"/>
      <c r="DL153" s="51"/>
      <c r="DM153" s="51"/>
      <c r="DN153" s="51"/>
      <c r="DO153" s="51"/>
      <c r="DP153" s="144"/>
      <c r="DQ153" s="51"/>
      <c r="DR153" s="51"/>
      <c r="DS153" s="51"/>
      <c r="DT153" s="51"/>
      <c r="DU153" s="144"/>
      <c r="DV153" s="51"/>
      <c r="DW153" s="51"/>
      <c r="DX153" s="51"/>
      <c r="DY153" s="51"/>
      <c r="DZ153" s="144"/>
      <c r="EA153" s="51"/>
      <c r="EB153" s="51"/>
      <c r="EC153" s="51"/>
      <c r="ED153" s="51"/>
      <c r="EE153" s="144"/>
      <c r="EF153" s="51"/>
      <c r="EG153" s="51"/>
      <c r="EH153" s="51"/>
      <c r="EI153" s="51"/>
      <c r="EJ153" s="144"/>
      <c r="EK153" s="51"/>
      <c r="EL153" s="51"/>
      <c r="EM153" s="51"/>
      <c r="EN153" s="51"/>
      <c r="EO153" s="340"/>
      <c r="ER153" s="39"/>
      <c r="ES153" s="39"/>
    </row>
    <row r="154" spans="1:149" ht="12.75" hidden="1" customHeight="1" x14ac:dyDescent="0.2">
      <c r="A154" s="317"/>
      <c r="B154" s="317"/>
      <c r="D154" s="340" t="s">
        <v>212</v>
      </c>
      <c r="F154" s="317"/>
      <c r="G154" s="51">
        <f>SUM(G155:G157)</f>
        <v>0</v>
      </c>
      <c r="H154" s="51"/>
      <c r="I154" s="51"/>
      <c r="J154" s="144"/>
      <c r="K154" s="51"/>
      <c r="L154" s="51">
        <f>SUM(L155:L157)</f>
        <v>0</v>
      </c>
      <c r="M154" s="51"/>
      <c r="N154" s="51"/>
      <c r="O154" s="144"/>
      <c r="P154" s="51"/>
      <c r="Q154" s="51">
        <f>SUM(Q155:Q157)</f>
        <v>0</v>
      </c>
      <c r="R154" s="51"/>
      <c r="S154" s="51"/>
      <c r="T154" s="144"/>
      <c r="U154" s="51"/>
      <c r="V154" s="51">
        <f>SUM(V155:V157)</f>
        <v>0</v>
      </c>
      <c r="W154" s="51"/>
      <c r="X154" s="51"/>
      <c r="Y154" s="144"/>
      <c r="Z154" s="51"/>
      <c r="AA154" s="51">
        <f>SUM(AA155:AA157)</f>
        <v>0</v>
      </c>
      <c r="AB154" s="51"/>
      <c r="AC154" s="51"/>
      <c r="AD154" s="144"/>
      <c r="AE154" s="51"/>
      <c r="AF154" s="51">
        <f>SUM(AF155:AF157)</f>
        <v>0</v>
      </c>
      <c r="AG154" s="51"/>
      <c r="AH154" s="51"/>
      <c r="AI154" s="144"/>
      <c r="AJ154" s="51"/>
      <c r="AK154" s="51">
        <f>SUM(AK155:AK157)</f>
        <v>0</v>
      </c>
      <c r="AL154" s="51"/>
      <c r="AM154" s="51"/>
      <c r="AN154" s="144"/>
      <c r="AO154" s="51"/>
      <c r="AP154" s="51">
        <f>SUM(AP155:AP157)</f>
        <v>0</v>
      </c>
      <c r="AQ154" s="51"/>
      <c r="AR154" s="51"/>
      <c r="AS154" s="144"/>
      <c r="AT154" s="51"/>
      <c r="AU154" s="51">
        <f>SUM(AU155:AU157)</f>
        <v>0</v>
      </c>
      <c r="AV154" s="51"/>
      <c r="AW154" s="51"/>
      <c r="AX154" s="144"/>
      <c r="AY154" s="51"/>
      <c r="AZ154" s="51">
        <f>SUM(AZ155:AZ157)</f>
        <v>0</v>
      </c>
      <c r="BA154" s="51"/>
      <c r="BB154" s="51"/>
      <c r="BC154" s="144"/>
      <c r="BD154" s="51"/>
      <c r="BE154" s="51">
        <f>SUM(BE155:BE157)</f>
        <v>0</v>
      </c>
      <c r="BF154" s="51"/>
      <c r="BG154" s="51"/>
      <c r="BH154" s="144"/>
      <c r="BI154" s="51"/>
      <c r="BJ154" s="51">
        <f>SUM(BJ155:BJ157)</f>
        <v>0</v>
      </c>
      <c r="BK154" s="51"/>
      <c r="BL154" s="51"/>
      <c r="BM154" s="144"/>
      <c r="BN154" s="51"/>
      <c r="BO154" s="51">
        <f>SUM(BO155:BO157)</f>
        <v>0</v>
      </c>
      <c r="BP154" s="51"/>
      <c r="BQ154" s="51"/>
      <c r="BR154" s="144"/>
      <c r="BS154" s="51"/>
      <c r="BT154" s="51">
        <f>SUM(BT155:BT157)</f>
        <v>0</v>
      </c>
      <c r="BU154" s="51"/>
      <c r="BV154" s="51"/>
      <c r="BW154" s="144"/>
      <c r="BX154" s="51"/>
      <c r="BY154" s="51">
        <f>SUM(BY155:BY157)</f>
        <v>0</v>
      </c>
      <c r="BZ154" s="51"/>
      <c r="CA154" s="51"/>
      <c r="CB154" s="144"/>
      <c r="CC154" s="51"/>
      <c r="CD154" s="51">
        <f>SUM(CD155:CD157)</f>
        <v>0</v>
      </c>
      <c r="CE154" s="51"/>
      <c r="CF154" s="51"/>
      <c r="CG154" s="144"/>
      <c r="CH154" s="51"/>
      <c r="CI154" s="51">
        <f>SUM(CI155:CI157)</f>
        <v>0</v>
      </c>
      <c r="CJ154" s="51"/>
      <c r="CK154" s="51"/>
      <c r="CL154" s="144"/>
      <c r="CM154" s="51"/>
      <c r="CN154" s="51">
        <f>SUM(CN155:CN157)</f>
        <v>0</v>
      </c>
      <c r="CO154" s="51"/>
      <c r="CP154" s="51"/>
      <c r="CQ154" s="144"/>
      <c r="CR154" s="51"/>
      <c r="CS154" s="51">
        <f>SUM(CS155:CS157)</f>
        <v>0</v>
      </c>
      <c r="CT154" s="51"/>
      <c r="CU154" s="51"/>
      <c r="CV154" s="144"/>
      <c r="CW154" s="51"/>
      <c r="CX154" s="51">
        <f>SUM(CX155:CX157)</f>
        <v>0</v>
      </c>
      <c r="CY154" s="51"/>
      <c r="CZ154" s="51"/>
      <c r="DA154" s="144"/>
      <c r="DB154" s="51"/>
      <c r="DC154" s="51">
        <f>SUM(DC155:DC157)</f>
        <v>0</v>
      </c>
      <c r="DD154" s="51"/>
      <c r="DE154" s="51"/>
      <c r="DF154" s="144"/>
      <c r="DG154" s="51"/>
      <c r="DH154" s="51">
        <f>SUM(DH155:DH157)</f>
        <v>0</v>
      </c>
      <c r="DI154" s="51"/>
      <c r="DJ154" s="51"/>
      <c r="DK154" s="144"/>
      <c r="DL154" s="51"/>
      <c r="DM154" s="51">
        <f>SUM(DM155:DM157)</f>
        <v>0</v>
      </c>
      <c r="DN154" s="51"/>
      <c r="DO154" s="51"/>
      <c r="DP154" s="144"/>
      <c r="DQ154" s="51"/>
      <c r="DR154" s="51">
        <f>SUM(DR155:DR157)</f>
        <v>0</v>
      </c>
      <c r="DS154" s="51"/>
      <c r="DT154" s="51"/>
      <c r="DU154" s="144"/>
      <c r="DV154" s="51"/>
      <c r="DW154" s="51">
        <f>SUM(DW155:DW157)</f>
        <v>0</v>
      </c>
      <c r="DX154" s="51"/>
      <c r="DY154" s="51"/>
      <c r="DZ154" s="144"/>
      <c r="EA154" s="51"/>
      <c r="EB154" s="51">
        <f>SUM(EB155:EB157)</f>
        <v>0</v>
      </c>
      <c r="EC154" s="51"/>
      <c r="ED154" s="51"/>
      <c r="EE154" s="144"/>
      <c r="EF154" s="51"/>
      <c r="EG154" s="51">
        <f>SUM(EG155:EG157)</f>
        <v>0</v>
      </c>
      <c r="EH154" s="51"/>
      <c r="EI154" s="51"/>
      <c r="EJ154" s="144"/>
      <c r="EK154" s="51"/>
      <c r="EL154" s="51">
        <f>SUM(EL155:EL157)</f>
        <v>0</v>
      </c>
      <c r="EM154" s="51"/>
      <c r="EN154" s="51"/>
      <c r="EO154" s="340"/>
      <c r="ER154" s="39"/>
      <c r="ES154" s="39"/>
    </row>
    <row r="155" spans="1:149" ht="12.75" hidden="1" customHeight="1" x14ac:dyDescent="0.2">
      <c r="A155" s="317"/>
      <c r="B155" s="317"/>
      <c r="D155" s="340" t="s">
        <v>183</v>
      </c>
      <c r="F155" s="354"/>
      <c r="G155" s="430">
        <v>0</v>
      </c>
      <c r="H155" s="431"/>
      <c r="I155" s="51"/>
      <c r="J155" s="144"/>
      <c r="K155" s="432"/>
      <c r="L155" s="430">
        <v>0</v>
      </c>
      <c r="M155" s="431"/>
      <c r="N155" s="51"/>
      <c r="O155" s="144"/>
      <c r="P155" s="432"/>
      <c r="Q155" s="430">
        <v>0</v>
      </c>
      <c r="R155" s="431"/>
      <c r="S155" s="51"/>
      <c r="T155" s="144"/>
      <c r="U155" s="432"/>
      <c r="V155" s="430">
        <v>0</v>
      </c>
      <c r="W155" s="431"/>
      <c r="X155" s="51"/>
      <c r="Y155" s="144"/>
      <c r="Z155" s="432"/>
      <c r="AA155" s="430">
        <v>0</v>
      </c>
      <c r="AB155" s="431"/>
      <c r="AC155" s="51"/>
      <c r="AD155" s="144"/>
      <c r="AE155" s="432"/>
      <c r="AF155" s="430">
        <v>0</v>
      </c>
      <c r="AG155" s="431"/>
      <c r="AH155" s="51"/>
      <c r="AI155" s="144"/>
      <c r="AJ155" s="432"/>
      <c r="AK155" s="430">
        <v>0</v>
      </c>
      <c r="AL155" s="431"/>
      <c r="AM155" s="51"/>
      <c r="AN155" s="144"/>
      <c r="AO155" s="432"/>
      <c r="AP155" s="430">
        <v>0</v>
      </c>
      <c r="AQ155" s="431"/>
      <c r="AR155" s="51"/>
      <c r="AS155" s="144"/>
      <c r="AT155" s="432"/>
      <c r="AU155" s="430">
        <v>0</v>
      </c>
      <c r="AV155" s="431"/>
      <c r="AW155" s="51"/>
      <c r="AX155" s="144"/>
      <c r="AY155" s="432"/>
      <c r="AZ155" s="430">
        <v>0</v>
      </c>
      <c r="BA155" s="431"/>
      <c r="BB155" s="51"/>
      <c r="BC155" s="144"/>
      <c r="BD155" s="432"/>
      <c r="BE155" s="430">
        <v>0</v>
      </c>
      <c r="BF155" s="431"/>
      <c r="BG155" s="51"/>
      <c r="BH155" s="144"/>
      <c r="BI155" s="432"/>
      <c r="BJ155" s="430">
        <v>0</v>
      </c>
      <c r="BK155" s="431"/>
      <c r="BL155" s="51"/>
      <c r="BM155" s="144"/>
      <c r="BN155" s="432"/>
      <c r="BO155" s="430">
        <v>0</v>
      </c>
      <c r="BP155" s="431"/>
      <c r="BQ155" s="51"/>
      <c r="BR155" s="144"/>
      <c r="BS155" s="432"/>
      <c r="BT155" s="430">
        <f>SUM(L155:BO155)</f>
        <v>0</v>
      </c>
      <c r="BU155" s="431"/>
      <c r="BV155" s="51"/>
      <c r="BW155" s="144"/>
      <c r="BX155" s="432"/>
      <c r="BY155" s="430">
        <v>0</v>
      </c>
      <c r="BZ155" s="431"/>
      <c r="CA155" s="51"/>
      <c r="CB155" s="144"/>
      <c r="CC155" s="432"/>
      <c r="CD155" s="430">
        <v>0</v>
      </c>
      <c r="CE155" s="431"/>
      <c r="CF155" s="51"/>
      <c r="CG155" s="144"/>
      <c r="CH155" s="432"/>
      <c r="CI155" s="430">
        <v>0</v>
      </c>
      <c r="CJ155" s="431"/>
      <c r="CK155" s="51"/>
      <c r="CL155" s="144"/>
      <c r="CM155" s="432"/>
      <c r="CN155" s="430">
        <v>0</v>
      </c>
      <c r="CO155" s="431"/>
      <c r="CP155" s="51"/>
      <c r="CQ155" s="144"/>
      <c r="CR155" s="432"/>
      <c r="CS155" s="430">
        <v>0</v>
      </c>
      <c r="CT155" s="431"/>
      <c r="CU155" s="51"/>
      <c r="CV155" s="144"/>
      <c r="CW155" s="432"/>
      <c r="CX155" s="430">
        <v>0</v>
      </c>
      <c r="CY155" s="431"/>
      <c r="CZ155" s="51"/>
      <c r="DA155" s="144"/>
      <c r="DB155" s="432"/>
      <c r="DC155" s="430">
        <v>0</v>
      </c>
      <c r="DD155" s="431"/>
      <c r="DE155" s="51"/>
      <c r="DF155" s="144"/>
      <c r="DG155" s="432"/>
      <c r="DH155" s="430">
        <v>0</v>
      </c>
      <c r="DI155" s="431"/>
      <c r="DJ155" s="51"/>
      <c r="DK155" s="144"/>
      <c r="DL155" s="432"/>
      <c r="DM155" s="430">
        <v>0</v>
      </c>
      <c r="DN155" s="431"/>
      <c r="DO155" s="51"/>
      <c r="DP155" s="144"/>
      <c r="DQ155" s="432"/>
      <c r="DR155" s="430">
        <v>0</v>
      </c>
      <c r="DS155" s="431"/>
      <c r="DT155" s="51"/>
      <c r="DU155" s="144"/>
      <c r="DV155" s="432"/>
      <c r="DW155" s="430">
        <v>0</v>
      </c>
      <c r="DX155" s="431"/>
      <c r="DY155" s="51"/>
      <c r="DZ155" s="144"/>
      <c r="EA155" s="432"/>
      <c r="EB155" s="430">
        <v>0</v>
      </c>
      <c r="EC155" s="431"/>
      <c r="ED155" s="51"/>
      <c r="EE155" s="144"/>
      <c r="EF155" s="432"/>
      <c r="EG155" s="430">
        <v>0</v>
      </c>
      <c r="EH155" s="431"/>
      <c r="EI155" s="51"/>
      <c r="EJ155" s="144"/>
      <c r="EK155" s="432"/>
      <c r="EL155" s="430">
        <f>SUM(CD155:CD155)</f>
        <v>0</v>
      </c>
      <c r="EM155" s="431"/>
      <c r="EN155" s="51"/>
      <c r="EO155" s="340"/>
      <c r="ER155" s="39"/>
      <c r="ES155" s="39"/>
    </row>
    <row r="156" spans="1:149" ht="12.75" hidden="1" customHeight="1" x14ac:dyDescent="0.2">
      <c r="A156" s="317"/>
      <c r="B156" s="317"/>
      <c r="D156" s="340" t="s">
        <v>186</v>
      </c>
      <c r="F156" s="347"/>
      <c r="G156" s="51">
        <v>0</v>
      </c>
      <c r="H156" s="50"/>
      <c r="I156" s="51"/>
      <c r="J156" s="144"/>
      <c r="K156" s="144"/>
      <c r="L156" s="51">
        <v>0</v>
      </c>
      <c r="M156" s="50"/>
      <c r="N156" s="51"/>
      <c r="O156" s="144"/>
      <c r="P156" s="144"/>
      <c r="Q156" s="51">
        <v>0</v>
      </c>
      <c r="R156" s="50"/>
      <c r="S156" s="51"/>
      <c r="T156" s="144"/>
      <c r="U156" s="144"/>
      <c r="V156" s="51">
        <v>0</v>
      </c>
      <c r="W156" s="50"/>
      <c r="X156" s="51"/>
      <c r="Y156" s="144"/>
      <c r="Z156" s="144"/>
      <c r="AA156" s="51">
        <v>0</v>
      </c>
      <c r="AB156" s="50"/>
      <c r="AC156" s="51"/>
      <c r="AD156" s="144"/>
      <c r="AE156" s="144"/>
      <c r="AF156" s="51">
        <v>0</v>
      </c>
      <c r="AG156" s="50"/>
      <c r="AH156" s="51"/>
      <c r="AI156" s="144"/>
      <c r="AJ156" s="144"/>
      <c r="AK156" s="51">
        <v>0</v>
      </c>
      <c r="AL156" s="50"/>
      <c r="AM156" s="51"/>
      <c r="AN156" s="144"/>
      <c r="AO156" s="144"/>
      <c r="AP156" s="51">
        <v>0</v>
      </c>
      <c r="AQ156" s="50"/>
      <c r="AR156" s="51"/>
      <c r="AS156" s="144"/>
      <c r="AT156" s="144"/>
      <c r="AU156" s="51">
        <v>0</v>
      </c>
      <c r="AV156" s="50"/>
      <c r="AW156" s="51"/>
      <c r="AX156" s="144"/>
      <c r="AY156" s="144"/>
      <c r="AZ156" s="51">
        <v>0</v>
      </c>
      <c r="BA156" s="50"/>
      <c r="BB156" s="51"/>
      <c r="BC156" s="144"/>
      <c r="BD156" s="144"/>
      <c r="BE156" s="51">
        <v>0</v>
      </c>
      <c r="BF156" s="50"/>
      <c r="BG156" s="51"/>
      <c r="BH156" s="144"/>
      <c r="BI156" s="144"/>
      <c r="BJ156" s="51">
        <v>0</v>
      </c>
      <c r="BK156" s="50"/>
      <c r="BL156" s="51"/>
      <c r="BM156" s="144"/>
      <c r="BN156" s="144"/>
      <c r="BO156" s="51">
        <v>0</v>
      </c>
      <c r="BP156" s="50"/>
      <c r="BQ156" s="51"/>
      <c r="BR156" s="144"/>
      <c r="BS156" s="144"/>
      <c r="BT156" s="51">
        <f>SUM(L156:BO156)</f>
        <v>0</v>
      </c>
      <c r="BU156" s="50"/>
      <c r="BV156" s="51"/>
      <c r="BW156" s="144"/>
      <c r="BX156" s="144"/>
      <c r="BY156" s="51">
        <v>0</v>
      </c>
      <c r="BZ156" s="50"/>
      <c r="CA156" s="51"/>
      <c r="CB156" s="144"/>
      <c r="CC156" s="144"/>
      <c r="CD156" s="51">
        <v>0</v>
      </c>
      <c r="CE156" s="50"/>
      <c r="CF156" s="51"/>
      <c r="CG156" s="144"/>
      <c r="CH156" s="144"/>
      <c r="CI156" s="51">
        <v>0</v>
      </c>
      <c r="CJ156" s="50"/>
      <c r="CK156" s="51"/>
      <c r="CL156" s="144"/>
      <c r="CM156" s="144"/>
      <c r="CN156" s="51">
        <v>0</v>
      </c>
      <c r="CO156" s="50"/>
      <c r="CP156" s="51"/>
      <c r="CQ156" s="144"/>
      <c r="CR156" s="144"/>
      <c r="CS156" s="51">
        <v>0</v>
      </c>
      <c r="CT156" s="50"/>
      <c r="CU156" s="51"/>
      <c r="CV156" s="144"/>
      <c r="CW156" s="144"/>
      <c r="CX156" s="51">
        <v>0</v>
      </c>
      <c r="CY156" s="50"/>
      <c r="CZ156" s="51"/>
      <c r="DA156" s="144"/>
      <c r="DB156" s="144"/>
      <c r="DC156" s="51">
        <v>0</v>
      </c>
      <c r="DD156" s="50"/>
      <c r="DE156" s="51"/>
      <c r="DF156" s="144"/>
      <c r="DG156" s="144"/>
      <c r="DH156" s="51">
        <v>0</v>
      </c>
      <c r="DI156" s="50"/>
      <c r="DJ156" s="51"/>
      <c r="DK156" s="144"/>
      <c r="DL156" s="144"/>
      <c r="DM156" s="51">
        <v>0</v>
      </c>
      <c r="DN156" s="50"/>
      <c r="DO156" s="51"/>
      <c r="DP156" s="144"/>
      <c r="DQ156" s="144"/>
      <c r="DR156" s="51">
        <v>0</v>
      </c>
      <c r="DS156" s="50"/>
      <c r="DT156" s="51"/>
      <c r="DU156" s="144"/>
      <c r="DV156" s="144"/>
      <c r="DW156" s="51">
        <v>0</v>
      </c>
      <c r="DX156" s="50"/>
      <c r="DY156" s="51"/>
      <c r="DZ156" s="144"/>
      <c r="EA156" s="144"/>
      <c r="EB156" s="51">
        <v>0</v>
      </c>
      <c r="EC156" s="50"/>
      <c r="ED156" s="51"/>
      <c r="EE156" s="144"/>
      <c r="EF156" s="144"/>
      <c r="EG156" s="51">
        <v>0</v>
      </c>
      <c r="EH156" s="50"/>
      <c r="EI156" s="51"/>
      <c r="EJ156" s="144"/>
      <c r="EK156" s="144"/>
      <c r="EL156" s="51">
        <f>SUM(CD156:CD156)</f>
        <v>0</v>
      </c>
      <c r="EM156" s="50"/>
      <c r="EN156" s="51"/>
      <c r="EO156" s="340"/>
      <c r="ER156" s="39"/>
      <c r="ES156" s="39"/>
    </row>
    <row r="157" spans="1:149" ht="12.75" hidden="1" customHeight="1" x14ac:dyDescent="0.2">
      <c r="A157" s="317"/>
      <c r="B157" s="317"/>
      <c r="D157" s="340" t="s">
        <v>187</v>
      </c>
      <c r="F157" s="371"/>
      <c r="G157" s="95">
        <v>0</v>
      </c>
      <c r="H157" s="94"/>
      <c r="I157" s="51"/>
      <c r="J157" s="144"/>
      <c r="K157" s="187"/>
      <c r="L157" s="95">
        <v>0</v>
      </c>
      <c r="M157" s="94"/>
      <c r="N157" s="51"/>
      <c r="O157" s="144"/>
      <c r="P157" s="187"/>
      <c r="Q157" s="95">
        <v>0</v>
      </c>
      <c r="R157" s="94"/>
      <c r="S157" s="51"/>
      <c r="T157" s="144"/>
      <c r="U157" s="187"/>
      <c r="V157" s="95">
        <v>0</v>
      </c>
      <c r="W157" s="94"/>
      <c r="X157" s="51"/>
      <c r="Y157" s="144"/>
      <c r="Z157" s="187"/>
      <c r="AA157" s="95">
        <v>0</v>
      </c>
      <c r="AB157" s="94"/>
      <c r="AC157" s="51"/>
      <c r="AD157" s="144"/>
      <c r="AE157" s="187"/>
      <c r="AF157" s="95">
        <v>0</v>
      </c>
      <c r="AG157" s="94"/>
      <c r="AH157" s="51"/>
      <c r="AI157" s="144"/>
      <c r="AJ157" s="187"/>
      <c r="AK157" s="95">
        <v>0</v>
      </c>
      <c r="AL157" s="94"/>
      <c r="AM157" s="51"/>
      <c r="AN157" s="144"/>
      <c r="AO157" s="187"/>
      <c r="AP157" s="95">
        <v>0</v>
      </c>
      <c r="AQ157" s="94"/>
      <c r="AR157" s="51"/>
      <c r="AS157" s="144"/>
      <c r="AT157" s="187"/>
      <c r="AU157" s="95">
        <v>0</v>
      </c>
      <c r="AV157" s="94"/>
      <c r="AW157" s="51"/>
      <c r="AX157" s="144"/>
      <c r="AY157" s="187"/>
      <c r="AZ157" s="95">
        <v>0</v>
      </c>
      <c r="BA157" s="94"/>
      <c r="BB157" s="51"/>
      <c r="BC157" s="144"/>
      <c r="BD157" s="187"/>
      <c r="BE157" s="95">
        <v>0</v>
      </c>
      <c r="BF157" s="94"/>
      <c r="BG157" s="51"/>
      <c r="BH157" s="144"/>
      <c r="BI157" s="187"/>
      <c r="BJ157" s="95">
        <v>0</v>
      </c>
      <c r="BK157" s="94"/>
      <c r="BL157" s="51"/>
      <c r="BM157" s="144"/>
      <c r="BN157" s="187"/>
      <c r="BO157" s="95">
        <v>0</v>
      </c>
      <c r="BP157" s="94"/>
      <c r="BQ157" s="51"/>
      <c r="BR157" s="144"/>
      <c r="BS157" s="187"/>
      <c r="BT157" s="95">
        <f>SUM(L157:BO157)</f>
        <v>0</v>
      </c>
      <c r="BU157" s="94"/>
      <c r="BV157" s="51"/>
      <c r="BW157" s="144"/>
      <c r="BX157" s="187"/>
      <c r="BY157" s="95">
        <v>0</v>
      </c>
      <c r="BZ157" s="94"/>
      <c r="CA157" s="51"/>
      <c r="CB157" s="144"/>
      <c r="CC157" s="187"/>
      <c r="CD157" s="95">
        <v>0</v>
      </c>
      <c r="CE157" s="94"/>
      <c r="CF157" s="51"/>
      <c r="CG157" s="144"/>
      <c r="CH157" s="187"/>
      <c r="CI157" s="95">
        <v>0</v>
      </c>
      <c r="CJ157" s="94"/>
      <c r="CK157" s="51"/>
      <c r="CL157" s="144"/>
      <c r="CM157" s="187"/>
      <c r="CN157" s="95">
        <v>0</v>
      </c>
      <c r="CO157" s="94"/>
      <c r="CP157" s="51"/>
      <c r="CQ157" s="144"/>
      <c r="CR157" s="187"/>
      <c r="CS157" s="95">
        <v>0</v>
      </c>
      <c r="CT157" s="94"/>
      <c r="CU157" s="51"/>
      <c r="CV157" s="144"/>
      <c r="CW157" s="187"/>
      <c r="CX157" s="95">
        <v>0</v>
      </c>
      <c r="CY157" s="94"/>
      <c r="CZ157" s="51"/>
      <c r="DA157" s="144"/>
      <c r="DB157" s="187"/>
      <c r="DC157" s="95">
        <v>0</v>
      </c>
      <c r="DD157" s="94"/>
      <c r="DE157" s="51"/>
      <c r="DF157" s="144"/>
      <c r="DG157" s="187"/>
      <c r="DH157" s="95">
        <v>0</v>
      </c>
      <c r="DI157" s="94"/>
      <c r="DJ157" s="51"/>
      <c r="DK157" s="144"/>
      <c r="DL157" s="187"/>
      <c r="DM157" s="95">
        <v>0</v>
      </c>
      <c r="DN157" s="94"/>
      <c r="DO157" s="51"/>
      <c r="DP157" s="144"/>
      <c r="DQ157" s="187"/>
      <c r="DR157" s="95">
        <v>0</v>
      </c>
      <c r="DS157" s="94"/>
      <c r="DT157" s="51"/>
      <c r="DU157" s="144"/>
      <c r="DV157" s="187"/>
      <c r="DW157" s="95">
        <v>0</v>
      </c>
      <c r="DX157" s="94"/>
      <c r="DY157" s="51"/>
      <c r="DZ157" s="144"/>
      <c r="EA157" s="187"/>
      <c r="EB157" s="95">
        <v>0</v>
      </c>
      <c r="EC157" s="94"/>
      <c r="ED157" s="51"/>
      <c r="EE157" s="144"/>
      <c r="EF157" s="187"/>
      <c r="EG157" s="95">
        <v>0</v>
      </c>
      <c r="EH157" s="94"/>
      <c r="EI157" s="51"/>
      <c r="EJ157" s="144"/>
      <c r="EK157" s="187"/>
      <c r="EL157" s="95">
        <f>SUM(CD157:CD157)</f>
        <v>0</v>
      </c>
      <c r="EM157" s="94"/>
      <c r="EN157" s="51"/>
      <c r="EO157" s="340"/>
      <c r="ER157" s="39"/>
      <c r="ES157" s="39"/>
    </row>
    <row r="158" spans="1:149" ht="14.25" customHeight="1" x14ac:dyDescent="0.2">
      <c r="A158" s="317"/>
      <c r="B158" s="317"/>
      <c r="C158" s="317"/>
      <c r="D158" s="445"/>
      <c r="E158" s="446"/>
      <c r="F158" s="331"/>
      <c r="G158" s="102"/>
      <c r="H158" s="102"/>
      <c r="I158" s="102"/>
      <c r="J158" s="447"/>
      <c r="K158" s="102"/>
      <c r="L158" s="102"/>
      <c r="M158" s="102"/>
      <c r="N158" s="102"/>
      <c r="O158" s="447"/>
      <c r="P158" s="102"/>
      <c r="Q158" s="102"/>
      <c r="R158" s="102"/>
      <c r="S158" s="102"/>
      <c r="T158" s="447"/>
      <c r="U158" s="102"/>
      <c r="V158" s="102"/>
      <c r="W158" s="102"/>
      <c r="X158" s="102"/>
      <c r="Y158" s="447"/>
      <c r="Z158" s="102"/>
      <c r="AA158" s="102"/>
      <c r="AB158" s="102"/>
      <c r="AC158" s="102"/>
      <c r="AD158" s="447"/>
      <c r="AE158" s="102"/>
      <c r="AF158" s="102"/>
      <c r="AG158" s="102"/>
      <c r="AH158" s="102"/>
      <c r="AI158" s="447"/>
      <c r="AJ158" s="102"/>
      <c r="AK158" s="102"/>
      <c r="AL158" s="102"/>
      <c r="AM158" s="102"/>
      <c r="AN158" s="447"/>
      <c r="AO158" s="102"/>
      <c r="AP158" s="102"/>
      <c r="AQ158" s="102"/>
      <c r="AR158" s="102"/>
      <c r="AS158" s="447"/>
      <c r="AT158" s="102"/>
      <c r="AU158" s="102"/>
      <c r="AV158" s="102"/>
      <c r="AW158" s="102"/>
      <c r="AX158" s="447"/>
      <c r="AY158" s="102"/>
      <c r="AZ158" s="102"/>
      <c r="BA158" s="102"/>
      <c r="BB158" s="102"/>
      <c r="BC158" s="447"/>
      <c r="BD158" s="102"/>
      <c r="BE158" s="102"/>
      <c r="BF158" s="102"/>
      <c r="BG158" s="102"/>
      <c r="BH158" s="447"/>
      <c r="BI158" s="102"/>
      <c r="BJ158" s="102"/>
      <c r="BK158" s="102"/>
      <c r="BL158" s="102"/>
      <c r="BM158" s="447"/>
      <c r="BN158" s="102"/>
      <c r="BO158" s="102"/>
      <c r="BP158" s="102"/>
      <c r="BQ158" s="102"/>
      <c r="BR158" s="447"/>
      <c r="BS158" s="102"/>
      <c r="BT158" s="102"/>
      <c r="BU158" s="102"/>
      <c r="BV158" s="102"/>
      <c r="BW158" s="447"/>
      <c r="BX158" s="102"/>
      <c r="BY158" s="102"/>
      <c r="BZ158" s="102"/>
      <c r="CA158" s="102"/>
      <c r="CB158" s="447"/>
      <c r="CC158" s="102"/>
      <c r="CD158" s="102"/>
      <c r="CE158" s="102"/>
      <c r="CF158" s="102"/>
      <c r="CG158" s="447"/>
      <c r="CH158" s="102"/>
      <c r="CI158" s="102"/>
      <c r="CJ158" s="102"/>
      <c r="CK158" s="102"/>
      <c r="CL158" s="447"/>
      <c r="CM158" s="102"/>
      <c r="CN158" s="102"/>
      <c r="CO158" s="102"/>
      <c r="CP158" s="102"/>
      <c r="CQ158" s="447"/>
      <c r="CR158" s="102"/>
      <c r="CS158" s="102"/>
      <c r="CT158" s="102"/>
      <c r="CU158" s="102"/>
      <c r="CV158" s="447"/>
      <c r="CW158" s="102"/>
      <c r="CX158" s="102"/>
      <c r="CY158" s="102"/>
      <c r="CZ158" s="102"/>
      <c r="DA158" s="447"/>
      <c r="DB158" s="102"/>
      <c r="DC158" s="102"/>
      <c r="DD158" s="102"/>
      <c r="DE158" s="102"/>
      <c r="DF158" s="447"/>
      <c r="DG158" s="102"/>
      <c r="DH158" s="102"/>
      <c r="DI158" s="102"/>
      <c r="DJ158" s="102"/>
      <c r="DK158" s="447"/>
      <c r="DL158" s="102"/>
      <c r="DM158" s="102"/>
      <c r="DN158" s="102"/>
      <c r="DO158" s="102"/>
      <c r="DP158" s="447"/>
      <c r="DQ158" s="102"/>
      <c r="DR158" s="102"/>
      <c r="DS158" s="102"/>
      <c r="DT158" s="102"/>
      <c r="DU158" s="447"/>
      <c r="DV158" s="102"/>
      <c r="DW158" s="102"/>
      <c r="DX158" s="102"/>
      <c r="DY158" s="102"/>
      <c r="DZ158" s="447"/>
      <c r="EA158" s="102"/>
      <c r="EB158" s="102"/>
      <c r="EC158" s="102"/>
      <c r="ED158" s="102"/>
      <c r="EE158" s="447"/>
      <c r="EF158" s="102"/>
      <c r="EG158" s="102"/>
      <c r="EH158" s="102"/>
      <c r="EI158" s="102"/>
      <c r="EJ158" s="447"/>
      <c r="EK158" s="102"/>
      <c r="EL158" s="102"/>
      <c r="EM158" s="102"/>
      <c r="EN158" s="103"/>
      <c r="EO158" s="340"/>
      <c r="ER158" s="39"/>
      <c r="ES158" s="39"/>
    </row>
    <row r="159" spans="1:149" x14ac:dyDescent="0.2">
      <c r="A159" s="317"/>
      <c r="B159" s="317"/>
      <c r="C159" s="317"/>
      <c r="D159" s="317"/>
      <c r="E159" s="317"/>
      <c r="F159" s="317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317"/>
      <c r="BX159" s="317"/>
      <c r="BY159" s="317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317"/>
      <c r="ER159" s="39"/>
      <c r="ES159" s="39"/>
    </row>
    <row r="160" spans="1:149" ht="12" customHeight="1" x14ac:dyDescent="0.2">
      <c r="A160" s="317"/>
      <c r="B160" s="317"/>
      <c r="C160" s="51"/>
      <c r="D160" s="448"/>
      <c r="E160" s="317"/>
      <c r="F160" s="317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448"/>
      <c r="BX160" s="317"/>
      <c r="BY160" s="317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317"/>
      <c r="EP160" s="317"/>
      <c r="ER160" s="39"/>
      <c r="ES160" s="39"/>
    </row>
    <row r="161" spans="1:149" ht="12" customHeight="1" x14ac:dyDescent="0.2">
      <c r="A161" s="317"/>
      <c r="B161" s="317"/>
      <c r="C161" s="51"/>
      <c r="D161" s="51"/>
      <c r="E161" s="317"/>
      <c r="F161" s="317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317"/>
      <c r="BY161" s="317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317"/>
      <c r="EP161" s="317"/>
      <c r="ER161" s="39"/>
      <c r="ES161" s="39"/>
    </row>
    <row r="162" spans="1:149" x14ac:dyDescent="0.2">
      <c r="A162" s="317"/>
      <c r="B162" s="317"/>
      <c r="C162" s="317"/>
      <c r="D162" s="317"/>
      <c r="E162" s="449"/>
      <c r="F162" s="449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317"/>
      <c r="ER162" s="39"/>
      <c r="ES162" s="39"/>
    </row>
    <row r="163" spans="1:149" ht="15.75" x14ac:dyDescent="0.25">
      <c r="A163" s="317"/>
      <c r="B163" s="317"/>
      <c r="C163" s="317"/>
      <c r="D163" s="410" t="s">
        <v>213</v>
      </c>
      <c r="E163" s="410"/>
      <c r="F163" s="410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/>
      <c r="CT163" s="102"/>
      <c r="CU163" s="102"/>
      <c r="CV163" s="102"/>
      <c r="CW163" s="102"/>
      <c r="CX163" s="102"/>
      <c r="CY163" s="102"/>
      <c r="CZ163" s="102"/>
      <c r="DA163" s="102"/>
      <c r="DB163" s="102"/>
      <c r="DC163" s="102"/>
      <c r="DD163" s="102"/>
      <c r="DE163" s="102"/>
      <c r="DF163" s="102"/>
      <c r="DG163" s="102"/>
      <c r="DH163" s="102"/>
      <c r="DI163" s="102"/>
      <c r="DJ163" s="102"/>
      <c r="DK163" s="102"/>
      <c r="DL163" s="102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/>
      <c r="DY163" s="102"/>
      <c r="DZ163" s="102"/>
      <c r="EA163" s="102"/>
      <c r="EB163" s="102"/>
      <c r="EC163" s="102"/>
      <c r="ED163" s="102"/>
      <c r="EE163" s="102"/>
      <c r="EF163" s="102"/>
      <c r="EG163" s="102"/>
      <c r="EH163" s="102"/>
      <c r="EI163" s="102"/>
      <c r="EJ163" s="102"/>
      <c r="EK163" s="102"/>
      <c r="EL163" s="102"/>
      <c r="EM163" s="102"/>
      <c r="EN163" s="102"/>
      <c r="EO163" s="317"/>
      <c r="ER163" s="39"/>
      <c r="ES163" s="39"/>
    </row>
    <row r="164" spans="1:149" ht="15" customHeight="1" x14ac:dyDescent="0.2">
      <c r="A164" s="317"/>
      <c r="B164" s="317"/>
      <c r="D164" s="450"/>
      <c r="E164" s="674" t="str">
        <f>G8</f>
        <v>2022/23</v>
      </c>
      <c r="F164" s="675"/>
      <c r="G164" s="675"/>
      <c r="H164" s="675"/>
      <c r="I164" s="675"/>
      <c r="J164" s="675"/>
      <c r="K164" s="675"/>
      <c r="L164" s="675"/>
      <c r="M164" s="675"/>
      <c r="N164" s="675"/>
      <c r="O164" s="675"/>
      <c r="P164" s="675"/>
      <c r="Q164" s="675"/>
      <c r="R164" s="675"/>
      <c r="S164" s="675"/>
      <c r="T164" s="675"/>
      <c r="U164" s="675"/>
      <c r="V164" s="675"/>
      <c r="W164" s="675"/>
      <c r="X164" s="675"/>
      <c r="Y164" s="675"/>
      <c r="Z164" s="675"/>
      <c r="AA164" s="675"/>
      <c r="AB164" s="675"/>
      <c r="AC164" s="675"/>
      <c r="AD164" s="675"/>
      <c r="AE164" s="675"/>
      <c r="AF164" s="675"/>
      <c r="AG164" s="675"/>
      <c r="AH164" s="675"/>
      <c r="AI164" s="675"/>
      <c r="AJ164" s="675"/>
      <c r="AK164" s="675"/>
      <c r="AL164" s="675"/>
      <c r="AM164" s="675"/>
      <c r="AN164" s="675"/>
      <c r="AO164" s="675"/>
      <c r="AP164" s="675"/>
      <c r="AQ164" s="675"/>
      <c r="AR164" s="675"/>
      <c r="AS164" s="675"/>
      <c r="AT164" s="675"/>
      <c r="AU164" s="675"/>
      <c r="AV164" s="675"/>
      <c r="AW164" s="675"/>
      <c r="AX164" s="675"/>
      <c r="AY164" s="675"/>
      <c r="AZ164" s="675"/>
      <c r="BA164" s="675"/>
      <c r="BB164" s="675"/>
      <c r="BC164" s="675"/>
      <c r="BD164" s="675"/>
      <c r="BE164" s="675"/>
      <c r="BF164" s="675"/>
      <c r="BG164" s="675"/>
      <c r="BH164" s="675"/>
      <c r="BI164" s="675"/>
      <c r="BJ164" s="675"/>
      <c r="BK164" s="675"/>
      <c r="BL164" s="675"/>
      <c r="BM164" s="675"/>
      <c r="BN164" s="675"/>
      <c r="BO164" s="675"/>
      <c r="BP164" s="675"/>
      <c r="BQ164" s="675"/>
      <c r="BR164" s="675"/>
      <c r="BS164" s="675"/>
      <c r="BT164" s="675"/>
      <c r="BU164" s="675"/>
      <c r="BV164" s="707"/>
      <c r="BW164" s="27"/>
      <c r="BX164" s="451"/>
      <c r="BY164" s="708" t="str">
        <f>BY8</f>
        <v>2021/22</v>
      </c>
      <c r="BZ164" s="708"/>
      <c r="CA164" s="708"/>
      <c r="CB164" s="708"/>
      <c r="CC164" s="708"/>
      <c r="CD164" s="708"/>
      <c r="CE164" s="708"/>
      <c r="CF164" s="708"/>
      <c r="CG164" s="708"/>
      <c r="CH164" s="708"/>
      <c r="CI164" s="708"/>
      <c r="CJ164" s="708"/>
      <c r="CK164" s="708"/>
      <c r="CL164" s="708"/>
      <c r="CM164" s="708"/>
      <c r="CN164" s="708"/>
      <c r="CO164" s="708"/>
      <c r="CP164" s="708"/>
      <c r="CQ164" s="708"/>
      <c r="CR164" s="708"/>
      <c r="CS164" s="708"/>
      <c r="CT164" s="708"/>
      <c r="CU164" s="708"/>
      <c r="CV164" s="708"/>
      <c r="CW164" s="708"/>
      <c r="CX164" s="708"/>
      <c r="CY164" s="708"/>
      <c r="CZ164" s="708"/>
      <c r="DA164" s="708"/>
      <c r="DB164" s="708"/>
      <c r="DC164" s="708"/>
      <c r="DD164" s="708"/>
      <c r="DE164" s="708"/>
      <c r="DF164" s="708"/>
      <c r="DG164" s="708"/>
      <c r="DH164" s="708"/>
      <c r="DI164" s="708"/>
      <c r="DJ164" s="708"/>
      <c r="DK164" s="708"/>
      <c r="DL164" s="708"/>
      <c r="DM164" s="708"/>
      <c r="DN164" s="708"/>
      <c r="DO164" s="708"/>
      <c r="DP164" s="708"/>
      <c r="DQ164" s="708"/>
      <c r="DR164" s="708"/>
      <c r="DS164" s="708"/>
      <c r="DT164" s="708"/>
      <c r="DU164" s="708"/>
      <c r="DV164" s="708"/>
      <c r="DW164" s="708"/>
      <c r="DX164" s="708"/>
      <c r="DY164" s="708"/>
      <c r="DZ164" s="708"/>
      <c r="EA164" s="708"/>
      <c r="EB164" s="708"/>
      <c r="EC164" s="708"/>
      <c r="ED164" s="708"/>
      <c r="EE164" s="708"/>
      <c r="EF164" s="708"/>
      <c r="EG164" s="708"/>
      <c r="EH164" s="708"/>
      <c r="EI164" s="708"/>
      <c r="EJ164" s="708"/>
      <c r="EK164" s="708"/>
      <c r="EL164" s="708"/>
      <c r="EM164" s="708"/>
      <c r="EN164" s="709"/>
      <c r="EO164" s="340"/>
      <c r="ER164" s="39"/>
      <c r="ES164" s="39"/>
    </row>
    <row r="165" spans="1:149" ht="18" customHeight="1" x14ac:dyDescent="0.2">
      <c r="A165" s="317"/>
      <c r="B165" s="317"/>
      <c r="D165" s="452"/>
      <c r="F165" s="317"/>
      <c r="G165" s="269" t="str">
        <f>G9</f>
        <v>Revised</v>
      </c>
      <c r="H165" s="44"/>
      <c r="I165" s="44"/>
      <c r="J165" s="268"/>
      <c r="K165" s="44"/>
      <c r="L165" s="44" t="s">
        <v>4</v>
      </c>
      <c r="M165" s="44"/>
      <c r="N165" s="44"/>
      <c r="O165" s="268"/>
      <c r="P165" s="44"/>
      <c r="Q165" s="44" t="s">
        <v>5</v>
      </c>
      <c r="R165" s="44"/>
      <c r="S165" s="44"/>
      <c r="T165" s="268"/>
      <c r="U165" s="44"/>
      <c r="V165" s="44" t="s">
        <v>6</v>
      </c>
      <c r="W165" s="44"/>
      <c r="X165" s="44"/>
      <c r="Y165" s="268"/>
      <c r="Z165" s="44"/>
      <c r="AA165" s="44" t="s">
        <v>7</v>
      </c>
      <c r="AB165" s="44"/>
      <c r="AC165" s="44"/>
      <c r="AD165" s="268"/>
      <c r="AE165" s="44"/>
      <c r="AF165" s="44" t="s">
        <v>8</v>
      </c>
      <c r="AG165" s="44"/>
      <c r="AH165" s="44"/>
      <c r="AI165" s="268"/>
      <c r="AJ165" s="44"/>
      <c r="AK165" s="44" t="s">
        <v>9</v>
      </c>
      <c r="AL165" s="44"/>
      <c r="AM165" s="44"/>
      <c r="AN165" s="268"/>
      <c r="AO165" s="44"/>
      <c r="AP165" s="44" t="s">
        <v>10</v>
      </c>
      <c r="AQ165" s="44"/>
      <c r="AR165" s="44"/>
      <c r="AS165" s="268"/>
      <c r="AT165" s="44"/>
      <c r="AU165" s="44" t="s">
        <v>11</v>
      </c>
      <c r="AV165" s="44"/>
      <c r="AW165" s="44"/>
      <c r="AX165" s="268"/>
      <c r="AY165" s="44"/>
      <c r="AZ165" s="44" t="s">
        <v>12</v>
      </c>
      <c r="BA165" s="44"/>
      <c r="BB165" s="44"/>
      <c r="BC165" s="268"/>
      <c r="BD165" s="44"/>
      <c r="BE165" s="44" t="s">
        <v>13</v>
      </c>
      <c r="BF165" s="44"/>
      <c r="BG165" s="44"/>
      <c r="BH165" s="268"/>
      <c r="BI165" s="269"/>
      <c r="BJ165" s="269" t="s">
        <v>14</v>
      </c>
      <c r="BK165" s="269"/>
      <c r="BL165" s="416"/>
      <c r="BM165" s="268"/>
      <c r="BN165" s="269"/>
      <c r="BO165" s="269" t="s">
        <v>15</v>
      </c>
      <c r="BP165" s="269"/>
      <c r="BQ165" s="416"/>
      <c r="BR165" s="268"/>
      <c r="BS165" s="269"/>
      <c r="BT165" s="44" t="s">
        <v>16</v>
      </c>
      <c r="BU165" s="44"/>
      <c r="BV165" s="44"/>
      <c r="BW165" s="202"/>
      <c r="BX165" s="44"/>
      <c r="BY165" s="269" t="str">
        <f>BY9</f>
        <v>Preliminary</v>
      </c>
      <c r="BZ165" s="44"/>
      <c r="CA165" s="44"/>
      <c r="CB165" s="268"/>
      <c r="CC165" s="44"/>
      <c r="CD165" s="44" t="s">
        <v>4</v>
      </c>
      <c r="CE165" s="44"/>
      <c r="CF165" s="44"/>
      <c r="CG165" s="268"/>
      <c r="CH165" s="44"/>
      <c r="CI165" s="44" t="s">
        <v>5</v>
      </c>
      <c r="CJ165" s="44"/>
      <c r="CK165" s="44"/>
      <c r="CL165" s="268"/>
      <c r="CM165" s="44"/>
      <c r="CN165" s="44" t="s">
        <v>6</v>
      </c>
      <c r="CO165" s="44"/>
      <c r="CP165" s="44"/>
      <c r="CQ165" s="268"/>
      <c r="CR165" s="44"/>
      <c r="CS165" s="44" t="s">
        <v>7</v>
      </c>
      <c r="CT165" s="44"/>
      <c r="CU165" s="44"/>
      <c r="CV165" s="268"/>
      <c r="CW165" s="44"/>
      <c r="CX165" s="44" t="s">
        <v>8</v>
      </c>
      <c r="CY165" s="44"/>
      <c r="CZ165" s="44"/>
      <c r="DA165" s="268"/>
      <c r="DB165" s="44"/>
      <c r="DC165" s="44" t="s">
        <v>9</v>
      </c>
      <c r="DD165" s="44"/>
      <c r="DE165" s="44"/>
      <c r="DF165" s="268"/>
      <c r="DG165" s="44"/>
      <c r="DH165" s="44" t="s">
        <v>10</v>
      </c>
      <c r="DI165" s="44"/>
      <c r="DJ165" s="44"/>
      <c r="DK165" s="268"/>
      <c r="DL165" s="44"/>
      <c r="DM165" s="44" t="s">
        <v>11</v>
      </c>
      <c r="DN165" s="44"/>
      <c r="DO165" s="44"/>
      <c r="DP165" s="268"/>
      <c r="DQ165" s="44"/>
      <c r="DR165" s="44" t="s">
        <v>12</v>
      </c>
      <c r="DS165" s="44"/>
      <c r="DT165" s="44"/>
      <c r="DU165" s="268"/>
      <c r="DV165" s="44"/>
      <c r="DW165" s="44" t="s">
        <v>13</v>
      </c>
      <c r="DX165" s="44"/>
      <c r="DY165" s="44"/>
      <c r="DZ165" s="268"/>
      <c r="EA165" s="44"/>
      <c r="EB165" s="44" t="s">
        <v>14</v>
      </c>
      <c r="EC165" s="44"/>
      <c r="ED165" s="44"/>
      <c r="EE165" s="268"/>
      <c r="EF165" s="269"/>
      <c r="EG165" s="269" t="s">
        <v>15</v>
      </c>
      <c r="EH165" s="269"/>
      <c r="EI165" s="269"/>
      <c r="EJ165" s="268"/>
      <c r="EK165" s="269"/>
      <c r="EL165" s="44" t="s">
        <v>16</v>
      </c>
      <c r="EM165" s="44"/>
      <c r="EN165" s="44"/>
      <c r="EO165" s="340"/>
      <c r="ER165" s="39"/>
      <c r="ES165" s="39"/>
    </row>
    <row r="166" spans="1:149" x14ac:dyDescent="0.2">
      <c r="A166" s="317"/>
      <c r="B166" s="317"/>
      <c r="D166" s="341" t="s">
        <v>17</v>
      </c>
      <c r="E166" s="417"/>
      <c r="F166" s="418"/>
      <c r="G166" s="344" t="s">
        <v>19</v>
      </c>
      <c r="H166" s="344"/>
      <c r="I166" s="420"/>
      <c r="J166" s="343"/>
      <c r="K166" s="344"/>
      <c r="L166" s="344"/>
      <c r="M166" s="344"/>
      <c r="N166" s="344"/>
      <c r="O166" s="343"/>
      <c r="P166" s="344"/>
      <c r="Q166" s="344"/>
      <c r="R166" s="344"/>
      <c r="S166" s="344"/>
      <c r="T166" s="343"/>
      <c r="U166" s="344"/>
      <c r="V166" s="344"/>
      <c r="W166" s="344"/>
      <c r="X166" s="344"/>
      <c r="Y166" s="343"/>
      <c r="Z166" s="344"/>
      <c r="AA166" s="344"/>
      <c r="AB166" s="344"/>
      <c r="AC166" s="344"/>
      <c r="AD166" s="343"/>
      <c r="AE166" s="344"/>
      <c r="AF166" s="344"/>
      <c r="AG166" s="344"/>
      <c r="AH166" s="344"/>
      <c r="AI166" s="343"/>
      <c r="AJ166" s="344"/>
      <c r="AK166" s="344"/>
      <c r="AL166" s="344"/>
      <c r="AM166" s="344"/>
      <c r="AN166" s="343"/>
      <c r="AO166" s="344"/>
      <c r="AP166" s="344"/>
      <c r="AQ166" s="344"/>
      <c r="AR166" s="344"/>
      <c r="AS166" s="343"/>
      <c r="AT166" s="344"/>
      <c r="AU166" s="344"/>
      <c r="AV166" s="344"/>
      <c r="AW166" s="344"/>
      <c r="AX166" s="343"/>
      <c r="AY166" s="344"/>
      <c r="AZ166" s="344"/>
      <c r="BA166" s="344"/>
      <c r="BB166" s="344"/>
      <c r="BC166" s="343"/>
      <c r="BD166" s="344"/>
      <c r="BE166" s="344"/>
      <c r="BF166" s="344"/>
      <c r="BG166" s="344"/>
      <c r="BH166" s="343"/>
      <c r="BI166" s="344"/>
      <c r="BJ166" s="344"/>
      <c r="BK166" s="344"/>
      <c r="BL166" s="420"/>
      <c r="BM166" s="343"/>
      <c r="BN166" s="344"/>
      <c r="BO166" s="344"/>
      <c r="BP166" s="344"/>
      <c r="BQ166" s="420"/>
      <c r="BR166" s="343"/>
      <c r="BS166" s="344"/>
      <c r="BT166" s="344"/>
      <c r="BU166" s="344"/>
      <c r="BV166" s="420"/>
      <c r="BW166" s="343"/>
      <c r="BX166" s="344"/>
      <c r="BY166" s="344" t="s">
        <v>44</v>
      </c>
      <c r="BZ166" s="344"/>
      <c r="CA166" s="344"/>
      <c r="CB166" s="343"/>
      <c r="CC166" s="344"/>
      <c r="CD166" s="344"/>
      <c r="CE166" s="344"/>
      <c r="CF166" s="344"/>
      <c r="CG166" s="343"/>
      <c r="CH166" s="344"/>
      <c r="CI166" s="344"/>
      <c r="CJ166" s="344"/>
      <c r="CK166" s="344"/>
      <c r="CL166" s="343"/>
      <c r="CM166" s="344"/>
      <c r="CN166" s="344"/>
      <c r="CO166" s="344"/>
      <c r="CP166" s="344"/>
      <c r="CQ166" s="343"/>
      <c r="CR166" s="344"/>
      <c r="CS166" s="344"/>
      <c r="CT166" s="344"/>
      <c r="CU166" s="344"/>
      <c r="CV166" s="343"/>
      <c r="CW166" s="344"/>
      <c r="CX166" s="344"/>
      <c r="CY166" s="344"/>
      <c r="CZ166" s="344"/>
      <c r="DA166" s="343"/>
      <c r="DB166" s="344"/>
      <c r="DC166" s="344"/>
      <c r="DD166" s="344"/>
      <c r="DE166" s="420"/>
      <c r="DF166" s="343"/>
      <c r="DG166" s="344"/>
      <c r="DH166" s="344"/>
      <c r="DI166" s="344"/>
      <c r="DJ166" s="344"/>
      <c r="DK166" s="343"/>
      <c r="DL166" s="344"/>
      <c r="DM166" s="344"/>
      <c r="DN166" s="344"/>
      <c r="DO166" s="344"/>
      <c r="DP166" s="343"/>
      <c r="DQ166" s="344"/>
      <c r="DR166" s="344"/>
      <c r="DS166" s="344"/>
      <c r="DT166" s="344"/>
      <c r="DU166" s="343"/>
      <c r="DV166" s="344"/>
      <c r="DW166" s="344"/>
      <c r="DX166" s="344"/>
      <c r="DY166" s="344"/>
      <c r="DZ166" s="343"/>
      <c r="EA166" s="344"/>
      <c r="EB166" s="344"/>
      <c r="EC166" s="344"/>
      <c r="ED166" s="344"/>
      <c r="EE166" s="343"/>
      <c r="EF166" s="344"/>
      <c r="EG166" s="344"/>
      <c r="EH166" s="344"/>
      <c r="EI166" s="344"/>
      <c r="EJ166" s="343"/>
      <c r="EK166" s="344"/>
      <c r="EL166" s="344"/>
      <c r="EM166" s="344"/>
      <c r="EN166" s="345"/>
      <c r="EO166" s="340"/>
      <c r="ER166" s="39"/>
      <c r="ES166" s="39"/>
    </row>
    <row r="167" spans="1:149" x14ac:dyDescent="0.2">
      <c r="A167" s="317"/>
      <c r="B167" s="317"/>
      <c r="D167" s="340"/>
      <c r="E167" s="453"/>
      <c r="F167" s="663"/>
      <c r="G167" s="51"/>
      <c r="H167" s="51"/>
      <c r="I167" s="51"/>
      <c r="J167" s="144"/>
      <c r="K167" s="663"/>
      <c r="L167" s="51"/>
      <c r="M167" s="51"/>
      <c r="N167" s="51"/>
      <c r="O167" s="144"/>
      <c r="P167" s="663"/>
      <c r="Q167" s="51"/>
      <c r="R167" s="51"/>
      <c r="S167" s="51"/>
      <c r="T167" s="144"/>
      <c r="U167" s="663"/>
      <c r="V167" s="51"/>
      <c r="W167" s="51"/>
      <c r="X167" s="51"/>
      <c r="Y167" s="144"/>
      <c r="Z167" s="663"/>
      <c r="AA167" s="51"/>
      <c r="AB167" s="51"/>
      <c r="AC167" s="51"/>
      <c r="AD167" s="144"/>
      <c r="AE167" s="663"/>
      <c r="AF167" s="51"/>
      <c r="AG167" s="51"/>
      <c r="AH167" s="51"/>
      <c r="AI167" s="144"/>
      <c r="AJ167" s="663"/>
      <c r="AK167" s="51"/>
      <c r="AL167" s="51"/>
      <c r="AM167" s="51"/>
      <c r="AN167" s="144"/>
      <c r="AO167" s="663"/>
      <c r="AP167" s="51"/>
      <c r="AQ167" s="51"/>
      <c r="AR167" s="51"/>
      <c r="AS167" s="144"/>
      <c r="AT167" s="663"/>
      <c r="AU167" s="51"/>
      <c r="AV167" s="51"/>
      <c r="AW167" s="51"/>
      <c r="AX167" s="144"/>
      <c r="AY167" s="663"/>
      <c r="AZ167" s="51"/>
      <c r="BA167" s="51"/>
      <c r="BB167" s="51"/>
      <c r="BC167" s="144"/>
      <c r="BD167" s="663"/>
      <c r="BE167" s="51"/>
      <c r="BF167" s="51"/>
      <c r="BG167" s="51"/>
      <c r="BH167" s="144"/>
      <c r="BI167" s="663"/>
      <c r="BJ167" s="51"/>
      <c r="BK167" s="51"/>
      <c r="BL167" s="51"/>
      <c r="BM167" s="144"/>
      <c r="BN167" s="663"/>
      <c r="BO167" s="51"/>
      <c r="BP167" s="51"/>
      <c r="BQ167" s="51"/>
      <c r="BR167" s="144"/>
      <c r="BS167" s="663"/>
      <c r="BT167" s="51"/>
      <c r="BU167" s="51"/>
      <c r="BV167" s="51"/>
      <c r="BW167" s="144"/>
      <c r="BX167" s="663"/>
      <c r="BY167" s="51"/>
      <c r="BZ167" s="51"/>
      <c r="CA167" s="51"/>
      <c r="CB167" s="144"/>
      <c r="CC167" s="663"/>
      <c r="CD167" s="51"/>
      <c r="CE167" s="51"/>
      <c r="CF167" s="51"/>
      <c r="CG167" s="144"/>
      <c r="CH167" s="663"/>
      <c r="CI167" s="51"/>
      <c r="CJ167" s="51"/>
      <c r="CK167" s="51"/>
      <c r="CL167" s="144"/>
      <c r="CM167" s="663"/>
      <c r="CN167" s="51"/>
      <c r="CO167" s="51"/>
      <c r="CP167" s="51"/>
      <c r="CQ167" s="144"/>
      <c r="CR167" s="663"/>
      <c r="CS167" s="51"/>
      <c r="CT167" s="51"/>
      <c r="CU167" s="51"/>
      <c r="CV167" s="144"/>
      <c r="CW167" s="663"/>
      <c r="CX167" s="51"/>
      <c r="CY167" s="51"/>
      <c r="CZ167" s="51"/>
      <c r="DA167" s="144"/>
      <c r="DB167" s="663"/>
      <c r="DC167" s="51"/>
      <c r="DD167" s="51"/>
      <c r="DE167" s="50"/>
      <c r="DF167" s="144"/>
      <c r="DG167" s="663"/>
      <c r="DH167" s="51"/>
      <c r="DI167" s="51"/>
      <c r="DJ167" s="51"/>
      <c r="DK167" s="144"/>
      <c r="DL167" s="663"/>
      <c r="DM167" s="51"/>
      <c r="DN167" s="51"/>
      <c r="DO167" s="51"/>
      <c r="DP167" s="144"/>
      <c r="DQ167" s="663"/>
      <c r="DR167" s="51"/>
      <c r="DS167" s="51"/>
      <c r="DT167" s="51"/>
      <c r="DU167" s="144"/>
      <c r="DV167" s="663"/>
      <c r="DW167" s="51"/>
      <c r="DX167" s="51"/>
      <c r="DY167" s="51"/>
      <c r="DZ167" s="144"/>
      <c r="EA167" s="663"/>
      <c r="EB167" s="51"/>
      <c r="EC167" s="51"/>
      <c r="ED167" s="51"/>
      <c r="EE167" s="144"/>
      <c r="EF167" s="663"/>
      <c r="EG167" s="51"/>
      <c r="EH167" s="51"/>
      <c r="EI167" s="51"/>
      <c r="EJ167" s="144"/>
      <c r="EK167" s="663"/>
      <c r="EL167" s="51"/>
      <c r="EM167" s="51"/>
      <c r="EN167" s="51"/>
      <c r="EO167" s="340"/>
      <c r="ER167" s="39"/>
      <c r="ES167" s="39"/>
    </row>
    <row r="168" spans="1:149" hidden="1" x14ac:dyDescent="0.2">
      <c r="A168" s="317"/>
      <c r="B168" s="317"/>
      <c r="D168" s="340" t="s">
        <v>214</v>
      </c>
      <c r="F168" s="374"/>
      <c r="G168" s="95">
        <v>0</v>
      </c>
      <c r="H168" s="95"/>
      <c r="I168" s="51"/>
      <c r="J168" s="144"/>
      <c r="K168" s="374"/>
      <c r="L168" s="95">
        <f>SUM(L169:L170)</f>
        <v>0</v>
      </c>
      <c r="M168" s="95"/>
      <c r="N168" s="51"/>
      <c r="O168" s="144"/>
      <c r="P168" s="374"/>
      <c r="Q168" s="95">
        <f>SUM(Q169:Q170)</f>
        <v>0</v>
      </c>
      <c r="R168" s="95"/>
      <c r="S168" s="51"/>
      <c r="T168" s="144"/>
      <c r="U168" s="374"/>
      <c r="V168" s="95">
        <f>SUM(V169:V170)</f>
        <v>0</v>
      </c>
      <c r="W168" s="95"/>
      <c r="X168" s="51"/>
      <c r="Y168" s="144"/>
      <c r="Z168" s="374"/>
      <c r="AA168" s="95">
        <f>SUM(AA169:AA170)</f>
        <v>0</v>
      </c>
      <c r="AB168" s="95"/>
      <c r="AC168" s="51"/>
      <c r="AD168" s="144"/>
      <c r="AE168" s="374"/>
      <c r="AF168" s="95">
        <f>SUM(AF169:AF170)</f>
        <v>0</v>
      </c>
      <c r="AG168" s="95"/>
      <c r="AH168" s="51"/>
      <c r="AI168" s="144"/>
      <c r="AJ168" s="374"/>
      <c r="AK168" s="95">
        <f>SUM(AK169:AK170)</f>
        <v>0</v>
      </c>
      <c r="AL168" s="95"/>
      <c r="AM168" s="51"/>
      <c r="AN168" s="144"/>
      <c r="AO168" s="374"/>
      <c r="AP168" s="95">
        <f>SUM(AP169:AP170)</f>
        <v>0</v>
      </c>
      <c r="AQ168" s="95"/>
      <c r="AR168" s="51"/>
      <c r="AS168" s="144"/>
      <c r="AT168" s="374"/>
      <c r="AU168" s="95">
        <f>SUM(AU169:AU170)</f>
        <v>0</v>
      </c>
      <c r="AV168" s="95"/>
      <c r="AW168" s="51"/>
      <c r="AX168" s="144"/>
      <c r="AY168" s="374"/>
      <c r="AZ168" s="95">
        <f>SUM(AZ169:AZ170)</f>
        <v>0</v>
      </c>
      <c r="BA168" s="95"/>
      <c r="BB168" s="51"/>
      <c r="BC168" s="144"/>
      <c r="BD168" s="374"/>
      <c r="BE168" s="95">
        <f>SUM(BE169:BE170)</f>
        <v>0</v>
      </c>
      <c r="BF168" s="95"/>
      <c r="BG168" s="51"/>
      <c r="BH168" s="144"/>
      <c r="BI168" s="374"/>
      <c r="BJ168" s="95">
        <f>SUM(BJ169:BJ170)</f>
        <v>0</v>
      </c>
      <c r="BK168" s="95"/>
      <c r="BL168" s="51"/>
      <c r="BM168" s="144"/>
      <c r="BN168" s="374"/>
      <c r="BO168" s="95">
        <f>SUM(BO169:BO170)</f>
        <v>0</v>
      </c>
      <c r="BP168" s="95"/>
      <c r="BQ168" s="51"/>
      <c r="BR168" s="144"/>
      <c r="BS168" s="374"/>
      <c r="BT168" s="95">
        <f>SUM(BT169:BT170)</f>
        <v>0</v>
      </c>
      <c r="BU168" s="95"/>
      <c r="BV168" s="51"/>
      <c r="BW168" s="144"/>
      <c r="BX168" s="374"/>
      <c r="BY168" s="95">
        <f>SUM(BY169:BY170)</f>
        <v>0</v>
      </c>
      <c r="BZ168" s="95"/>
      <c r="CA168" s="51"/>
      <c r="CB168" s="144"/>
      <c r="CC168" s="374"/>
      <c r="CD168" s="95">
        <f>SUM(CD169:CD170)</f>
        <v>0</v>
      </c>
      <c r="CE168" s="95"/>
      <c r="CF168" s="51"/>
      <c r="CG168" s="144"/>
      <c r="CH168" s="374"/>
      <c r="CI168" s="95">
        <f>SUM(CI169:CI170)</f>
        <v>0</v>
      </c>
      <c r="CJ168" s="95"/>
      <c r="CK168" s="51"/>
      <c r="CL168" s="144"/>
      <c r="CM168" s="374"/>
      <c r="CN168" s="95">
        <f>SUM(CN169:CN170)</f>
        <v>0</v>
      </c>
      <c r="CO168" s="95"/>
      <c r="CP168" s="51"/>
      <c r="CQ168" s="144"/>
      <c r="CR168" s="374"/>
      <c r="CS168" s="95">
        <f>SUM(CS169:CS170)</f>
        <v>0</v>
      </c>
      <c r="CT168" s="95"/>
      <c r="CU168" s="51"/>
      <c r="CV168" s="144"/>
      <c r="CW168" s="374"/>
      <c r="CX168" s="95">
        <f>SUM(CX169:CX170)</f>
        <v>0</v>
      </c>
      <c r="CY168" s="95"/>
      <c r="CZ168" s="51"/>
      <c r="DA168" s="144"/>
      <c r="DB168" s="374"/>
      <c r="DC168" s="95">
        <f>SUM(DC169:DC170)</f>
        <v>0</v>
      </c>
      <c r="DD168" s="95"/>
      <c r="DE168" s="51"/>
      <c r="DF168" s="144"/>
      <c r="DG168" s="374"/>
      <c r="DH168" s="95">
        <f>SUM(DH169:DH170)</f>
        <v>0</v>
      </c>
      <c r="DI168" s="95"/>
      <c r="DJ168" s="51"/>
      <c r="DK168" s="144"/>
      <c r="DL168" s="374"/>
      <c r="DM168" s="95">
        <f>SUM(DM169:DM170)</f>
        <v>0</v>
      </c>
      <c r="DN168" s="95"/>
      <c r="DO168" s="51"/>
      <c r="DP168" s="144"/>
      <c r="DQ168" s="374"/>
      <c r="DR168" s="95">
        <f>SUM(DR169:DR170)</f>
        <v>0</v>
      </c>
      <c r="DS168" s="95"/>
      <c r="DT168" s="51"/>
      <c r="DU168" s="144"/>
      <c r="DV168" s="374"/>
      <c r="DW168" s="95">
        <f>SUM(DW169:DW170)</f>
        <v>0</v>
      </c>
      <c r="DX168" s="95"/>
      <c r="DY168" s="51"/>
      <c r="DZ168" s="144"/>
      <c r="EA168" s="374"/>
      <c r="EB168" s="95">
        <f>SUM(EB169:EB170)</f>
        <v>0</v>
      </c>
      <c r="EC168" s="95"/>
      <c r="ED168" s="51"/>
      <c r="EE168" s="144"/>
      <c r="EF168" s="374"/>
      <c r="EG168" s="95">
        <f>SUM(EG169:EG170)</f>
        <v>0</v>
      </c>
      <c r="EH168" s="95"/>
      <c r="EI168" s="51"/>
      <c r="EJ168" s="144"/>
      <c r="EK168" s="374"/>
      <c r="EL168" s="95">
        <f>SUM(EL169:EL170)</f>
        <v>0</v>
      </c>
      <c r="EM168" s="95"/>
      <c r="EN168" s="51"/>
      <c r="EO168" s="340"/>
      <c r="ER168" s="39"/>
      <c r="ES168" s="39"/>
    </row>
    <row r="169" spans="1:149" ht="12.75" hidden="1" customHeight="1" x14ac:dyDescent="0.2">
      <c r="A169" s="317"/>
      <c r="B169" s="317"/>
      <c r="D169" s="340" t="s">
        <v>215</v>
      </c>
      <c r="F169" s="354"/>
      <c r="G169" s="430">
        <v>0</v>
      </c>
      <c r="H169" s="431"/>
      <c r="I169" s="51"/>
      <c r="J169" s="144"/>
      <c r="K169" s="354"/>
      <c r="L169" s="430">
        <v>0</v>
      </c>
      <c r="M169" s="431"/>
      <c r="N169" s="51"/>
      <c r="O169" s="144"/>
      <c r="P169" s="354"/>
      <c r="Q169" s="430">
        <v>0</v>
      </c>
      <c r="R169" s="431"/>
      <c r="S169" s="51"/>
      <c r="T169" s="144"/>
      <c r="U169" s="374"/>
      <c r="V169" s="430">
        <v>0</v>
      </c>
      <c r="W169" s="95"/>
      <c r="X169" s="51"/>
      <c r="Y169" s="144"/>
      <c r="Z169" s="354"/>
      <c r="AA169" s="430">
        <v>0</v>
      </c>
      <c r="AB169" s="431"/>
      <c r="AC169" s="51"/>
      <c r="AD169" s="144"/>
      <c r="AE169" s="354"/>
      <c r="AF169" s="430">
        <v>0</v>
      </c>
      <c r="AG169" s="431"/>
      <c r="AH169" s="51"/>
      <c r="AI169" s="144"/>
      <c r="AJ169" s="354"/>
      <c r="AK169" s="430">
        <v>0</v>
      </c>
      <c r="AL169" s="431"/>
      <c r="AM169" s="51"/>
      <c r="AN169" s="144"/>
      <c r="AO169" s="354"/>
      <c r="AP169" s="430">
        <v>0</v>
      </c>
      <c r="AQ169" s="431"/>
      <c r="AR169" s="51"/>
      <c r="AS169" s="144"/>
      <c r="AT169" s="354"/>
      <c r="AU169" s="430">
        <v>0</v>
      </c>
      <c r="AV169" s="431"/>
      <c r="AW169" s="51"/>
      <c r="AX169" s="144"/>
      <c r="AY169" s="354"/>
      <c r="AZ169" s="430">
        <v>0</v>
      </c>
      <c r="BA169" s="431"/>
      <c r="BB169" s="51"/>
      <c r="BC169" s="144"/>
      <c r="BD169" s="354"/>
      <c r="BE169" s="430">
        <v>0</v>
      </c>
      <c r="BF169" s="431"/>
      <c r="BG169" s="51"/>
      <c r="BH169" s="144"/>
      <c r="BI169" s="354"/>
      <c r="BJ169" s="430">
        <v>0</v>
      </c>
      <c r="BK169" s="431"/>
      <c r="BL169" s="51"/>
      <c r="BM169" s="144"/>
      <c r="BN169" s="354"/>
      <c r="BO169" s="430">
        <v>0</v>
      </c>
      <c r="BP169" s="431"/>
      <c r="BQ169" s="51"/>
      <c r="BR169" s="144"/>
      <c r="BS169" s="354"/>
      <c r="BT169" s="430">
        <f>SUM(L169:BO169)</f>
        <v>0</v>
      </c>
      <c r="BU169" s="431"/>
      <c r="BV169" s="51"/>
      <c r="BW169" s="144"/>
      <c r="BX169" s="432"/>
      <c r="BY169" s="430">
        <f>SUM(Q169:BT169)</f>
        <v>0</v>
      </c>
      <c r="BZ169" s="431"/>
      <c r="CA169" s="51"/>
      <c r="CB169" s="144"/>
      <c r="CC169" s="354"/>
      <c r="CD169" s="430">
        <v>0</v>
      </c>
      <c r="CE169" s="431"/>
      <c r="CF169" s="51"/>
      <c r="CG169" s="144"/>
      <c r="CH169" s="354"/>
      <c r="CI169" s="430">
        <v>0</v>
      </c>
      <c r="CJ169" s="431"/>
      <c r="CK169" s="51"/>
      <c r="CL169" s="144"/>
      <c r="CM169" s="374"/>
      <c r="CN169" s="430">
        <v>0</v>
      </c>
      <c r="CO169" s="95"/>
      <c r="CP169" s="51"/>
      <c r="CQ169" s="144"/>
      <c r="CR169" s="354"/>
      <c r="CS169" s="430">
        <v>0</v>
      </c>
      <c r="CT169" s="431"/>
      <c r="CU169" s="51"/>
      <c r="CV169" s="144"/>
      <c r="CW169" s="354"/>
      <c r="CX169" s="430">
        <v>0</v>
      </c>
      <c r="CY169" s="431"/>
      <c r="CZ169" s="51"/>
      <c r="DA169" s="144"/>
      <c r="DB169" s="354"/>
      <c r="DC169" s="430">
        <v>0</v>
      </c>
      <c r="DD169" s="431"/>
      <c r="DE169" s="51"/>
      <c r="DF169" s="144"/>
      <c r="DG169" s="354"/>
      <c r="DH169" s="430">
        <v>0</v>
      </c>
      <c r="DI169" s="431"/>
      <c r="DJ169" s="51"/>
      <c r="DK169" s="144"/>
      <c r="DL169" s="354"/>
      <c r="DM169" s="430">
        <v>0</v>
      </c>
      <c r="DN169" s="431"/>
      <c r="DO169" s="51"/>
      <c r="DP169" s="144"/>
      <c r="DQ169" s="354"/>
      <c r="DR169" s="430">
        <v>0</v>
      </c>
      <c r="DS169" s="431"/>
      <c r="DT169" s="51"/>
      <c r="DU169" s="144"/>
      <c r="DV169" s="354"/>
      <c r="DW169" s="430">
        <v>0</v>
      </c>
      <c r="DX169" s="431"/>
      <c r="DY169" s="51"/>
      <c r="DZ169" s="144"/>
      <c r="EA169" s="354"/>
      <c r="EB169" s="430">
        <v>0</v>
      </c>
      <c r="EC169" s="431"/>
      <c r="ED169" s="51"/>
      <c r="EE169" s="144"/>
      <c r="EF169" s="354"/>
      <c r="EG169" s="430">
        <v>0</v>
      </c>
      <c r="EH169" s="431"/>
      <c r="EI169" s="51"/>
      <c r="EJ169" s="144"/>
      <c r="EK169" s="354"/>
      <c r="EL169" s="430">
        <f>SUM(CD169:EG169)</f>
        <v>0</v>
      </c>
      <c r="EM169" s="431"/>
      <c r="EN169" s="51"/>
      <c r="EO169" s="340"/>
      <c r="ER169" s="39"/>
      <c r="ES169" s="39"/>
    </row>
    <row r="170" spans="1:149" hidden="1" x14ac:dyDescent="0.2">
      <c r="A170" s="317"/>
      <c r="B170" s="317"/>
      <c r="D170" s="340" t="s">
        <v>216</v>
      </c>
      <c r="F170" s="371"/>
      <c r="G170" s="95">
        <v>0</v>
      </c>
      <c r="H170" s="94"/>
      <c r="I170" s="51"/>
      <c r="J170" s="144"/>
      <c r="K170" s="371"/>
      <c r="L170" s="95">
        <v>0</v>
      </c>
      <c r="M170" s="94"/>
      <c r="N170" s="51"/>
      <c r="O170" s="144"/>
      <c r="P170" s="371"/>
      <c r="Q170" s="95">
        <v>0</v>
      </c>
      <c r="R170" s="94"/>
      <c r="S170" s="51"/>
      <c r="T170" s="144"/>
      <c r="U170" s="371"/>
      <c r="V170" s="95">
        <v>0</v>
      </c>
      <c r="W170" s="94"/>
      <c r="X170" s="51"/>
      <c r="Y170" s="144"/>
      <c r="Z170" s="371"/>
      <c r="AA170" s="95">
        <v>0</v>
      </c>
      <c r="AB170" s="94"/>
      <c r="AC170" s="51"/>
      <c r="AD170" s="144"/>
      <c r="AE170" s="371"/>
      <c r="AF170" s="95">
        <v>0</v>
      </c>
      <c r="AG170" s="94"/>
      <c r="AH170" s="51"/>
      <c r="AI170" s="144"/>
      <c r="AJ170" s="371"/>
      <c r="AK170" s="95">
        <v>0</v>
      </c>
      <c r="AL170" s="94"/>
      <c r="AM170" s="51"/>
      <c r="AN170" s="144"/>
      <c r="AO170" s="371"/>
      <c r="AP170" s="95">
        <v>0</v>
      </c>
      <c r="AQ170" s="94"/>
      <c r="AR170" s="51"/>
      <c r="AS170" s="144"/>
      <c r="AT170" s="187"/>
      <c r="AU170" s="95">
        <v>0</v>
      </c>
      <c r="AV170" s="94"/>
      <c r="AW170" s="51"/>
      <c r="AX170" s="144"/>
      <c r="AY170" s="187"/>
      <c r="AZ170" s="95">
        <v>0</v>
      </c>
      <c r="BA170" s="94"/>
      <c r="BB170" s="51"/>
      <c r="BC170" s="144"/>
      <c r="BD170" s="371"/>
      <c r="BE170" s="95">
        <v>0</v>
      </c>
      <c r="BF170" s="94"/>
      <c r="BG170" s="51"/>
      <c r="BH170" s="144"/>
      <c r="BI170" s="187"/>
      <c r="BJ170" s="95">
        <v>0</v>
      </c>
      <c r="BK170" s="94"/>
      <c r="BL170" s="51"/>
      <c r="BM170" s="144"/>
      <c r="BN170" s="187"/>
      <c r="BO170" s="95">
        <v>0</v>
      </c>
      <c r="BP170" s="94"/>
      <c r="BQ170" s="51"/>
      <c r="BR170" s="144"/>
      <c r="BS170" s="371"/>
      <c r="BT170" s="95">
        <f>SUM(L170:BO170)</f>
        <v>0</v>
      </c>
      <c r="BU170" s="94"/>
      <c r="BV170" s="51"/>
      <c r="BW170" s="144"/>
      <c r="BX170" s="371"/>
      <c r="BY170" s="95">
        <v>0</v>
      </c>
      <c r="BZ170" s="94"/>
      <c r="CA170" s="51"/>
      <c r="CB170" s="144"/>
      <c r="CC170" s="371"/>
      <c r="CD170" s="95">
        <v>0</v>
      </c>
      <c r="CE170" s="94"/>
      <c r="CF170" s="51"/>
      <c r="CG170" s="144"/>
      <c r="CH170" s="371"/>
      <c r="CI170" s="95">
        <v>0</v>
      </c>
      <c r="CJ170" s="94"/>
      <c r="CK170" s="51"/>
      <c r="CL170" s="144"/>
      <c r="CM170" s="371"/>
      <c r="CN170" s="95">
        <v>0</v>
      </c>
      <c r="CO170" s="94"/>
      <c r="CP170" s="51"/>
      <c r="CQ170" s="144"/>
      <c r="CR170" s="371"/>
      <c r="CS170" s="95">
        <v>0</v>
      </c>
      <c r="CT170" s="94"/>
      <c r="CU170" s="51"/>
      <c r="CV170" s="144"/>
      <c r="CW170" s="371"/>
      <c r="CX170" s="95">
        <v>0</v>
      </c>
      <c r="CY170" s="94"/>
      <c r="CZ170" s="51"/>
      <c r="DA170" s="144"/>
      <c r="DB170" s="371"/>
      <c r="DC170" s="95">
        <v>0</v>
      </c>
      <c r="DD170" s="94"/>
      <c r="DE170" s="51"/>
      <c r="DF170" s="144"/>
      <c r="DG170" s="371"/>
      <c r="DH170" s="95">
        <v>0</v>
      </c>
      <c r="DI170" s="94"/>
      <c r="DJ170" s="51"/>
      <c r="DK170" s="144"/>
      <c r="DL170" s="187"/>
      <c r="DM170" s="95">
        <v>0</v>
      </c>
      <c r="DN170" s="94"/>
      <c r="DO170" s="51"/>
      <c r="DP170" s="144"/>
      <c r="DQ170" s="187"/>
      <c r="DR170" s="95">
        <v>0</v>
      </c>
      <c r="DS170" s="94"/>
      <c r="DT170" s="51"/>
      <c r="DU170" s="144"/>
      <c r="DV170" s="371"/>
      <c r="DW170" s="95">
        <v>0</v>
      </c>
      <c r="DX170" s="94"/>
      <c r="DY170" s="51"/>
      <c r="DZ170" s="144"/>
      <c r="EA170" s="187"/>
      <c r="EB170" s="95">
        <v>0</v>
      </c>
      <c r="EC170" s="94"/>
      <c r="ED170" s="51"/>
      <c r="EE170" s="144"/>
      <c r="EF170" s="187"/>
      <c r="EG170" s="95">
        <v>0</v>
      </c>
      <c r="EH170" s="94"/>
      <c r="EI170" s="51"/>
      <c r="EJ170" s="144"/>
      <c r="EK170" s="371"/>
      <c r="EL170" s="95">
        <f>SUM(CD170:EG170)</f>
        <v>0</v>
      </c>
      <c r="EM170" s="94"/>
      <c r="EN170" s="51"/>
      <c r="EO170" s="340"/>
      <c r="ER170" s="39"/>
      <c r="ES170" s="39"/>
    </row>
    <row r="171" spans="1:149" hidden="1" x14ac:dyDescent="0.2">
      <c r="A171" s="317"/>
      <c r="B171" s="317"/>
      <c r="D171" s="340"/>
      <c r="F171" s="317"/>
      <c r="G171" s="51"/>
      <c r="H171" s="51"/>
      <c r="I171" s="51"/>
      <c r="J171" s="144"/>
      <c r="K171" s="51"/>
      <c r="L171" s="51"/>
      <c r="M171" s="51"/>
      <c r="N171" s="51"/>
      <c r="O171" s="144"/>
      <c r="P171" s="51"/>
      <c r="Q171" s="51"/>
      <c r="R171" s="51"/>
      <c r="S171" s="51"/>
      <c r="T171" s="144"/>
      <c r="U171" s="51"/>
      <c r="V171" s="51"/>
      <c r="W171" s="51"/>
      <c r="X171" s="51"/>
      <c r="Y171" s="144"/>
      <c r="Z171" s="51"/>
      <c r="AA171" s="51"/>
      <c r="AB171" s="51"/>
      <c r="AC171" s="51"/>
      <c r="AD171" s="144"/>
      <c r="AE171" s="51"/>
      <c r="AF171" s="51"/>
      <c r="AG171" s="51"/>
      <c r="AH171" s="51"/>
      <c r="AI171" s="144"/>
      <c r="AJ171" s="51"/>
      <c r="AK171" s="51"/>
      <c r="AL171" s="51"/>
      <c r="AM171" s="51"/>
      <c r="AN171" s="144"/>
      <c r="AO171" s="51"/>
      <c r="AP171" s="51"/>
      <c r="AQ171" s="51"/>
      <c r="AR171" s="51"/>
      <c r="AS171" s="144"/>
      <c r="AT171" s="51"/>
      <c r="AU171" s="51"/>
      <c r="AV171" s="51"/>
      <c r="AW171" s="51"/>
      <c r="AX171" s="144"/>
      <c r="AY171" s="51"/>
      <c r="AZ171" s="51"/>
      <c r="BA171" s="51"/>
      <c r="BB171" s="51"/>
      <c r="BC171" s="144"/>
      <c r="BD171" s="51"/>
      <c r="BE171" s="51"/>
      <c r="BF171" s="51"/>
      <c r="BG171" s="51"/>
      <c r="BH171" s="144"/>
      <c r="BI171" s="51"/>
      <c r="BJ171" s="51"/>
      <c r="BK171" s="51"/>
      <c r="BL171" s="51"/>
      <c r="BM171" s="144"/>
      <c r="BN171" s="51"/>
      <c r="BO171" s="51"/>
      <c r="BP171" s="51"/>
      <c r="BQ171" s="51"/>
      <c r="BR171" s="144"/>
      <c r="BS171" s="51"/>
      <c r="BT171" s="51"/>
      <c r="BU171" s="51"/>
      <c r="BV171" s="51"/>
      <c r="BW171" s="144"/>
      <c r="BX171" s="51"/>
      <c r="BY171" s="51"/>
      <c r="BZ171" s="51"/>
      <c r="CA171" s="51"/>
      <c r="CB171" s="144"/>
      <c r="CC171" s="51"/>
      <c r="CD171" s="51"/>
      <c r="CE171" s="51"/>
      <c r="CF171" s="51"/>
      <c r="CG171" s="144"/>
      <c r="CH171" s="51"/>
      <c r="CI171" s="51"/>
      <c r="CJ171" s="51"/>
      <c r="CK171" s="51"/>
      <c r="CL171" s="144"/>
      <c r="CM171" s="51"/>
      <c r="CN171" s="51"/>
      <c r="CO171" s="51"/>
      <c r="CP171" s="51"/>
      <c r="CQ171" s="144"/>
      <c r="CR171" s="51"/>
      <c r="CS171" s="51"/>
      <c r="CT171" s="51"/>
      <c r="CU171" s="51"/>
      <c r="CV171" s="144"/>
      <c r="CW171" s="51"/>
      <c r="CX171" s="51"/>
      <c r="CY171" s="51"/>
      <c r="CZ171" s="51"/>
      <c r="DA171" s="144"/>
      <c r="DB171" s="51"/>
      <c r="DC171" s="51"/>
      <c r="DD171" s="51"/>
      <c r="DE171" s="51"/>
      <c r="DF171" s="144"/>
      <c r="DG171" s="51"/>
      <c r="DH171" s="51"/>
      <c r="DI171" s="51"/>
      <c r="DJ171" s="51"/>
      <c r="DK171" s="144"/>
      <c r="DL171" s="51"/>
      <c r="DM171" s="51"/>
      <c r="DN171" s="51"/>
      <c r="DO171" s="51"/>
      <c r="DP171" s="144"/>
      <c r="DQ171" s="51"/>
      <c r="DR171" s="51"/>
      <c r="DS171" s="51"/>
      <c r="DT171" s="51"/>
      <c r="DU171" s="144"/>
      <c r="DV171" s="51"/>
      <c r="DW171" s="51"/>
      <c r="DX171" s="51"/>
      <c r="DY171" s="51"/>
      <c r="DZ171" s="144"/>
      <c r="EA171" s="51"/>
      <c r="EB171" s="51"/>
      <c r="EC171" s="51"/>
      <c r="ED171" s="51"/>
      <c r="EE171" s="144"/>
      <c r="EF171" s="51"/>
      <c r="EG171" s="51"/>
      <c r="EH171" s="51"/>
      <c r="EI171" s="51"/>
      <c r="EJ171" s="144"/>
      <c r="EK171" s="51"/>
      <c r="EL171" s="51"/>
      <c r="EM171" s="51"/>
      <c r="EN171" s="51"/>
      <c r="EO171" s="340"/>
      <c r="ER171" s="39"/>
      <c r="ES171" s="39"/>
    </row>
    <row r="172" spans="1:149" hidden="1" x14ac:dyDescent="0.2">
      <c r="A172" s="317"/>
      <c r="B172" s="317"/>
      <c r="D172" s="340" t="s">
        <v>217</v>
      </c>
      <c r="F172" s="317"/>
      <c r="G172" s="51">
        <f>SUM(G173:G179)</f>
        <v>0</v>
      </c>
      <c r="H172" s="51"/>
      <c r="I172" s="51"/>
      <c r="J172" s="144"/>
      <c r="K172" s="317"/>
      <c r="L172" s="51">
        <f>SUM(L173:L179)</f>
        <v>0</v>
      </c>
      <c r="M172" s="51"/>
      <c r="N172" s="51"/>
      <c r="O172" s="144"/>
      <c r="P172" s="317"/>
      <c r="Q172" s="51">
        <f>SUM(Q173:Q179)</f>
        <v>0</v>
      </c>
      <c r="R172" s="51"/>
      <c r="S172" s="51"/>
      <c r="T172" s="144"/>
      <c r="U172" s="317"/>
      <c r="V172" s="51">
        <f>SUM(V173:V179)</f>
        <v>0</v>
      </c>
      <c r="W172" s="51"/>
      <c r="X172" s="51"/>
      <c r="Y172" s="144"/>
      <c r="Z172" s="317"/>
      <c r="AA172" s="51">
        <f>SUM(AA173:AA179)</f>
        <v>0</v>
      </c>
      <c r="AB172" s="51"/>
      <c r="AC172" s="51"/>
      <c r="AD172" s="144"/>
      <c r="AE172" s="317"/>
      <c r="AF172" s="51">
        <f>SUM(AF173:AF179)</f>
        <v>0</v>
      </c>
      <c r="AG172" s="51"/>
      <c r="AH172" s="51"/>
      <c r="AI172" s="144"/>
      <c r="AJ172" s="317"/>
      <c r="AK172" s="51">
        <f>SUM(AK173:AK179)</f>
        <v>0</v>
      </c>
      <c r="AL172" s="51"/>
      <c r="AM172" s="51"/>
      <c r="AN172" s="144"/>
      <c r="AO172" s="317"/>
      <c r="AP172" s="51">
        <f>SUM(AP173:AP179)</f>
        <v>0</v>
      </c>
      <c r="AQ172" s="51"/>
      <c r="AR172" s="51"/>
      <c r="AS172" s="144"/>
      <c r="AT172" s="317"/>
      <c r="AU172" s="51">
        <f>SUM(AU173:AU179)</f>
        <v>0</v>
      </c>
      <c r="AV172" s="51"/>
      <c r="AW172" s="51"/>
      <c r="AX172" s="144"/>
      <c r="AY172" s="317"/>
      <c r="AZ172" s="51">
        <f>SUM(AZ173:AZ179)</f>
        <v>0</v>
      </c>
      <c r="BA172" s="51"/>
      <c r="BB172" s="51"/>
      <c r="BC172" s="144"/>
      <c r="BD172" s="317"/>
      <c r="BE172" s="51">
        <f>SUM(BE173:BE179)</f>
        <v>0</v>
      </c>
      <c r="BF172" s="51"/>
      <c r="BG172" s="51"/>
      <c r="BH172" s="144"/>
      <c r="BI172" s="317"/>
      <c r="BJ172" s="51">
        <f>SUM(BJ173:BJ179)</f>
        <v>0</v>
      </c>
      <c r="BK172" s="51"/>
      <c r="BL172" s="51"/>
      <c r="BM172" s="144"/>
      <c r="BN172" s="317"/>
      <c r="BO172" s="51">
        <f>SUM(BO173:BO179)</f>
        <v>0</v>
      </c>
      <c r="BP172" s="51"/>
      <c r="BQ172" s="51"/>
      <c r="BR172" s="144"/>
      <c r="BS172" s="317"/>
      <c r="BT172" s="51">
        <f>SUM(BT173:BT179)</f>
        <v>0</v>
      </c>
      <c r="BU172" s="51"/>
      <c r="BV172" s="51"/>
      <c r="BW172" s="144"/>
      <c r="BX172" s="317"/>
      <c r="BY172" s="51">
        <f>SUM(BY173:BY179)</f>
        <v>0</v>
      </c>
      <c r="BZ172" s="51"/>
      <c r="CA172" s="51"/>
      <c r="CB172" s="144"/>
      <c r="CC172" s="317"/>
      <c r="CD172" s="51">
        <f>SUM(CD173:CD179)</f>
        <v>0</v>
      </c>
      <c r="CE172" s="51"/>
      <c r="CF172" s="51"/>
      <c r="CG172" s="144"/>
      <c r="CH172" s="317"/>
      <c r="CI172" s="51">
        <f>SUM(CI173:CI179)</f>
        <v>0</v>
      </c>
      <c r="CJ172" s="51"/>
      <c r="CK172" s="51"/>
      <c r="CL172" s="144"/>
      <c r="CM172" s="317"/>
      <c r="CN172" s="51">
        <f>SUM(CN173:CN179)</f>
        <v>0</v>
      </c>
      <c r="CO172" s="51"/>
      <c r="CP172" s="51"/>
      <c r="CQ172" s="144"/>
      <c r="CR172" s="317"/>
      <c r="CS172" s="51">
        <f>SUM(CS173:CS179)</f>
        <v>0</v>
      </c>
      <c r="CT172" s="51"/>
      <c r="CU172" s="51"/>
      <c r="CV172" s="144"/>
      <c r="CW172" s="317"/>
      <c r="CX172" s="51">
        <f>SUM(CX173:CX179)</f>
        <v>0</v>
      </c>
      <c r="CY172" s="51"/>
      <c r="CZ172" s="51"/>
      <c r="DA172" s="144"/>
      <c r="DB172" s="317"/>
      <c r="DC172" s="51">
        <f>SUM(DC173:DC179)</f>
        <v>0</v>
      </c>
      <c r="DD172" s="51"/>
      <c r="DE172" s="51"/>
      <c r="DF172" s="144"/>
      <c r="DG172" s="317"/>
      <c r="DH172" s="51">
        <f>SUM(DH173:DH179)</f>
        <v>0</v>
      </c>
      <c r="DI172" s="51"/>
      <c r="DJ172" s="51"/>
      <c r="DK172" s="144"/>
      <c r="DL172" s="317"/>
      <c r="DM172" s="51">
        <f>SUM(DM173:DM179)</f>
        <v>0</v>
      </c>
      <c r="DN172" s="51"/>
      <c r="DO172" s="51"/>
      <c r="DP172" s="144"/>
      <c r="DQ172" s="317"/>
      <c r="DR172" s="51">
        <f>SUM(DR173:DR179)</f>
        <v>0</v>
      </c>
      <c r="DS172" s="51"/>
      <c r="DT172" s="51"/>
      <c r="DU172" s="144"/>
      <c r="DV172" s="317"/>
      <c r="DW172" s="51">
        <f>SUM(DW173:DW179)</f>
        <v>0</v>
      </c>
      <c r="DX172" s="51"/>
      <c r="DY172" s="51"/>
      <c r="DZ172" s="144"/>
      <c r="EA172" s="317"/>
      <c r="EB172" s="51">
        <f>SUM(EB173:EB179)</f>
        <v>0</v>
      </c>
      <c r="EC172" s="51"/>
      <c r="ED172" s="51"/>
      <c r="EE172" s="144"/>
      <c r="EF172" s="317"/>
      <c r="EG172" s="51">
        <f>SUM(EG173:EG179)</f>
        <v>0</v>
      </c>
      <c r="EH172" s="51"/>
      <c r="EI172" s="51"/>
      <c r="EJ172" s="144"/>
      <c r="EK172" s="317"/>
      <c r="EL172" s="51">
        <f>SUM(EL173:EL179)</f>
        <v>0</v>
      </c>
      <c r="EM172" s="51"/>
      <c r="EN172" s="51"/>
      <c r="EO172" s="340"/>
      <c r="ER172" s="39"/>
      <c r="ES172" s="39"/>
    </row>
    <row r="173" spans="1:149" hidden="1" x14ac:dyDescent="0.2">
      <c r="A173" s="317"/>
      <c r="B173" s="317"/>
      <c r="D173" s="340" t="s">
        <v>218</v>
      </c>
      <c r="F173" s="454"/>
      <c r="G173" s="430">
        <v>0</v>
      </c>
      <c r="H173" s="431"/>
      <c r="I173" s="51"/>
      <c r="J173" s="144"/>
      <c r="K173" s="454"/>
      <c r="L173" s="430">
        <v>0</v>
      </c>
      <c r="M173" s="431"/>
      <c r="N173" s="51"/>
      <c r="O173" s="144"/>
      <c r="P173" s="454"/>
      <c r="Q173" s="430">
        <v>0</v>
      </c>
      <c r="R173" s="431"/>
      <c r="S173" s="51"/>
      <c r="T173" s="144"/>
      <c r="U173" s="454"/>
      <c r="V173" s="430">
        <v>0</v>
      </c>
      <c r="W173" s="431"/>
      <c r="X173" s="51"/>
      <c r="Y173" s="144"/>
      <c r="Z173" s="454"/>
      <c r="AA173" s="430">
        <v>0</v>
      </c>
      <c r="AB173" s="431"/>
      <c r="AC173" s="51"/>
      <c r="AD173" s="144"/>
      <c r="AE173" s="354"/>
      <c r="AF173" s="455">
        <v>0</v>
      </c>
      <c r="AG173" s="431"/>
      <c r="AH173" s="51"/>
      <c r="AI173" s="144"/>
      <c r="AJ173" s="454"/>
      <c r="AK173" s="430">
        <v>0</v>
      </c>
      <c r="AL173" s="431"/>
      <c r="AM173" s="51"/>
      <c r="AN173" s="144"/>
      <c r="AO173" s="454"/>
      <c r="AP173" s="430">
        <v>0</v>
      </c>
      <c r="AQ173" s="431"/>
      <c r="AR173" s="51"/>
      <c r="AS173" s="144"/>
      <c r="AT173" s="454"/>
      <c r="AU173" s="430">
        <v>0</v>
      </c>
      <c r="AV173" s="431"/>
      <c r="AW173" s="51"/>
      <c r="AX173" s="144"/>
      <c r="AY173" s="454"/>
      <c r="AZ173" s="430">
        <v>0</v>
      </c>
      <c r="BA173" s="431"/>
      <c r="BB173" s="51"/>
      <c r="BC173" s="144"/>
      <c r="BD173" s="454"/>
      <c r="BE173" s="430">
        <v>0</v>
      </c>
      <c r="BF173" s="431"/>
      <c r="BG173" s="51"/>
      <c r="BH173" s="144"/>
      <c r="BI173" s="454"/>
      <c r="BJ173" s="430">
        <v>0</v>
      </c>
      <c r="BK173" s="431"/>
      <c r="BL173" s="51"/>
      <c r="BM173" s="144"/>
      <c r="BN173" s="454"/>
      <c r="BO173" s="430">
        <v>0</v>
      </c>
      <c r="BP173" s="431"/>
      <c r="BQ173" s="51"/>
      <c r="BR173" s="144"/>
      <c r="BS173" s="454"/>
      <c r="BT173" s="430">
        <f>SUM(L173:BO173)</f>
        <v>0</v>
      </c>
      <c r="BU173" s="431"/>
      <c r="BV173" s="51"/>
      <c r="BW173" s="144"/>
      <c r="BX173" s="454"/>
      <c r="BY173" s="430">
        <v>0</v>
      </c>
      <c r="BZ173" s="431"/>
      <c r="CA173" s="51"/>
      <c r="CB173" s="144"/>
      <c r="CC173" s="454"/>
      <c r="CD173" s="430">
        <v>0</v>
      </c>
      <c r="CE173" s="431"/>
      <c r="CF173" s="51"/>
      <c r="CG173" s="144"/>
      <c r="CH173" s="454"/>
      <c r="CI173" s="430">
        <v>0</v>
      </c>
      <c r="CJ173" s="431"/>
      <c r="CK173" s="51"/>
      <c r="CL173" s="144"/>
      <c r="CM173" s="454"/>
      <c r="CN173" s="430">
        <v>0</v>
      </c>
      <c r="CO173" s="431"/>
      <c r="CP173" s="51"/>
      <c r="CQ173" s="144"/>
      <c r="CR173" s="454"/>
      <c r="CS173" s="430">
        <v>0</v>
      </c>
      <c r="CT173" s="431"/>
      <c r="CU173" s="51"/>
      <c r="CV173" s="144"/>
      <c r="CW173" s="354"/>
      <c r="CX173" s="455">
        <v>0</v>
      </c>
      <c r="CY173" s="431"/>
      <c r="CZ173" s="51"/>
      <c r="DA173" s="144"/>
      <c r="DB173" s="454"/>
      <c r="DC173" s="430">
        <v>0</v>
      </c>
      <c r="DD173" s="431"/>
      <c r="DE173" s="51"/>
      <c r="DF173" s="144"/>
      <c r="DG173" s="454"/>
      <c r="DH173" s="430">
        <v>0</v>
      </c>
      <c r="DI173" s="431"/>
      <c r="DJ173" s="51"/>
      <c r="DK173" s="144"/>
      <c r="DL173" s="454"/>
      <c r="DM173" s="430">
        <v>0</v>
      </c>
      <c r="DN173" s="431"/>
      <c r="DO173" s="51"/>
      <c r="DP173" s="144"/>
      <c r="DQ173" s="454"/>
      <c r="DR173" s="430">
        <v>0</v>
      </c>
      <c r="DS173" s="431"/>
      <c r="DT173" s="51"/>
      <c r="DU173" s="144"/>
      <c r="DV173" s="454"/>
      <c r="DW173" s="430">
        <v>0</v>
      </c>
      <c r="DX173" s="431"/>
      <c r="DY173" s="51"/>
      <c r="DZ173" s="144"/>
      <c r="EA173" s="454"/>
      <c r="EB173" s="430">
        <v>0</v>
      </c>
      <c r="EC173" s="431"/>
      <c r="ED173" s="51"/>
      <c r="EE173" s="144"/>
      <c r="EF173" s="454"/>
      <c r="EG173" s="430">
        <v>0</v>
      </c>
      <c r="EH173" s="431"/>
      <c r="EI173" s="51"/>
      <c r="EJ173" s="144"/>
      <c r="EK173" s="454"/>
      <c r="EL173" s="430">
        <f t="shared" ref="EL173:EL179" si="16">SUM(CD173:EG173)</f>
        <v>0</v>
      </c>
      <c r="EM173" s="431"/>
      <c r="EN173" s="51"/>
      <c r="EO173" s="340"/>
      <c r="ER173" s="39"/>
      <c r="ES173" s="39"/>
    </row>
    <row r="174" spans="1:149" hidden="1" x14ac:dyDescent="0.2">
      <c r="A174" s="317"/>
      <c r="B174" s="317"/>
      <c r="D174" s="340" t="s">
        <v>219</v>
      </c>
      <c r="F174" s="456"/>
      <c r="G174" s="51">
        <v>0</v>
      </c>
      <c r="H174" s="50"/>
      <c r="I174" s="51"/>
      <c r="J174" s="144"/>
      <c r="K174" s="456"/>
      <c r="L174" s="51">
        <v>0</v>
      </c>
      <c r="M174" s="50"/>
      <c r="N174" s="51"/>
      <c r="O174" s="144"/>
      <c r="P174" s="456"/>
      <c r="Q174" s="51">
        <v>0</v>
      </c>
      <c r="R174" s="50"/>
      <c r="S174" s="51"/>
      <c r="T174" s="144"/>
      <c r="U174" s="456"/>
      <c r="V174" s="51">
        <v>0</v>
      </c>
      <c r="W174" s="50"/>
      <c r="X174" s="51"/>
      <c r="Y174" s="144"/>
      <c r="Z174" s="456"/>
      <c r="AA174" s="51">
        <v>0</v>
      </c>
      <c r="AB174" s="50"/>
      <c r="AC174" s="51"/>
      <c r="AD174" s="144"/>
      <c r="AE174" s="347"/>
      <c r="AF174" s="665">
        <v>0</v>
      </c>
      <c r="AG174" s="50"/>
      <c r="AH174" s="51"/>
      <c r="AI174" s="144"/>
      <c r="AJ174" s="456"/>
      <c r="AK174" s="51">
        <v>0</v>
      </c>
      <c r="AL174" s="50"/>
      <c r="AM174" s="51"/>
      <c r="AN174" s="144"/>
      <c r="AO174" s="456"/>
      <c r="AP174" s="51">
        <v>0</v>
      </c>
      <c r="AQ174" s="50"/>
      <c r="AR174" s="51"/>
      <c r="AS174" s="144"/>
      <c r="AT174" s="456"/>
      <c r="AU174" s="51">
        <v>0</v>
      </c>
      <c r="AV174" s="50"/>
      <c r="AW174" s="51"/>
      <c r="AX174" s="144"/>
      <c r="AY174" s="456"/>
      <c r="AZ174" s="51">
        <v>0</v>
      </c>
      <c r="BA174" s="50"/>
      <c r="BB174" s="51"/>
      <c r="BC174" s="144"/>
      <c r="BD174" s="456"/>
      <c r="BE174" s="51">
        <v>0</v>
      </c>
      <c r="BF174" s="50"/>
      <c r="BG174" s="51"/>
      <c r="BH174" s="144"/>
      <c r="BI174" s="456"/>
      <c r="BJ174" s="51">
        <v>0</v>
      </c>
      <c r="BK174" s="50"/>
      <c r="BL174" s="51"/>
      <c r="BM174" s="144"/>
      <c r="BN174" s="456"/>
      <c r="BO174" s="51">
        <v>0</v>
      </c>
      <c r="BP174" s="50"/>
      <c r="BQ174" s="51"/>
      <c r="BR174" s="144"/>
      <c r="BS174" s="456"/>
      <c r="BT174" s="51">
        <f t="shared" ref="BT174:BT179" si="17">SUM(L174:BO174)</f>
        <v>0</v>
      </c>
      <c r="BU174" s="50"/>
      <c r="BV174" s="51"/>
      <c r="BW174" s="144"/>
      <c r="BX174" s="456"/>
      <c r="BY174" s="51">
        <v>0</v>
      </c>
      <c r="BZ174" s="50"/>
      <c r="CA174" s="51"/>
      <c r="CB174" s="144"/>
      <c r="CC174" s="456"/>
      <c r="CD174" s="51">
        <v>0</v>
      </c>
      <c r="CE174" s="50"/>
      <c r="CF174" s="51"/>
      <c r="CG174" s="144"/>
      <c r="CH174" s="456"/>
      <c r="CI174" s="51">
        <v>0</v>
      </c>
      <c r="CJ174" s="50"/>
      <c r="CK174" s="51"/>
      <c r="CL174" s="144"/>
      <c r="CM174" s="456"/>
      <c r="CN174" s="51">
        <v>0</v>
      </c>
      <c r="CO174" s="50"/>
      <c r="CP174" s="51"/>
      <c r="CQ174" s="144"/>
      <c r="CR174" s="456"/>
      <c r="CS174" s="51">
        <v>0</v>
      </c>
      <c r="CT174" s="50"/>
      <c r="CU174" s="51"/>
      <c r="CV174" s="144"/>
      <c r="CW174" s="347"/>
      <c r="CX174" s="665">
        <v>0</v>
      </c>
      <c r="CY174" s="50"/>
      <c r="CZ174" s="51"/>
      <c r="DA174" s="144"/>
      <c r="DB174" s="456"/>
      <c r="DC174" s="51">
        <v>0</v>
      </c>
      <c r="DD174" s="50"/>
      <c r="DE174" s="51"/>
      <c r="DF174" s="144"/>
      <c r="DG174" s="456"/>
      <c r="DH174" s="51">
        <v>0</v>
      </c>
      <c r="DI174" s="50"/>
      <c r="DJ174" s="51"/>
      <c r="DK174" s="144"/>
      <c r="DL174" s="456"/>
      <c r="DM174" s="51">
        <v>0</v>
      </c>
      <c r="DN174" s="50"/>
      <c r="DO174" s="51"/>
      <c r="DP174" s="144"/>
      <c r="DQ174" s="456"/>
      <c r="DR174" s="51">
        <v>0</v>
      </c>
      <c r="DS174" s="50"/>
      <c r="DT174" s="51"/>
      <c r="DU174" s="144"/>
      <c r="DV174" s="456"/>
      <c r="DW174" s="51">
        <v>0</v>
      </c>
      <c r="DX174" s="50"/>
      <c r="DY174" s="51"/>
      <c r="DZ174" s="144"/>
      <c r="EA174" s="456"/>
      <c r="EB174" s="51">
        <v>0</v>
      </c>
      <c r="EC174" s="50"/>
      <c r="ED174" s="51"/>
      <c r="EE174" s="144"/>
      <c r="EF174" s="456"/>
      <c r="EG174" s="51">
        <v>0</v>
      </c>
      <c r="EH174" s="50"/>
      <c r="EI174" s="51"/>
      <c r="EJ174" s="144"/>
      <c r="EK174" s="456"/>
      <c r="EL174" s="51">
        <f>SUM(CD174:EG174)</f>
        <v>0</v>
      </c>
      <c r="EM174" s="50"/>
      <c r="EN174" s="51"/>
      <c r="EO174" s="340"/>
      <c r="ER174" s="39"/>
      <c r="ES174" s="39"/>
    </row>
    <row r="175" spans="1:149" hidden="1" x14ac:dyDescent="0.2">
      <c r="A175" s="317"/>
      <c r="B175" s="317"/>
      <c r="D175" s="340" t="s">
        <v>220</v>
      </c>
      <c r="F175" s="456"/>
      <c r="G175" s="51">
        <v>0</v>
      </c>
      <c r="H175" s="50"/>
      <c r="I175" s="51"/>
      <c r="J175" s="144"/>
      <c r="K175" s="456"/>
      <c r="L175" s="51">
        <v>0</v>
      </c>
      <c r="M175" s="50"/>
      <c r="N175" s="51"/>
      <c r="O175" s="144"/>
      <c r="P175" s="456"/>
      <c r="Q175" s="51">
        <v>0</v>
      </c>
      <c r="R175" s="50"/>
      <c r="S175" s="51"/>
      <c r="T175" s="144"/>
      <c r="U175" s="456"/>
      <c r="V175" s="51">
        <v>0</v>
      </c>
      <c r="W175" s="50"/>
      <c r="X175" s="51"/>
      <c r="Y175" s="144"/>
      <c r="Z175" s="456"/>
      <c r="AA175" s="51">
        <v>0</v>
      </c>
      <c r="AB175" s="50"/>
      <c r="AC175" s="51"/>
      <c r="AD175" s="144"/>
      <c r="AE175" s="347"/>
      <c r="AF175" s="665">
        <v>0</v>
      </c>
      <c r="AG175" s="50"/>
      <c r="AH175" s="51"/>
      <c r="AI175" s="144"/>
      <c r="AJ175" s="456"/>
      <c r="AK175" s="51">
        <v>0</v>
      </c>
      <c r="AL175" s="50"/>
      <c r="AM175" s="51"/>
      <c r="AN175" s="144"/>
      <c r="AO175" s="456"/>
      <c r="AP175" s="51">
        <v>0</v>
      </c>
      <c r="AQ175" s="50"/>
      <c r="AR175" s="51"/>
      <c r="AS175" s="144"/>
      <c r="AT175" s="456"/>
      <c r="AU175" s="51">
        <v>0</v>
      </c>
      <c r="AV175" s="50"/>
      <c r="AW175" s="51"/>
      <c r="AX175" s="144"/>
      <c r="AY175" s="456"/>
      <c r="AZ175" s="51">
        <v>0</v>
      </c>
      <c r="BA175" s="50"/>
      <c r="BB175" s="51"/>
      <c r="BC175" s="144"/>
      <c r="BD175" s="456"/>
      <c r="BE175" s="51">
        <v>0</v>
      </c>
      <c r="BF175" s="50"/>
      <c r="BG175" s="51"/>
      <c r="BH175" s="144"/>
      <c r="BI175" s="456"/>
      <c r="BJ175" s="51">
        <v>0</v>
      </c>
      <c r="BK175" s="50"/>
      <c r="BL175" s="51"/>
      <c r="BM175" s="144"/>
      <c r="BN175" s="456"/>
      <c r="BO175" s="51">
        <v>0</v>
      </c>
      <c r="BP175" s="50"/>
      <c r="BQ175" s="51"/>
      <c r="BR175" s="144"/>
      <c r="BS175" s="456"/>
      <c r="BT175" s="51">
        <f>SUM(L175:BO175)</f>
        <v>0</v>
      </c>
      <c r="BU175" s="50"/>
      <c r="BV175" s="51"/>
      <c r="BW175" s="144"/>
      <c r="BX175" s="456"/>
      <c r="BY175" s="51">
        <v>0</v>
      </c>
      <c r="BZ175" s="50"/>
      <c r="CA175" s="51"/>
      <c r="CB175" s="144"/>
      <c r="CC175" s="456"/>
      <c r="CD175" s="51">
        <v>0</v>
      </c>
      <c r="CE175" s="50"/>
      <c r="CF175" s="51"/>
      <c r="CG175" s="144"/>
      <c r="CH175" s="456"/>
      <c r="CI175" s="51">
        <v>0</v>
      </c>
      <c r="CJ175" s="50"/>
      <c r="CK175" s="51"/>
      <c r="CL175" s="144"/>
      <c r="CM175" s="456"/>
      <c r="CN175" s="51">
        <v>0</v>
      </c>
      <c r="CO175" s="50"/>
      <c r="CP175" s="51"/>
      <c r="CQ175" s="144"/>
      <c r="CR175" s="456"/>
      <c r="CS175" s="51">
        <v>0</v>
      </c>
      <c r="CT175" s="50"/>
      <c r="CU175" s="51"/>
      <c r="CV175" s="144"/>
      <c r="CW175" s="347"/>
      <c r="CX175" s="665">
        <v>0</v>
      </c>
      <c r="CY175" s="50"/>
      <c r="CZ175" s="51"/>
      <c r="DA175" s="144"/>
      <c r="DB175" s="456"/>
      <c r="DC175" s="51">
        <v>0</v>
      </c>
      <c r="DD175" s="50"/>
      <c r="DE175" s="51"/>
      <c r="DF175" s="144"/>
      <c r="DG175" s="456"/>
      <c r="DH175" s="51">
        <v>0</v>
      </c>
      <c r="DI175" s="50"/>
      <c r="DJ175" s="51"/>
      <c r="DK175" s="144"/>
      <c r="DL175" s="456"/>
      <c r="DM175" s="51">
        <v>0</v>
      </c>
      <c r="DN175" s="50"/>
      <c r="DO175" s="51"/>
      <c r="DP175" s="144"/>
      <c r="DQ175" s="456"/>
      <c r="DR175" s="51">
        <v>0</v>
      </c>
      <c r="DS175" s="50"/>
      <c r="DT175" s="51"/>
      <c r="DU175" s="144"/>
      <c r="DV175" s="456"/>
      <c r="DW175" s="51">
        <v>0</v>
      </c>
      <c r="DX175" s="50"/>
      <c r="DY175" s="51"/>
      <c r="DZ175" s="144"/>
      <c r="EA175" s="456"/>
      <c r="EB175" s="51">
        <v>0</v>
      </c>
      <c r="EC175" s="50"/>
      <c r="ED175" s="51"/>
      <c r="EE175" s="144"/>
      <c r="EF175" s="456"/>
      <c r="EG175" s="51">
        <v>0</v>
      </c>
      <c r="EH175" s="50"/>
      <c r="EI175" s="51"/>
      <c r="EJ175" s="144"/>
      <c r="EK175" s="456"/>
      <c r="EL175" s="51">
        <f t="shared" si="16"/>
        <v>0</v>
      </c>
      <c r="EM175" s="50"/>
      <c r="EN175" s="51"/>
      <c r="EO175" s="340"/>
      <c r="ER175" s="39"/>
      <c r="ES175" s="39"/>
    </row>
    <row r="176" spans="1:149" hidden="1" x14ac:dyDescent="0.2">
      <c r="A176" s="317"/>
      <c r="B176" s="317"/>
      <c r="D176" s="340" t="s">
        <v>221</v>
      </c>
      <c r="F176" s="347"/>
      <c r="G176" s="51">
        <v>0</v>
      </c>
      <c r="H176" s="50"/>
      <c r="I176" s="51"/>
      <c r="J176" s="144"/>
      <c r="K176" s="347"/>
      <c r="L176" s="51">
        <v>0</v>
      </c>
      <c r="M176" s="50"/>
      <c r="N176" s="51"/>
      <c r="O176" s="144"/>
      <c r="P176" s="347"/>
      <c r="Q176" s="51">
        <v>0</v>
      </c>
      <c r="R176" s="50"/>
      <c r="S176" s="51"/>
      <c r="T176" s="144"/>
      <c r="U176" s="347"/>
      <c r="V176" s="51">
        <v>0</v>
      </c>
      <c r="W176" s="50"/>
      <c r="X176" s="51"/>
      <c r="Y176" s="144"/>
      <c r="Z176" s="347"/>
      <c r="AA176" s="51">
        <v>0</v>
      </c>
      <c r="AB176" s="50"/>
      <c r="AC176" s="51"/>
      <c r="AD176" s="144"/>
      <c r="AE176" s="347"/>
      <c r="AF176" s="51">
        <v>0</v>
      </c>
      <c r="AG176" s="50"/>
      <c r="AH176" s="51"/>
      <c r="AI176" s="144"/>
      <c r="AJ176" s="347"/>
      <c r="AK176" s="51">
        <v>0</v>
      </c>
      <c r="AL176" s="50"/>
      <c r="AM176" s="51"/>
      <c r="AN176" s="144"/>
      <c r="AO176" s="347"/>
      <c r="AP176" s="51">
        <v>0</v>
      </c>
      <c r="AQ176" s="50"/>
      <c r="AR176" s="51"/>
      <c r="AS176" s="144"/>
      <c r="AT176" s="347"/>
      <c r="AU176" s="51">
        <v>0</v>
      </c>
      <c r="AV176" s="50"/>
      <c r="AW176" s="51"/>
      <c r="AX176" s="144"/>
      <c r="AY176" s="347"/>
      <c r="AZ176" s="51">
        <v>0</v>
      </c>
      <c r="BA176" s="50"/>
      <c r="BB176" s="51"/>
      <c r="BC176" s="144"/>
      <c r="BD176" s="347"/>
      <c r="BE176" s="51">
        <v>0</v>
      </c>
      <c r="BF176" s="50"/>
      <c r="BG176" s="51"/>
      <c r="BH176" s="144"/>
      <c r="BI176" s="347"/>
      <c r="BJ176" s="51">
        <v>0</v>
      </c>
      <c r="BK176" s="50"/>
      <c r="BL176" s="51"/>
      <c r="BM176" s="144"/>
      <c r="BN176" s="347"/>
      <c r="BO176" s="51">
        <v>0</v>
      </c>
      <c r="BP176" s="50"/>
      <c r="BQ176" s="51"/>
      <c r="BR176" s="144"/>
      <c r="BS176" s="347"/>
      <c r="BT176" s="51">
        <f t="shared" si="17"/>
        <v>0</v>
      </c>
      <c r="BU176" s="50"/>
      <c r="BV176" s="51"/>
      <c r="BW176" s="144"/>
      <c r="BX176" s="347"/>
      <c r="BY176" s="51">
        <v>0</v>
      </c>
      <c r="BZ176" s="50"/>
      <c r="CA176" s="51"/>
      <c r="CB176" s="144"/>
      <c r="CC176" s="347"/>
      <c r="CD176" s="51">
        <v>0</v>
      </c>
      <c r="CE176" s="50"/>
      <c r="CF176" s="51"/>
      <c r="CG176" s="144"/>
      <c r="CH176" s="347"/>
      <c r="CI176" s="51">
        <v>0</v>
      </c>
      <c r="CJ176" s="50"/>
      <c r="CK176" s="51"/>
      <c r="CL176" s="144"/>
      <c r="CM176" s="347"/>
      <c r="CN176" s="51">
        <v>0</v>
      </c>
      <c r="CO176" s="50"/>
      <c r="CP176" s="51"/>
      <c r="CQ176" s="144"/>
      <c r="CR176" s="347"/>
      <c r="CS176" s="51">
        <v>0</v>
      </c>
      <c r="CT176" s="50"/>
      <c r="CU176" s="51"/>
      <c r="CV176" s="144"/>
      <c r="CW176" s="347"/>
      <c r="CX176" s="51">
        <v>0</v>
      </c>
      <c r="CY176" s="50"/>
      <c r="CZ176" s="51"/>
      <c r="DA176" s="144"/>
      <c r="DB176" s="347"/>
      <c r="DC176" s="51">
        <v>0</v>
      </c>
      <c r="DD176" s="50"/>
      <c r="DE176" s="51"/>
      <c r="DF176" s="144"/>
      <c r="DG176" s="347"/>
      <c r="DH176" s="51">
        <v>0</v>
      </c>
      <c r="DI176" s="50"/>
      <c r="DJ176" s="51"/>
      <c r="DK176" s="144"/>
      <c r="DL176" s="347"/>
      <c r="DM176" s="51">
        <v>0</v>
      </c>
      <c r="DN176" s="50"/>
      <c r="DO176" s="51"/>
      <c r="DP176" s="144"/>
      <c r="DQ176" s="347"/>
      <c r="DR176" s="51">
        <v>0</v>
      </c>
      <c r="DS176" s="50"/>
      <c r="DT176" s="51"/>
      <c r="DU176" s="144"/>
      <c r="DV176" s="347"/>
      <c r="DW176" s="51">
        <v>0</v>
      </c>
      <c r="DX176" s="50"/>
      <c r="DY176" s="51"/>
      <c r="DZ176" s="144"/>
      <c r="EA176" s="347"/>
      <c r="EB176" s="51">
        <v>0</v>
      </c>
      <c r="EC176" s="50"/>
      <c r="ED176" s="51"/>
      <c r="EE176" s="144"/>
      <c r="EF176" s="347"/>
      <c r="EG176" s="51">
        <v>0</v>
      </c>
      <c r="EH176" s="50"/>
      <c r="EI176" s="51"/>
      <c r="EJ176" s="144"/>
      <c r="EK176" s="347"/>
      <c r="EL176" s="51">
        <f t="shared" si="16"/>
        <v>0</v>
      </c>
      <c r="EM176" s="50"/>
      <c r="EN176" s="51"/>
      <c r="EO176" s="340"/>
      <c r="ER176" s="39"/>
      <c r="ES176" s="39"/>
    </row>
    <row r="177" spans="1:149" ht="12.75" hidden="1" customHeight="1" x14ac:dyDescent="0.2">
      <c r="A177" s="317"/>
      <c r="B177" s="317"/>
      <c r="D177" s="340" t="s">
        <v>222</v>
      </c>
      <c r="F177" s="347"/>
      <c r="G177" s="51">
        <v>0</v>
      </c>
      <c r="H177" s="50"/>
      <c r="I177" s="51"/>
      <c r="J177" s="144"/>
      <c r="K177" s="347"/>
      <c r="L177" s="51"/>
      <c r="M177" s="50"/>
      <c r="N177" s="51"/>
      <c r="O177" s="144"/>
      <c r="P177" s="347"/>
      <c r="Q177" s="51"/>
      <c r="R177" s="50"/>
      <c r="S177" s="51"/>
      <c r="T177" s="144"/>
      <c r="U177" s="347"/>
      <c r="V177" s="51"/>
      <c r="W177" s="50"/>
      <c r="X177" s="51"/>
      <c r="Y177" s="144"/>
      <c r="Z177" s="347"/>
      <c r="AA177" s="51"/>
      <c r="AB177" s="50"/>
      <c r="AC177" s="51"/>
      <c r="AD177" s="144"/>
      <c r="AE177" s="347"/>
      <c r="AF177" s="51"/>
      <c r="AG177" s="50"/>
      <c r="AH177" s="51"/>
      <c r="AI177" s="144"/>
      <c r="AJ177" s="347"/>
      <c r="AK177" s="51"/>
      <c r="AL177" s="50"/>
      <c r="AM177" s="51"/>
      <c r="AN177" s="144"/>
      <c r="AO177" s="347"/>
      <c r="AP177" s="51"/>
      <c r="AQ177" s="50"/>
      <c r="AR177" s="51"/>
      <c r="AS177" s="144"/>
      <c r="AT177" s="347"/>
      <c r="AU177" s="51"/>
      <c r="AV177" s="50"/>
      <c r="AW177" s="51"/>
      <c r="AX177" s="144"/>
      <c r="AY177" s="347"/>
      <c r="AZ177" s="51"/>
      <c r="BA177" s="50"/>
      <c r="BB177" s="51"/>
      <c r="BC177" s="144"/>
      <c r="BD177" s="347"/>
      <c r="BE177" s="51"/>
      <c r="BF177" s="50"/>
      <c r="BG177" s="51"/>
      <c r="BH177" s="144"/>
      <c r="BI177" s="347"/>
      <c r="BJ177" s="51">
        <v>0</v>
      </c>
      <c r="BK177" s="50"/>
      <c r="BL177" s="51"/>
      <c r="BM177" s="144"/>
      <c r="BN177" s="347"/>
      <c r="BO177" s="51">
        <v>0</v>
      </c>
      <c r="BP177" s="50"/>
      <c r="BQ177" s="51"/>
      <c r="BR177" s="144"/>
      <c r="BS177" s="347"/>
      <c r="BT177" s="51">
        <f t="shared" si="17"/>
        <v>0</v>
      </c>
      <c r="BU177" s="50"/>
      <c r="BV177" s="51"/>
      <c r="BW177" s="144"/>
      <c r="BX177" s="347"/>
      <c r="BY177" s="51">
        <v>0</v>
      </c>
      <c r="BZ177" s="50"/>
      <c r="CA177" s="51"/>
      <c r="CB177" s="144"/>
      <c r="CC177" s="347"/>
      <c r="CD177" s="51"/>
      <c r="CE177" s="50"/>
      <c r="CF177" s="51"/>
      <c r="CG177" s="144"/>
      <c r="CH177" s="347"/>
      <c r="CI177" s="51"/>
      <c r="CJ177" s="50"/>
      <c r="CK177" s="51"/>
      <c r="CL177" s="144"/>
      <c r="CM177" s="347"/>
      <c r="CN177" s="51"/>
      <c r="CO177" s="50"/>
      <c r="CP177" s="51"/>
      <c r="CQ177" s="144"/>
      <c r="CR177" s="347"/>
      <c r="CS177" s="51"/>
      <c r="CT177" s="50"/>
      <c r="CU177" s="51"/>
      <c r="CV177" s="144"/>
      <c r="CW177" s="347"/>
      <c r="CX177" s="51"/>
      <c r="CY177" s="50"/>
      <c r="CZ177" s="51"/>
      <c r="DA177" s="144"/>
      <c r="DB177" s="347"/>
      <c r="DC177" s="51"/>
      <c r="DD177" s="50"/>
      <c r="DE177" s="51"/>
      <c r="DF177" s="144"/>
      <c r="DG177" s="347"/>
      <c r="DH177" s="51"/>
      <c r="DI177" s="50"/>
      <c r="DJ177" s="51"/>
      <c r="DK177" s="144"/>
      <c r="DL177" s="347"/>
      <c r="DM177" s="51"/>
      <c r="DN177" s="50"/>
      <c r="DO177" s="51"/>
      <c r="DP177" s="144"/>
      <c r="DQ177" s="347"/>
      <c r="DR177" s="51"/>
      <c r="DS177" s="50"/>
      <c r="DT177" s="51"/>
      <c r="DU177" s="144"/>
      <c r="DV177" s="347"/>
      <c r="DW177" s="51"/>
      <c r="DX177" s="50"/>
      <c r="DY177" s="51"/>
      <c r="DZ177" s="144"/>
      <c r="EA177" s="347"/>
      <c r="EB177" s="51">
        <v>0</v>
      </c>
      <c r="EC177" s="50"/>
      <c r="ED177" s="51"/>
      <c r="EE177" s="144"/>
      <c r="EF177" s="347"/>
      <c r="EG177" s="51">
        <v>0</v>
      </c>
      <c r="EH177" s="50"/>
      <c r="EI177" s="51"/>
      <c r="EJ177" s="144"/>
      <c r="EK177" s="347"/>
      <c r="EL177" s="51">
        <f t="shared" si="16"/>
        <v>0</v>
      </c>
      <c r="EM177" s="50"/>
      <c r="EN177" s="51"/>
      <c r="EO177" s="340"/>
      <c r="ER177" s="39"/>
      <c r="ES177" s="39"/>
    </row>
    <row r="178" spans="1:149" ht="12.75" hidden="1" customHeight="1" x14ac:dyDescent="0.2">
      <c r="A178" s="317"/>
      <c r="B178" s="317"/>
      <c r="D178" s="340" t="s">
        <v>223</v>
      </c>
      <c r="F178" s="347"/>
      <c r="G178" s="51">
        <v>0</v>
      </c>
      <c r="H178" s="50"/>
      <c r="I178" s="51"/>
      <c r="J178" s="144"/>
      <c r="K178" s="347"/>
      <c r="L178" s="51"/>
      <c r="M178" s="50"/>
      <c r="N178" s="51"/>
      <c r="O178" s="144"/>
      <c r="P178" s="347"/>
      <c r="Q178" s="51"/>
      <c r="R178" s="50"/>
      <c r="S178" s="51"/>
      <c r="T178" s="144"/>
      <c r="U178" s="347"/>
      <c r="V178" s="51"/>
      <c r="W178" s="50"/>
      <c r="X178" s="51"/>
      <c r="Y178" s="144"/>
      <c r="Z178" s="347"/>
      <c r="AA178" s="51"/>
      <c r="AB178" s="50"/>
      <c r="AC178" s="51"/>
      <c r="AD178" s="144"/>
      <c r="AE178" s="347"/>
      <c r="AF178" s="51"/>
      <c r="AG178" s="50"/>
      <c r="AH178" s="51"/>
      <c r="AI178" s="144"/>
      <c r="AJ178" s="347"/>
      <c r="AK178" s="51"/>
      <c r="AL178" s="50"/>
      <c r="AM178" s="51"/>
      <c r="AN178" s="144"/>
      <c r="AO178" s="347"/>
      <c r="AP178" s="51"/>
      <c r="AQ178" s="50"/>
      <c r="AR178" s="51"/>
      <c r="AS178" s="144"/>
      <c r="AT178" s="347"/>
      <c r="AU178" s="51"/>
      <c r="AV178" s="50"/>
      <c r="AW178" s="51"/>
      <c r="AX178" s="144"/>
      <c r="AY178" s="347"/>
      <c r="AZ178" s="51"/>
      <c r="BA178" s="50"/>
      <c r="BB178" s="51"/>
      <c r="BC178" s="144"/>
      <c r="BD178" s="347"/>
      <c r="BE178" s="51"/>
      <c r="BF178" s="50"/>
      <c r="BG178" s="51"/>
      <c r="BH178" s="144"/>
      <c r="BI178" s="347"/>
      <c r="BJ178" s="51">
        <v>0</v>
      </c>
      <c r="BK178" s="50"/>
      <c r="BL178" s="51"/>
      <c r="BM178" s="144"/>
      <c r="BN178" s="347"/>
      <c r="BO178" s="51">
        <v>0</v>
      </c>
      <c r="BP178" s="50"/>
      <c r="BQ178" s="51"/>
      <c r="BR178" s="144"/>
      <c r="BS178" s="347"/>
      <c r="BT178" s="51">
        <f t="shared" si="17"/>
        <v>0</v>
      </c>
      <c r="BU178" s="50"/>
      <c r="BV178" s="51"/>
      <c r="BW178" s="144"/>
      <c r="BX178" s="347"/>
      <c r="BY178" s="51">
        <v>0</v>
      </c>
      <c r="BZ178" s="50"/>
      <c r="CA178" s="51"/>
      <c r="CB178" s="144"/>
      <c r="CC178" s="347"/>
      <c r="CD178" s="51"/>
      <c r="CE178" s="50"/>
      <c r="CF178" s="51"/>
      <c r="CG178" s="144"/>
      <c r="CH178" s="347"/>
      <c r="CI178" s="51"/>
      <c r="CJ178" s="50"/>
      <c r="CK178" s="51"/>
      <c r="CL178" s="144"/>
      <c r="CM178" s="347"/>
      <c r="CN178" s="51"/>
      <c r="CO178" s="50"/>
      <c r="CP178" s="51"/>
      <c r="CQ178" s="144"/>
      <c r="CR178" s="347"/>
      <c r="CS178" s="51"/>
      <c r="CT178" s="50"/>
      <c r="CU178" s="51"/>
      <c r="CV178" s="144"/>
      <c r="CW178" s="347"/>
      <c r="CX178" s="51"/>
      <c r="CY178" s="50"/>
      <c r="CZ178" s="51"/>
      <c r="DA178" s="144"/>
      <c r="DB178" s="347"/>
      <c r="DC178" s="51"/>
      <c r="DD178" s="50"/>
      <c r="DE178" s="51"/>
      <c r="DF178" s="144"/>
      <c r="DG178" s="347"/>
      <c r="DH178" s="51"/>
      <c r="DI178" s="50"/>
      <c r="DJ178" s="51"/>
      <c r="DK178" s="144"/>
      <c r="DL178" s="347"/>
      <c r="DM178" s="51"/>
      <c r="DN178" s="50"/>
      <c r="DO178" s="51"/>
      <c r="DP178" s="144"/>
      <c r="DQ178" s="347"/>
      <c r="DR178" s="51"/>
      <c r="DS178" s="50"/>
      <c r="DT178" s="51"/>
      <c r="DU178" s="144"/>
      <c r="DV178" s="347"/>
      <c r="DW178" s="51"/>
      <c r="DX178" s="50"/>
      <c r="DY178" s="51"/>
      <c r="DZ178" s="144"/>
      <c r="EA178" s="347"/>
      <c r="EB178" s="51">
        <v>0</v>
      </c>
      <c r="EC178" s="50"/>
      <c r="ED178" s="51"/>
      <c r="EE178" s="144"/>
      <c r="EF178" s="347"/>
      <c r="EG178" s="51">
        <v>0</v>
      </c>
      <c r="EH178" s="50"/>
      <c r="EI178" s="51"/>
      <c r="EJ178" s="144"/>
      <c r="EK178" s="347"/>
      <c r="EL178" s="51">
        <f t="shared" si="16"/>
        <v>0</v>
      </c>
      <c r="EM178" s="50"/>
      <c r="EN178" s="51"/>
      <c r="EO178" s="340"/>
      <c r="ER178" s="39"/>
      <c r="ES178" s="39"/>
    </row>
    <row r="179" spans="1:149" ht="12.75" hidden="1" customHeight="1" x14ac:dyDescent="0.2">
      <c r="A179" s="317"/>
      <c r="B179" s="317"/>
      <c r="D179" s="340" t="s">
        <v>224</v>
      </c>
      <c r="F179" s="371"/>
      <c r="G179" s="95">
        <v>0</v>
      </c>
      <c r="H179" s="94"/>
      <c r="I179" s="51"/>
      <c r="J179" s="144"/>
      <c r="K179" s="371"/>
      <c r="L179" s="95">
        <v>0</v>
      </c>
      <c r="M179" s="94"/>
      <c r="N179" s="51"/>
      <c r="O179" s="144"/>
      <c r="P179" s="371"/>
      <c r="Q179" s="95">
        <v>0</v>
      </c>
      <c r="R179" s="94"/>
      <c r="S179" s="51"/>
      <c r="T179" s="144"/>
      <c r="U179" s="371"/>
      <c r="V179" s="95">
        <v>0</v>
      </c>
      <c r="W179" s="94"/>
      <c r="X179" s="51"/>
      <c r="Y179" s="144"/>
      <c r="Z179" s="371"/>
      <c r="AA179" s="95">
        <v>0</v>
      </c>
      <c r="AB179" s="94"/>
      <c r="AC179" s="51"/>
      <c r="AD179" s="144"/>
      <c r="AE179" s="371"/>
      <c r="AF179" s="95">
        <v>0</v>
      </c>
      <c r="AG179" s="94"/>
      <c r="AH179" s="51"/>
      <c r="AI179" s="144"/>
      <c r="AJ179" s="371"/>
      <c r="AK179" s="95">
        <v>0</v>
      </c>
      <c r="AL179" s="94"/>
      <c r="AM179" s="51"/>
      <c r="AN179" s="144"/>
      <c r="AO179" s="371"/>
      <c r="AP179" s="95">
        <v>0</v>
      </c>
      <c r="AQ179" s="94"/>
      <c r="AR179" s="51"/>
      <c r="AS179" s="144"/>
      <c r="AT179" s="371"/>
      <c r="AU179" s="95">
        <v>0</v>
      </c>
      <c r="AV179" s="94"/>
      <c r="AW179" s="51"/>
      <c r="AX179" s="144"/>
      <c r="AY179" s="371"/>
      <c r="AZ179" s="95">
        <v>0</v>
      </c>
      <c r="BA179" s="94"/>
      <c r="BB179" s="51"/>
      <c r="BC179" s="144"/>
      <c r="BD179" s="371"/>
      <c r="BE179" s="95">
        <v>0</v>
      </c>
      <c r="BF179" s="94"/>
      <c r="BG179" s="51"/>
      <c r="BH179" s="144"/>
      <c r="BI179" s="371"/>
      <c r="BJ179" s="95">
        <v>0</v>
      </c>
      <c r="BK179" s="94"/>
      <c r="BL179" s="51"/>
      <c r="BM179" s="144"/>
      <c r="BN179" s="371"/>
      <c r="BO179" s="95">
        <v>0</v>
      </c>
      <c r="BP179" s="94"/>
      <c r="BQ179" s="51"/>
      <c r="BR179" s="144"/>
      <c r="BS179" s="371"/>
      <c r="BT179" s="95">
        <f t="shared" si="17"/>
        <v>0</v>
      </c>
      <c r="BU179" s="94"/>
      <c r="BV179" s="51"/>
      <c r="BW179" s="144"/>
      <c r="BX179" s="371"/>
      <c r="BY179" s="95"/>
      <c r="BZ179" s="94"/>
      <c r="CA179" s="51"/>
      <c r="CB179" s="144"/>
      <c r="CC179" s="371"/>
      <c r="CD179" s="95">
        <v>0</v>
      </c>
      <c r="CE179" s="94"/>
      <c r="CF179" s="51"/>
      <c r="CG179" s="144"/>
      <c r="CH179" s="371"/>
      <c r="CI179" s="95">
        <v>0</v>
      </c>
      <c r="CJ179" s="94"/>
      <c r="CK179" s="51"/>
      <c r="CL179" s="144"/>
      <c r="CM179" s="371"/>
      <c r="CN179" s="95">
        <v>0</v>
      </c>
      <c r="CO179" s="94"/>
      <c r="CP179" s="51"/>
      <c r="CQ179" s="144"/>
      <c r="CR179" s="371"/>
      <c r="CS179" s="95">
        <v>0</v>
      </c>
      <c r="CT179" s="94"/>
      <c r="CU179" s="51"/>
      <c r="CV179" s="144"/>
      <c r="CW179" s="371"/>
      <c r="CX179" s="95">
        <v>0</v>
      </c>
      <c r="CY179" s="94"/>
      <c r="CZ179" s="51"/>
      <c r="DA179" s="144"/>
      <c r="DB179" s="371"/>
      <c r="DC179" s="95">
        <v>0</v>
      </c>
      <c r="DD179" s="94"/>
      <c r="DE179" s="51"/>
      <c r="DF179" s="144"/>
      <c r="DG179" s="371"/>
      <c r="DH179" s="95">
        <v>0</v>
      </c>
      <c r="DI179" s="94"/>
      <c r="DJ179" s="51"/>
      <c r="DK179" s="144"/>
      <c r="DL179" s="371"/>
      <c r="DM179" s="95">
        <v>0</v>
      </c>
      <c r="DN179" s="94"/>
      <c r="DO179" s="51"/>
      <c r="DP179" s="144"/>
      <c r="DQ179" s="371"/>
      <c r="DR179" s="95">
        <v>0</v>
      </c>
      <c r="DS179" s="94"/>
      <c r="DT179" s="51"/>
      <c r="DU179" s="144"/>
      <c r="DV179" s="371"/>
      <c r="DW179" s="95">
        <v>0</v>
      </c>
      <c r="DX179" s="94"/>
      <c r="DY179" s="51"/>
      <c r="DZ179" s="144"/>
      <c r="EA179" s="371"/>
      <c r="EB179" s="95">
        <v>0</v>
      </c>
      <c r="EC179" s="94"/>
      <c r="ED179" s="51"/>
      <c r="EE179" s="144"/>
      <c r="EF179" s="371"/>
      <c r="EG179" s="95">
        <v>0</v>
      </c>
      <c r="EH179" s="94"/>
      <c r="EI179" s="51"/>
      <c r="EJ179" s="144"/>
      <c r="EK179" s="371"/>
      <c r="EL179" s="95">
        <f t="shared" si="16"/>
        <v>0</v>
      </c>
      <c r="EM179" s="94"/>
      <c r="EN179" s="51"/>
      <c r="EO179" s="340"/>
      <c r="ER179" s="39"/>
      <c r="ES179" s="39"/>
    </row>
    <row r="180" spans="1:149" hidden="1" x14ac:dyDescent="0.2">
      <c r="A180" s="317"/>
      <c r="B180" s="317"/>
      <c r="D180" s="340"/>
      <c r="E180" s="453"/>
      <c r="F180" s="663"/>
      <c r="G180" s="51"/>
      <c r="H180" s="51"/>
      <c r="I180" s="51"/>
      <c r="J180" s="144"/>
      <c r="K180" s="663"/>
      <c r="L180" s="51"/>
      <c r="M180" s="51"/>
      <c r="N180" s="51"/>
      <c r="O180" s="144"/>
      <c r="P180" s="663"/>
      <c r="Q180" s="51"/>
      <c r="R180" s="51"/>
      <c r="S180" s="51"/>
      <c r="T180" s="144"/>
      <c r="U180" s="663"/>
      <c r="V180" s="51"/>
      <c r="W180" s="51"/>
      <c r="X180" s="51"/>
      <c r="Y180" s="144"/>
      <c r="Z180" s="663"/>
      <c r="AA180" s="51"/>
      <c r="AB180" s="51"/>
      <c r="AC180" s="51"/>
      <c r="AD180" s="144"/>
      <c r="AE180" s="663"/>
      <c r="AF180" s="51"/>
      <c r="AG180" s="51"/>
      <c r="AH180" s="51"/>
      <c r="AI180" s="144"/>
      <c r="AJ180" s="663"/>
      <c r="AK180" s="51"/>
      <c r="AL180" s="51"/>
      <c r="AM180" s="51"/>
      <c r="AN180" s="144"/>
      <c r="AO180" s="663"/>
      <c r="AP180" s="51"/>
      <c r="AQ180" s="51"/>
      <c r="AR180" s="51"/>
      <c r="AS180" s="144"/>
      <c r="AT180" s="663"/>
      <c r="AU180" s="51"/>
      <c r="AV180" s="51"/>
      <c r="AW180" s="51"/>
      <c r="AX180" s="144"/>
      <c r="AY180" s="663"/>
      <c r="AZ180" s="51"/>
      <c r="BA180" s="51"/>
      <c r="BB180" s="51"/>
      <c r="BC180" s="144"/>
      <c r="BD180" s="663"/>
      <c r="BE180" s="51"/>
      <c r="BF180" s="51"/>
      <c r="BG180" s="51"/>
      <c r="BH180" s="144"/>
      <c r="BI180" s="663"/>
      <c r="BJ180" s="51"/>
      <c r="BK180" s="51"/>
      <c r="BL180" s="51"/>
      <c r="BM180" s="144"/>
      <c r="BN180" s="663"/>
      <c r="BO180" s="51"/>
      <c r="BP180" s="51"/>
      <c r="BQ180" s="51"/>
      <c r="BR180" s="144"/>
      <c r="BS180" s="663"/>
      <c r="BT180" s="51"/>
      <c r="BU180" s="51"/>
      <c r="BV180" s="51"/>
      <c r="BW180" s="144"/>
      <c r="BX180" s="663"/>
      <c r="BY180" s="51"/>
      <c r="BZ180" s="51"/>
      <c r="CA180" s="51"/>
      <c r="CB180" s="144"/>
      <c r="CC180" s="663"/>
      <c r="CD180" s="51"/>
      <c r="CE180" s="51"/>
      <c r="CF180" s="51"/>
      <c r="CG180" s="144"/>
      <c r="CH180" s="663"/>
      <c r="CI180" s="51"/>
      <c r="CJ180" s="51"/>
      <c r="CK180" s="51"/>
      <c r="CL180" s="144"/>
      <c r="CM180" s="663"/>
      <c r="CN180" s="51"/>
      <c r="CO180" s="51"/>
      <c r="CP180" s="51"/>
      <c r="CQ180" s="144"/>
      <c r="CR180" s="663"/>
      <c r="CS180" s="51"/>
      <c r="CT180" s="51"/>
      <c r="CU180" s="51"/>
      <c r="CV180" s="144"/>
      <c r="CW180" s="663"/>
      <c r="CX180" s="51"/>
      <c r="CY180" s="51"/>
      <c r="CZ180" s="51"/>
      <c r="DA180" s="144"/>
      <c r="DB180" s="663"/>
      <c r="DC180" s="51"/>
      <c r="DD180" s="51"/>
      <c r="DE180" s="51"/>
      <c r="DF180" s="144"/>
      <c r="DG180" s="663"/>
      <c r="DH180" s="51"/>
      <c r="DI180" s="51"/>
      <c r="DJ180" s="51"/>
      <c r="DK180" s="144"/>
      <c r="DL180" s="663"/>
      <c r="DM180" s="51"/>
      <c r="DN180" s="51"/>
      <c r="DO180" s="51"/>
      <c r="DP180" s="144"/>
      <c r="DQ180" s="663"/>
      <c r="DR180" s="51"/>
      <c r="DS180" s="51"/>
      <c r="DT180" s="51"/>
      <c r="DU180" s="144"/>
      <c r="DV180" s="663"/>
      <c r="DW180" s="51"/>
      <c r="DX180" s="51"/>
      <c r="DY180" s="51"/>
      <c r="DZ180" s="144"/>
      <c r="EA180" s="663"/>
      <c r="EB180" s="51"/>
      <c r="EC180" s="51"/>
      <c r="ED180" s="51"/>
      <c r="EE180" s="144"/>
      <c r="EF180" s="663"/>
      <c r="EG180" s="51"/>
      <c r="EH180" s="51"/>
      <c r="EI180" s="51"/>
      <c r="EJ180" s="144"/>
      <c r="EK180" s="663"/>
      <c r="EL180" s="51"/>
      <c r="EM180" s="51"/>
      <c r="EN180" s="51"/>
      <c r="EO180" s="340"/>
      <c r="ER180" s="39"/>
      <c r="ES180" s="39"/>
    </row>
    <row r="181" spans="1:149" x14ac:dyDescent="0.2">
      <c r="A181" s="317"/>
      <c r="B181" s="317"/>
      <c r="D181" s="458" t="s">
        <v>176</v>
      </c>
      <c r="E181" s="453"/>
      <c r="F181" s="663"/>
      <c r="G181" s="41">
        <f>SUM(G182:G185)</f>
        <v>8874774</v>
      </c>
      <c r="H181" s="51"/>
      <c r="I181" s="51"/>
      <c r="J181" s="144"/>
      <c r="K181" s="663"/>
      <c r="L181" s="41">
        <f>SUM(L182:L185)</f>
        <v>3409508</v>
      </c>
      <c r="M181" s="51"/>
      <c r="N181" s="51"/>
      <c r="O181" s="144"/>
      <c r="P181" s="663"/>
      <c r="Q181" s="41">
        <f>SUM(Q182:Q185)</f>
        <v>4054354</v>
      </c>
      <c r="R181" s="51"/>
      <c r="S181" s="51"/>
      <c r="T181" s="144"/>
      <c r="U181" s="663"/>
      <c r="V181" s="41">
        <f>SUM(V182:V185)</f>
        <v>1410912</v>
      </c>
      <c r="W181" s="51"/>
      <c r="X181" s="51"/>
      <c r="Y181" s="144"/>
      <c r="Z181" s="663"/>
      <c r="AA181" s="41">
        <f>SUM(AA182:AA185)</f>
        <v>0</v>
      </c>
      <c r="AB181" s="51"/>
      <c r="AC181" s="51"/>
      <c r="AD181" s="144"/>
      <c r="AE181" s="663"/>
      <c r="AF181" s="41">
        <f>SUM(AF182:AF185)</f>
        <v>0</v>
      </c>
      <c r="AG181" s="51"/>
      <c r="AH181" s="51"/>
      <c r="AI181" s="144"/>
      <c r="AJ181" s="663"/>
      <c r="AK181" s="41">
        <f>SUM(AK182:AK185)</f>
        <v>0</v>
      </c>
      <c r="AL181" s="51"/>
      <c r="AM181" s="50"/>
      <c r="AN181" s="144"/>
      <c r="AO181" s="663"/>
      <c r="AP181" s="41">
        <f>SUM(AP182:AP185)</f>
        <v>0</v>
      </c>
      <c r="AQ181" s="51"/>
      <c r="AR181" s="51"/>
      <c r="AS181" s="144"/>
      <c r="AT181" s="663"/>
      <c r="AU181" s="41">
        <f>SUM(AU182:AU185)</f>
        <v>0</v>
      </c>
      <c r="AV181" s="51"/>
      <c r="AW181" s="51"/>
      <c r="AX181" s="144"/>
      <c r="AY181" s="663"/>
      <c r="AZ181" s="41">
        <f>SUM(AZ182:AZ185)</f>
        <v>0</v>
      </c>
      <c r="BA181" s="51"/>
      <c r="BB181" s="51"/>
      <c r="BC181" s="144"/>
      <c r="BD181" s="663"/>
      <c r="BE181" s="41">
        <f>SUM(BE182:BE185)</f>
        <v>0</v>
      </c>
      <c r="BF181" s="51"/>
      <c r="BG181" s="51"/>
      <c r="BH181" s="144"/>
      <c r="BI181" s="663"/>
      <c r="BJ181" s="41">
        <f>SUM(BJ182:BJ185)</f>
        <v>0</v>
      </c>
      <c r="BK181" s="51"/>
      <c r="BL181" s="51"/>
      <c r="BM181" s="144"/>
      <c r="BN181" s="663"/>
      <c r="BO181" s="41">
        <f>SUM(BO182:BO185)</f>
        <v>0</v>
      </c>
      <c r="BP181" s="51"/>
      <c r="BQ181" s="51"/>
      <c r="BR181" s="144"/>
      <c r="BS181" s="663"/>
      <c r="BT181" s="41">
        <f>SUM(BT182:BT185)</f>
        <v>8874774</v>
      </c>
      <c r="BU181" s="51"/>
      <c r="BV181" s="51"/>
      <c r="BW181" s="144"/>
      <c r="BX181" s="663"/>
      <c r="BY181" s="41">
        <f>SUM(BY182:BY185)</f>
        <v>53972577</v>
      </c>
      <c r="BZ181" s="51"/>
      <c r="CA181" s="51"/>
      <c r="CB181" s="144"/>
      <c r="CC181" s="663"/>
      <c r="CD181" s="41">
        <f>SUM(CD182:CD185)</f>
        <v>11663028</v>
      </c>
      <c r="CE181" s="51"/>
      <c r="CF181" s="51"/>
      <c r="CG181" s="144"/>
      <c r="CH181" s="663"/>
      <c r="CI181" s="41">
        <f>SUM(CI182:CI185)</f>
        <v>3767776</v>
      </c>
      <c r="CJ181" s="51"/>
      <c r="CK181" s="51"/>
      <c r="CL181" s="144"/>
      <c r="CM181" s="663"/>
      <c r="CN181" s="41">
        <f>SUM(CN182:CN185)</f>
        <v>7710681</v>
      </c>
      <c r="CO181" s="51"/>
      <c r="CP181" s="51"/>
      <c r="CQ181" s="144"/>
      <c r="CR181" s="663"/>
      <c r="CS181" s="41">
        <f>SUM(CS182:CS185)</f>
        <v>3456518</v>
      </c>
      <c r="CT181" s="51"/>
      <c r="CU181" s="51"/>
      <c r="CV181" s="144"/>
      <c r="CW181" s="663"/>
      <c r="CX181" s="41">
        <f>SUM(CX182:CX185)</f>
        <v>4835965</v>
      </c>
      <c r="CY181" s="51"/>
      <c r="CZ181" s="51"/>
      <c r="DA181" s="144"/>
      <c r="DB181" s="663"/>
      <c r="DC181" s="41">
        <f>SUM(DC182:DC185)</f>
        <v>2187184</v>
      </c>
      <c r="DD181" s="51"/>
      <c r="DE181" s="50"/>
      <c r="DF181" s="144"/>
      <c r="DG181" s="663"/>
      <c r="DH181" s="41">
        <f>SUM(DH182:DH185)</f>
        <v>5017820</v>
      </c>
      <c r="DI181" s="51"/>
      <c r="DJ181" s="51"/>
      <c r="DK181" s="144"/>
      <c r="DL181" s="663"/>
      <c r="DM181" s="41">
        <f>SUM(DM182:DM185)</f>
        <v>4108885</v>
      </c>
      <c r="DN181" s="51"/>
      <c r="DO181" s="51"/>
      <c r="DP181" s="144"/>
      <c r="DQ181" s="663"/>
      <c r="DR181" s="41">
        <f>SUM(DR182:DR185)</f>
        <v>3708680</v>
      </c>
      <c r="DS181" s="51"/>
      <c r="DT181" s="51"/>
      <c r="DU181" s="144"/>
      <c r="DV181" s="663"/>
      <c r="DW181" s="41">
        <f>SUM(DW182:DW185)</f>
        <v>2673022</v>
      </c>
      <c r="DX181" s="51"/>
      <c r="DY181" s="51"/>
      <c r="DZ181" s="144"/>
      <c r="EA181" s="663"/>
      <c r="EB181" s="41">
        <f>SUM(EB182:EB185)</f>
        <v>3014010</v>
      </c>
      <c r="EC181" s="51"/>
      <c r="ED181" s="51"/>
      <c r="EE181" s="144"/>
      <c r="EF181" s="663"/>
      <c r="EG181" s="41">
        <f>SUM(EG182:EG185)</f>
        <v>1829008</v>
      </c>
      <c r="EH181" s="51"/>
      <c r="EI181" s="51"/>
      <c r="EJ181" s="144"/>
      <c r="EK181" s="663"/>
      <c r="EL181" s="41">
        <f>SUM(EL182:EL185)</f>
        <v>38638972</v>
      </c>
      <c r="EM181" s="51"/>
      <c r="EN181" s="51"/>
      <c r="EO181" s="340"/>
      <c r="ER181" s="39"/>
      <c r="ES181" s="39"/>
    </row>
    <row r="182" spans="1:149" x14ac:dyDescent="0.2">
      <c r="A182" s="317"/>
      <c r="B182" s="317"/>
      <c r="D182" s="340" t="s">
        <v>183</v>
      </c>
      <c r="E182" s="453"/>
      <c r="F182" s="454"/>
      <c r="G182" s="430">
        <f>G188+G194+G200+G206+G212+G218+G224+G230+G236+G242+G248+G254+G259+G264+G269+G274+G279+G284+G289+G294+G299+G304+G309+G314</f>
        <v>7781514</v>
      </c>
      <c r="H182" s="431"/>
      <c r="I182" s="51"/>
      <c r="J182" s="144"/>
      <c r="K182" s="454"/>
      <c r="L182" s="430">
        <f>L188+L194+L200+L206+L212+L218+L224+L230+L236+L242+L248+L254+L259+L264+L269+L274+L279+L284+L289+L294+L299+L304+L309+L314</f>
        <v>3072259</v>
      </c>
      <c r="M182" s="431"/>
      <c r="N182" s="51"/>
      <c r="O182" s="144"/>
      <c r="P182" s="454"/>
      <c r="Q182" s="430">
        <f>Q188+Q194+Q200+Q206+Q212+Q218+Q224+Q230+Q236+Q242+Q248+Q254+Q259+Q264+Q269+Q274+Q279+Q284+Q289+Q294+Q299+Q304+Q309+Q314</f>
        <v>3449042</v>
      </c>
      <c r="R182" s="431"/>
      <c r="S182" s="51"/>
      <c r="T182" s="144"/>
      <c r="U182" s="454"/>
      <c r="V182" s="430">
        <f>V188+V194+V200+V206+V212+V218+V224+V230+V236+V242+V248+V254+V259+V264+V269+V274+V279+V284+V289+V294+V299+V304+V309+V314</f>
        <v>1260213</v>
      </c>
      <c r="W182" s="431"/>
      <c r="X182" s="51"/>
      <c r="Y182" s="144"/>
      <c r="Z182" s="454"/>
      <c r="AA182" s="430">
        <f>AA188+AA194+AA200+AA206+AA212+AA218+AA224+AA230+AA236+AA242+AA248+AA254+AA259+AA264+AA269+AA274+AA279+AA284+AA289+AA294+AA299+AA304+AA309+AA314</f>
        <v>0</v>
      </c>
      <c r="AB182" s="431"/>
      <c r="AC182" s="51"/>
      <c r="AD182" s="144"/>
      <c r="AE182" s="454"/>
      <c r="AF182" s="430">
        <f>AF188+AF194+AF200+AF206+AF212+AF218+AF224+AF230+AF236+AF242+AF248+AF254+AF259+AF264+AF269+AF274+AF279+AF284+AF289+AF294+AF299+AF304+AF309+AF314</f>
        <v>0</v>
      </c>
      <c r="AG182" s="431"/>
      <c r="AH182" s="51"/>
      <c r="AI182" s="144"/>
      <c r="AJ182" s="454"/>
      <c r="AK182" s="430">
        <f>AK188+AK194+AK200+AK206+AK212+AK218+AK224+AK230+AK236+AK242+AK248+AK254+AK259+AK264+AK269+AK274+AK279+AK284+AK289+AK294+AK299+AK304+AK309+AK314</f>
        <v>0</v>
      </c>
      <c r="AL182" s="431"/>
      <c r="AM182" s="50"/>
      <c r="AN182" s="144"/>
      <c r="AO182" s="454"/>
      <c r="AP182" s="430">
        <f>AP188+AP194+AP200+AP206+AP212+AP218+AP224+AP230+AP236+AP242+AP248+AP254+AP259+AP264+AP269+AP274+AP279+AP284+AP289+AP294+AP299+AP304+AP309+AP314</f>
        <v>0</v>
      </c>
      <c r="AQ182" s="431"/>
      <c r="AR182" s="51"/>
      <c r="AS182" s="144"/>
      <c r="AT182" s="454"/>
      <c r="AU182" s="430">
        <f>AU188+AU194+AU200+AU206+AU212+AU218+AU224+AU230+AU236+AU242+AU248+AU254+AU259+AU264+AU269+AU274+AU279+AU284+AU289+AU294+AU299+AU304+AU309+AU314</f>
        <v>0</v>
      </c>
      <c r="AV182" s="431"/>
      <c r="AW182" s="51"/>
      <c r="AX182" s="144"/>
      <c r="AY182" s="454"/>
      <c r="AZ182" s="430">
        <f>AZ188+AZ194+AZ200+AZ206+AZ212+AZ218+AZ224+AZ230+AZ236+AZ242+AZ248+AZ254+AZ259+AZ264+AZ269+AZ274+AZ279+AZ284+AZ289+AZ294+AZ299+AZ304+AZ309+AZ314</f>
        <v>0</v>
      </c>
      <c r="BA182" s="431"/>
      <c r="BB182" s="51"/>
      <c r="BC182" s="144"/>
      <c r="BD182" s="454"/>
      <c r="BE182" s="430">
        <f>BE188+BE194+BE200+BE206+BE212+BE218+BE224+BE230+BE236+BE242+BE248+BE254+BE259+BE264+BE269+BE274+BE279+BE284+BE289+BE294+BE299+BE304+BE309+BE314</f>
        <v>0</v>
      </c>
      <c r="BF182" s="431"/>
      <c r="BG182" s="51"/>
      <c r="BH182" s="144"/>
      <c r="BI182" s="454"/>
      <c r="BJ182" s="430">
        <f>BJ188+BJ194+BJ200+BJ206+BJ212+BJ218+BJ224+BJ230+BJ236+BJ242+BJ248+BJ254+BJ259+BJ264+BJ269+BJ274+BJ279+BJ284+BJ289+BJ294+BJ299+BJ304+BJ309+BJ314</f>
        <v>0</v>
      </c>
      <c r="BK182" s="431"/>
      <c r="BL182" s="51"/>
      <c r="BM182" s="144"/>
      <c r="BN182" s="454"/>
      <c r="BO182" s="430">
        <f>BO188+BO194+BO200+BO206+BO212+BO218+BO224+BO230+BO236+BO242+BO248+BO254+BO259+BO264+BO269+BO274+BO279+BO284+BO289+BO294+BO299+BO304+BO309+BO314</f>
        <v>0</v>
      </c>
      <c r="BP182" s="431"/>
      <c r="BQ182" s="51"/>
      <c r="BR182" s="144"/>
      <c r="BS182" s="454"/>
      <c r="BT182" s="430">
        <f>BT188+BT194+BT200+BT206+BT212+BT218+BT224+BT230+BT236+BT242+BT248+BT254+BT259+BT264+BT269+BT274+BT279+BT284+BT289+BT294+BT299+BT304+BT309+BT314</f>
        <v>7781514</v>
      </c>
      <c r="BU182" s="431"/>
      <c r="BV182" s="51"/>
      <c r="BW182" s="144"/>
      <c r="BX182" s="454"/>
      <c r="BY182" s="430">
        <f>BY188+BY194+BY200+BY206+BY212+BY218+BY224+BY230+BY236+BY242+BY248+BY254+BY259+BY264+BY269+BY274+BY279+BY284+BY289+BY294+BY299+BY304+BY309+BY314</f>
        <v>49699913</v>
      </c>
      <c r="BZ182" s="431"/>
      <c r="CA182" s="51"/>
      <c r="CB182" s="144"/>
      <c r="CC182" s="454"/>
      <c r="CD182" s="430">
        <f>CD188+CD194+CD200+CD206+CD212+CD218+CD224+CD230+CD236+CD242+CD248+CD254+CD259+CD264+CD269+CD274+CD279+CD284+CD289+CD294+CD299+CD304+CD309+CD314</f>
        <v>10593648</v>
      </c>
      <c r="CE182" s="431"/>
      <c r="CF182" s="51"/>
      <c r="CG182" s="144"/>
      <c r="CH182" s="454"/>
      <c r="CI182" s="430">
        <f>CI188+CI194+CI200+CI206+CI212+CI218+CI224+CI230+CI236+CI242+CI248+CI254+CI259+CI264+CI269+CI274+CI279+CI284+CI289+CI294+CI299+CI304+CI309+CI314</f>
        <v>3320698</v>
      </c>
      <c r="CJ182" s="431"/>
      <c r="CK182" s="51"/>
      <c r="CL182" s="144"/>
      <c r="CM182" s="454"/>
      <c r="CN182" s="430">
        <f>CN188+CN194+CN200+CN206+CN212+CN218+CN224+CN230+CN236+CN242+CN248+CN254+CN259+CN264+CN269+CN274+CN279+CN284+CN289+CN294+CN299+CN304+CN309+CN314</f>
        <v>7253839</v>
      </c>
      <c r="CO182" s="431"/>
      <c r="CP182" s="51"/>
      <c r="CQ182" s="144"/>
      <c r="CR182" s="454"/>
      <c r="CS182" s="430">
        <f>CS188+CS194+CS200+CS206+CS212+CS218+CS224+CS230+CS236+CS242+CS248+CS254+CS259+CS264+CS269+CS274+CS279+CS284+CS289+CS294+CS299+CS304+CS309+CS314</f>
        <v>3300045</v>
      </c>
      <c r="CT182" s="431"/>
      <c r="CU182" s="51"/>
      <c r="CV182" s="144"/>
      <c r="CW182" s="454"/>
      <c r="CX182" s="430">
        <f>CX188+CX194+CX200+CX206+CX212+CX218+CX224+CX230+CX236+CX242+CX248+CX254+CX259+CX264+CX269+CX274+CX279+CX284+CX289+CX294+CX299+CX304+CX309+CX314</f>
        <v>4600884</v>
      </c>
      <c r="CY182" s="431"/>
      <c r="CZ182" s="51"/>
      <c r="DA182" s="144"/>
      <c r="DB182" s="454"/>
      <c r="DC182" s="430">
        <f>DC188+DC194+DC200+DC206+DC212+DC218+DC224+DC230+DC236+DC242+DC248+DC254+DC259+DC264+DC269+DC274+DC279+DC284+DC289+DC294+DC299+DC304+DC309+DC314</f>
        <v>2320684</v>
      </c>
      <c r="DD182" s="431"/>
      <c r="DE182" s="50"/>
      <c r="DF182" s="144"/>
      <c r="DG182" s="454"/>
      <c r="DH182" s="430">
        <f>DH188+DH194+DH200+DH206+DH212+DH218+DH224+DH230+DH236+DH242+DH248+DH254+DH259+DH264+DH269+DH274+DH279+DH284+DH289+DH294+DH299+DH304+DH309+DH314</f>
        <v>4355790</v>
      </c>
      <c r="DI182" s="431"/>
      <c r="DJ182" s="51"/>
      <c r="DK182" s="144"/>
      <c r="DL182" s="454"/>
      <c r="DM182" s="430">
        <f>DM188+DM194+DM200+DM206+DM212+DM218+DM224+DM230+DM236+DM242+DM248+DM254+DM259+DM264+DM269+DM274+DM279+DM284+DM289+DM294+DM299+DM304+DM309+DM314</f>
        <v>3525338</v>
      </c>
      <c r="DN182" s="431"/>
      <c r="DO182" s="51"/>
      <c r="DP182" s="144"/>
      <c r="DQ182" s="454"/>
      <c r="DR182" s="430">
        <f>DR188+DR194+DR200+DR206+DR212+DR218+DR224+DR230+DR236+DR242+DR248+DR254+DR259+DR264+DR269+DR274+DR279+DR284+DR289+DR294+DR299+DR304+DR309+DR314</f>
        <v>3411845</v>
      </c>
      <c r="DS182" s="431"/>
      <c r="DT182" s="51"/>
      <c r="DU182" s="144"/>
      <c r="DV182" s="454"/>
      <c r="DW182" s="430">
        <f>DW188+DW194+DW200+DW206+DW212+DW218+DW224+DW230+DW236+DW242+DW248+DW254+DW259+DW264+DW269+DW274+DW279+DW284+DW289+DW294+DW299+DW304+DW309+DW314</f>
        <v>2368101</v>
      </c>
      <c r="DX182" s="431"/>
      <c r="DY182" s="51"/>
      <c r="DZ182" s="144"/>
      <c r="EA182" s="454"/>
      <c r="EB182" s="430">
        <f>EB188+EB194+EB200+EB206+EB212+EB218+EB224+EB230+EB236+EB242+EB248+EB254+EB259+EB264+EB269+EB274+EB279+EB284+EB289+EB294+EB299+EB304+EB309+EB314</f>
        <v>2760963</v>
      </c>
      <c r="EC182" s="431"/>
      <c r="ED182" s="51"/>
      <c r="EE182" s="144"/>
      <c r="EF182" s="454"/>
      <c r="EG182" s="430">
        <f>EG188+EG194+EG200+EG206+EG212+EG218+EG224+EG230+EG236+EG242+EG248+EG254+EG259+EG264+EG269+EG274+EG279+EG284+EG289+EG294+EG299+EG304+EG309+EG314</f>
        <v>1888078</v>
      </c>
      <c r="EH182" s="431"/>
      <c r="EI182" s="51"/>
      <c r="EJ182" s="144"/>
      <c r="EK182" s="454"/>
      <c r="EL182" s="430">
        <f>EL188+EL194+EL200+EL206+EL212+EL218+EL224+EL230+EL236+EL242+EL248+EL254+EL259+EL264+EL269+EL274+EL279+EL284+EL289+EL294+EL299+EL304+EL309+EL314</f>
        <v>35745588</v>
      </c>
      <c r="EM182" s="431"/>
      <c r="EN182" s="51"/>
      <c r="EO182" s="340"/>
      <c r="ER182" s="39"/>
      <c r="ES182" s="39"/>
    </row>
    <row r="183" spans="1:149" x14ac:dyDescent="0.2">
      <c r="A183" s="317"/>
      <c r="B183" s="317"/>
      <c r="D183" s="340" t="s">
        <v>186</v>
      </c>
      <c r="E183" s="453"/>
      <c r="F183" s="456"/>
      <c r="G183" s="51">
        <f>G189+G195+G201+G207+G213+G219+G225+G231+G237+G243+G249+G255+G260+G265+G270+G275+G280+G285+G290+G295+G300+G305+G310+G315</f>
        <v>1093260</v>
      </c>
      <c r="H183" s="50"/>
      <c r="I183" s="51"/>
      <c r="J183" s="144"/>
      <c r="K183" s="456"/>
      <c r="L183" s="51">
        <f>L189+L195+L201+L207+L213+L219+L225+L231+L237+L243+L249+L255+L260+L265+L270+L275+L280+L285+L290+L295+L300+L305+L310+L315</f>
        <v>337249</v>
      </c>
      <c r="M183" s="50"/>
      <c r="N183" s="51"/>
      <c r="O183" s="144"/>
      <c r="P183" s="456"/>
      <c r="Q183" s="51">
        <f>Q189+Q195+Q201+Q207+Q213+Q219+Q225+Q231+Q237+Q243+Q249+Q255+Q260+Q265+Q270+Q275+Q280+Q285+Q290+Q295+Q300+Q305+Q310+Q315</f>
        <v>605312</v>
      </c>
      <c r="R183" s="50"/>
      <c r="S183" s="51"/>
      <c r="T183" s="144"/>
      <c r="U183" s="456"/>
      <c r="V183" s="51">
        <f>V189+V195+V201+V207+V213+V219+V225+V231+V237+V243+V249+V255+V260+V265+V270+V275+V280+V285+V290+V295+V300+V305+V310+V315</f>
        <v>150699</v>
      </c>
      <c r="W183" s="50"/>
      <c r="X183" s="51"/>
      <c r="Y183" s="144"/>
      <c r="Z183" s="456"/>
      <c r="AA183" s="51">
        <f>AA189+AA195+AA201+AA207+AA213+AA219+AA225+AA231+AA237+AA243+AA249+AA255+AA260+AA265+AA270+AA275+AA280+AA285+AA290+AA295+AA300+AA305+AA310+AA315</f>
        <v>0</v>
      </c>
      <c r="AB183" s="50"/>
      <c r="AC183" s="51"/>
      <c r="AD183" s="144"/>
      <c r="AE183" s="456"/>
      <c r="AF183" s="51">
        <f>AF189+AF195+AF201+AF207+AF213+AF219+AF225+AF231+AF237+AF243+AF249+AF255+AF260+AF265+AF270+AF275+AF280+AF285+AF290+AF295+AF300+AF305+AF310+AF315</f>
        <v>0</v>
      </c>
      <c r="AG183" s="50"/>
      <c r="AH183" s="51"/>
      <c r="AI183" s="144"/>
      <c r="AJ183" s="456"/>
      <c r="AK183" s="51">
        <f>AK189+AK195+AK201+AK207+AK213+AK219+AK225+AK231+AK237+AK243+AK249+AK255+AK260+AK265+AK270+AK275+AK280+AK285+AK290+AK295+AK300+AK305+AK310+AK315</f>
        <v>0</v>
      </c>
      <c r="AL183" s="50"/>
      <c r="AM183" s="51"/>
      <c r="AN183" s="144"/>
      <c r="AO183" s="456"/>
      <c r="AP183" s="51">
        <f>AP189+AP195+AP201+AP207+AP213+AP219+AP225+AP231+AP237+AP243+AP249+AP255+AP260+AP265+AP270+AP275+AP280+AP285+AP290+AP295+AP300+AP305+AP310+AP315</f>
        <v>0</v>
      </c>
      <c r="AQ183" s="50"/>
      <c r="AR183" s="51"/>
      <c r="AS183" s="144"/>
      <c r="AT183" s="456"/>
      <c r="AU183" s="51">
        <f>AU189+AU195+AU201+AU207+AU213+AU219+AU225+AU231+AU237+AU243+AU249+AU255+AU260+AU265+AU270+AU275+AU280+AU285+AU290+AU295+AU300+AU305+AU310+AU315</f>
        <v>0</v>
      </c>
      <c r="AV183" s="50"/>
      <c r="AW183" s="51"/>
      <c r="AX183" s="144"/>
      <c r="AY183" s="456"/>
      <c r="AZ183" s="51">
        <f>AZ189+AZ195+AZ201+AZ207+AZ213+AZ219+AZ225+AZ231+AZ237+AZ243+AZ249+AZ255+AZ260+AZ265+AZ270+AZ275+AZ280+AZ285+AZ290+AZ295+AZ300+AZ305+AZ310+AZ315</f>
        <v>0</v>
      </c>
      <c r="BA183" s="50"/>
      <c r="BB183" s="51"/>
      <c r="BC183" s="144"/>
      <c r="BD183" s="456"/>
      <c r="BE183" s="51">
        <f>BE189+BE195+BE201+BE207+BE213+BE219+BE225+BE231+BE237+BE243+BE249+BE255+BE260+BE265+BE270+BE275+BE280+BE285+BE290+BE295+BE300+BE305+BE310+BE315</f>
        <v>0</v>
      </c>
      <c r="BF183" s="50"/>
      <c r="BG183" s="51"/>
      <c r="BH183" s="144"/>
      <c r="BI183" s="456"/>
      <c r="BJ183" s="51">
        <f>BJ189+BJ195+BJ201+BJ207+BJ213+BJ219+BJ225+BJ231+BJ237+BJ243+BJ249+BJ255+BJ260+BJ265+BJ270+BJ275+BJ280+BJ285+BJ290+BJ295+BJ300+BJ305+BJ310+BJ315</f>
        <v>0</v>
      </c>
      <c r="BK183" s="50"/>
      <c r="BL183" s="51"/>
      <c r="BM183" s="144"/>
      <c r="BN183" s="456"/>
      <c r="BO183" s="51">
        <f>BO189+BO195+BO201+BO207+BO213+BO219+BO225+BO231+BO237+BO243+BO249+BO255+BO260+BO265+BO270+BO275+BO280+BO285+BO290+BO295+BO300+BO305+BO310+BO315</f>
        <v>0</v>
      </c>
      <c r="BP183" s="50"/>
      <c r="BQ183" s="51"/>
      <c r="BR183" s="144"/>
      <c r="BS183" s="456"/>
      <c r="BT183" s="51">
        <f>BT189+BT195+BT201+BT207+BT213+BT219+BT225+BT231+BT237+BT243+BT249+BT255+BT260+BT265+BT270+BT275+BT280+BT285+BT290+BT295+BT300+BT305+BT310+BT315</f>
        <v>1093260</v>
      </c>
      <c r="BU183" s="50"/>
      <c r="BV183" s="51"/>
      <c r="BW183" s="144"/>
      <c r="BX183" s="456"/>
      <c r="BY183" s="51">
        <f>BY189+BY195+BY201+BY207+BY213+BY219+BY225+BY231+BY237+BY243+BY249+BY255+BY260+BY265+BY270+BY275+BY280+BY285+BY290+BY295+BY300+BY305+BY310+BY315</f>
        <v>5585924</v>
      </c>
      <c r="BZ183" s="50"/>
      <c r="CA183" s="51"/>
      <c r="CB183" s="144"/>
      <c r="CC183" s="456"/>
      <c r="CD183" s="51">
        <f>CD189+CD195+CD201+CD207+CD213+CD219+CD225+CD231+CD237+CD243+CD249+CD255+CD260+CD265+CD270+CD275+CD280+CD285+CD290+CD295+CD300+CD305+CD310+CD315</f>
        <v>1360296</v>
      </c>
      <c r="CE183" s="50"/>
      <c r="CF183" s="51"/>
      <c r="CG183" s="144"/>
      <c r="CH183" s="456"/>
      <c r="CI183" s="51">
        <f>CI189+CI195+CI201+CI207+CI213+CI219+CI225+CI231+CI237+CI243+CI249+CI255+CI260+CI265+CI270+CI275+CI280+CI285+CI290+CI295+CI300+CI305+CI310+CI315</f>
        <v>515486</v>
      </c>
      <c r="CJ183" s="50"/>
      <c r="CK183" s="51"/>
      <c r="CL183" s="144"/>
      <c r="CM183" s="456"/>
      <c r="CN183" s="51">
        <f>CN189+CN195+CN201+CN207+CN213+CN219+CN225+CN231+CN237+CN243+CN249+CN255+CN260+CN265+CN270+CN275+CN280+CN285+CN290+CN295+CN300+CN305+CN310+CN315</f>
        <v>670006</v>
      </c>
      <c r="CO183" s="50"/>
      <c r="CP183" s="51"/>
      <c r="CQ183" s="144"/>
      <c r="CR183" s="456"/>
      <c r="CS183" s="51">
        <f>CS189+CS195+CS201+CS207+CS213+CS219+CS225+CS231+CS237+CS243+CS249+CS255+CS260+CS265+CS270+CS275+CS280+CS285+CS290+CS295+CS300+CS305+CS310+CS315</f>
        <v>271993</v>
      </c>
      <c r="CT183" s="50"/>
      <c r="CU183" s="51"/>
      <c r="CV183" s="144"/>
      <c r="CW183" s="456"/>
      <c r="CX183" s="51">
        <f>CX189+CX195+CX201+CX207+CX213+CX219+CX225+CX231+CX237+CX243+CX249+CX255+CX260+CX265+CX270+CX275+CX280+CX285+CX290+CX295+CX300+CX305+CX310+CX315</f>
        <v>350772</v>
      </c>
      <c r="CY183" s="50"/>
      <c r="CZ183" s="51"/>
      <c r="DA183" s="144"/>
      <c r="DB183" s="456"/>
      <c r="DC183" s="51">
        <f>DC189+DC195+DC201+DC207+DC213+DC219+DC225+DC231+DC237+DC243+DC249+DC255+DC260+DC265+DC270+DC275+DC280+DC285+DC290+DC295+DC300+DC305+DC310+DC315</f>
        <v>77228</v>
      </c>
      <c r="DD183" s="50"/>
      <c r="DE183" s="51"/>
      <c r="DF183" s="144"/>
      <c r="DG183" s="456"/>
      <c r="DH183" s="51">
        <f>DH189+DH195+DH201+DH207+DH213+DH219+DH225+DH231+DH237+DH243+DH249+DH255+DH260+DH265+DH270+DH275+DH280+DH285+DH290+DH295+DH300+DH305+DH310+DH315</f>
        <v>682857</v>
      </c>
      <c r="DI183" s="50"/>
      <c r="DJ183" s="51"/>
      <c r="DK183" s="144"/>
      <c r="DL183" s="456"/>
      <c r="DM183" s="51">
        <f>DM189+DM195+DM201+DM207+DM213+DM219+DM225+DM231+DM237+DM243+DM249+DM255+DM260+DM265+DM270+DM275+DM280+DM285+DM290+DM295+DM300+DM305+DM310+DM315</f>
        <v>605254</v>
      </c>
      <c r="DN183" s="50"/>
      <c r="DO183" s="51"/>
      <c r="DP183" s="144"/>
      <c r="DQ183" s="456"/>
      <c r="DR183" s="51">
        <f>DR189+DR195+DR201+DR207+DR213+DR219+DR225+DR231+DR237+DR243+DR249+DR255+DR260+DR265+DR270+DR275+DR280+DR285+DR290+DR295+DR300+DR305+DR310+DR315</f>
        <v>375351</v>
      </c>
      <c r="DS183" s="50"/>
      <c r="DT183" s="51"/>
      <c r="DU183" s="144"/>
      <c r="DV183" s="456"/>
      <c r="DW183" s="51">
        <f>DW189+DW195+DW201+DW207+DW213+DW219+DW225+DW231+DW237+DW243+DW249+DW255+DW260+DW265+DW270+DW275+DW280+DW285+DW290+DW295+DW300+DW305+DW310+DW315</f>
        <v>335778</v>
      </c>
      <c r="DX183" s="50"/>
      <c r="DY183" s="51"/>
      <c r="DZ183" s="144"/>
      <c r="EA183" s="456"/>
      <c r="EB183" s="51">
        <f>EB189+EB195+EB201+EB207+EB213+EB219+EB225+EB231+EB237+EB243+EB249+EB255+EB260+EB265+EB270+EB275+EB280+EB285+EB290+EB295+EB300+EB305+EB310+EB315</f>
        <v>274925</v>
      </c>
      <c r="EC183" s="50"/>
      <c r="ED183" s="51"/>
      <c r="EE183" s="144"/>
      <c r="EF183" s="456"/>
      <c r="EG183" s="51">
        <f>EG189+EG195+EG201+EG207+EG213+EG219+EG225+EG231+EG237+EG243+EG249+EG255+EG260+EG265+EG270+EG275+EG280+EG285+EG290+EG295+EG300+EG305+EG310+EG315</f>
        <v>65978</v>
      </c>
      <c r="EH183" s="50"/>
      <c r="EI183" s="51"/>
      <c r="EJ183" s="144"/>
      <c r="EK183" s="456"/>
      <c r="EL183" s="51">
        <f>EL189+EL195+EL201+EL207+EL213+EL219+EL225+EL231+EL237+EL243+EL249+EL255+EL260+EL265+EL270+EL275+EL280+EL285+EL290+EL295+EL300+EL305+EL310+EL315</f>
        <v>3928638</v>
      </c>
      <c r="EM183" s="50"/>
      <c r="EN183" s="51"/>
      <c r="EO183" s="340"/>
      <c r="ER183" s="39"/>
      <c r="ES183" s="39"/>
    </row>
    <row r="184" spans="1:149" x14ac:dyDescent="0.2">
      <c r="A184" s="317"/>
      <c r="B184" s="317"/>
      <c r="D184" s="340" t="s">
        <v>200</v>
      </c>
      <c r="E184" s="453"/>
      <c r="F184" s="456"/>
      <c r="G184" s="51">
        <f>G190+G196+G202+G208+G214+G220+G226+G232+G238+G244+G250+G256+G261+G266+G271+G276+G281+G286+G291+G296+G301+G306+G311+G316</f>
        <v>0</v>
      </c>
      <c r="H184" s="50"/>
      <c r="I184" s="51"/>
      <c r="J184" s="144"/>
      <c r="K184" s="456"/>
      <c r="L184" s="51">
        <f>L190+L196+L202+L208+L214+L220+L226+L232+L238+L244+L250+L256+L261+L266+L271+L276+L281+L286+L291+L296+L301+L306+L311+L316</f>
        <v>0</v>
      </c>
      <c r="M184" s="50"/>
      <c r="N184" s="51"/>
      <c r="O184" s="144"/>
      <c r="P184" s="456"/>
      <c r="Q184" s="51">
        <f>Q190+Q196+Q202+Q208+Q214+Q220+Q226+Q232+Q238+Q244+Q250+Q256+Q261+Q266+Q271+Q276+Q281+Q286+Q291+Q296+Q301+Q306+Q311+Q316</f>
        <v>0</v>
      </c>
      <c r="R184" s="50"/>
      <c r="S184" s="51"/>
      <c r="T184" s="144"/>
      <c r="U184" s="456"/>
      <c r="V184" s="51">
        <f>V190+V196+V202+V208+V214+V220+V226+V232+V238+V244+V250+V256+V261+V266+V271+V276+V281+V286+V291+V296+V301+V306+V311+V316</f>
        <v>0</v>
      </c>
      <c r="W184" s="50"/>
      <c r="X184" s="51"/>
      <c r="Y184" s="144"/>
      <c r="Z184" s="456"/>
      <c r="AA184" s="51">
        <f>AA190+AA196+AA202+AA208+AA214+AA220+AA226+AA232+AA238+AA244+AA250+AA256+AA261+AA266+AA271+AA276+AA281+AA286+AA291+AA296+AA301+AA306+AA311+AA316</f>
        <v>0</v>
      </c>
      <c r="AB184" s="50"/>
      <c r="AC184" s="51"/>
      <c r="AD184" s="144"/>
      <c r="AE184" s="456"/>
      <c r="AF184" s="51">
        <f>AF190+AF196+AF202+AF208+AF214+AF220+AF226+AF232+AF238+AF244+AF250+AF256+AF261+AF266+AF271+AF276+AF281+AF286+AF291+AF296+AF301+AF306+AF311+AF316</f>
        <v>0</v>
      </c>
      <c r="AG184" s="50"/>
      <c r="AH184" s="51"/>
      <c r="AI184" s="144"/>
      <c r="AJ184" s="456"/>
      <c r="AK184" s="51">
        <f>AK190+AK196+AK202+AK208+AK214+AK220+AK226+AK232+AK238+AK244+AK250+AK256+AK261+AK266+AK271+AK276+AK281+AK286+AK291+AK296+AK301+AK306+AK311+AK316</f>
        <v>0</v>
      </c>
      <c r="AL184" s="50"/>
      <c r="AM184" s="51"/>
      <c r="AN184" s="144"/>
      <c r="AO184" s="456"/>
      <c r="AP184" s="51">
        <f>AP190+AP196+AP202+AP208+AP214+AP220+AP226+AP232+AP238+AP244+AP250+AP256+AP261+AP266+AP271+AP276+AP281+AP286+AP291+AP296+AP301+AP306+AP311+AP316</f>
        <v>0</v>
      </c>
      <c r="AQ184" s="50"/>
      <c r="AR184" s="51"/>
      <c r="AS184" s="144"/>
      <c r="AT184" s="456"/>
      <c r="AU184" s="51">
        <f>AU190+AU196+AU202+AU208+AU214+AU220+AU226+AU232+AU238+AU244+AU250+AU256+AU261+AU266+AU271+AU276+AU281+AU286+AU291+AU296+AU301+AU306+AU311+AU316</f>
        <v>0</v>
      </c>
      <c r="AV184" s="50"/>
      <c r="AW184" s="51"/>
      <c r="AX184" s="144"/>
      <c r="AY184" s="456"/>
      <c r="AZ184" s="51">
        <f>AZ190+AZ196+AZ202+AZ208+AZ214+AZ220+AZ226+AZ232+AZ238+AZ244+AZ250+AZ256+AZ261+AZ266+AZ271+AZ276+AZ281+AZ286+AZ291+AZ296+AZ301+AZ306+AZ311+AZ316</f>
        <v>0</v>
      </c>
      <c r="BA184" s="50"/>
      <c r="BB184" s="51"/>
      <c r="BC184" s="144"/>
      <c r="BD184" s="456"/>
      <c r="BE184" s="51">
        <f>BE190+BE196+BE202+BE208+BE214+BE220+BE226+BE232+BE238+BE244+BE250+BE256+BE261+BE266+BE271+BE276+BE281+BE286+BE291+BE296+BE301+BE306+BE311+BE316</f>
        <v>0</v>
      </c>
      <c r="BF184" s="50"/>
      <c r="BG184" s="51"/>
      <c r="BH184" s="144"/>
      <c r="BI184" s="456"/>
      <c r="BJ184" s="51">
        <f>BJ190+BJ196+BJ202+BJ208+BJ214+BJ220+BJ226+BJ232+BJ238+BJ244+BJ250+BJ256+BJ261+BJ266+BJ271+BJ276+BJ281+BJ286+BJ291+BJ296+BJ301+BJ306+BJ311+BJ316</f>
        <v>0</v>
      </c>
      <c r="BK184" s="50"/>
      <c r="BL184" s="51"/>
      <c r="BM184" s="144"/>
      <c r="BN184" s="456"/>
      <c r="BO184" s="51">
        <f>BO190+BO196+BO202+BO208+BO214+BO220+BO226+BO232+BO238+BO244+BO250+BO256+BO261+BO266+BO271+BO276+BO281+BO286+BO291+BO296+BO301+BO306+BO311+BO316</f>
        <v>0</v>
      </c>
      <c r="BP184" s="50"/>
      <c r="BQ184" s="51"/>
      <c r="BR184" s="144"/>
      <c r="BS184" s="456"/>
      <c r="BT184" s="51">
        <f>BT190+BT196+BT202+BT208+BT214+BT220+BT226+BT232+BT238+BT244+BT250+BT256+BT261+BT266+BT271+BT276+BT281+BT286+BT291+BT296+BT301+BT306+BT311+BT316</f>
        <v>0</v>
      </c>
      <c r="BU184" s="50"/>
      <c r="BV184" s="51"/>
      <c r="BW184" s="144"/>
      <c r="BX184" s="456"/>
      <c r="BY184" s="51">
        <f>BY190+BY196+BY202+BY208+BY214+BY220+BY226+BY232+BY238+BY244+BY250+BY256+BY261+BY266+BY271+BY276+BY281+BY286+BY291+BY296+BY301+BY306+BY311+BY316</f>
        <v>-1313260</v>
      </c>
      <c r="BZ184" s="50"/>
      <c r="CA184" s="51"/>
      <c r="CB184" s="144"/>
      <c r="CC184" s="456"/>
      <c r="CD184" s="51">
        <f>CD190+CD196+CD202+CD208+CD214+CD220+CD226+CD232+CD238+CD244+CD250+CD256+CD261+CD266+CD271+CD276+CD281+CD286+CD291+CD296+CD301+CD306+CD311+CD316</f>
        <v>-290916</v>
      </c>
      <c r="CE184" s="50"/>
      <c r="CF184" s="51"/>
      <c r="CG184" s="144"/>
      <c r="CH184" s="456"/>
      <c r="CI184" s="51">
        <f>CI190+CI196+CI202+CI208+CI214+CI220+CI226+CI232+CI238+CI244+CI250+CI256+CI261+CI266+CI271+CI276+CI281+CI286+CI291+CI296+CI301+CI306+CI311+CI316</f>
        <v>-68408</v>
      </c>
      <c r="CJ184" s="50"/>
      <c r="CK184" s="51"/>
      <c r="CL184" s="144"/>
      <c r="CM184" s="456"/>
      <c r="CN184" s="51">
        <f>CN190+CN196+CN202+CN208+CN214+CN220+CN226+CN232+CN238+CN244+CN250+CN256+CN261+CN266+CN271+CN276+CN281+CN286+CN291+CN296+CN301+CN306+CN311+CN316</f>
        <v>-213164</v>
      </c>
      <c r="CO184" s="50"/>
      <c r="CP184" s="51"/>
      <c r="CQ184" s="144"/>
      <c r="CR184" s="456"/>
      <c r="CS184" s="51">
        <f>CS190+CS196+CS202+CS208+CS214+CS220+CS226+CS232+CS238+CS244+CS250+CS256+CS261+CS266+CS271+CS276+CS281+CS286+CS291+CS296+CS301+CS306+CS311+CS316</f>
        <v>-115520</v>
      </c>
      <c r="CT184" s="50"/>
      <c r="CU184" s="51"/>
      <c r="CV184" s="144"/>
      <c r="CW184" s="456"/>
      <c r="CX184" s="51">
        <f>CX190+CX196+CX202+CX208+CX214+CX220+CX226+CX232+CX238+CX244+CX250+CX256+CX261+CX266+CX271+CX276+CX281+CX286+CX291+CX296+CX301+CX306+CX311+CX316</f>
        <v>-115691</v>
      </c>
      <c r="CY184" s="50"/>
      <c r="CZ184" s="51"/>
      <c r="DA184" s="144"/>
      <c r="DB184" s="456"/>
      <c r="DC184" s="51">
        <f>DC190+DC196+DC202+DC208+DC214+DC220+DC226+DC232+DC238+DC244+DC250+DC256+DC261+DC266+DC271+DC276+DC281+DC286+DC291+DC296+DC301+DC306+DC311+DC316</f>
        <v>-210728</v>
      </c>
      <c r="DD184" s="50"/>
      <c r="DE184" s="51"/>
      <c r="DF184" s="144"/>
      <c r="DG184" s="456"/>
      <c r="DH184" s="51">
        <f>DH190+DH196+DH202+DH208+DH214+DH220+DH226+DH232+DH238+DH244+DH250+DH256+DH261+DH266+DH271+DH276+DH281+DH286+DH291+DH296+DH301+DH306+DH311+DH316</f>
        <v>-20827</v>
      </c>
      <c r="DI184" s="50"/>
      <c r="DJ184" s="51"/>
      <c r="DK184" s="144"/>
      <c r="DL184" s="456"/>
      <c r="DM184" s="51">
        <f>DM190+DM196+DM202+DM208+DM214+DM220+DM226+DM232+DM238+DM244+DM250+DM256+DM261+DM266+DM271+DM276+DM281+DM286+DM291+DM296+DM301+DM306+DM311+DM316</f>
        <v>-21707</v>
      </c>
      <c r="DN184" s="50"/>
      <c r="DO184" s="51"/>
      <c r="DP184" s="144"/>
      <c r="DQ184" s="456"/>
      <c r="DR184" s="51">
        <f>DR190+DR196+DR202+DR208+DR214+DR220+DR226+DR232+DR238+DR244+DR250+DR256+DR261+DR266+DR271+DR276+DR281+DR286+DR291+DR296+DR301+DR306+DR311+DR316</f>
        <v>-78516</v>
      </c>
      <c r="DS184" s="50"/>
      <c r="DT184" s="51"/>
      <c r="DU184" s="144"/>
      <c r="DV184" s="456"/>
      <c r="DW184" s="51">
        <f>DW190+DW196+DW202+DW208+DW214+DW220+DW226+DW232+DW238+DW244+DW250+DW256+DW261+DW266+DW271+DW276+DW281+DW286+DW291+DW296+DW301+DW306+DW311+DW316</f>
        <v>-30857</v>
      </c>
      <c r="DX184" s="50"/>
      <c r="DY184" s="51"/>
      <c r="DZ184" s="144"/>
      <c r="EA184" s="456"/>
      <c r="EB184" s="51">
        <f>EB190+EB196+EB202+EB208+EB214+EB220+EB226+EB232+EB238+EB244+EB250+EB256+EB261+EB266+EB271+EB276+EB281+EB286+EB291+EB296+EB301+EB306+EB311+EB316</f>
        <v>-21878</v>
      </c>
      <c r="EC184" s="50"/>
      <c r="ED184" s="51"/>
      <c r="EE184" s="144"/>
      <c r="EF184" s="456"/>
      <c r="EG184" s="51">
        <f>EG190+EG196+EG202+EG208+EG214+EG220+EG226+EG232+EG238+EG244+EG250+EG256+EG261+EG266+EG271+EG276+EG281+EG286+EG291+EG296+EG301+EG306+EG311+EG316</f>
        <v>-125048</v>
      </c>
      <c r="EH184" s="50"/>
      <c r="EI184" s="51"/>
      <c r="EJ184" s="144"/>
      <c r="EK184" s="456"/>
      <c r="EL184" s="51">
        <f>EL190+EL196+EL202+EL208+EL214+EL220+EL226+EL232+EL238+EL244+EL250+EL256+EL261+EL266+EL271+EL276+EL281+EL286+EL291+EL296+EL301+EL306+EL311+EL316</f>
        <v>-1035254</v>
      </c>
      <c r="EM184" s="50"/>
      <c r="EN184" s="51"/>
      <c r="EO184" s="340"/>
      <c r="ER184" s="39"/>
      <c r="ES184" s="39"/>
    </row>
    <row r="185" spans="1:149" x14ac:dyDescent="0.2">
      <c r="A185" s="317"/>
      <c r="B185" s="317"/>
      <c r="D185" s="340" t="s">
        <v>188</v>
      </c>
      <c r="E185" s="453"/>
      <c r="F185" s="459"/>
      <c r="G185" s="95">
        <f>G203+G233</f>
        <v>0</v>
      </c>
      <c r="H185" s="94"/>
      <c r="I185" s="51"/>
      <c r="J185" s="144"/>
      <c r="K185" s="459"/>
      <c r="L185" s="95">
        <f>L203+L233</f>
        <v>0</v>
      </c>
      <c r="M185" s="94"/>
      <c r="N185" s="51"/>
      <c r="O185" s="144"/>
      <c r="P185" s="459"/>
      <c r="Q185" s="95">
        <f>Q203+Q233</f>
        <v>0</v>
      </c>
      <c r="R185" s="94"/>
      <c r="S185" s="51"/>
      <c r="T185" s="144"/>
      <c r="U185" s="459"/>
      <c r="V185" s="95">
        <f>V203+V233</f>
        <v>0</v>
      </c>
      <c r="W185" s="94"/>
      <c r="X185" s="51"/>
      <c r="Y185" s="144"/>
      <c r="Z185" s="459"/>
      <c r="AA185" s="95">
        <f>AA203+AA233</f>
        <v>0</v>
      </c>
      <c r="AB185" s="94"/>
      <c r="AC185" s="51"/>
      <c r="AD185" s="144"/>
      <c r="AE185" s="459"/>
      <c r="AF185" s="95">
        <f>AF203+AF233</f>
        <v>0</v>
      </c>
      <c r="AG185" s="94"/>
      <c r="AH185" s="51"/>
      <c r="AI185" s="144"/>
      <c r="AJ185" s="459"/>
      <c r="AK185" s="95">
        <f>AK203+AK233</f>
        <v>0</v>
      </c>
      <c r="AL185" s="94"/>
      <c r="AM185" s="51"/>
      <c r="AN185" s="144"/>
      <c r="AO185" s="459"/>
      <c r="AP185" s="95">
        <f>AP203+AP233</f>
        <v>0</v>
      </c>
      <c r="AQ185" s="94"/>
      <c r="AR185" s="51"/>
      <c r="AS185" s="144"/>
      <c r="AT185" s="459"/>
      <c r="AU185" s="95">
        <f>AU203+AU233</f>
        <v>0</v>
      </c>
      <c r="AV185" s="94"/>
      <c r="AW185" s="51"/>
      <c r="AX185" s="144"/>
      <c r="AY185" s="459"/>
      <c r="AZ185" s="95">
        <f>AZ203+AZ233</f>
        <v>0</v>
      </c>
      <c r="BA185" s="94"/>
      <c r="BB185" s="51"/>
      <c r="BC185" s="144"/>
      <c r="BD185" s="459"/>
      <c r="BE185" s="95">
        <f>BE203+BE233</f>
        <v>0</v>
      </c>
      <c r="BF185" s="94"/>
      <c r="BG185" s="51"/>
      <c r="BH185" s="144"/>
      <c r="BI185" s="459"/>
      <c r="BJ185" s="95">
        <f>BJ203+BJ233</f>
        <v>0</v>
      </c>
      <c r="BK185" s="94"/>
      <c r="BL185" s="51"/>
      <c r="BM185" s="144"/>
      <c r="BN185" s="459"/>
      <c r="BO185" s="95">
        <f>BO203+BO233</f>
        <v>0</v>
      </c>
      <c r="BP185" s="94"/>
      <c r="BQ185" s="51"/>
      <c r="BR185" s="144"/>
      <c r="BS185" s="459"/>
      <c r="BT185" s="95">
        <f>BT203+BT233</f>
        <v>0</v>
      </c>
      <c r="BU185" s="94"/>
      <c r="BV185" s="51"/>
      <c r="BW185" s="144"/>
      <c r="BX185" s="459"/>
      <c r="BY185" s="95">
        <f>BY203+BY233</f>
        <v>0</v>
      </c>
      <c r="BZ185" s="94"/>
      <c r="CA185" s="51"/>
      <c r="CB185" s="144"/>
      <c r="CC185" s="459"/>
      <c r="CD185" s="95">
        <f>CD203+CD233</f>
        <v>0</v>
      </c>
      <c r="CE185" s="94"/>
      <c r="CF185" s="51"/>
      <c r="CG185" s="144"/>
      <c r="CH185" s="459"/>
      <c r="CI185" s="95">
        <f>CI203+CI233</f>
        <v>0</v>
      </c>
      <c r="CJ185" s="94"/>
      <c r="CK185" s="51"/>
      <c r="CL185" s="144"/>
      <c r="CM185" s="459"/>
      <c r="CN185" s="95">
        <f>CN203+CN233</f>
        <v>0</v>
      </c>
      <c r="CO185" s="94"/>
      <c r="CP185" s="51"/>
      <c r="CQ185" s="144"/>
      <c r="CR185" s="459"/>
      <c r="CS185" s="95">
        <f>CS203+CS233</f>
        <v>0</v>
      </c>
      <c r="CT185" s="94"/>
      <c r="CU185" s="51"/>
      <c r="CV185" s="144"/>
      <c r="CW185" s="459"/>
      <c r="CX185" s="95">
        <f>CX203+CX233</f>
        <v>0</v>
      </c>
      <c r="CY185" s="94"/>
      <c r="CZ185" s="51"/>
      <c r="DA185" s="144"/>
      <c r="DB185" s="459"/>
      <c r="DC185" s="95">
        <f>DC203+DC233</f>
        <v>0</v>
      </c>
      <c r="DD185" s="94"/>
      <c r="DE185" s="51"/>
      <c r="DF185" s="144"/>
      <c r="DG185" s="459"/>
      <c r="DH185" s="95">
        <f>DH203+DH233</f>
        <v>0</v>
      </c>
      <c r="DI185" s="94"/>
      <c r="DJ185" s="51"/>
      <c r="DK185" s="144"/>
      <c r="DL185" s="459"/>
      <c r="DM185" s="95">
        <f>DM203+DM233</f>
        <v>0</v>
      </c>
      <c r="DN185" s="94"/>
      <c r="DO185" s="51"/>
      <c r="DP185" s="144"/>
      <c r="DQ185" s="459"/>
      <c r="DR185" s="95">
        <f>DR203+DR233</f>
        <v>0</v>
      </c>
      <c r="DS185" s="94"/>
      <c r="DT185" s="51"/>
      <c r="DU185" s="144"/>
      <c r="DV185" s="459"/>
      <c r="DW185" s="95">
        <f>DW203+DW233</f>
        <v>0</v>
      </c>
      <c r="DX185" s="94"/>
      <c r="DY185" s="51"/>
      <c r="DZ185" s="144"/>
      <c r="EA185" s="459"/>
      <c r="EB185" s="95">
        <f>EB203+EB233</f>
        <v>0</v>
      </c>
      <c r="EC185" s="94"/>
      <c r="ED185" s="51"/>
      <c r="EE185" s="144"/>
      <c r="EF185" s="459"/>
      <c r="EG185" s="95">
        <f>EG203+EG233</f>
        <v>0</v>
      </c>
      <c r="EH185" s="94"/>
      <c r="EI185" s="51"/>
      <c r="EJ185" s="144"/>
      <c r="EK185" s="459"/>
      <c r="EL185" s="95">
        <f>EL203+EL233</f>
        <v>0</v>
      </c>
      <c r="EM185" s="94"/>
      <c r="EN185" s="51"/>
      <c r="EO185" s="340"/>
      <c r="ER185" s="39"/>
      <c r="ES185" s="39"/>
    </row>
    <row r="186" spans="1:149" x14ac:dyDescent="0.2">
      <c r="A186" s="317"/>
      <c r="B186" s="317"/>
      <c r="D186" s="340"/>
      <c r="E186" s="453"/>
      <c r="F186" s="663"/>
      <c r="G186" s="51"/>
      <c r="H186" s="51"/>
      <c r="I186" s="51"/>
      <c r="J186" s="144"/>
      <c r="K186" s="663"/>
      <c r="L186" s="51"/>
      <c r="M186" s="51"/>
      <c r="N186" s="51"/>
      <c r="O186" s="144"/>
      <c r="P186" s="663"/>
      <c r="Q186" s="51"/>
      <c r="R186" s="51"/>
      <c r="S186" s="51"/>
      <c r="T186" s="144"/>
      <c r="U186" s="663"/>
      <c r="V186" s="51"/>
      <c r="W186" s="51"/>
      <c r="X186" s="51"/>
      <c r="Y186" s="144"/>
      <c r="Z186" s="663"/>
      <c r="AA186" s="51"/>
      <c r="AB186" s="51"/>
      <c r="AC186" s="51"/>
      <c r="AD186" s="144"/>
      <c r="AE186" s="663"/>
      <c r="AF186" s="51"/>
      <c r="AG186" s="51"/>
      <c r="AH186" s="51"/>
      <c r="AI186" s="144"/>
      <c r="AJ186" s="663"/>
      <c r="AK186" s="51"/>
      <c r="AL186" s="51"/>
      <c r="AM186" s="51"/>
      <c r="AN186" s="144"/>
      <c r="AO186" s="663"/>
      <c r="AP186" s="51"/>
      <c r="AQ186" s="51"/>
      <c r="AR186" s="51"/>
      <c r="AS186" s="144"/>
      <c r="AT186" s="663"/>
      <c r="AU186" s="51"/>
      <c r="AV186" s="51"/>
      <c r="AW186" s="51"/>
      <c r="AX186" s="144"/>
      <c r="AY186" s="663"/>
      <c r="AZ186" s="51"/>
      <c r="BA186" s="51"/>
      <c r="BB186" s="51"/>
      <c r="BC186" s="144"/>
      <c r="BD186" s="663"/>
      <c r="BE186" s="51"/>
      <c r="BF186" s="51"/>
      <c r="BG186" s="51"/>
      <c r="BH186" s="144"/>
      <c r="BI186" s="663"/>
      <c r="BJ186" s="51"/>
      <c r="BK186" s="51"/>
      <c r="BL186" s="51"/>
      <c r="BM186" s="144"/>
      <c r="BN186" s="663"/>
      <c r="BO186" s="51"/>
      <c r="BP186" s="51"/>
      <c r="BQ186" s="51"/>
      <c r="BR186" s="144"/>
      <c r="BS186" s="663"/>
      <c r="BT186" s="51"/>
      <c r="BU186" s="51"/>
      <c r="BV186" s="51"/>
      <c r="BW186" s="144"/>
      <c r="BX186" s="663"/>
      <c r="BY186" s="51"/>
      <c r="BZ186" s="51"/>
      <c r="CA186" s="51"/>
      <c r="CB186" s="144"/>
      <c r="CC186" s="663"/>
      <c r="CD186" s="51"/>
      <c r="CE186" s="51"/>
      <c r="CF186" s="51"/>
      <c r="CG186" s="144"/>
      <c r="CH186" s="663"/>
      <c r="CI186" s="51"/>
      <c r="CJ186" s="51"/>
      <c r="CK186" s="51"/>
      <c r="CL186" s="144"/>
      <c r="CM186" s="663"/>
      <c r="CN186" s="51"/>
      <c r="CO186" s="51"/>
      <c r="CP186" s="51"/>
      <c r="CQ186" s="144"/>
      <c r="CR186" s="663"/>
      <c r="CS186" s="51"/>
      <c r="CT186" s="51"/>
      <c r="CU186" s="51"/>
      <c r="CV186" s="144"/>
      <c r="CW186" s="663"/>
      <c r="CX186" s="51"/>
      <c r="CY186" s="51"/>
      <c r="CZ186" s="51"/>
      <c r="DA186" s="144"/>
      <c r="DB186" s="663"/>
      <c r="DC186" s="51"/>
      <c r="DD186" s="51"/>
      <c r="DE186" s="51"/>
      <c r="DF186" s="144"/>
      <c r="DG186" s="663"/>
      <c r="DH186" s="51"/>
      <c r="DI186" s="51"/>
      <c r="DJ186" s="51"/>
      <c r="DK186" s="144"/>
      <c r="DL186" s="663"/>
      <c r="DM186" s="51"/>
      <c r="DN186" s="51"/>
      <c r="DO186" s="51"/>
      <c r="DP186" s="144"/>
      <c r="DQ186" s="663"/>
      <c r="DR186" s="51"/>
      <c r="DS186" s="51"/>
      <c r="DT186" s="51"/>
      <c r="DU186" s="144"/>
      <c r="DV186" s="663"/>
      <c r="DW186" s="51"/>
      <c r="DX186" s="51"/>
      <c r="DY186" s="51"/>
      <c r="DZ186" s="144"/>
      <c r="EA186" s="663"/>
      <c r="EB186" s="51"/>
      <c r="EC186" s="51"/>
      <c r="ED186" s="51"/>
      <c r="EE186" s="144"/>
      <c r="EF186" s="663"/>
      <c r="EG186" s="51"/>
      <c r="EH186" s="51"/>
      <c r="EI186" s="51"/>
      <c r="EJ186" s="144"/>
      <c r="EK186" s="663"/>
      <c r="EL186" s="51"/>
      <c r="EM186" s="51"/>
      <c r="EN186" s="51"/>
      <c r="EO186" s="340"/>
      <c r="ER186" s="39"/>
      <c r="ES186" s="39"/>
    </row>
    <row r="187" spans="1:149" hidden="1" x14ac:dyDescent="0.2">
      <c r="A187" s="317"/>
      <c r="B187" s="317"/>
      <c r="D187" s="340" t="s">
        <v>185</v>
      </c>
      <c r="F187" s="317"/>
      <c r="G187" s="51">
        <f>SUM(G188:G191)</f>
        <v>0</v>
      </c>
      <c r="H187" s="51"/>
      <c r="I187" s="51"/>
      <c r="J187" s="144"/>
      <c r="K187" s="51"/>
      <c r="L187" s="51">
        <f>SUM(L188:L191)</f>
        <v>0</v>
      </c>
      <c r="M187" s="51"/>
      <c r="N187" s="51"/>
      <c r="O187" s="144"/>
      <c r="P187" s="51"/>
      <c r="Q187" s="51">
        <f>SUM(Q188:Q191)</f>
        <v>0</v>
      </c>
      <c r="R187" s="51"/>
      <c r="S187" s="51"/>
      <c r="T187" s="144"/>
      <c r="U187" s="51"/>
      <c r="V187" s="51">
        <f>SUM(V188:V191)</f>
        <v>0</v>
      </c>
      <c r="W187" s="51"/>
      <c r="X187" s="51"/>
      <c r="Y187" s="144"/>
      <c r="Z187" s="51"/>
      <c r="AA187" s="51">
        <f>SUM(AA188:AA191)</f>
        <v>0</v>
      </c>
      <c r="AB187" s="51"/>
      <c r="AC187" s="51"/>
      <c r="AD187" s="144"/>
      <c r="AE187" s="51"/>
      <c r="AF187" s="51">
        <f>SUM(AF188:AF191)</f>
        <v>0</v>
      </c>
      <c r="AG187" s="51"/>
      <c r="AH187" s="51"/>
      <c r="AI187" s="144"/>
      <c r="AJ187" s="51"/>
      <c r="AK187" s="51">
        <f>SUM(AK188:AK191)</f>
        <v>0</v>
      </c>
      <c r="AL187" s="51"/>
      <c r="AM187" s="51"/>
      <c r="AN187" s="144"/>
      <c r="AO187" s="51"/>
      <c r="AP187" s="51">
        <f>SUM(AP188:AP191)</f>
        <v>0</v>
      </c>
      <c r="AQ187" s="51"/>
      <c r="AR187" s="51"/>
      <c r="AS187" s="144"/>
      <c r="AT187" s="51"/>
      <c r="AU187" s="51">
        <f>SUM(AU188:AU191)</f>
        <v>0</v>
      </c>
      <c r="AV187" s="51"/>
      <c r="AW187" s="51"/>
      <c r="AX187" s="144"/>
      <c r="AY187" s="51"/>
      <c r="AZ187" s="51">
        <f>SUM(AZ188:AZ191)</f>
        <v>0</v>
      </c>
      <c r="BA187" s="51"/>
      <c r="BB187" s="51"/>
      <c r="BC187" s="144"/>
      <c r="BD187" s="51"/>
      <c r="BE187" s="51">
        <f>SUM(BE188:BE191)</f>
        <v>0</v>
      </c>
      <c r="BF187" s="51"/>
      <c r="BG187" s="51"/>
      <c r="BH187" s="144"/>
      <c r="BI187" s="51"/>
      <c r="BJ187" s="51">
        <f>SUM(BJ188:BJ191)</f>
        <v>0</v>
      </c>
      <c r="BK187" s="51"/>
      <c r="BL187" s="51"/>
      <c r="BM187" s="144"/>
      <c r="BN187" s="51"/>
      <c r="BO187" s="51">
        <f>SUM(BO188:BO191)</f>
        <v>0</v>
      </c>
      <c r="BP187" s="51"/>
      <c r="BQ187" s="51"/>
      <c r="BR187" s="144"/>
      <c r="BS187" s="51"/>
      <c r="BT187" s="51">
        <f>SUM(BT188:BT191)</f>
        <v>0</v>
      </c>
      <c r="BU187" s="51"/>
      <c r="BV187" s="51"/>
      <c r="BW187" s="144"/>
      <c r="BX187" s="51"/>
      <c r="BY187" s="51">
        <f>SUM(BY188:BY191)</f>
        <v>0</v>
      </c>
      <c r="BZ187" s="51"/>
      <c r="CA187" s="51"/>
      <c r="CB187" s="144"/>
      <c r="CC187" s="51"/>
      <c r="CD187" s="51">
        <f>SUM(CD188:CD191)</f>
        <v>0</v>
      </c>
      <c r="CE187" s="51"/>
      <c r="CF187" s="51"/>
      <c r="CG187" s="144"/>
      <c r="CH187" s="51"/>
      <c r="CI187" s="51">
        <f>SUM(CI188:CI191)</f>
        <v>0</v>
      </c>
      <c r="CJ187" s="51"/>
      <c r="CK187" s="51"/>
      <c r="CL187" s="144"/>
      <c r="CM187" s="51"/>
      <c r="CN187" s="51">
        <f>SUM(CN188:CN191)</f>
        <v>0</v>
      </c>
      <c r="CO187" s="51"/>
      <c r="CP187" s="51"/>
      <c r="CQ187" s="144"/>
      <c r="CR187" s="51"/>
      <c r="CS187" s="51">
        <f>SUM(CS188:CS191)</f>
        <v>0</v>
      </c>
      <c r="CT187" s="51"/>
      <c r="CU187" s="51"/>
      <c r="CV187" s="144"/>
      <c r="CW187" s="51"/>
      <c r="CX187" s="51">
        <f>SUM(CX188:CX191)</f>
        <v>0</v>
      </c>
      <c r="CY187" s="51"/>
      <c r="CZ187" s="51"/>
      <c r="DA187" s="144"/>
      <c r="DB187" s="51"/>
      <c r="DC187" s="51">
        <f>SUM(DC188:DC191)</f>
        <v>0</v>
      </c>
      <c r="DD187" s="51"/>
      <c r="DE187" s="51"/>
      <c r="DF187" s="144"/>
      <c r="DG187" s="51"/>
      <c r="DH187" s="51">
        <f>SUM(DH188:DH191)</f>
        <v>0</v>
      </c>
      <c r="DI187" s="51"/>
      <c r="DJ187" s="51"/>
      <c r="DK187" s="144"/>
      <c r="DL187" s="51"/>
      <c r="DM187" s="51">
        <f>SUM(DM188:DM191)</f>
        <v>0</v>
      </c>
      <c r="DN187" s="51"/>
      <c r="DO187" s="51"/>
      <c r="DP187" s="144"/>
      <c r="DQ187" s="51"/>
      <c r="DR187" s="51">
        <f>SUM(DR188:DR191)</f>
        <v>0</v>
      </c>
      <c r="DS187" s="51"/>
      <c r="DT187" s="51"/>
      <c r="DU187" s="144"/>
      <c r="DV187" s="51"/>
      <c r="DW187" s="51">
        <f>SUM(DW188:DW191)</f>
        <v>0</v>
      </c>
      <c r="DX187" s="51"/>
      <c r="DY187" s="51"/>
      <c r="DZ187" s="144"/>
      <c r="EA187" s="51"/>
      <c r="EB187" s="51">
        <f>SUM(EB188:EB191)</f>
        <v>0</v>
      </c>
      <c r="EC187" s="51"/>
      <c r="ED187" s="51"/>
      <c r="EE187" s="144"/>
      <c r="EF187" s="51"/>
      <c r="EG187" s="51">
        <f>SUM(EG188:EG191)</f>
        <v>0</v>
      </c>
      <c r="EH187" s="51"/>
      <c r="EI187" s="51"/>
      <c r="EJ187" s="144"/>
      <c r="EK187" s="51"/>
      <c r="EL187" s="51">
        <f>SUM(EL188:EL191)</f>
        <v>0</v>
      </c>
      <c r="EM187" s="51"/>
      <c r="EN187" s="51"/>
      <c r="EO187" s="340"/>
      <c r="ER187" s="39"/>
      <c r="ES187" s="39"/>
    </row>
    <row r="188" spans="1:149" hidden="1" x14ac:dyDescent="0.2">
      <c r="A188" s="317"/>
      <c r="B188" s="317"/>
      <c r="D188" s="340" t="s">
        <v>183</v>
      </c>
      <c r="F188" s="354"/>
      <c r="G188" s="430">
        <v>0</v>
      </c>
      <c r="H188" s="431"/>
      <c r="I188" s="51"/>
      <c r="J188" s="144"/>
      <c r="K188" s="432"/>
      <c r="L188" s="430">
        <v>0</v>
      </c>
      <c r="M188" s="431"/>
      <c r="N188" s="51"/>
      <c r="O188" s="144"/>
      <c r="P188" s="432"/>
      <c r="Q188" s="430">
        <v>0</v>
      </c>
      <c r="R188" s="431"/>
      <c r="S188" s="51"/>
      <c r="T188" s="144"/>
      <c r="U188" s="432"/>
      <c r="V188" s="430">
        <v>0</v>
      </c>
      <c r="W188" s="431"/>
      <c r="X188" s="51"/>
      <c r="Y188" s="144"/>
      <c r="Z188" s="432"/>
      <c r="AA188" s="430">
        <v>0</v>
      </c>
      <c r="AB188" s="431"/>
      <c r="AC188" s="51"/>
      <c r="AD188" s="144"/>
      <c r="AE188" s="432"/>
      <c r="AF188" s="430">
        <v>0</v>
      </c>
      <c r="AG188" s="431"/>
      <c r="AH188" s="51"/>
      <c r="AI188" s="144"/>
      <c r="AJ188" s="432"/>
      <c r="AK188" s="430">
        <v>0</v>
      </c>
      <c r="AL188" s="431"/>
      <c r="AM188" s="51"/>
      <c r="AN188" s="144"/>
      <c r="AO188" s="432"/>
      <c r="AP188" s="430">
        <v>0</v>
      </c>
      <c r="AQ188" s="431"/>
      <c r="AR188" s="51"/>
      <c r="AS188" s="144"/>
      <c r="AT188" s="432"/>
      <c r="AU188" s="430">
        <v>0</v>
      </c>
      <c r="AV188" s="431"/>
      <c r="AW188" s="51"/>
      <c r="AX188" s="144"/>
      <c r="AY188" s="432"/>
      <c r="AZ188" s="430">
        <v>0</v>
      </c>
      <c r="BA188" s="431"/>
      <c r="BB188" s="51"/>
      <c r="BC188" s="144"/>
      <c r="BD188" s="432"/>
      <c r="BE188" s="430">
        <v>0</v>
      </c>
      <c r="BF188" s="431"/>
      <c r="BG188" s="51"/>
      <c r="BH188" s="144"/>
      <c r="BI188" s="432"/>
      <c r="BJ188" s="430">
        <v>0</v>
      </c>
      <c r="BK188" s="431"/>
      <c r="BL188" s="51"/>
      <c r="BM188" s="144"/>
      <c r="BN188" s="432"/>
      <c r="BO188" s="430">
        <v>0</v>
      </c>
      <c r="BP188" s="431"/>
      <c r="BQ188" s="51"/>
      <c r="BR188" s="144"/>
      <c r="BS188" s="432"/>
      <c r="BT188" s="430">
        <f>SUM(L188:BO188)</f>
        <v>0</v>
      </c>
      <c r="BU188" s="431"/>
      <c r="BV188" s="51"/>
      <c r="BW188" s="144"/>
      <c r="BX188" s="432"/>
      <c r="BY188" s="430">
        <v>0</v>
      </c>
      <c r="BZ188" s="431"/>
      <c r="CA188" s="51"/>
      <c r="CB188" s="144"/>
      <c r="CC188" s="432"/>
      <c r="CD188" s="430">
        <v>0</v>
      </c>
      <c r="CE188" s="431"/>
      <c r="CF188" s="51"/>
      <c r="CG188" s="144"/>
      <c r="CH188" s="432"/>
      <c r="CI188" s="430">
        <v>0</v>
      </c>
      <c r="CJ188" s="431"/>
      <c r="CK188" s="51"/>
      <c r="CL188" s="144"/>
      <c r="CM188" s="432"/>
      <c r="CN188" s="430">
        <v>0</v>
      </c>
      <c r="CO188" s="431"/>
      <c r="CP188" s="51"/>
      <c r="CQ188" s="144"/>
      <c r="CR188" s="432"/>
      <c r="CS188" s="430">
        <v>0</v>
      </c>
      <c r="CT188" s="431"/>
      <c r="CU188" s="51"/>
      <c r="CV188" s="144"/>
      <c r="CW188" s="432"/>
      <c r="CX188" s="430">
        <v>0</v>
      </c>
      <c r="CY188" s="431"/>
      <c r="CZ188" s="51"/>
      <c r="DA188" s="144"/>
      <c r="DB188" s="432"/>
      <c r="DC188" s="430">
        <v>0</v>
      </c>
      <c r="DD188" s="431"/>
      <c r="DE188" s="51"/>
      <c r="DF188" s="144"/>
      <c r="DG188" s="432"/>
      <c r="DH188" s="430">
        <v>0</v>
      </c>
      <c r="DI188" s="431"/>
      <c r="DJ188" s="51"/>
      <c r="DK188" s="144"/>
      <c r="DL188" s="432"/>
      <c r="DM188" s="430">
        <v>0</v>
      </c>
      <c r="DN188" s="431"/>
      <c r="DO188" s="51"/>
      <c r="DP188" s="144"/>
      <c r="DQ188" s="432"/>
      <c r="DR188" s="430">
        <v>0</v>
      </c>
      <c r="DS188" s="431"/>
      <c r="DT188" s="51"/>
      <c r="DU188" s="144"/>
      <c r="DV188" s="432"/>
      <c r="DW188" s="430">
        <v>0</v>
      </c>
      <c r="DX188" s="431"/>
      <c r="DY188" s="51"/>
      <c r="DZ188" s="144"/>
      <c r="EA188" s="432"/>
      <c r="EB188" s="430">
        <v>0</v>
      </c>
      <c r="EC188" s="431"/>
      <c r="ED188" s="51"/>
      <c r="EE188" s="144"/>
      <c r="EF188" s="432"/>
      <c r="EG188" s="430">
        <v>0</v>
      </c>
      <c r="EH188" s="431"/>
      <c r="EI188" s="51"/>
      <c r="EJ188" s="144"/>
      <c r="EK188" s="432"/>
      <c r="EL188" s="430">
        <f>SUM(CD188:EG188)</f>
        <v>0</v>
      </c>
      <c r="EM188" s="431"/>
      <c r="EN188" s="51"/>
      <c r="EO188" s="340"/>
      <c r="ER188" s="39"/>
      <c r="ES188" s="39"/>
    </row>
    <row r="189" spans="1:149" hidden="1" x14ac:dyDescent="0.2">
      <c r="A189" s="317"/>
      <c r="B189" s="317"/>
      <c r="D189" s="340" t="s">
        <v>186</v>
      </c>
      <c r="F189" s="347"/>
      <c r="G189" s="51">
        <v>0</v>
      </c>
      <c r="H189" s="50"/>
      <c r="I189" s="51"/>
      <c r="J189" s="144"/>
      <c r="K189" s="144"/>
      <c r="L189" s="51">
        <v>0</v>
      </c>
      <c r="M189" s="50"/>
      <c r="N189" s="51"/>
      <c r="O189" s="144"/>
      <c r="P189" s="144"/>
      <c r="Q189" s="51">
        <v>0</v>
      </c>
      <c r="R189" s="50"/>
      <c r="S189" s="51"/>
      <c r="T189" s="144"/>
      <c r="U189" s="144"/>
      <c r="V189" s="51">
        <v>0</v>
      </c>
      <c r="W189" s="50"/>
      <c r="X189" s="51"/>
      <c r="Y189" s="144"/>
      <c r="Z189" s="144"/>
      <c r="AA189" s="51">
        <v>0</v>
      </c>
      <c r="AB189" s="50"/>
      <c r="AC189" s="51"/>
      <c r="AD189" s="144"/>
      <c r="AE189" s="144"/>
      <c r="AF189" s="51">
        <v>0</v>
      </c>
      <c r="AG189" s="50"/>
      <c r="AH189" s="51"/>
      <c r="AI189" s="144"/>
      <c r="AJ189" s="144"/>
      <c r="AK189" s="51">
        <v>0</v>
      </c>
      <c r="AL189" s="50"/>
      <c r="AM189" s="51"/>
      <c r="AN189" s="144"/>
      <c r="AO189" s="144"/>
      <c r="AP189" s="51">
        <v>0</v>
      </c>
      <c r="AQ189" s="50"/>
      <c r="AR189" s="51"/>
      <c r="AS189" s="144"/>
      <c r="AT189" s="144"/>
      <c r="AU189" s="51">
        <v>0</v>
      </c>
      <c r="AV189" s="50"/>
      <c r="AW189" s="51"/>
      <c r="AX189" s="144"/>
      <c r="AY189" s="144"/>
      <c r="AZ189" s="51">
        <v>0</v>
      </c>
      <c r="BA189" s="50"/>
      <c r="BB189" s="51"/>
      <c r="BC189" s="144"/>
      <c r="BD189" s="144"/>
      <c r="BE189" s="51">
        <v>0</v>
      </c>
      <c r="BF189" s="50"/>
      <c r="BG189" s="51"/>
      <c r="BH189" s="144"/>
      <c r="BI189" s="144"/>
      <c r="BJ189" s="51">
        <v>0</v>
      </c>
      <c r="BK189" s="50"/>
      <c r="BL189" s="51"/>
      <c r="BM189" s="144"/>
      <c r="BN189" s="144"/>
      <c r="BO189" s="51">
        <v>0</v>
      </c>
      <c r="BP189" s="50"/>
      <c r="BQ189" s="51"/>
      <c r="BR189" s="144"/>
      <c r="BS189" s="144"/>
      <c r="BT189" s="51">
        <f>SUM(L189:BO189)</f>
        <v>0</v>
      </c>
      <c r="BU189" s="50"/>
      <c r="BV189" s="51"/>
      <c r="BW189" s="144"/>
      <c r="BX189" s="144"/>
      <c r="BY189" s="51">
        <v>0</v>
      </c>
      <c r="BZ189" s="50"/>
      <c r="CA189" s="51"/>
      <c r="CB189" s="144"/>
      <c r="CC189" s="144"/>
      <c r="CD189" s="51">
        <v>0</v>
      </c>
      <c r="CE189" s="50"/>
      <c r="CF189" s="51"/>
      <c r="CG189" s="144"/>
      <c r="CH189" s="144"/>
      <c r="CI189" s="51">
        <v>0</v>
      </c>
      <c r="CJ189" s="50"/>
      <c r="CK189" s="51"/>
      <c r="CL189" s="144"/>
      <c r="CM189" s="144"/>
      <c r="CN189" s="51">
        <v>0</v>
      </c>
      <c r="CO189" s="50"/>
      <c r="CP189" s="51"/>
      <c r="CQ189" s="144"/>
      <c r="CR189" s="144"/>
      <c r="CS189" s="51">
        <v>0</v>
      </c>
      <c r="CT189" s="50"/>
      <c r="CU189" s="51"/>
      <c r="CV189" s="144"/>
      <c r="CW189" s="144"/>
      <c r="CX189" s="51">
        <v>0</v>
      </c>
      <c r="CY189" s="50"/>
      <c r="CZ189" s="51"/>
      <c r="DA189" s="144"/>
      <c r="DB189" s="144"/>
      <c r="DC189" s="51">
        <v>0</v>
      </c>
      <c r="DD189" s="50"/>
      <c r="DE189" s="51"/>
      <c r="DF189" s="144"/>
      <c r="DG189" s="144"/>
      <c r="DH189" s="51">
        <v>0</v>
      </c>
      <c r="DI189" s="50"/>
      <c r="DJ189" s="51"/>
      <c r="DK189" s="144"/>
      <c r="DL189" s="144"/>
      <c r="DM189" s="51">
        <v>0</v>
      </c>
      <c r="DN189" s="50"/>
      <c r="DO189" s="51"/>
      <c r="DP189" s="144"/>
      <c r="DQ189" s="144"/>
      <c r="DR189" s="51">
        <v>0</v>
      </c>
      <c r="DS189" s="50"/>
      <c r="DT189" s="51"/>
      <c r="DU189" s="144"/>
      <c r="DV189" s="144"/>
      <c r="DW189" s="51">
        <v>0</v>
      </c>
      <c r="DX189" s="50"/>
      <c r="DY189" s="51"/>
      <c r="DZ189" s="144"/>
      <c r="EA189" s="144"/>
      <c r="EB189" s="51">
        <v>0</v>
      </c>
      <c r="EC189" s="50"/>
      <c r="ED189" s="51"/>
      <c r="EE189" s="144"/>
      <c r="EF189" s="144"/>
      <c r="EG189" s="51">
        <v>0</v>
      </c>
      <c r="EH189" s="50"/>
      <c r="EI189" s="51"/>
      <c r="EJ189" s="144"/>
      <c r="EK189" s="144"/>
      <c r="EL189" s="51">
        <f>SUM(CD189:EG189)</f>
        <v>0</v>
      </c>
      <c r="EM189" s="50"/>
      <c r="EN189" s="51"/>
      <c r="EO189" s="340"/>
      <c r="ER189" s="39"/>
      <c r="ES189" s="39"/>
    </row>
    <row r="190" spans="1:149" hidden="1" x14ac:dyDescent="0.2">
      <c r="A190" s="317"/>
      <c r="B190" s="317"/>
      <c r="D190" s="340" t="s">
        <v>187</v>
      </c>
      <c r="F190" s="347"/>
      <c r="G190" s="51">
        <v>0</v>
      </c>
      <c r="H190" s="50"/>
      <c r="I190" s="51"/>
      <c r="J190" s="144"/>
      <c r="K190" s="144"/>
      <c r="L190" s="51">
        <v>0</v>
      </c>
      <c r="M190" s="50"/>
      <c r="N190" s="51"/>
      <c r="O190" s="144"/>
      <c r="P190" s="144"/>
      <c r="Q190" s="51">
        <v>0</v>
      </c>
      <c r="R190" s="50"/>
      <c r="S190" s="51"/>
      <c r="T190" s="144"/>
      <c r="U190" s="144"/>
      <c r="V190" s="51">
        <v>0</v>
      </c>
      <c r="W190" s="50"/>
      <c r="X190" s="51"/>
      <c r="Y190" s="144"/>
      <c r="Z190" s="144"/>
      <c r="AA190" s="51">
        <v>0</v>
      </c>
      <c r="AB190" s="50"/>
      <c r="AC190" s="51"/>
      <c r="AD190" s="144"/>
      <c r="AE190" s="144"/>
      <c r="AF190" s="51">
        <v>0</v>
      </c>
      <c r="AG190" s="50"/>
      <c r="AH190" s="51"/>
      <c r="AI190" s="144"/>
      <c r="AJ190" s="144"/>
      <c r="AK190" s="51">
        <v>0</v>
      </c>
      <c r="AL190" s="50"/>
      <c r="AM190" s="51"/>
      <c r="AN190" s="144"/>
      <c r="AO190" s="144"/>
      <c r="AP190" s="51">
        <v>0</v>
      </c>
      <c r="AQ190" s="50"/>
      <c r="AR190" s="51"/>
      <c r="AS190" s="144"/>
      <c r="AT190" s="144"/>
      <c r="AU190" s="51">
        <v>0</v>
      </c>
      <c r="AV190" s="50"/>
      <c r="AW190" s="51"/>
      <c r="AX190" s="144"/>
      <c r="AY190" s="144"/>
      <c r="AZ190" s="51">
        <v>0</v>
      </c>
      <c r="BA190" s="50"/>
      <c r="BB190" s="51"/>
      <c r="BC190" s="144"/>
      <c r="BD190" s="144"/>
      <c r="BE190" s="51">
        <v>0</v>
      </c>
      <c r="BF190" s="50"/>
      <c r="BG190" s="51"/>
      <c r="BH190" s="144"/>
      <c r="BI190" s="144"/>
      <c r="BJ190" s="51">
        <v>0</v>
      </c>
      <c r="BK190" s="50"/>
      <c r="BL190" s="51"/>
      <c r="BM190" s="144"/>
      <c r="BN190" s="144"/>
      <c r="BO190" s="51">
        <v>0</v>
      </c>
      <c r="BP190" s="50"/>
      <c r="BQ190" s="51"/>
      <c r="BR190" s="144"/>
      <c r="BS190" s="144"/>
      <c r="BT190" s="51">
        <f>SUM(L190:BO190)</f>
        <v>0</v>
      </c>
      <c r="BU190" s="50"/>
      <c r="BV190" s="51"/>
      <c r="BW190" s="144"/>
      <c r="BX190" s="144"/>
      <c r="BY190" s="51">
        <v>0</v>
      </c>
      <c r="BZ190" s="50"/>
      <c r="CA190" s="51"/>
      <c r="CB190" s="144"/>
      <c r="CC190" s="144"/>
      <c r="CD190" s="51">
        <v>0</v>
      </c>
      <c r="CE190" s="50"/>
      <c r="CF190" s="51"/>
      <c r="CG190" s="144"/>
      <c r="CH190" s="144"/>
      <c r="CI190" s="51">
        <v>0</v>
      </c>
      <c r="CJ190" s="50"/>
      <c r="CK190" s="51"/>
      <c r="CL190" s="144"/>
      <c r="CM190" s="144"/>
      <c r="CN190" s="51">
        <v>0</v>
      </c>
      <c r="CO190" s="50"/>
      <c r="CP190" s="51"/>
      <c r="CQ190" s="144"/>
      <c r="CR190" s="144"/>
      <c r="CS190" s="51">
        <v>0</v>
      </c>
      <c r="CT190" s="50"/>
      <c r="CU190" s="51"/>
      <c r="CV190" s="144"/>
      <c r="CW190" s="144"/>
      <c r="CX190" s="51">
        <v>0</v>
      </c>
      <c r="CY190" s="50"/>
      <c r="CZ190" s="51"/>
      <c r="DA190" s="144"/>
      <c r="DB190" s="144"/>
      <c r="DC190" s="51">
        <v>0</v>
      </c>
      <c r="DD190" s="50"/>
      <c r="DE190" s="51"/>
      <c r="DF190" s="144"/>
      <c r="DG190" s="144"/>
      <c r="DH190" s="51">
        <v>0</v>
      </c>
      <c r="DI190" s="50"/>
      <c r="DJ190" s="51"/>
      <c r="DK190" s="144"/>
      <c r="DL190" s="144"/>
      <c r="DM190" s="51">
        <v>0</v>
      </c>
      <c r="DN190" s="50"/>
      <c r="DO190" s="51"/>
      <c r="DP190" s="144"/>
      <c r="DQ190" s="144"/>
      <c r="DR190" s="51">
        <v>0</v>
      </c>
      <c r="DS190" s="50"/>
      <c r="DT190" s="51"/>
      <c r="DU190" s="144"/>
      <c r="DV190" s="144"/>
      <c r="DW190" s="51">
        <v>0</v>
      </c>
      <c r="DX190" s="50"/>
      <c r="DY190" s="51"/>
      <c r="DZ190" s="144"/>
      <c r="EA190" s="144"/>
      <c r="EB190" s="51">
        <v>0</v>
      </c>
      <c r="EC190" s="50"/>
      <c r="ED190" s="51"/>
      <c r="EE190" s="144"/>
      <c r="EF190" s="144"/>
      <c r="EG190" s="51">
        <v>0</v>
      </c>
      <c r="EH190" s="50"/>
      <c r="EI190" s="51"/>
      <c r="EJ190" s="144"/>
      <c r="EK190" s="144"/>
      <c r="EL190" s="51">
        <f>SUM(CD190:EG190)</f>
        <v>0</v>
      </c>
      <c r="EM190" s="50"/>
      <c r="EN190" s="51"/>
      <c r="EO190" s="340"/>
      <c r="ER190" s="39"/>
      <c r="ES190" s="39"/>
    </row>
    <row r="191" spans="1:149" hidden="1" x14ac:dyDescent="0.2">
      <c r="A191" s="317"/>
      <c r="B191" s="317"/>
      <c r="D191" s="340" t="s">
        <v>188</v>
      </c>
      <c r="F191" s="371"/>
      <c r="G191" s="95">
        <v>0</v>
      </c>
      <c r="H191" s="94"/>
      <c r="I191" s="51"/>
      <c r="J191" s="144"/>
      <c r="K191" s="187"/>
      <c r="L191" s="95">
        <v>0</v>
      </c>
      <c r="M191" s="94"/>
      <c r="N191" s="51"/>
      <c r="O191" s="144"/>
      <c r="P191" s="187"/>
      <c r="Q191" s="95">
        <v>0</v>
      </c>
      <c r="R191" s="94"/>
      <c r="S191" s="51"/>
      <c r="T191" s="144"/>
      <c r="U191" s="187"/>
      <c r="V191" s="95">
        <v>0</v>
      </c>
      <c r="W191" s="94"/>
      <c r="X191" s="51"/>
      <c r="Y191" s="144"/>
      <c r="Z191" s="187"/>
      <c r="AA191" s="95">
        <v>0</v>
      </c>
      <c r="AB191" s="94"/>
      <c r="AC191" s="51"/>
      <c r="AD191" s="144"/>
      <c r="AE191" s="187"/>
      <c r="AF191" s="95">
        <v>0</v>
      </c>
      <c r="AG191" s="94"/>
      <c r="AH191" s="51"/>
      <c r="AI191" s="144"/>
      <c r="AJ191" s="187"/>
      <c r="AK191" s="95">
        <v>0</v>
      </c>
      <c r="AL191" s="94"/>
      <c r="AM191" s="51"/>
      <c r="AN191" s="144"/>
      <c r="AO191" s="187"/>
      <c r="AP191" s="95">
        <v>0</v>
      </c>
      <c r="AQ191" s="94"/>
      <c r="AR191" s="51"/>
      <c r="AS191" s="144"/>
      <c r="AT191" s="187"/>
      <c r="AU191" s="95">
        <v>0</v>
      </c>
      <c r="AV191" s="94"/>
      <c r="AW191" s="51"/>
      <c r="AX191" s="144"/>
      <c r="AY191" s="187"/>
      <c r="AZ191" s="95">
        <v>0</v>
      </c>
      <c r="BA191" s="94"/>
      <c r="BB191" s="51"/>
      <c r="BC191" s="144"/>
      <c r="BD191" s="187"/>
      <c r="BE191" s="95">
        <v>0</v>
      </c>
      <c r="BF191" s="94"/>
      <c r="BG191" s="51"/>
      <c r="BH191" s="144"/>
      <c r="BI191" s="187"/>
      <c r="BJ191" s="95">
        <v>0</v>
      </c>
      <c r="BK191" s="94"/>
      <c r="BL191" s="51"/>
      <c r="BM191" s="144"/>
      <c r="BN191" s="187"/>
      <c r="BO191" s="95">
        <v>0</v>
      </c>
      <c r="BP191" s="94"/>
      <c r="BQ191" s="51"/>
      <c r="BR191" s="144"/>
      <c r="BS191" s="187"/>
      <c r="BT191" s="95">
        <f>SUM(L191:BO191)</f>
        <v>0</v>
      </c>
      <c r="BU191" s="94"/>
      <c r="BV191" s="51"/>
      <c r="BW191" s="144"/>
      <c r="BX191" s="187"/>
      <c r="BY191" s="95">
        <v>0</v>
      </c>
      <c r="BZ191" s="94"/>
      <c r="CA191" s="51"/>
      <c r="CB191" s="144"/>
      <c r="CC191" s="187"/>
      <c r="CD191" s="95">
        <v>0</v>
      </c>
      <c r="CE191" s="94"/>
      <c r="CF191" s="51"/>
      <c r="CG191" s="144"/>
      <c r="CH191" s="187"/>
      <c r="CI191" s="95">
        <v>0</v>
      </c>
      <c r="CJ191" s="94"/>
      <c r="CK191" s="51"/>
      <c r="CL191" s="144"/>
      <c r="CM191" s="187"/>
      <c r="CN191" s="95">
        <v>0</v>
      </c>
      <c r="CO191" s="94"/>
      <c r="CP191" s="51"/>
      <c r="CQ191" s="144"/>
      <c r="CR191" s="187"/>
      <c r="CS191" s="95">
        <v>0</v>
      </c>
      <c r="CT191" s="94"/>
      <c r="CU191" s="51"/>
      <c r="CV191" s="144"/>
      <c r="CW191" s="187"/>
      <c r="CX191" s="95">
        <v>0</v>
      </c>
      <c r="CY191" s="94"/>
      <c r="CZ191" s="51"/>
      <c r="DA191" s="144"/>
      <c r="DB191" s="187"/>
      <c r="DC191" s="95">
        <v>0</v>
      </c>
      <c r="DD191" s="94"/>
      <c r="DE191" s="51"/>
      <c r="DF191" s="144"/>
      <c r="DG191" s="187"/>
      <c r="DH191" s="95">
        <v>0</v>
      </c>
      <c r="DI191" s="94"/>
      <c r="DJ191" s="51"/>
      <c r="DK191" s="144"/>
      <c r="DL191" s="187"/>
      <c r="DM191" s="95">
        <v>0</v>
      </c>
      <c r="DN191" s="94"/>
      <c r="DO191" s="51"/>
      <c r="DP191" s="144"/>
      <c r="DQ191" s="187"/>
      <c r="DR191" s="95">
        <v>0</v>
      </c>
      <c r="DS191" s="94"/>
      <c r="DT191" s="51"/>
      <c r="DU191" s="144"/>
      <c r="DV191" s="187"/>
      <c r="DW191" s="95">
        <v>0</v>
      </c>
      <c r="DX191" s="94"/>
      <c r="DY191" s="51"/>
      <c r="DZ191" s="144"/>
      <c r="EA191" s="187"/>
      <c r="EB191" s="95">
        <v>0</v>
      </c>
      <c r="EC191" s="94"/>
      <c r="ED191" s="51"/>
      <c r="EE191" s="144"/>
      <c r="EF191" s="187"/>
      <c r="EG191" s="95">
        <v>0</v>
      </c>
      <c r="EH191" s="94"/>
      <c r="EI191" s="51"/>
      <c r="EJ191" s="144"/>
      <c r="EK191" s="187"/>
      <c r="EL191" s="95">
        <f>SUM(CD191:EG191)</f>
        <v>0</v>
      </c>
      <c r="EM191" s="94"/>
      <c r="EN191" s="51"/>
      <c r="EO191" s="340"/>
      <c r="ER191" s="39"/>
      <c r="ES191" s="39"/>
    </row>
    <row r="192" spans="1:149" hidden="1" x14ac:dyDescent="0.2">
      <c r="A192" s="317"/>
      <c r="B192" s="317"/>
      <c r="D192" s="340"/>
      <c r="F192" s="317"/>
      <c r="G192" s="51"/>
      <c r="H192" s="51"/>
      <c r="I192" s="51"/>
      <c r="J192" s="144"/>
      <c r="K192" s="51"/>
      <c r="L192" s="51"/>
      <c r="M192" s="51"/>
      <c r="N192" s="51"/>
      <c r="O192" s="144"/>
      <c r="P192" s="51"/>
      <c r="Q192" s="51"/>
      <c r="R192" s="51"/>
      <c r="S192" s="51"/>
      <c r="T192" s="144"/>
      <c r="U192" s="51"/>
      <c r="V192" s="51"/>
      <c r="W192" s="51"/>
      <c r="X192" s="51"/>
      <c r="Y192" s="144"/>
      <c r="Z192" s="51"/>
      <c r="AA192" s="51"/>
      <c r="AB192" s="51"/>
      <c r="AC192" s="51"/>
      <c r="AD192" s="144"/>
      <c r="AE192" s="51"/>
      <c r="AF192" s="51"/>
      <c r="AG192" s="51"/>
      <c r="AH192" s="51"/>
      <c r="AI192" s="144"/>
      <c r="AJ192" s="51"/>
      <c r="AK192" s="51"/>
      <c r="AL192" s="51"/>
      <c r="AM192" s="51"/>
      <c r="AN192" s="144"/>
      <c r="AO192" s="51"/>
      <c r="AP192" s="51"/>
      <c r="AQ192" s="51"/>
      <c r="AR192" s="51"/>
      <c r="AS192" s="144"/>
      <c r="AT192" s="51"/>
      <c r="AU192" s="51"/>
      <c r="AV192" s="51"/>
      <c r="AW192" s="51"/>
      <c r="AX192" s="144"/>
      <c r="AY192" s="51"/>
      <c r="AZ192" s="51"/>
      <c r="BA192" s="51"/>
      <c r="BB192" s="51"/>
      <c r="BC192" s="144"/>
      <c r="BD192" s="51"/>
      <c r="BE192" s="51"/>
      <c r="BF192" s="51"/>
      <c r="BG192" s="51"/>
      <c r="BH192" s="144"/>
      <c r="BI192" s="51"/>
      <c r="BJ192" s="51"/>
      <c r="BK192" s="51"/>
      <c r="BL192" s="51"/>
      <c r="BM192" s="144"/>
      <c r="BN192" s="51"/>
      <c r="BO192" s="51"/>
      <c r="BP192" s="51"/>
      <c r="BQ192" s="51"/>
      <c r="BR192" s="144"/>
      <c r="BS192" s="51"/>
      <c r="BT192" s="51"/>
      <c r="BU192" s="51"/>
      <c r="BV192" s="51"/>
      <c r="BW192" s="144"/>
      <c r="BX192" s="51"/>
      <c r="BY192" s="51"/>
      <c r="BZ192" s="51"/>
      <c r="CA192" s="51"/>
      <c r="CB192" s="144"/>
      <c r="CC192" s="51"/>
      <c r="CD192" s="51"/>
      <c r="CE192" s="51"/>
      <c r="CF192" s="51"/>
      <c r="CG192" s="144"/>
      <c r="CH192" s="51"/>
      <c r="CI192" s="51"/>
      <c r="CJ192" s="51"/>
      <c r="CK192" s="51"/>
      <c r="CL192" s="144"/>
      <c r="CM192" s="51"/>
      <c r="CN192" s="51"/>
      <c r="CO192" s="51"/>
      <c r="CP192" s="51"/>
      <c r="CQ192" s="144"/>
      <c r="CR192" s="51"/>
      <c r="CS192" s="51"/>
      <c r="CT192" s="51"/>
      <c r="CU192" s="51"/>
      <c r="CV192" s="144"/>
      <c r="CW192" s="51"/>
      <c r="CX192" s="51"/>
      <c r="CY192" s="51"/>
      <c r="CZ192" s="51"/>
      <c r="DA192" s="144"/>
      <c r="DB192" s="51"/>
      <c r="DC192" s="51"/>
      <c r="DD192" s="51"/>
      <c r="DE192" s="51"/>
      <c r="DF192" s="144"/>
      <c r="DG192" s="51"/>
      <c r="DH192" s="51"/>
      <c r="DI192" s="51"/>
      <c r="DJ192" s="51"/>
      <c r="DK192" s="144"/>
      <c r="DL192" s="51"/>
      <c r="DM192" s="51"/>
      <c r="DN192" s="51"/>
      <c r="DO192" s="51"/>
      <c r="DP192" s="144"/>
      <c r="DQ192" s="51"/>
      <c r="DR192" s="51"/>
      <c r="DS192" s="51"/>
      <c r="DT192" s="51"/>
      <c r="DU192" s="144"/>
      <c r="DV192" s="51"/>
      <c r="DW192" s="51"/>
      <c r="DX192" s="51"/>
      <c r="DY192" s="51"/>
      <c r="DZ192" s="144"/>
      <c r="EA192" s="51"/>
      <c r="EB192" s="51"/>
      <c r="EC192" s="51"/>
      <c r="ED192" s="51"/>
      <c r="EE192" s="144"/>
      <c r="EF192" s="51"/>
      <c r="EG192" s="51"/>
      <c r="EH192" s="51"/>
      <c r="EI192" s="51"/>
      <c r="EJ192" s="144"/>
      <c r="EK192" s="51"/>
      <c r="EL192" s="51"/>
      <c r="EM192" s="51"/>
      <c r="EN192" s="51"/>
      <c r="EO192" s="340"/>
      <c r="ER192" s="39"/>
      <c r="ES192" s="39"/>
    </row>
    <row r="193" spans="1:149" hidden="1" x14ac:dyDescent="0.2">
      <c r="A193" s="317"/>
      <c r="B193" s="317"/>
      <c r="D193" s="340" t="s">
        <v>189</v>
      </c>
      <c r="F193" s="317"/>
      <c r="G193" s="51">
        <f>SUM(G194:G197)</f>
        <v>0</v>
      </c>
      <c r="H193" s="51"/>
      <c r="I193" s="51"/>
      <c r="J193" s="144"/>
      <c r="K193" s="51"/>
      <c r="L193" s="51">
        <f>SUM(L194:L197)</f>
        <v>0</v>
      </c>
      <c r="M193" s="51"/>
      <c r="N193" s="51"/>
      <c r="O193" s="144"/>
      <c r="P193" s="51"/>
      <c r="Q193" s="51">
        <f>SUM(Q194:Q197)</f>
        <v>0</v>
      </c>
      <c r="R193" s="51"/>
      <c r="S193" s="51"/>
      <c r="T193" s="144"/>
      <c r="U193" s="51"/>
      <c r="V193" s="51">
        <f>SUM(V194:V197)</f>
        <v>0</v>
      </c>
      <c r="W193" s="51"/>
      <c r="X193" s="51"/>
      <c r="Y193" s="144"/>
      <c r="Z193" s="51"/>
      <c r="AA193" s="51">
        <f>SUM(AA194:AA197)</f>
        <v>0</v>
      </c>
      <c r="AB193" s="51"/>
      <c r="AC193" s="51"/>
      <c r="AD193" s="144"/>
      <c r="AE193" s="51"/>
      <c r="AF193" s="51">
        <f>SUM(AF194:AF197)</f>
        <v>0</v>
      </c>
      <c r="AG193" s="51"/>
      <c r="AH193" s="51"/>
      <c r="AI193" s="144"/>
      <c r="AJ193" s="51"/>
      <c r="AK193" s="51">
        <f>SUM(AK194:AK197)</f>
        <v>0</v>
      </c>
      <c r="AL193" s="51"/>
      <c r="AM193" s="51"/>
      <c r="AN193" s="144"/>
      <c r="AO193" s="51"/>
      <c r="AP193" s="51">
        <f>SUM(AP194:AP197)</f>
        <v>0</v>
      </c>
      <c r="AQ193" s="51"/>
      <c r="AR193" s="51"/>
      <c r="AS193" s="144"/>
      <c r="AT193" s="51"/>
      <c r="AU193" s="51">
        <f>SUM(AU194:AU197)</f>
        <v>0</v>
      </c>
      <c r="AV193" s="51"/>
      <c r="AW193" s="51"/>
      <c r="AX193" s="144"/>
      <c r="AY193" s="51"/>
      <c r="AZ193" s="51">
        <f>SUM(AZ194:AZ197)</f>
        <v>0</v>
      </c>
      <c r="BA193" s="51"/>
      <c r="BB193" s="51"/>
      <c r="BC193" s="144"/>
      <c r="BD193" s="51"/>
      <c r="BE193" s="51">
        <f>SUM(BE194:BE197)</f>
        <v>0</v>
      </c>
      <c r="BF193" s="51"/>
      <c r="BG193" s="51"/>
      <c r="BH193" s="144"/>
      <c r="BI193" s="51"/>
      <c r="BJ193" s="51">
        <f>SUM(BJ194:BJ197)</f>
        <v>0</v>
      </c>
      <c r="BK193" s="51"/>
      <c r="BL193" s="51"/>
      <c r="BM193" s="144"/>
      <c r="BN193" s="51"/>
      <c r="BO193" s="51">
        <f>SUM(BO194:BO197)</f>
        <v>0</v>
      </c>
      <c r="BP193" s="51"/>
      <c r="BQ193" s="51"/>
      <c r="BR193" s="144"/>
      <c r="BS193" s="51"/>
      <c r="BT193" s="51">
        <f>SUM(BT194:BT197)</f>
        <v>0</v>
      </c>
      <c r="BU193" s="51"/>
      <c r="BV193" s="51"/>
      <c r="BW193" s="144"/>
      <c r="BX193" s="51"/>
      <c r="BY193" s="51">
        <f>SUM(BY194:BY197)</f>
        <v>0</v>
      </c>
      <c r="BZ193" s="51"/>
      <c r="CA193" s="51"/>
      <c r="CB193" s="144"/>
      <c r="CC193" s="51"/>
      <c r="CD193" s="51">
        <f>SUM(CD194:CD197)</f>
        <v>0</v>
      </c>
      <c r="CE193" s="51"/>
      <c r="CF193" s="51"/>
      <c r="CG193" s="144"/>
      <c r="CH193" s="51"/>
      <c r="CI193" s="51">
        <f>SUM(CI194:CI197)</f>
        <v>0</v>
      </c>
      <c r="CJ193" s="51"/>
      <c r="CK193" s="51"/>
      <c r="CL193" s="144"/>
      <c r="CM193" s="51"/>
      <c r="CN193" s="51">
        <f>SUM(CN194:CN197)</f>
        <v>0</v>
      </c>
      <c r="CO193" s="51"/>
      <c r="CP193" s="51"/>
      <c r="CQ193" s="144"/>
      <c r="CR193" s="51"/>
      <c r="CS193" s="51">
        <f>SUM(CS194:CS197)</f>
        <v>0</v>
      </c>
      <c r="CT193" s="51"/>
      <c r="CU193" s="51"/>
      <c r="CV193" s="144"/>
      <c r="CW193" s="51"/>
      <c r="CX193" s="51">
        <f>SUM(CX194:CX197)</f>
        <v>0</v>
      </c>
      <c r="CY193" s="51"/>
      <c r="CZ193" s="51"/>
      <c r="DA193" s="144"/>
      <c r="DB193" s="51"/>
      <c r="DC193" s="51">
        <f>SUM(DC194:DC197)</f>
        <v>0</v>
      </c>
      <c r="DD193" s="51"/>
      <c r="DE193" s="51"/>
      <c r="DF193" s="144"/>
      <c r="DG193" s="51"/>
      <c r="DH193" s="51">
        <f>SUM(DH194:DH197)</f>
        <v>0</v>
      </c>
      <c r="DI193" s="51"/>
      <c r="DJ193" s="51"/>
      <c r="DK193" s="144"/>
      <c r="DL193" s="51"/>
      <c r="DM193" s="51">
        <f>SUM(DM194:DM197)</f>
        <v>0</v>
      </c>
      <c r="DN193" s="51"/>
      <c r="DO193" s="51"/>
      <c r="DP193" s="144"/>
      <c r="DQ193" s="51"/>
      <c r="DR193" s="51">
        <f>SUM(DR194:DR197)</f>
        <v>0</v>
      </c>
      <c r="DS193" s="51"/>
      <c r="DT193" s="51"/>
      <c r="DU193" s="144"/>
      <c r="DV193" s="51"/>
      <c r="DW193" s="51">
        <f>SUM(DW194:DW197)</f>
        <v>0</v>
      </c>
      <c r="DX193" s="51"/>
      <c r="DY193" s="51"/>
      <c r="DZ193" s="144"/>
      <c r="EA193" s="51"/>
      <c r="EB193" s="51">
        <f>SUM(EB194:EB197)</f>
        <v>0</v>
      </c>
      <c r="EC193" s="51"/>
      <c r="ED193" s="51"/>
      <c r="EE193" s="144"/>
      <c r="EF193" s="51"/>
      <c r="EG193" s="51">
        <f>SUM(EG194:EG197)</f>
        <v>0</v>
      </c>
      <c r="EH193" s="51"/>
      <c r="EI193" s="51"/>
      <c r="EJ193" s="144"/>
      <c r="EK193" s="51"/>
      <c r="EL193" s="51">
        <f>SUM(EL194:EL197)</f>
        <v>0</v>
      </c>
      <c r="EM193" s="51"/>
      <c r="EN193" s="51"/>
      <c r="EO193" s="340"/>
      <c r="ER193" s="39"/>
      <c r="ES193" s="39"/>
    </row>
    <row r="194" spans="1:149" hidden="1" x14ac:dyDescent="0.2">
      <c r="A194" s="317"/>
      <c r="B194" s="317"/>
      <c r="D194" s="340" t="s">
        <v>183</v>
      </c>
      <c r="F194" s="354"/>
      <c r="G194" s="430">
        <v>0</v>
      </c>
      <c r="H194" s="431"/>
      <c r="I194" s="51"/>
      <c r="J194" s="144"/>
      <c r="K194" s="432"/>
      <c r="L194" s="430">
        <v>0</v>
      </c>
      <c r="M194" s="431"/>
      <c r="N194" s="51"/>
      <c r="O194" s="144"/>
      <c r="P194" s="432"/>
      <c r="Q194" s="430">
        <v>0</v>
      </c>
      <c r="R194" s="431"/>
      <c r="S194" s="51"/>
      <c r="T194" s="144"/>
      <c r="U194" s="432"/>
      <c r="V194" s="430">
        <v>0</v>
      </c>
      <c r="W194" s="431"/>
      <c r="X194" s="51"/>
      <c r="Y194" s="144"/>
      <c r="Z194" s="432"/>
      <c r="AA194" s="430">
        <v>0</v>
      </c>
      <c r="AB194" s="431"/>
      <c r="AC194" s="51"/>
      <c r="AD194" s="144"/>
      <c r="AE194" s="432"/>
      <c r="AF194" s="430">
        <v>0</v>
      </c>
      <c r="AG194" s="431"/>
      <c r="AH194" s="51"/>
      <c r="AI194" s="144"/>
      <c r="AJ194" s="432"/>
      <c r="AK194" s="430">
        <v>0</v>
      </c>
      <c r="AL194" s="431"/>
      <c r="AM194" s="51"/>
      <c r="AN194" s="144"/>
      <c r="AO194" s="432"/>
      <c r="AP194" s="430">
        <v>0</v>
      </c>
      <c r="AQ194" s="431"/>
      <c r="AR194" s="51"/>
      <c r="AS194" s="144"/>
      <c r="AT194" s="432"/>
      <c r="AU194" s="430">
        <v>0</v>
      </c>
      <c r="AV194" s="431"/>
      <c r="AW194" s="51"/>
      <c r="AX194" s="144"/>
      <c r="AY194" s="432"/>
      <c r="AZ194" s="430">
        <v>0</v>
      </c>
      <c r="BA194" s="431"/>
      <c r="BB194" s="51"/>
      <c r="BC194" s="144"/>
      <c r="BD194" s="432"/>
      <c r="BE194" s="430">
        <v>0</v>
      </c>
      <c r="BF194" s="431"/>
      <c r="BG194" s="51"/>
      <c r="BH194" s="144"/>
      <c r="BI194" s="432"/>
      <c r="BJ194" s="430">
        <v>0</v>
      </c>
      <c r="BK194" s="431"/>
      <c r="BL194" s="51"/>
      <c r="BM194" s="144"/>
      <c r="BN194" s="432"/>
      <c r="BO194" s="430">
        <v>0</v>
      </c>
      <c r="BP194" s="431"/>
      <c r="BQ194" s="51"/>
      <c r="BR194" s="144"/>
      <c r="BS194" s="432"/>
      <c r="BT194" s="430">
        <f>SUM(L194:BO194)</f>
        <v>0</v>
      </c>
      <c r="BU194" s="431"/>
      <c r="BV194" s="51"/>
      <c r="BW194" s="144"/>
      <c r="BX194" s="432"/>
      <c r="BY194" s="430">
        <v>0</v>
      </c>
      <c r="BZ194" s="431"/>
      <c r="CA194" s="51"/>
      <c r="CB194" s="144"/>
      <c r="CC194" s="432"/>
      <c r="CD194" s="430">
        <v>0</v>
      </c>
      <c r="CE194" s="431"/>
      <c r="CF194" s="51"/>
      <c r="CG194" s="144"/>
      <c r="CH194" s="432"/>
      <c r="CI194" s="430">
        <v>0</v>
      </c>
      <c r="CJ194" s="431"/>
      <c r="CK194" s="51"/>
      <c r="CL194" s="144"/>
      <c r="CM194" s="432"/>
      <c r="CN194" s="430">
        <v>0</v>
      </c>
      <c r="CO194" s="431"/>
      <c r="CP194" s="51"/>
      <c r="CQ194" s="144"/>
      <c r="CR194" s="432"/>
      <c r="CS194" s="430">
        <v>0</v>
      </c>
      <c r="CT194" s="431"/>
      <c r="CU194" s="51"/>
      <c r="CV194" s="144"/>
      <c r="CW194" s="432"/>
      <c r="CX194" s="430">
        <v>0</v>
      </c>
      <c r="CY194" s="431"/>
      <c r="CZ194" s="51"/>
      <c r="DA194" s="144"/>
      <c r="DB194" s="432"/>
      <c r="DC194" s="430">
        <v>0</v>
      </c>
      <c r="DD194" s="431"/>
      <c r="DE194" s="51"/>
      <c r="DF194" s="144"/>
      <c r="DG194" s="432"/>
      <c r="DH194" s="430">
        <v>0</v>
      </c>
      <c r="DI194" s="431"/>
      <c r="DJ194" s="51"/>
      <c r="DK194" s="144"/>
      <c r="DL194" s="432"/>
      <c r="DM194" s="430">
        <v>0</v>
      </c>
      <c r="DN194" s="431"/>
      <c r="DO194" s="51"/>
      <c r="DP194" s="144"/>
      <c r="DQ194" s="432"/>
      <c r="DR194" s="430">
        <v>0</v>
      </c>
      <c r="DS194" s="431"/>
      <c r="DT194" s="51"/>
      <c r="DU194" s="144"/>
      <c r="DV194" s="432"/>
      <c r="DW194" s="430">
        <v>0</v>
      </c>
      <c r="DX194" s="431"/>
      <c r="DY194" s="51"/>
      <c r="DZ194" s="144"/>
      <c r="EA194" s="432"/>
      <c r="EB194" s="430">
        <v>0</v>
      </c>
      <c r="EC194" s="431"/>
      <c r="ED194" s="51"/>
      <c r="EE194" s="144"/>
      <c r="EF194" s="432"/>
      <c r="EG194" s="430">
        <v>0</v>
      </c>
      <c r="EH194" s="431"/>
      <c r="EI194" s="51"/>
      <c r="EJ194" s="144"/>
      <c r="EK194" s="432"/>
      <c r="EL194" s="430">
        <f>SUM(CD194:EG194)</f>
        <v>0</v>
      </c>
      <c r="EM194" s="431"/>
      <c r="EN194" s="51"/>
      <c r="EO194" s="340"/>
      <c r="ER194" s="39"/>
      <c r="ES194" s="39"/>
    </row>
    <row r="195" spans="1:149" hidden="1" x14ac:dyDescent="0.2">
      <c r="A195" s="317"/>
      <c r="B195" s="317"/>
      <c r="D195" s="340" t="s">
        <v>186</v>
      </c>
      <c r="F195" s="347"/>
      <c r="G195" s="51">
        <v>0</v>
      </c>
      <c r="H195" s="50"/>
      <c r="I195" s="51"/>
      <c r="J195" s="144"/>
      <c r="K195" s="144"/>
      <c r="L195" s="51">
        <v>0</v>
      </c>
      <c r="M195" s="50"/>
      <c r="N195" s="51"/>
      <c r="O195" s="144"/>
      <c r="P195" s="144"/>
      <c r="Q195" s="51">
        <v>0</v>
      </c>
      <c r="R195" s="50"/>
      <c r="S195" s="51"/>
      <c r="T195" s="144"/>
      <c r="U195" s="144"/>
      <c r="V195" s="51">
        <v>0</v>
      </c>
      <c r="W195" s="50"/>
      <c r="X195" s="51"/>
      <c r="Y195" s="144"/>
      <c r="Z195" s="144"/>
      <c r="AA195" s="51">
        <v>0</v>
      </c>
      <c r="AB195" s="50"/>
      <c r="AC195" s="51"/>
      <c r="AD195" s="144"/>
      <c r="AE195" s="144"/>
      <c r="AF195" s="51">
        <v>0</v>
      </c>
      <c r="AG195" s="50"/>
      <c r="AH195" s="51"/>
      <c r="AI195" s="144"/>
      <c r="AJ195" s="144"/>
      <c r="AK195" s="51">
        <v>0</v>
      </c>
      <c r="AL195" s="50"/>
      <c r="AM195" s="51"/>
      <c r="AN195" s="144"/>
      <c r="AO195" s="144"/>
      <c r="AP195" s="51">
        <v>0</v>
      </c>
      <c r="AQ195" s="50"/>
      <c r="AR195" s="51"/>
      <c r="AS195" s="144"/>
      <c r="AT195" s="144"/>
      <c r="AU195" s="51">
        <v>0</v>
      </c>
      <c r="AV195" s="50"/>
      <c r="AW195" s="51"/>
      <c r="AX195" s="144"/>
      <c r="AY195" s="144"/>
      <c r="AZ195" s="51">
        <v>0</v>
      </c>
      <c r="BA195" s="50"/>
      <c r="BB195" s="51"/>
      <c r="BC195" s="144"/>
      <c r="BD195" s="144"/>
      <c r="BE195" s="51">
        <v>0</v>
      </c>
      <c r="BF195" s="50"/>
      <c r="BG195" s="51"/>
      <c r="BH195" s="144"/>
      <c r="BI195" s="144"/>
      <c r="BJ195" s="51">
        <v>0</v>
      </c>
      <c r="BK195" s="50"/>
      <c r="BL195" s="51"/>
      <c r="BM195" s="144"/>
      <c r="BN195" s="144"/>
      <c r="BO195" s="51">
        <v>0</v>
      </c>
      <c r="BP195" s="50"/>
      <c r="BQ195" s="51"/>
      <c r="BR195" s="144"/>
      <c r="BS195" s="144"/>
      <c r="BT195" s="51">
        <f>SUM(L195:BO195)</f>
        <v>0</v>
      </c>
      <c r="BU195" s="50"/>
      <c r="BV195" s="51"/>
      <c r="BW195" s="144"/>
      <c r="BX195" s="144"/>
      <c r="BY195" s="51">
        <v>0</v>
      </c>
      <c r="BZ195" s="50"/>
      <c r="CA195" s="51"/>
      <c r="CB195" s="144"/>
      <c r="CC195" s="144"/>
      <c r="CD195" s="51">
        <v>0</v>
      </c>
      <c r="CE195" s="50"/>
      <c r="CF195" s="51"/>
      <c r="CG195" s="144"/>
      <c r="CH195" s="144"/>
      <c r="CI195" s="51">
        <v>0</v>
      </c>
      <c r="CJ195" s="50"/>
      <c r="CK195" s="51"/>
      <c r="CL195" s="144"/>
      <c r="CM195" s="144"/>
      <c r="CN195" s="51">
        <v>0</v>
      </c>
      <c r="CO195" s="50"/>
      <c r="CP195" s="51"/>
      <c r="CQ195" s="144"/>
      <c r="CR195" s="144"/>
      <c r="CS195" s="51">
        <v>0</v>
      </c>
      <c r="CT195" s="50"/>
      <c r="CU195" s="51"/>
      <c r="CV195" s="144"/>
      <c r="CW195" s="144"/>
      <c r="CX195" s="51">
        <v>0</v>
      </c>
      <c r="CY195" s="50"/>
      <c r="CZ195" s="51"/>
      <c r="DA195" s="144"/>
      <c r="DB195" s="144"/>
      <c r="DC195" s="51">
        <v>0</v>
      </c>
      <c r="DD195" s="50"/>
      <c r="DE195" s="51"/>
      <c r="DF195" s="144"/>
      <c r="DG195" s="144"/>
      <c r="DH195" s="51">
        <v>0</v>
      </c>
      <c r="DI195" s="50"/>
      <c r="DJ195" s="51"/>
      <c r="DK195" s="144"/>
      <c r="DL195" s="144"/>
      <c r="DM195" s="51">
        <v>0</v>
      </c>
      <c r="DN195" s="50"/>
      <c r="DO195" s="51"/>
      <c r="DP195" s="144"/>
      <c r="DQ195" s="144"/>
      <c r="DR195" s="51">
        <v>0</v>
      </c>
      <c r="DS195" s="50"/>
      <c r="DT195" s="51"/>
      <c r="DU195" s="144"/>
      <c r="DV195" s="144"/>
      <c r="DW195" s="51">
        <v>0</v>
      </c>
      <c r="DX195" s="50"/>
      <c r="DY195" s="51"/>
      <c r="DZ195" s="144"/>
      <c r="EA195" s="144"/>
      <c r="EB195" s="51">
        <v>0</v>
      </c>
      <c r="EC195" s="50"/>
      <c r="ED195" s="51"/>
      <c r="EE195" s="144"/>
      <c r="EF195" s="144"/>
      <c r="EG195" s="51">
        <v>0</v>
      </c>
      <c r="EH195" s="50"/>
      <c r="EI195" s="51"/>
      <c r="EJ195" s="144"/>
      <c r="EK195" s="144"/>
      <c r="EL195" s="51">
        <f>SUM(CD195:EG195)</f>
        <v>0</v>
      </c>
      <c r="EM195" s="50"/>
      <c r="EN195" s="51"/>
      <c r="EO195" s="340"/>
      <c r="ER195" s="39"/>
      <c r="ES195" s="39"/>
    </row>
    <row r="196" spans="1:149" hidden="1" x14ac:dyDescent="0.2">
      <c r="A196" s="317"/>
      <c r="B196" s="317"/>
      <c r="D196" s="340" t="s">
        <v>187</v>
      </c>
      <c r="F196" s="347"/>
      <c r="G196" s="51">
        <v>0</v>
      </c>
      <c r="H196" s="50"/>
      <c r="I196" s="51"/>
      <c r="J196" s="144"/>
      <c r="K196" s="144"/>
      <c r="L196" s="51">
        <v>0</v>
      </c>
      <c r="M196" s="50"/>
      <c r="N196" s="51"/>
      <c r="O196" s="144"/>
      <c r="P196" s="144"/>
      <c r="Q196" s="51">
        <v>0</v>
      </c>
      <c r="R196" s="50"/>
      <c r="S196" s="51"/>
      <c r="T196" s="144"/>
      <c r="U196" s="144"/>
      <c r="V196" s="51">
        <v>0</v>
      </c>
      <c r="W196" s="50"/>
      <c r="X196" s="51"/>
      <c r="Y196" s="144"/>
      <c r="Z196" s="144"/>
      <c r="AA196" s="51">
        <v>0</v>
      </c>
      <c r="AB196" s="50"/>
      <c r="AC196" s="51"/>
      <c r="AD196" s="144"/>
      <c r="AE196" s="144"/>
      <c r="AF196" s="51">
        <v>0</v>
      </c>
      <c r="AG196" s="50"/>
      <c r="AH196" s="51"/>
      <c r="AI196" s="144"/>
      <c r="AJ196" s="144"/>
      <c r="AK196" s="51">
        <v>0</v>
      </c>
      <c r="AL196" s="50"/>
      <c r="AM196" s="51"/>
      <c r="AN196" s="144"/>
      <c r="AO196" s="144"/>
      <c r="AP196" s="51">
        <v>0</v>
      </c>
      <c r="AQ196" s="50"/>
      <c r="AR196" s="51"/>
      <c r="AS196" s="144"/>
      <c r="AT196" s="144"/>
      <c r="AU196" s="51">
        <v>0</v>
      </c>
      <c r="AV196" s="50"/>
      <c r="AW196" s="51"/>
      <c r="AX196" s="144"/>
      <c r="AY196" s="144"/>
      <c r="AZ196" s="51">
        <v>0</v>
      </c>
      <c r="BA196" s="50"/>
      <c r="BB196" s="51"/>
      <c r="BC196" s="144"/>
      <c r="BD196" s="144"/>
      <c r="BE196" s="51">
        <v>0</v>
      </c>
      <c r="BF196" s="50"/>
      <c r="BG196" s="51"/>
      <c r="BH196" s="144"/>
      <c r="BI196" s="144"/>
      <c r="BJ196" s="51">
        <v>0</v>
      </c>
      <c r="BK196" s="50"/>
      <c r="BL196" s="51"/>
      <c r="BM196" s="144"/>
      <c r="BN196" s="144"/>
      <c r="BO196" s="51">
        <v>0</v>
      </c>
      <c r="BP196" s="50"/>
      <c r="BQ196" s="51"/>
      <c r="BR196" s="144"/>
      <c r="BS196" s="144"/>
      <c r="BT196" s="51">
        <f>SUM(L196:BO196)</f>
        <v>0</v>
      </c>
      <c r="BU196" s="50"/>
      <c r="BV196" s="51"/>
      <c r="BW196" s="144"/>
      <c r="BX196" s="144"/>
      <c r="BY196" s="51">
        <v>0</v>
      </c>
      <c r="BZ196" s="50"/>
      <c r="CA196" s="51"/>
      <c r="CB196" s="144"/>
      <c r="CC196" s="144"/>
      <c r="CD196" s="51">
        <v>0</v>
      </c>
      <c r="CE196" s="50"/>
      <c r="CF196" s="51"/>
      <c r="CG196" s="144"/>
      <c r="CH196" s="144"/>
      <c r="CI196" s="51">
        <v>0</v>
      </c>
      <c r="CJ196" s="50"/>
      <c r="CK196" s="51"/>
      <c r="CL196" s="144"/>
      <c r="CM196" s="144"/>
      <c r="CN196" s="51">
        <v>0</v>
      </c>
      <c r="CO196" s="50"/>
      <c r="CP196" s="51"/>
      <c r="CQ196" s="144"/>
      <c r="CR196" s="144"/>
      <c r="CS196" s="51">
        <v>0</v>
      </c>
      <c r="CT196" s="50"/>
      <c r="CU196" s="51"/>
      <c r="CV196" s="144"/>
      <c r="CW196" s="144"/>
      <c r="CX196" s="51">
        <v>0</v>
      </c>
      <c r="CY196" s="50"/>
      <c r="CZ196" s="51"/>
      <c r="DA196" s="144"/>
      <c r="DB196" s="144"/>
      <c r="DC196" s="51">
        <v>0</v>
      </c>
      <c r="DD196" s="50"/>
      <c r="DE196" s="51"/>
      <c r="DF196" s="144"/>
      <c r="DG196" s="144"/>
      <c r="DH196" s="51">
        <v>0</v>
      </c>
      <c r="DI196" s="50"/>
      <c r="DJ196" s="51"/>
      <c r="DK196" s="144"/>
      <c r="DL196" s="144"/>
      <c r="DM196" s="51">
        <v>0</v>
      </c>
      <c r="DN196" s="50"/>
      <c r="DO196" s="51"/>
      <c r="DP196" s="144"/>
      <c r="DQ196" s="144"/>
      <c r="DR196" s="51">
        <v>0</v>
      </c>
      <c r="DS196" s="50"/>
      <c r="DT196" s="51"/>
      <c r="DU196" s="144"/>
      <c r="DV196" s="144"/>
      <c r="DW196" s="51">
        <v>0</v>
      </c>
      <c r="DX196" s="50"/>
      <c r="DY196" s="51"/>
      <c r="DZ196" s="144"/>
      <c r="EA196" s="144"/>
      <c r="EB196" s="51">
        <v>0</v>
      </c>
      <c r="EC196" s="50"/>
      <c r="ED196" s="51"/>
      <c r="EE196" s="144"/>
      <c r="EF196" s="144"/>
      <c r="EG196" s="51">
        <v>0</v>
      </c>
      <c r="EH196" s="50"/>
      <c r="EI196" s="51"/>
      <c r="EJ196" s="144"/>
      <c r="EK196" s="144"/>
      <c r="EL196" s="51">
        <f>SUM(CD196:EG196)</f>
        <v>0</v>
      </c>
      <c r="EM196" s="50"/>
      <c r="EN196" s="51"/>
      <c r="EO196" s="340"/>
      <c r="ER196" s="39"/>
      <c r="ES196" s="39"/>
    </row>
    <row r="197" spans="1:149" hidden="1" x14ac:dyDescent="0.2">
      <c r="A197" s="317"/>
      <c r="B197" s="317"/>
      <c r="D197" s="340" t="s">
        <v>188</v>
      </c>
      <c r="F197" s="371"/>
      <c r="G197" s="95">
        <v>0</v>
      </c>
      <c r="H197" s="94"/>
      <c r="I197" s="51"/>
      <c r="J197" s="144"/>
      <c r="K197" s="187"/>
      <c r="L197" s="95">
        <v>0</v>
      </c>
      <c r="M197" s="94"/>
      <c r="N197" s="51"/>
      <c r="O197" s="144"/>
      <c r="P197" s="187"/>
      <c r="Q197" s="95">
        <v>0</v>
      </c>
      <c r="R197" s="94"/>
      <c r="S197" s="51"/>
      <c r="T197" s="144"/>
      <c r="U197" s="187"/>
      <c r="V197" s="95">
        <v>0</v>
      </c>
      <c r="W197" s="94"/>
      <c r="X197" s="51"/>
      <c r="Y197" s="144"/>
      <c r="Z197" s="187"/>
      <c r="AA197" s="95">
        <v>0</v>
      </c>
      <c r="AB197" s="94"/>
      <c r="AC197" s="51"/>
      <c r="AD197" s="144"/>
      <c r="AE197" s="187"/>
      <c r="AF197" s="95">
        <v>0</v>
      </c>
      <c r="AG197" s="94"/>
      <c r="AH197" s="51"/>
      <c r="AI197" s="144"/>
      <c r="AJ197" s="187"/>
      <c r="AK197" s="95">
        <v>0</v>
      </c>
      <c r="AL197" s="94"/>
      <c r="AM197" s="51"/>
      <c r="AN197" s="144"/>
      <c r="AO197" s="187"/>
      <c r="AP197" s="95">
        <v>0</v>
      </c>
      <c r="AQ197" s="94"/>
      <c r="AR197" s="51"/>
      <c r="AS197" s="144"/>
      <c r="AT197" s="187"/>
      <c r="AU197" s="95">
        <v>0</v>
      </c>
      <c r="AV197" s="94"/>
      <c r="AW197" s="51"/>
      <c r="AX197" s="144"/>
      <c r="AY197" s="187"/>
      <c r="AZ197" s="95">
        <v>0</v>
      </c>
      <c r="BA197" s="94"/>
      <c r="BB197" s="51"/>
      <c r="BC197" s="144"/>
      <c r="BD197" s="187"/>
      <c r="BE197" s="95">
        <v>0</v>
      </c>
      <c r="BF197" s="94"/>
      <c r="BG197" s="51"/>
      <c r="BH197" s="144"/>
      <c r="BI197" s="187"/>
      <c r="BJ197" s="95">
        <v>0</v>
      </c>
      <c r="BK197" s="94"/>
      <c r="BL197" s="51"/>
      <c r="BM197" s="144"/>
      <c r="BN197" s="187"/>
      <c r="BO197" s="95">
        <v>0</v>
      </c>
      <c r="BP197" s="94"/>
      <c r="BQ197" s="51"/>
      <c r="BR197" s="144"/>
      <c r="BS197" s="187"/>
      <c r="BT197" s="95">
        <f>SUM(L197:BO197)</f>
        <v>0</v>
      </c>
      <c r="BU197" s="94"/>
      <c r="BV197" s="51"/>
      <c r="BW197" s="144"/>
      <c r="BX197" s="187"/>
      <c r="BY197" s="95">
        <v>0</v>
      </c>
      <c r="BZ197" s="94"/>
      <c r="CA197" s="51"/>
      <c r="CB197" s="144"/>
      <c r="CC197" s="187"/>
      <c r="CD197" s="95">
        <v>0</v>
      </c>
      <c r="CE197" s="94"/>
      <c r="CF197" s="51"/>
      <c r="CG197" s="144"/>
      <c r="CH197" s="187"/>
      <c r="CI197" s="95">
        <v>0</v>
      </c>
      <c r="CJ197" s="94"/>
      <c r="CK197" s="51"/>
      <c r="CL197" s="144"/>
      <c r="CM197" s="187"/>
      <c r="CN197" s="95">
        <v>0</v>
      </c>
      <c r="CO197" s="94"/>
      <c r="CP197" s="51"/>
      <c r="CQ197" s="144"/>
      <c r="CR197" s="187"/>
      <c r="CS197" s="95">
        <v>0</v>
      </c>
      <c r="CT197" s="94"/>
      <c r="CU197" s="51"/>
      <c r="CV197" s="144"/>
      <c r="CW197" s="187"/>
      <c r="CX197" s="95">
        <v>0</v>
      </c>
      <c r="CY197" s="94"/>
      <c r="CZ197" s="51"/>
      <c r="DA197" s="144"/>
      <c r="DB197" s="187"/>
      <c r="DC197" s="95">
        <v>0</v>
      </c>
      <c r="DD197" s="94"/>
      <c r="DE197" s="51"/>
      <c r="DF197" s="144"/>
      <c r="DG197" s="187"/>
      <c r="DH197" s="95">
        <v>0</v>
      </c>
      <c r="DI197" s="94"/>
      <c r="DJ197" s="51"/>
      <c r="DK197" s="144"/>
      <c r="DL197" s="187"/>
      <c r="DM197" s="95">
        <v>0</v>
      </c>
      <c r="DN197" s="94"/>
      <c r="DO197" s="51"/>
      <c r="DP197" s="144"/>
      <c r="DQ197" s="187"/>
      <c r="DR197" s="95">
        <v>0</v>
      </c>
      <c r="DS197" s="94"/>
      <c r="DT197" s="51"/>
      <c r="DU197" s="144"/>
      <c r="DV197" s="187"/>
      <c r="DW197" s="95">
        <v>0</v>
      </c>
      <c r="DX197" s="94"/>
      <c r="DY197" s="51"/>
      <c r="DZ197" s="144"/>
      <c r="EA197" s="187"/>
      <c r="EB197" s="95">
        <v>0</v>
      </c>
      <c r="EC197" s="94"/>
      <c r="ED197" s="51"/>
      <c r="EE197" s="144"/>
      <c r="EF197" s="187"/>
      <c r="EG197" s="95">
        <v>0</v>
      </c>
      <c r="EH197" s="94"/>
      <c r="EI197" s="51"/>
      <c r="EJ197" s="144"/>
      <c r="EK197" s="187"/>
      <c r="EL197" s="95">
        <f>SUM(CD197:EG197)</f>
        <v>0</v>
      </c>
      <c r="EM197" s="94"/>
      <c r="EN197" s="51"/>
      <c r="EO197" s="340"/>
      <c r="ER197" s="39"/>
      <c r="ES197" s="39"/>
    </row>
    <row r="198" spans="1:149" ht="12.75" hidden="1" customHeight="1" x14ac:dyDescent="0.2">
      <c r="A198" s="317"/>
      <c r="B198" s="317"/>
      <c r="D198" s="340"/>
      <c r="E198" s="453"/>
      <c r="F198" s="663"/>
      <c r="G198" s="51"/>
      <c r="H198" s="51"/>
      <c r="I198" s="51"/>
      <c r="J198" s="144"/>
      <c r="K198" s="663"/>
      <c r="L198" s="51"/>
      <c r="M198" s="51"/>
      <c r="N198" s="51"/>
      <c r="O198" s="144"/>
      <c r="P198" s="663"/>
      <c r="Q198" s="51"/>
      <c r="R198" s="51"/>
      <c r="S198" s="51"/>
      <c r="T198" s="144"/>
      <c r="U198" s="663"/>
      <c r="V198" s="51"/>
      <c r="W198" s="51"/>
      <c r="X198" s="51"/>
      <c r="Y198" s="144"/>
      <c r="Z198" s="663"/>
      <c r="AA198" s="51"/>
      <c r="AB198" s="51"/>
      <c r="AC198" s="51"/>
      <c r="AD198" s="144"/>
      <c r="AE198" s="663"/>
      <c r="AF198" s="51"/>
      <c r="AG198" s="51"/>
      <c r="AH198" s="51"/>
      <c r="AI198" s="144"/>
      <c r="AJ198" s="663"/>
      <c r="AK198" s="51"/>
      <c r="AL198" s="51"/>
      <c r="AM198" s="51"/>
      <c r="AN198" s="144"/>
      <c r="AO198" s="663"/>
      <c r="AP198" s="51"/>
      <c r="AQ198" s="51"/>
      <c r="AR198" s="51"/>
      <c r="AS198" s="144"/>
      <c r="AT198" s="663"/>
      <c r="AU198" s="51"/>
      <c r="AV198" s="51"/>
      <c r="AW198" s="51"/>
      <c r="AX198" s="144"/>
      <c r="AY198" s="663"/>
      <c r="AZ198" s="51"/>
      <c r="BA198" s="51"/>
      <c r="BB198" s="51"/>
      <c r="BC198" s="144"/>
      <c r="BD198" s="663"/>
      <c r="BE198" s="51"/>
      <c r="BF198" s="51"/>
      <c r="BG198" s="51"/>
      <c r="BH198" s="144"/>
      <c r="BI198" s="663"/>
      <c r="BJ198" s="51"/>
      <c r="BK198" s="51"/>
      <c r="BL198" s="51"/>
      <c r="BM198" s="144"/>
      <c r="BN198" s="663"/>
      <c r="BO198" s="51"/>
      <c r="BP198" s="51"/>
      <c r="BQ198" s="51"/>
      <c r="BR198" s="144"/>
      <c r="BS198" s="663"/>
      <c r="BT198" s="51"/>
      <c r="BU198" s="51"/>
      <c r="BV198" s="51"/>
      <c r="BW198" s="144"/>
      <c r="BX198" s="663"/>
      <c r="BY198" s="51"/>
      <c r="BZ198" s="51"/>
      <c r="CA198" s="51"/>
      <c r="CB198" s="144"/>
      <c r="CC198" s="663"/>
      <c r="CD198" s="51"/>
      <c r="CE198" s="51"/>
      <c r="CF198" s="51"/>
      <c r="CG198" s="144"/>
      <c r="CH198" s="663"/>
      <c r="CI198" s="51"/>
      <c r="CJ198" s="51"/>
      <c r="CK198" s="51"/>
      <c r="CL198" s="144"/>
      <c r="CM198" s="663"/>
      <c r="CN198" s="51"/>
      <c r="CO198" s="51"/>
      <c r="CP198" s="51"/>
      <c r="CQ198" s="144"/>
      <c r="CR198" s="663"/>
      <c r="CS198" s="51"/>
      <c r="CT198" s="51"/>
      <c r="CU198" s="51"/>
      <c r="CV198" s="144"/>
      <c r="CW198" s="663"/>
      <c r="CX198" s="51"/>
      <c r="CY198" s="51"/>
      <c r="CZ198" s="51"/>
      <c r="DA198" s="144"/>
      <c r="DB198" s="663"/>
      <c r="DC198" s="51"/>
      <c r="DD198" s="51"/>
      <c r="DE198" s="51"/>
      <c r="DF198" s="144"/>
      <c r="DG198" s="663"/>
      <c r="DH198" s="51"/>
      <c r="DI198" s="51"/>
      <c r="DJ198" s="51"/>
      <c r="DK198" s="144"/>
      <c r="DL198" s="663"/>
      <c r="DM198" s="51"/>
      <c r="DN198" s="51"/>
      <c r="DO198" s="51"/>
      <c r="DP198" s="144"/>
      <c r="DQ198" s="663"/>
      <c r="DR198" s="51"/>
      <c r="DS198" s="51"/>
      <c r="DT198" s="51"/>
      <c r="DU198" s="144"/>
      <c r="DV198" s="663"/>
      <c r="DW198" s="51"/>
      <c r="DX198" s="51"/>
      <c r="DY198" s="51"/>
      <c r="DZ198" s="144"/>
      <c r="EA198" s="663"/>
      <c r="EB198" s="51"/>
      <c r="EC198" s="51"/>
      <c r="ED198" s="51"/>
      <c r="EE198" s="144"/>
      <c r="EF198" s="663"/>
      <c r="EG198" s="51"/>
      <c r="EH198" s="51"/>
      <c r="EI198" s="51"/>
      <c r="EJ198" s="144"/>
      <c r="EK198" s="663"/>
      <c r="EL198" s="51"/>
      <c r="EM198" s="51"/>
      <c r="EN198" s="51"/>
      <c r="EO198" s="340"/>
      <c r="ER198" s="39"/>
      <c r="ES198" s="39"/>
    </row>
    <row r="199" spans="1:149" ht="12.75" hidden="1" customHeight="1" x14ac:dyDescent="0.2">
      <c r="A199" s="317"/>
      <c r="B199" s="317"/>
      <c r="D199" s="340" t="s">
        <v>190</v>
      </c>
      <c r="E199" s="453"/>
      <c r="F199" s="663"/>
      <c r="G199" s="51">
        <f>SUM(G200:G202)</f>
        <v>0</v>
      </c>
      <c r="H199" s="51"/>
      <c r="I199" s="51"/>
      <c r="J199" s="144"/>
      <c r="K199" s="51"/>
      <c r="L199" s="51">
        <f>SUM(L200:L202)</f>
        <v>0</v>
      </c>
      <c r="M199" s="51"/>
      <c r="N199" s="51"/>
      <c r="O199" s="144"/>
      <c r="P199" s="663"/>
      <c r="Q199" s="51">
        <f>SUM(Q200:Q202)</f>
        <v>0</v>
      </c>
      <c r="R199" s="51"/>
      <c r="S199" s="51"/>
      <c r="T199" s="144"/>
      <c r="U199" s="663"/>
      <c r="V199" s="51">
        <f>SUM(V200:V202)</f>
        <v>0</v>
      </c>
      <c r="W199" s="51"/>
      <c r="X199" s="51"/>
      <c r="Y199" s="144"/>
      <c r="Z199" s="663"/>
      <c r="AA199" s="51">
        <f>SUM(AA200:AA202)</f>
        <v>0</v>
      </c>
      <c r="AB199" s="51"/>
      <c r="AC199" s="51"/>
      <c r="AD199" s="144"/>
      <c r="AE199" s="663"/>
      <c r="AF199" s="51">
        <f>SUM(AF200:AF202)</f>
        <v>0</v>
      </c>
      <c r="AG199" s="51"/>
      <c r="AH199" s="51"/>
      <c r="AI199" s="144"/>
      <c r="AJ199" s="663"/>
      <c r="AK199" s="51">
        <f>SUM(AK200:AK202)</f>
        <v>0</v>
      </c>
      <c r="AL199" s="51"/>
      <c r="AM199" s="51"/>
      <c r="AN199" s="144"/>
      <c r="AO199" s="663"/>
      <c r="AP199" s="51">
        <f>SUM(AP200:AP202)</f>
        <v>0</v>
      </c>
      <c r="AQ199" s="51"/>
      <c r="AR199" s="51"/>
      <c r="AS199" s="144"/>
      <c r="AT199" s="663"/>
      <c r="AU199" s="51">
        <f>SUM(AU200:AU202)</f>
        <v>0</v>
      </c>
      <c r="AV199" s="51"/>
      <c r="AW199" s="51"/>
      <c r="AX199" s="144"/>
      <c r="AY199" s="663"/>
      <c r="AZ199" s="51">
        <f>SUM(AZ200:AZ202)</f>
        <v>0</v>
      </c>
      <c r="BA199" s="51"/>
      <c r="BB199" s="51"/>
      <c r="BC199" s="144"/>
      <c r="BD199" s="663"/>
      <c r="BE199" s="51">
        <f>SUM(BE200:BE202)</f>
        <v>0</v>
      </c>
      <c r="BF199" s="51"/>
      <c r="BG199" s="51"/>
      <c r="BH199" s="144"/>
      <c r="BI199" s="663"/>
      <c r="BJ199" s="51">
        <f>SUM(BJ200:BJ202)</f>
        <v>0</v>
      </c>
      <c r="BK199" s="51"/>
      <c r="BL199" s="51"/>
      <c r="BM199" s="144"/>
      <c r="BN199" s="663"/>
      <c r="BO199" s="51">
        <f>SUM(BO200:BO202)</f>
        <v>0</v>
      </c>
      <c r="BP199" s="51"/>
      <c r="BQ199" s="51"/>
      <c r="BR199" s="144"/>
      <c r="BS199" s="663"/>
      <c r="BT199" s="51">
        <f>SUM(BT200:BT203)</f>
        <v>0</v>
      </c>
      <c r="BU199" s="51"/>
      <c r="BV199" s="51"/>
      <c r="BW199" s="144"/>
      <c r="BX199" s="663"/>
      <c r="BY199" s="51">
        <f>SUM(BY200:BY202)</f>
        <v>0</v>
      </c>
      <c r="BZ199" s="51"/>
      <c r="CA199" s="51"/>
      <c r="CB199" s="144"/>
      <c r="CC199" s="51"/>
      <c r="CD199" s="51">
        <f>SUM(CD200:CD202)</f>
        <v>0</v>
      </c>
      <c r="CE199" s="51"/>
      <c r="CF199" s="51"/>
      <c r="CG199" s="144"/>
      <c r="CH199" s="663"/>
      <c r="CI199" s="51">
        <f>SUM(CI200:CI202)</f>
        <v>0</v>
      </c>
      <c r="CJ199" s="51"/>
      <c r="CK199" s="51"/>
      <c r="CL199" s="144"/>
      <c r="CM199" s="663"/>
      <c r="CN199" s="51">
        <f>SUM(CN200:CN202)</f>
        <v>0</v>
      </c>
      <c r="CO199" s="51"/>
      <c r="CP199" s="51"/>
      <c r="CQ199" s="144"/>
      <c r="CR199" s="663"/>
      <c r="CS199" s="51">
        <f>SUM(CS200:CS202)</f>
        <v>0</v>
      </c>
      <c r="CT199" s="51"/>
      <c r="CU199" s="51"/>
      <c r="CV199" s="144"/>
      <c r="CW199" s="663"/>
      <c r="CX199" s="51">
        <f>SUM(CX200:CX202)</f>
        <v>0</v>
      </c>
      <c r="CY199" s="51"/>
      <c r="CZ199" s="51"/>
      <c r="DA199" s="144"/>
      <c r="DB199" s="663"/>
      <c r="DC199" s="51">
        <f>SUM(DC200:DC202)</f>
        <v>0</v>
      </c>
      <c r="DD199" s="51"/>
      <c r="DE199" s="51"/>
      <c r="DF199" s="144"/>
      <c r="DG199" s="663"/>
      <c r="DH199" s="51">
        <f>SUM(DH200:DH202)</f>
        <v>0</v>
      </c>
      <c r="DI199" s="51"/>
      <c r="DJ199" s="51"/>
      <c r="DK199" s="144"/>
      <c r="DL199" s="663"/>
      <c r="DM199" s="51">
        <f>SUM(DM200:DM202)</f>
        <v>0</v>
      </c>
      <c r="DN199" s="51"/>
      <c r="DO199" s="51"/>
      <c r="DP199" s="144"/>
      <c r="DQ199" s="663"/>
      <c r="DR199" s="51">
        <f>SUM(DR200:DR202)</f>
        <v>0</v>
      </c>
      <c r="DS199" s="51"/>
      <c r="DT199" s="51"/>
      <c r="DU199" s="144"/>
      <c r="DV199" s="663"/>
      <c r="DW199" s="51">
        <f>SUM(DW200:DW202)</f>
        <v>0</v>
      </c>
      <c r="DX199" s="51"/>
      <c r="DY199" s="51"/>
      <c r="DZ199" s="144"/>
      <c r="EA199" s="663"/>
      <c r="EB199" s="51">
        <f>SUM(EB200:EB202)</f>
        <v>0</v>
      </c>
      <c r="EC199" s="51"/>
      <c r="ED199" s="51"/>
      <c r="EE199" s="144"/>
      <c r="EF199" s="663"/>
      <c r="EG199" s="51">
        <f>SUM(EG200:EG202)</f>
        <v>0</v>
      </c>
      <c r="EH199" s="51"/>
      <c r="EI199" s="51"/>
      <c r="EJ199" s="144"/>
      <c r="EK199" s="663"/>
      <c r="EL199" s="51">
        <f>SUM(EL200:EL203)</f>
        <v>0</v>
      </c>
      <c r="EM199" s="51"/>
      <c r="EN199" s="51"/>
      <c r="EO199" s="340"/>
      <c r="ER199" s="39"/>
      <c r="ES199" s="39"/>
    </row>
    <row r="200" spans="1:149" ht="12.75" hidden="1" customHeight="1" x14ac:dyDescent="0.2">
      <c r="A200" s="317"/>
      <c r="B200" s="317"/>
      <c r="D200" s="340" t="s">
        <v>183</v>
      </c>
      <c r="E200" s="453"/>
      <c r="F200" s="354"/>
      <c r="G200" s="430">
        <v>0</v>
      </c>
      <c r="H200" s="431"/>
      <c r="I200" s="51"/>
      <c r="J200" s="144"/>
      <c r="K200" s="354"/>
      <c r="L200" s="430">
        <v>0</v>
      </c>
      <c r="M200" s="431"/>
      <c r="N200" s="51"/>
      <c r="O200" s="144"/>
      <c r="P200" s="354"/>
      <c r="Q200" s="430">
        <v>0</v>
      </c>
      <c r="R200" s="431"/>
      <c r="S200" s="51"/>
      <c r="T200" s="144"/>
      <c r="U200" s="354"/>
      <c r="V200" s="430">
        <v>0</v>
      </c>
      <c r="W200" s="431"/>
      <c r="X200" s="51"/>
      <c r="Y200" s="144"/>
      <c r="Z200" s="354"/>
      <c r="AA200" s="430">
        <v>0</v>
      </c>
      <c r="AB200" s="431"/>
      <c r="AC200" s="51"/>
      <c r="AD200" s="144"/>
      <c r="AE200" s="354"/>
      <c r="AF200" s="430">
        <v>0</v>
      </c>
      <c r="AG200" s="431"/>
      <c r="AH200" s="51"/>
      <c r="AI200" s="144"/>
      <c r="AJ200" s="354"/>
      <c r="AK200" s="430">
        <v>0</v>
      </c>
      <c r="AL200" s="431"/>
      <c r="AM200" s="51"/>
      <c r="AN200" s="144"/>
      <c r="AO200" s="354"/>
      <c r="AP200" s="430">
        <v>0</v>
      </c>
      <c r="AQ200" s="431"/>
      <c r="AR200" s="51"/>
      <c r="AS200" s="144"/>
      <c r="AT200" s="354"/>
      <c r="AU200" s="430">
        <v>0</v>
      </c>
      <c r="AV200" s="431"/>
      <c r="AW200" s="51"/>
      <c r="AX200" s="144"/>
      <c r="AY200" s="354"/>
      <c r="AZ200" s="430">
        <v>0</v>
      </c>
      <c r="BA200" s="431"/>
      <c r="BB200" s="51"/>
      <c r="BC200" s="144"/>
      <c r="BD200" s="354"/>
      <c r="BE200" s="430">
        <v>0</v>
      </c>
      <c r="BF200" s="431"/>
      <c r="BG200" s="51"/>
      <c r="BH200" s="144"/>
      <c r="BI200" s="354"/>
      <c r="BJ200" s="430">
        <v>0</v>
      </c>
      <c r="BK200" s="431"/>
      <c r="BL200" s="51"/>
      <c r="BM200" s="144"/>
      <c r="BN200" s="354"/>
      <c r="BO200" s="430">
        <v>0</v>
      </c>
      <c r="BP200" s="431"/>
      <c r="BQ200" s="51"/>
      <c r="BR200" s="144"/>
      <c r="BS200" s="432"/>
      <c r="BT200" s="430">
        <f>SUM(L200:BO200)</f>
        <v>0</v>
      </c>
      <c r="BU200" s="431"/>
      <c r="BV200" s="51"/>
      <c r="BW200" s="144"/>
      <c r="BX200" s="432"/>
      <c r="BY200" s="430">
        <v>0</v>
      </c>
      <c r="BZ200" s="431"/>
      <c r="CA200" s="51"/>
      <c r="CB200" s="144"/>
      <c r="CC200" s="432"/>
      <c r="CD200" s="430">
        <v>0</v>
      </c>
      <c r="CE200" s="431"/>
      <c r="CF200" s="51"/>
      <c r="CG200" s="144"/>
      <c r="CH200" s="432"/>
      <c r="CI200" s="430">
        <v>0</v>
      </c>
      <c r="CJ200" s="431"/>
      <c r="CK200" s="51"/>
      <c r="CL200" s="144"/>
      <c r="CM200" s="432"/>
      <c r="CN200" s="430">
        <v>0</v>
      </c>
      <c r="CO200" s="431"/>
      <c r="CP200" s="51"/>
      <c r="CQ200" s="144"/>
      <c r="CR200" s="432"/>
      <c r="CS200" s="430">
        <v>0</v>
      </c>
      <c r="CT200" s="431"/>
      <c r="CU200" s="51"/>
      <c r="CV200" s="144"/>
      <c r="CW200" s="432"/>
      <c r="CX200" s="430">
        <v>0</v>
      </c>
      <c r="CY200" s="431"/>
      <c r="CZ200" s="51"/>
      <c r="DA200" s="144"/>
      <c r="DB200" s="432"/>
      <c r="DC200" s="430">
        <v>0</v>
      </c>
      <c r="DD200" s="431"/>
      <c r="DE200" s="51"/>
      <c r="DF200" s="144"/>
      <c r="DG200" s="432"/>
      <c r="DH200" s="430">
        <v>0</v>
      </c>
      <c r="DI200" s="431"/>
      <c r="DJ200" s="51"/>
      <c r="DK200" s="144"/>
      <c r="DL200" s="432"/>
      <c r="DM200" s="430">
        <v>0</v>
      </c>
      <c r="DN200" s="431"/>
      <c r="DO200" s="51"/>
      <c r="DP200" s="144"/>
      <c r="DQ200" s="432"/>
      <c r="DR200" s="430">
        <v>0</v>
      </c>
      <c r="DS200" s="431"/>
      <c r="DT200" s="51"/>
      <c r="DU200" s="144"/>
      <c r="DV200" s="432"/>
      <c r="DW200" s="430">
        <v>0</v>
      </c>
      <c r="DX200" s="431"/>
      <c r="DY200" s="51"/>
      <c r="DZ200" s="144"/>
      <c r="EA200" s="432"/>
      <c r="EB200" s="430">
        <v>0</v>
      </c>
      <c r="EC200" s="431"/>
      <c r="ED200" s="51"/>
      <c r="EE200" s="144"/>
      <c r="EF200" s="432"/>
      <c r="EG200" s="430">
        <v>0</v>
      </c>
      <c r="EH200" s="431"/>
      <c r="EI200" s="51"/>
      <c r="EJ200" s="144"/>
      <c r="EK200" s="432"/>
      <c r="EL200" s="430">
        <f>SUM(CD200:EG200)</f>
        <v>0</v>
      </c>
      <c r="EM200" s="431"/>
      <c r="EN200" s="51"/>
      <c r="EO200" s="340"/>
      <c r="ER200" s="39"/>
      <c r="ES200" s="39"/>
    </row>
    <row r="201" spans="1:149" ht="12.75" hidden="1" customHeight="1" x14ac:dyDescent="0.2">
      <c r="A201" s="317"/>
      <c r="B201" s="317"/>
      <c r="D201" s="340" t="s">
        <v>186</v>
      </c>
      <c r="E201" s="453"/>
      <c r="F201" s="347"/>
      <c r="G201" s="51">
        <v>0</v>
      </c>
      <c r="H201" s="50"/>
      <c r="I201" s="51"/>
      <c r="J201" s="144"/>
      <c r="K201" s="347"/>
      <c r="L201" s="51">
        <v>0</v>
      </c>
      <c r="M201" s="50"/>
      <c r="N201" s="51"/>
      <c r="O201" s="144"/>
      <c r="P201" s="347"/>
      <c r="Q201" s="51">
        <v>0</v>
      </c>
      <c r="R201" s="50"/>
      <c r="S201" s="51"/>
      <c r="T201" s="144"/>
      <c r="U201" s="347"/>
      <c r="V201" s="51">
        <v>0</v>
      </c>
      <c r="W201" s="50"/>
      <c r="X201" s="51"/>
      <c r="Y201" s="144"/>
      <c r="Z201" s="347"/>
      <c r="AA201" s="51">
        <v>0</v>
      </c>
      <c r="AB201" s="50"/>
      <c r="AC201" s="51"/>
      <c r="AD201" s="144"/>
      <c r="AE201" s="347"/>
      <c r="AF201" s="51">
        <v>0</v>
      </c>
      <c r="AG201" s="50"/>
      <c r="AH201" s="51"/>
      <c r="AI201" s="144"/>
      <c r="AJ201" s="347"/>
      <c r="AK201" s="51">
        <v>0</v>
      </c>
      <c r="AL201" s="50"/>
      <c r="AM201" s="51"/>
      <c r="AN201" s="144"/>
      <c r="AO201" s="347"/>
      <c r="AP201" s="51">
        <v>0</v>
      </c>
      <c r="AQ201" s="50"/>
      <c r="AR201" s="51"/>
      <c r="AS201" s="144"/>
      <c r="AT201" s="347"/>
      <c r="AU201" s="51">
        <v>0</v>
      </c>
      <c r="AV201" s="50"/>
      <c r="AW201" s="51"/>
      <c r="AX201" s="144"/>
      <c r="AY201" s="347"/>
      <c r="AZ201" s="51">
        <v>0</v>
      </c>
      <c r="BA201" s="50"/>
      <c r="BB201" s="51"/>
      <c r="BC201" s="144"/>
      <c r="BD201" s="347"/>
      <c r="BE201" s="51">
        <v>0</v>
      </c>
      <c r="BF201" s="50"/>
      <c r="BG201" s="51"/>
      <c r="BH201" s="144"/>
      <c r="BI201" s="347"/>
      <c r="BJ201" s="51">
        <v>0</v>
      </c>
      <c r="BK201" s="50"/>
      <c r="BL201" s="51"/>
      <c r="BM201" s="144"/>
      <c r="BN201" s="347"/>
      <c r="BO201" s="51">
        <v>0</v>
      </c>
      <c r="BP201" s="50"/>
      <c r="BQ201" s="51"/>
      <c r="BR201" s="144"/>
      <c r="BS201" s="144"/>
      <c r="BT201" s="51">
        <f>SUM(L201:BO201)</f>
        <v>0</v>
      </c>
      <c r="BU201" s="50"/>
      <c r="BV201" s="51"/>
      <c r="BW201" s="144"/>
      <c r="BX201" s="144"/>
      <c r="BY201" s="51">
        <v>0</v>
      </c>
      <c r="BZ201" s="50"/>
      <c r="CA201" s="51"/>
      <c r="CB201" s="144"/>
      <c r="CC201" s="144"/>
      <c r="CD201" s="51">
        <v>0</v>
      </c>
      <c r="CE201" s="50"/>
      <c r="CF201" s="51"/>
      <c r="CG201" s="144"/>
      <c r="CH201" s="144"/>
      <c r="CI201" s="51">
        <v>0</v>
      </c>
      <c r="CJ201" s="50"/>
      <c r="CK201" s="51"/>
      <c r="CL201" s="144"/>
      <c r="CM201" s="144"/>
      <c r="CN201" s="51">
        <v>0</v>
      </c>
      <c r="CO201" s="50"/>
      <c r="CP201" s="51"/>
      <c r="CQ201" s="144"/>
      <c r="CR201" s="144"/>
      <c r="CS201" s="51">
        <v>0</v>
      </c>
      <c r="CT201" s="50"/>
      <c r="CU201" s="51"/>
      <c r="CV201" s="144"/>
      <c r="CW201" s="144"/>
      <c r="CX201" s="51">
        <v>0</v>
      </c>
      <c r="CY201" s="50"/>
      <c r="CZ201" s="51"/>
      <c r="DA201" s="144"/>
      <c r="DB201" s="144"/>
      <c r="DC201" s="51">
        <v>0</v>
      </c>
      <c r="DD201" s="50"/>
      <c r="DE201" s="51"/>
      <c r="DF201" s="144"/>
      <c r="DG201" s="144"/>
      <c r="DH201" s="51">
        <v>0</v>
      </c>
      <c r="DI201" s="50"/>
      <c r="DJ201" s="51"/>
      <c r="DK201" s="144"/>
      <c r="DL201" s="144"/>
      <c r="DM201" s="51">
        <v>0</v>
      </c>
      <c r="DN201" s="50"/>
      <c r="DO201" s="51"/>
      <c r="DP201" s="144"/>
      <c r="DQ201" s="144"/>
      <c r="DR201" s="51">
        <v>0</v>
      </c>
      <c r="DS201" s="50"/>
      <c r="DT201" s="51"/>
      <c r="DU201" s="144"/>
      <c r="DV201" s="144"/>
      <c r="DW201" s="51">
        <v>0</v>
      </c>
      <c r="DX201" s="50"/>
      <c r="DY201" s="51"/>
      <c r="DZ201" s="144"/>
      <c r="EA201" s="144"/>
      <c r="EB201" s="51">
        <v>0</v>
      </c>
      <c r="EC201" s="50"/>
      <c r="ED201" s="51"/>
      <c r="EE201" s="144"/>
      <c r="EF201" s="144"/>
      <c r="EG201" s="51">
        <v>0</v>
      </c>
      <c r="EH201" s="50"/>
      <c r="EI201" s="51"/>
      <c r="EJ201" s="144"/>
      <c r="EK201" s="144"/>
      <c r="EL201" s="51">
        <f>SUM(CD201:EG201)</f>
        <v>0</v>
      </c>
      <c r="EM201" s="50"/>
      <c r="EN201" s="51"/>
      <c r="EO201" s="340"/>
      <c r="ER201" s="39"/>
      <c r="ES201" s="39"/>
    </row>
    <row r="202" spans="1:149" ht="12.75" hidden="1" customHeight="1" x14ac:dyDescent="0.2">
      <c r="A202" s="317"/>
      <c r="B202" s="317"/>
      <c r="D202" s="340" t="s">
        <v>187</v>
      </c>
      <c r="E202" s="453"/>
      <c r="F202" s="347"/>
      <c r="G202" s="51">
        <v>0</v>
      </c>
      <c r="H202" s="50"/>
      <c r="I202" s="51"/>
      <c r="J202" s="144"/>
      <c r="K202" s="347"/>
      <c r="L202" s="51">
        <v>0</v>
      </c>
      <c r="M202" s="50"/>
      <c r="N202" s="51"/>
      <c r="O202" s="144"/>
      <c r="P202" s="347"/>
      <c r="Q202" s="51">
        <v>0</v>
      </c>
      <c r="R202" s="50"/>
      <c r="S202" s="51"/>
      <c r="T202" s="144"/>
      <c r="U202" s="347"/>
      <c r="V202" s="51">
        <v>0</v>
      </c>
      <c r="W202" s="50"/>
      <c r="X202" s="51"/>
      <c r="Y202" s="144"/>
      <c r="Z202" s="347"/>
      <c r="AA202" s="51">
        <v>0</v>
      </c>
      <c r="AB202" s="50"/>
      <c r="AC202" s="51"/>
      <c r="AD202" s="144"/>
      <c r="AE202" s="347"/>
      <c r="AF202" s="51">
        <v>0</v>
      </c>
      <c r="AG202" s="50"/>
      <c r="AH202" s="51"/>
      <c r="AI202" s="144"/>
      <c r="AJ202" s="347"/>
      <c r="AK202" s="51">
        <v>0</v>
      </c>
      <c r="AL202" s="50"/>
      <c r="AM202" s="51"/>
      <c r="AN202" s="144"/>
      <c r="AO202" s="347"/>
      <c r="AP202" s="51">
        <v>0</v>
      </c>
      <c r="AQ202" s="50"/>
      <c r="AR202" s="51"/>
      <c r="AS202" s="144"/>
      <c r="AT202" s="347"/>
      <c r="AU202" s="51">
        <v>0</v>
      </c>
      <c r="AV202" s="50"/>
      <c r="AW202" s="51"/>
      <c r="AX202" s="144"/>
      <c r="AY202" s="347"/>
      <c r="AZ202" s="51">
        <v>0</v>
      </c>
      <c r="BA202" s="50"/>
      <c r="BB202" s="51"/>
      <c r="BC202" s="144"/>
      <c r="BD202" s="347"/>
      <c r="BE202" s="51">
        <v>0</v>
      </c>
      <c r="BF202" s="50"/>
      <c r="BG202" s="51"/>
      <c r="BH202" s="144"/>
      <c r="BI202" s="347"/>
      <c r="BJ202" s="51">
        <v>0</v>
      </c>
      <c r="BK202" s="50"/>
      <c r="BL202" s="51"/>
      <c r="BM202" s="144"/>
      <c r="BN202" s="347"/>
      <c r="BO202" s="51">
        <v>0</v>
      </c>
      <c r="BP202" s="50"/>
      <c r="BQ202" s="51"/>
      <c r="BR202" s="144"/>
      <c r="BS202" s="144"/>
      <c r="BT202" s="51">
        <f>SUM(L202:BO202)</f>
        <v>0</v>
      </c>
      <c r="BU202" s="50"/>
      <c r="BV202" s="51"/>
      <c r="BW202" s="144"/>
      <c r="BX202" s="144"/>
      <c r="BY202" s="51">
        <v>0</v>
      </c>
      <c r="BZ202" s="50"/>
      <c r="CA202" s="51"/>
      <c r="CB202" s="144"/>
      <c r="CC202" s="144"/>
      <c r="CD202" s="51">
        <v>0</v>
      </c>
      <c r="CE202" s="50"/>
      <c r="CF202" s="51"/>
      <c r="CG202" s="144"/>
      <c r="CH202" s="144"/>
      <c r="CI202" s="51">
        <v>0</v>
      </c>
      <c r="CJ202" s="50"/>
      <c r="CK202" s="51"/>
      <c r="CL202" s="144"/>
      <c r="CM202" s="144"/>
      <c r="CN202" s="51">
        <v>0</v>
      </c>
      <c r="CO202" s="50"/>
      <c r="CP202" s="51"/>
      <c r="CQ202" s="144"/>
      <c r="CR202" s="144"/>
      <c r="CS202" s="51">
        <v>0</v>
      </c>
      <c r="CT202" s="50"/>
      <c r="CU202" s="51"/>
      <c r="CV202" s="144"/>
      <c r="CW202" s="144"/>
      <c r="CX202" s="51">
        <v>0</v>
      </c>
      <c r="CY202" s="50"/>
      <c r="CZ202" s="51"/>
      <c r="DA202" s="144"/>
      <c r="DB202" s="144"/>
      <c r="DC202" s="51">
        <v>0</v>
      </c>
      <c r="DD202" s="50"/>
      <c r="DE202" s="51"/>
      <c r="DF202" s="144"/>
      <c r="DG202" s="144"/>
      <c r="DH202" s="51">
        <v>0</v>
      </c>
      <c r="DI202" s="50"/>
      <c r="DJ202" s="51"/>
      <c r="DK202" s="144"/>
      <c r="DL202" s="144"/>
      <c r="DM202" s="51">
        <v>0</v>
      </c>
      <c r="DN202" s="50"/>
      <c r="DO202" s="51"/>
      <c r="DP202" s="144"/>
      <c r="DQ202" s="144"/>
      <c r="DR202" s="51">
        <v>0</v>
      </c>
      <c r="DS202" s="50"/>
      <c r="DT202" s="51"/>
      <c r="DU202" s="144"/>
      <c r="DV202" s="144"/>
      <c r="DW202" s="51">
        <v>0</v>
      </c>
      <c r="DX202" s="50"/>
      <c r="DY202" s="51"/>
      <c r="DZ202" s="144"/>
      <c r="EA202" s="144"/>
      <c r="EB202" s="51">
        <v>0</v>
      </c>
      <c r="EC202" s="50"/>
      <c r="ED202" s="51"/>
      <c r="EE202" s="144"/>
      <c r="EF202" s="144"/>
      <c r="EG202" s="51">
        <v>0</v>
      </c>
      <c r="EH202" s="50"/>
      <c r="EI202" s="51"/>
      <c r="EJ202" s="144"/>
      <c r="EK202" s="144"/>
      <c r="EL202" s="51">
        <f>SUM(CD202:EG202)</f>
        <v>0</v>
      </c>
      <c r="EM202" s="50"/>
      <c r="EN202" s="51"/>
      <c r="EO202" s="340"/>
      <c r="ER202" s="39"/>
      <c r="ES202" s="39"/>
    </row>
    <row r="203" spans="1:149" ht="12.75" hidden="1" customHeight="1" x14ac:dyDescent="0.2">
      <c r="A203" s="317"/>
      <c r="B203" s="317"/>
      <c r="D203" s="340" t="s">
        <v>188</v>
      </c>
      <c r="E203" s="453"/>
      <c r="F203" s="371"/>
      <c r="G203" s="95">
        <v>0</v>
      </c>
      <c r="H203" s="94"/>
      <c r="I203" s="51"/>
      <c r="J203" s="144"/>
      <c r="K203" s="371"/>
      <c r="L203" s="95">
        <v>0</v>
      </c>
      <c r="M203" s="94"/>
      <c r="N203" s="51"/>
      <c r="O203" s="144"/>
      <c r="P203" s="371"/>
      <c r="Q203" s="95">
        <v>0</v>
      </c>
      <c r="R203" s="94"/>
      <c r="S203" s="51"/>
      <c r="T203" s="144"/>
      <c r="U203" s="371"/>
      <c r="V203" s="95">
        <v>0</v>
      </c>
      <c r="W203" s="94"/>
      <c r="X203" s="51"/>
      <c r="Y203" s="144"/>
      <c r="Z203" s="371"/>
      <c r="AA203" s="95">
        <v>0</v>
      </c>
      <c r="AB203" s="94"/>
      <c r="AC203" s="51"/>
      <c r="AD203" s="144"/>
      <c r="AE203" s="371"/>
      <c r="AF203" s="95">
        <v>0</v>
      </c>
      <c r="AG203" s="94"/>
      <c r="AH203" s="51"/>
      <c r="AI203" s="144"/>
      <c r="AJ203" s="371"/>
      <c r="AK203" s="95">
        <v>0</v>
      </c>
      <c r="AL203" s="94"/>
      <c r="AM203" s="51"/>
      <c r="AN203" s="144"/>
      <c r="AO203" s="371"/>
      <c r="AP203" s="95">
        <v>0</v>
      </c>
      <c r="AQ203" s="94"/>
      <c r="AR203" s="51"/>
      <c r="AS203" s="144"/>
      <c r="AT203" s="371"/>
      <c r="AU203" s="95">
        <v>0</v>
      </c>
      <c r="AV203" s="94"/>
      <c r="AW203" s="51"/>
      <c r="AX203" s="144"/>
      <c r="AY203" s="371"/>
      <c r="AZ203" s="95">
        <v>0</v>
      </c>
      <c r="BA203" s="94"/>
      <c r="BB203" s="51"/>
      <c r="BC203" s="144"/>
      <c r="BD203" s="371"/>
      <c r="BE203" s="95">
        <v>0</v>
      </c>
      <c r="BF203" s="94"/>
      <c r="BG203" s="51"/>
      <c r="BH203" s="144"/>
      <c r="BI203" s="371"/>
      <c r="BJ203" s="95">
        <v>0</v>
      </c>
      <c r="BK203" s="94"/>
      <c r="BL203" s="51"/>
      <c r="BM203" s="144"/>
      <c r="BN203" s="371"/>
      <c r="BO203" s="95">
        <v>0</v>
      </c>
      <c r="BP203" s="94"/>
      <c r="BQ203" s="51"/>
      <c r="BR203" s="144"/>
      <c r="BS203" s="187"/>
      <c r="BT203" s="95">
        <f>SUM(L203:BO203)</f>
        <v>0</v>
      </c>
      <c r="BU203" s="94"/>
      <c r="BV203" s="51"/>
      <c r="BW203" s="144"/>
      <c r="BX203" s="187"/>
      <c r="BY203" s="95">
        <v>0</v>
      </c>
      <c r="BZ203" s="94"/>
      <c r="CA203" s="51"/>
      <c r="CB203" s="144"/>
      <c r="CC203" s="187"/>
      <c r="CD203" s="95">
        <v>0</v>
      </c>
      <c r="CE203" s="94"/>
      <c r="CF203" s="51"/>
      <c r="CG203" s="144"/>
      <c r="CH203" s="187"/>
      <c r="CI203" s="95">
        <v>0</v>
      </c>
      <c r="CJ203" s="94"/>
      <c r="CK203" s="51"/>
      <c r="CL203" s="144"/>
      <c r="CM203" s="187"/>
      <c r="CN203" s="95">
        <v>0</v>
      </c>
      <c r="CO203" s="94"/>
      <c r="CP203" s="51"/>
      <c r="CQ203" s="144"/>
      <c r="CR203" s="187"/>
      <c r="CS203" s="95">
        <v>0</v>
      </c>
      <c r="CT203" s="94"/>
      <c r="CU203" s="51"/>
      <c r="CV203" s="144"/>
      <c r="CW203" s="187"/>
      <c r="CX203" s="95">
        <v>0</v>
      </c>
      <c r="CY203" s="94"/>
      <c r="CZ203" s="51"/>
      <c r="DA203" s="144"/>
      <c r="DB203" s="187"/>
      <c r="DC203" s="95">
        <v>0</v>
      </c>
      <c r="DD203" s="94"/>
      <c r="DE203" s="51"/>
      <c r="DF203" s="144"/>
      <c r="DG203" s="187"/>
      <c r="DH203" s="95">
        <v>0</v>
      </c>
      <c r="DI203" s="94"/>
      <c r="DJ203" s="51"/>
      <c r="DK203" s="144"/>
      <c r="DL203" s="187"/>
      <c r="DM203" s="95">
        <v>0</v>
      </c>
      <c r="DN203" s="94"/>
      <c r="DO203" s="51"/>
      <c r="DP203" s="144"/>
      <c r="DQ203" s="187"/>
      <c r="DR203" s="95">
        <v>0</v>
      </c>
      <c r="DS203" s="94"/>
      <c r="DT203" s="51"/>
      <c r="DU203" s="144"/>
      <c r="DV203" s="187"/>
      <c r="DW203" s="95">
        <v>0</v>
      </c>
      <c r="DX203" s="94"/>
      <c r="DY203" s="51"/>
      <c r="DZ203" s="144"/>
      <c r="EA203" s="187"/>
      <c r="EB203" s="95">
        <v>0</v>
      </c>
      <c r="EC203" s="94"/>
      <c r="ED203" s="51"/>
      <c r="EE203" s="144"/>
      <c r="EF203" s="187"/>
      <c r="EG203" s="95">
        <v>0</v>
      </c>
      <c r="EH203" s="94"/>
      <c r="EI203" s="51"/>
      <c r="EJ203" s="144"/>
      <c r="EK203" s="187"/>
      <c r="EL203" s="95">
        <f>SUM(CD203:EG203)</f>
        <v>0</v>
      </c>
      <c r="EM203" s="94"/>
      <c r="EN203" s="51"/>
      <c r="EO203" s="340"/>
      <c r="ER203" s="39"/>
      <c r="ES203" s="39"/>
    </row>
    <row r="204" spans="1:149" ht="12.75" hidden="1" customHeight="1" x14ac:dyDescent="0.2">
      <c r="A204" s="317"/>
      <c r="B204" s="317"/>
      <c r="D204" s="340"/>
      <c r="E204" s="453"/>
      <c r="F204" s="663"/>
      <c r="G204" s="51"/>
      <c r="H204" s="51"/>
      <c r="I204" s="51"/>
      <c r="J204" s="144"/>
      <c r="K204" s="663"/>
      <c r="L204" s="51"/>
      <c r="M204" s="51"/>
      <c r="N204" s="51"/>
      <c r="O204" s="144"/>
      <c r="P204" s="663"/>
      <c r="Q204" s="51"/>
      <c r="R204" s="51"/>
      <c r="S204" s="51"/>
      <c r="T204" s="144"/>
      <c r="U204" s="663"/>
      <c r="V204" s="51"/>
      <c r="W204" s="51"/>
      <c r="X204" s="51"/>
      <c r="Y204" s="144"/>
      <c r="Z204" s="663"/>
      <c r="AA204" s="51"/>
      <c r="AB204" s="51"/>
      <c r="AC204" s="51"/>
      <c r="AD204" s="144"/>
      <c r="AE204" s="663"/>
      <c r="AF204" s="51"/>
      <c r="AG204" s="51"/>
      <c r="AH204" s="51"/>
      <c r="AI204" s="144"/>
      <c r="AJ204" s="663"/>
      <c r="AK204" s="51"/>
      <c r="AL204" s="51"/>
      <c r="AM204" s="51"/>
      <c r="AN204" s="144"/>
      <c r="AO204" s="663"/>
      <c r="AP204" s="51"/>
      <c r="AQ204" s="51"/>
      <c r="AR204" s="51"/>
      <c r="AS204" s="144"/>
      <c r="AT204" s="663"/>
      <c r="AU204" s="51"/>
      <c r="AV204" s="51"/>
      <c r="AW204" s="51"/>
      <c r="AX204" s="144"/>
      <c r="AY204" s="663"/>
      <c r="AZ204" s="51"/>
      <c r="BA204" s="51"/>
      <c r="BB204" s="51"/>
      <c r="BC204" s="144"/>
      <c r="BD204" s="663"/>
      <c r="BE204" s="51"/>
      <c r="BF204" s="51"/>
      <c r="BG204" s="51"/>
      <c r="BH204" s="144"/>
      <c r="BI204" s="663"/>
      <c r="BJ204" s="51"/>
      <c r="BK204" s="51"/>
      <c r="BL204" s="51"/>
      <c r="BM204" s="144"/>
      <c r="BN204" s="663"/>
      <c r="BO204" s="51"/>
      <c r="BP204" s="51"/>
      <c r="BQ204" s="51"/>
      <c r="BR204" s="144"/>
      <c r="BS204" s="663"/>
      <c r="BT204" s="51"/>
      <c r="BU204" s="51"/>
      <c r="BV204" s="51"/>
      <c r="BW204" s="144"/>
      <c r="BX204" s="663"/>
      <c r="BY204" s="51"/>
      <c r="BZ204" s="51"/>
      <c r="CA204" s="51"/>
      <c r="CB204" s="144"/>
      <c r="CC204" s="663"/>
      <c r="CD204" s="51"/>
      <c r="CE204" s="51"/>
      <c r="CF204" s="51"/>
      <c r="CG204" s="144"/>
      <c r="CH204" s="663"/>
      <c r="CI204" s="51"/>
      <c r="CJ204" s="51"/>
      <c r="CK204" s="51"/>
      <c r="CL204" s="144"/>
      <c r="CM204" s="663"/>
      <c r="CN204" s="51"/>
      <c r="CO204" s="51"/>
      <c r="CP204" s="51"/>
      <c r="CQ204" s="144"/>
      <c r="CR204" s="663"/>
      <c r="CS204" s="51"/>
      <c r="CT204" s="51"/>
      <c r="CU204" s="51"/>
      <c r="CV204" s="144"/>
      <c r="CW204" s="663"/>
      <c r="CX204" s="51"/>
      <c r="CY204" s="51"/>
      <c r="CZ204" s="51"/>
      <c r="DA204" s="144"/>
      <c r="DB204" s="663"/>
      <c r="DC204" s="51"/>
      <c r="DD204" s="51"/>
      <c r="DE204" s="51"/>
      <c r="DF204" s="144"/>
      <c r="DG204" s="663"/>
      <c r="DH204" s="51"/>
      <c r="DI204" s="51"/>
      <c r="DJ204" s="51"/>
      <c r="DK204" s="144"/>
      <c r="DL204" s="663"/>
      <c r="DM204" s="51"/>
      <c r="DN204" s="51"/>
      <c r="DO204" s="51"/>
      <c r="DP204" s="144"/>
      <c r="DQ204" s="663"/>
      <c r="DR204" s="51"/>
      <c r="DS204" s="51"/>
      <c r="DT204" s="51"/>
      <c r="DU204" s="144"/>
      <c r="DV204" s="663"/>
      <c r="DW204" s="51"/>
      <c r="DX204" s="51"/>
      <c r="DY204" s="51"/>
      <c r="DZ204" s="144"/>
      <c r="EA204" s="663"/>
      <c r="EB204" s="51"/>
      <c r="EC204" s="51"/>
      <c r="ED204" s="51"/>
      <c r="EE204" s="144"/>
      <c r="EF204" s="663"/>
      <c r="EG204" s="51"/>
      <c r="EH204" s="51"/>
      <c r="EI204" s="51"/>
      <c r="EJ204" s="144"/>
      <c r="EK204" s="663"/>
      <c r="EL204" s="51"/>
      <c r="EM204" s="51"/>
      <c r="EN204" s="51"/>
      <c r="EO204" s="340"/>
      <c r="ER204" s="39"/>
      <c r="ES204" s="39"/>
    </row>
    <row r="205" spans="1:149" ht="12.75" hidden="1" customHeight="1" x14ac:dyDescent="0.2">
      <c r="A205" s="317"/>
      <c r="B205" s="317"/>
      <c r="D205" s="340" t="s">
        <v>191</v>
      </c>
      <c r="E205" s="453"/>
      <c r="F205" s="317"/>
      <c r="G205" s="51">
        <f>SUM(G206:G209)</f>
        <v>0</v>
      </c>
      <c r="H205" s="51"/>
      <c r="I205" s="51"/>
      <c r="J205" s="144"/>
      <c r="K205" s="317"/>
      <c r="L205" s="51">
        <f>SUM(L206:L209)</f>
        <v>0</v>
      </c>
      <c r="M205" s="51"/>
      <c r="N205" s="51"/>
      <c r="O205" s="144"/>
      <c r="P205" s="317"/>
      <c r="Q205" s="51">
        <f>SUM(Q206:Q209)</f>
        <v>0</v>
      </c>
      <c r="R205" s="51"/>
      <c r="S205" s="51"/>
      <c r="T205" s="144"/>
      <c r="U205" s="317"/>
      <c r="V205" s="51">
        <f>SUM(V206:V209)</f>
        <v>0</v>
      </c>
      <c r="W205" s="51"/>
      <c r="X205" s="51"/>
      <c r="Y205" s="144"/>
      <c r="Z205" s="317"/>
      <c r="AA205" s="51">
        <f>SUM(AA206:AA209)</f>
        <v>0</v>
      </c>
      <c r="AB205" s="51"/>
      <c r="AC205" s="51"/>
      <c r="AD205" s="144"/>
      <c r="AE205" s="317"/>
      <c r="AF205" s="51">
        <f>SUM(AF206:AF209)</f>
        <v>0</v>
      </c>
      <c r="AG205" s="51"/>
      <c r="AH205" s="51"/>
      <c r="AI205" s="144"/>
      <c r="AJ205" s="317"/>
      <c r="AK205" s="51">
        <f>SUM(AK206:AK209)</f>
        <v>0</v>
      </c>
      <c r="AL205" s="51"/>
      <c r="AM205" s="51"/>
      <c r="AN205" s="144"/>
      <c r="AO205" s="317"/>
      <c r="AP205" s="51">
        <f>SUM(AP206:AP209)</f>
        <v>0</v>
      </c>
      <c r="AQ205" s="51"/>
      <c r="AR205" s="51"/>
      <c r="AS205" s="144"/>
      <c r="AT205" s="317"/>
      <c r="AU205" s="51">
        <f>SUM(AU206:AU209)</f>
        <v>0</v>
      </c>
      <c r="AV205" s="51"/>
      <c r="AW205" s="51"/>
      <c r="AX205" s="144"/>
      <c r="AY205" s="317"/>
      <c r="AZ205" s="51">
        <f>SUM(AZ206:AZ209)</f>
        <v>0</v>
      </c>
      <c r="BA205" s="51"/>
      <c r="BB205" s="51"/>
      <c r="BC205" s="144"/>
      <c r="BD205" s="317"/>
      <c r="BE205" s="51">
        <f>SUM(BE206:BE209)</f>
        <v>0</v>
      </c>
      <c r="BF205" s="51"/>
      <c r="BG205" s="51"/>
      <c r="BH205" s="144"/>
      <c r="BI205" s="317"/>
      <c r="BJ205" s="51">
        <f>SUM(BJ206:BJ209)</f>
        <v>0</v>
      </c>
      <c r="BK205" s="51"/>
      <c r="BL205" s="51"/>
      <c r="BM205" s="144"/>
      <c r="BN205" s="317"/>
      <c r="BO205" s="51">
        <f>SUM(BO206:BO209)</f>
        <v>0</v>
      </c>
      <c r="BP205" s="51"/>
      <c r="BQ205" s="51"/>
      <c r="BR205" s="144"/>
      <c r="BS205" s="317"/>
      <c r="BT205" s="51">
        <f>SUM(BT206:BT209)</f>
        <v>0</v>
      </c>
      <c r="BU205" s="51"/>
      <c r="BV205" s="51"/>
      <c r="BW205" s="144"/>
      <c r="BX205" s="317"/>
      <c r="BY205" s="51">
        <f>SUM(BY206:BY209)</f>
        <v>0</v>
      </c>
      <c r="BZ205" s="51"/>
      <c r="CA205" s="51"/>
      <c r="CB205" s="144"/>
      <c r="CC205" s="317"/>
      <c r="CD205" s="51">
        <f>SUM(CD206:CD209)</f>
        <v>0</v>
      </c>
      <c r="CE205" s="51"/>
      <c r="CF205" s="51"/>
      <c r="CG205" s="144"/>
      <c r="CH205" s="317"/>
      <c r="CI205" s="51">
        <f>SUM(CI206:CI209)</f>
        <v>0</v>
      </c>
      <c r="CJ205" s="51"/>
      <c r="CK205" s="51"/>
      <c r="CL205" s="144"/>
      <c r="CM205" s="317"/>
      <c r="CN205" s="51">
        <f>SUM(CN206:CN209)</f>
        <v>0</v>
      </c>
      <c r="CO205" s="51"/>
      <c r="CP205" s="51"/>
      <c r="CQ205" s="144"/>
      <c r="CR205" s="317"/>
      <c r="CS205" s="51">
        <f>SUM(CS206:CS209)</f>
        <v>0</v>
      </c>
      <c r="CT205" s="51"/>
      <c r="CU205" s="51"/>
      <c r="CV205" s="144"/>
      <c r="CW205" s="317"/>
      <c r="CX205" s="51">
        <f>SUM(CX206:CX209)</f>
        <v>0</v>
      </c>
      <c r="CY205" s="51"/>
      <c r="CZ205" s="51"/>
      <c r="DA205" s="144"/>
      <c r="DB205" s="317"/>
      <c r="DC205" s="51">
        <f>SUM(DC206:DC209)</f>
        <v>0</v>
      </c>
      <c r="DD205" s="51"/>
      <c r="DE205" s="51"/>
      <c r="DF205" s="144"/>
      <c r="DG205" s="317"/>
      <c r="DH205" s="51">
        <f>SUM(DH206:DH209)</f>
        <v>0</v>
      </c>
      <c r="DI205" s="51"/>
      <c r="DJ205" s="51"/>
      <c r="DK205" s="144"/>
      <c r="DL205" s="317"/>
      <c r="DM205" s="51">
        <f>SUM(DM206:DM209)</f>
        <v>0</v>
      </c>
      <c r="DN205" s="51"/>
      <c r="DO205" s="51"/>
      <c r="DP205" s="144"/>
      <c r="DQ205" s="317"/>
      <c r="DR205" s="51">
        <f>SUM(DR206:DR209)</f>
        <v>0</v>
      </c>
      <c r="DS205" s="51"/>
      <c r="DT205" s="51"/>
      <c r="DU205" s="144"/>
      <c r="DV205" s="317"/>
      <c r="DW205" s="51">
        <f>SUM(DW206:DW209)</f>
        <v>0</v>
      </c>
      <c r="DX205" s="51"/>
      <c r="DY205" s="51"/>
      <c r="DZ205" s="144"/>
      <c r="EA205" s="317"/>
      <c r="EB205" s="51">
        <f>SUM(EB206:EB209)</f>
        <v>0</v>
      </c>
      <c r="EC205" s="51"/>
      <c r="ED205" s="51"/>
      <c r="EE205" s="144"/>
      <c r="EF205" s="317"/>
      <c r="EG205" s="51">
        <f>SUM(EG206:EG209)</f>
        <v>0</v>
      </c>
      <c r="EH205" s="51"/>
      <c r="EI205" s="51"/>
      <c r="EJ205" s="144"/>
      <c r="EK205" s="317"/>
      <c r="EL205" s="51">
        <f>SUM(EL206:EL209)</f>
        <v>0</v>
      </c>
      <c r="EM205" s="51"/>
      <c r="EN205" s="51"/>
      <c r="EO205" s="340"/>
      <c r="ER205" s="39"/>
      <c r="ES205" s="39"/>
    </row>
    <row r="206" spans="1:149" ht="12.75" hidden="1" customHeight="1" x14ac:dyDescent="0.2">
      <c r="A206" s="317"/>
      <c r="B206" s="317"/>
      <c r="D206" s="340" t="s">
        <v>183</v>
      </c>
      <c r="E206" s="453"/>
      <c r="F206" s="354"/>
      <c r="G206" s="430">
        <v>0</v>
      </c>
      <c r="H206" s="431"/>
      <c r="I206" s="51"/>
      <c r="J206" s="144"/>
      <c r="K206" s="354"/>
      <c r="L206" s="430">
        <v>0</v>
      </c>
      <c r="M206" s="431"/>
      <c r="N206" s="51"/>
      <c r="O206" s="144"/>
      <c r="P206" s="354"/>
      <c r="Q206" s="430">
        <v>0</v>
      </c>
      <c r="R206" s="431"/>
      <c r="S206" s="51"/>
      <c r="T206" s="144"/>
      <c r="U206" s="354"/>
      <c r="V206" s="430">
        <v>0</v>
      </c>
      <c r="W206" s="431"/>
      <c r="X206" s="51"/>
      <c r="Y206" s="144"/>
      <c r="Z206" s="354"/>
      <c r="AA206" s="430">
        <v>0</v>
      </c>
      <c r="AB206" s="431"/>
      <c r="AC206" s="51"/>
      <c r="AD206" s="144"/>
      <c r="AE206" s="354"/>
      <c r="AF206" s="430">
        <v>0</v>
      </c>
      <c r="AG206" s="431"/>
      <c r="AH206" s="51"/>
      <c r="AI206" s="144"/>
      <c r="AJ206" s="354"/>
      <c r="AK206" s="430">
        <v>0</v>
      </c>
      <c r="AL206" s="431"/>
      <c r="AM206" s="51"/>
      <c r="AN206" s="144"/>
      <c r="AO206" s="354"/>
      <c r="AP206" s="430">
        <v>0</v>
      </c>
      <c r="AQ206" s="431"/>
      <c r="AR206" s="51"/>
      <c r="AS206" s="144"/>
      <c r="AT206" s="354"/>
      <c r="AU206" s="430">
        <v>0</v>
      </c>
      <c r="AV206" s="431"/>
      <c r="AW206" s="51"/>
      <c r="AX206" s="144"/>
      <c r="AY206" s="354"/>
      <c r="AZ206" s="430">
        <v>0</v>
      </c>
      <c r="BA206" s="431"/>
      <c r="BB206" s="51"/>
      <c r="BC206" s="144"/>
      <c r="BD206" s="354"/>
      <c r="BE206" s="430">
        <v>0</v>
      </c>
      <c r="BF206" s="431"/>
      <c r="BG206" s="51"/>
      <c r="BH206" s="144"/>
      <c r="BI206" s="354"/>
      <c r="BJ206" s="430">
        <v>0</v>
      </c>
      <c r="BK206" s="431"/>
      <c r="BL206" s="51"/>
      <c r="BM206" s="144"/>
      <c r="BN206" s="354"/>
      <c r="BO206" s="430">
        <v>0</v>
      </c>
      <c r="BP206" s="431"/>
      <c r="BQ206" s="51"/>
      <c r="BR206" s="144"/>
      <c r="BS206" s="354"/>
      <c r="BT206" s="430">
        <f>SUM(L206:BO206)</f>
        <v>0</v>
      </c>
      <c r="BU206" s="431"/>
      <c r="BV206" s="51"/>
      <c r="BW206" s="144"/>
      <c r="BX206" s="354"/>
      <c r="BY206" s="430">
        <v>0</v>
      </c>
      <c r="BZ206" s="431"/>
      <c r="CA206" s="51"/>
      <c r="CB206" s="144"/>
      <c r="CC206" s="354"/>
      <c r="CD206" s="430">
        <v>0</v>
      </c>
      <c r="CE206" s="431"/>
      <c r="CF206" s="51"/>
      <c r="CG206" s="144"/>
      <c r="CH206" s="354"/>
      <c r="CI206" s="430">
        <v>0</v>
      </c>
      <c r="CJ206" s="431"/>
      <c r="CK206" s="51"/>
      <c r="CL206" s="144"/>
      <c r="CM206" s="354"/>
      <c r="CN206" s="430">
        <v>0</v>
      </c>
      <c r="CO206" s="431"/>
      <c r="CP206" s="51"/>
      <c r="CQ206" s="144"/>
      <c r="CR206" s="354"/>
      <c r="CS206" s="430">
        <v>0</v>
      </c>
      <c r="CT206" s="431"/>
      <c r="CU206" s="51"/>
      <c r="CV206" s="144"/>
      <c r="CW206" s="354"/>
      <c r="CX206" s="430">
        <v>0</v>
      </c>
      <c r="CY206" s="431"/>
      <c r="CZ206" s="51"/>
      <c r="DA206" s="144"/>
      <c r="DB206" s="354"/>
      <c r="DC206" s="430">
        <v>0</v>
      </c>
      <c r="DD206" s="431"/>
      <c r="DE206" s="51"/>
      <c r="DF206" s="144"/>
      <c r="DG206" s="354"/>
      <c r="DH206" s="430">
        <v>0</v>
      </c>
      <c r="DI206" s="431"/>
      <c r="DJ206" s="51"/>
      <c r="DK206" s="144"/>
      <c r="DL206" s="354"/>
      <c r="DM206" s="430">
        <v>0</v>
      </c>
      <c r="DN206" s="431"/>
      <c r="DO206" s="51"/>
      <c r="DP206" s="144"/>
      <c r="DQ206" s="354"/>
      <c r="DR206" s="430">
        <v>0</v>
      </c>
      <c r="DS206" s="431"/>
      <c r="DT206" s="51"/>
      <c r="DU206" s="144"/>
      <c r="DV206" s="354"/>
      <c r="DW206" s="430">
        <v>0</v>
      </c>
      <c r="DX206" s="431"/>
      <c r="DY206" s="51"/>
      <c r="DZ206" s="144"/>
      <c r="EA206" s="354"/>
      <c r="EB206" s="430">
        <v>0</v>
      </c>
      <c r="EC206" s="431"/>
      <c r="ED206" s="51"/>
      <c r="EE206" s="144"/>
      <c r="EF206" s="354"/>
      <c r="EG206" s="430">
        <v>0</v>
      </c>
      <c r="EH206" s="431"/>
      <c r="EI206" s="51"/>
      <c r="EJ206" s="144"/>
      <c r="EK206" s="354"/>
      <c r="EL206" s="430">
        <f>SUM(CD206:EG206)</f>
        <v>0</v>
      </c>
      <c r="EM206" s="431"/>
      <c r="EN206" s="51"/>
      <c r="EO206" s="340"/>
      <c r="ER206" s="39"/>
      <c r="ES206" s="39"/>
    </row>
    <row r="207" spans="1:149" ht="12.75" hidden="1" customHeight="1" x14ac:dyDescent="0.2">
      <c r="A207" s="317"/>
      <c r="B207" s="317"/>
      <c r="D207" s="340" t="s">
        <v>186</v>
      </c>
      <c r="E207" s="453"/>
      <c r="F207" s="347"/>
      <c r="G207" s="51">
        <v>0</v>
      </c>
      <c r="H207" s="50"/>
      <c r="I207" s="51"/>
      <c r="J207" s="144"/>
      <c r="K207" s="347"/>
      <c r="L207" s="51">
        <v>0</v>
      </c>
      <c r="M207" s="50"/>
      <c r="N207" s="51"/>
      <c r="O207" s="144"/>
      <c r="P207" s="347"/>
      <c r="Q207" s="51">
        <v>0</v>
      </c>
      <c r="R207" s="50"/>
      <c r="S207" s="51"/>
      <c r="T207" s="144"/>
      <c r="U207" s="347"/>
      <c r="V207" s="51">
        <v>0</v>
      </c>
      <c r="W207" s="50"/>
      <c r="X207" s="51"/>
      <c r="Y207" s="144"/>
      <c r="Z207" s="347"/>
      <c r="AA207" s="51">
        <v>0</v>
      </c>
      <c r="AB207" s="50"/>
      <c r="AC207" s="51"/>
      <c r="AD207" s="144"/>
      <c r="AE207" s="347"/>
      <c r="AF207" s="51">
        <v>0</v>
      </c>
      <c r="AG207" s="50"/>
      <c r="AH207" s="51"/>
      <c r="AI207" s="144"/>
      <c r="AJ207" s="347"/>
      <c r="AK207" s="51">
        <v>0</v>
      </c>
      <c r="AL207" s="50"/>
      <c r="AM207" s="51"/>
      <c r="AN207" s="144"/>
      <c r="AO207" s="347"/>
      <c r="AP207" s="51">
        <v>0</v>
      </c>
      <c r="AQ207" s="50"/>
      <c r="AR207" s="51"/>
      <c r="AS207" s="144"/>
      <c r="AT207" s="347"/>
      <c r="AU207" s="51">
        <v>0</v>
      </c>
      <c r="AV207" s="50"/>
      <c r="AW207" s="51"/>
      <c r="AX207" s="144"/>
      <c r="AY207" s="347"/>
      <c r="AZ207" s="51">
        <v>0</v>
      </c>
      <c r="BA207" s="50"/>
      <c r="BB207" s="51"/>
      <c r="BC207" s="144"/>
      <c r="BD207" s="347"/>
      <c r="BE207" s="51">
        <v>0</v>
      </c>
      <c r="BF207" s="50"/>
      <c r="BG207" s="51"/>
      <c r="BH207" s="144"/>
      <c r="BI207" s="347"/>
      <c r="BJ207" s="51">
        <v>0</v>
      </c>
      <c r="BK207" s="50"/>
      <c r="BL207" s="51"/>
      <c r="BM207" s="144"/>
      <c r="BN207" s="347"/>
      <c r="BO207" s="51">
        <v>0</v>
      </c>
      <c r="BP207" s="50"/>
      <c r="BQ207" s="51"/>
      <c r="BR207" s="144"/>
      <c r="BS207" s="347"/>
      <c r="BT207" s="51">
        <f>SUM(L207:BO207)</f>
        <v>0</v>
      </c>
      <c r="BU207" s="50"/>
      <c r="BV207" s="51"/>
      <c r="BW207" s="144"/>
      <c r="BX207" s="347"/>
      <c r="BY207" s="51">
        <v>0</v>
      </c>
      <c r="BZ207" s="50"/>
      <c r="CA207" s="51"/>
      <c r="CB207" s="144"/>
      <c r="CC207" s="347"/>
      <c r="CD207" s="51">
        <v>0</v>
      </c>
      <c r="CE207" s="50"/>
      <c r="CF207" s="51"/>
      <c r="CG207" s="144"/>
      <c r="CH207" s="347"/>
      <c r="CI207" s="51">
        <v>0</v>
      </c>
      <c r="CJ207" s="50"/>
      <c r="CK207" s="51"/>
      <c r="CL207" s="144"/>
      <c r="CM207" s="347"/>
      <c r="CN207" s="51">
        <v>0</v>
      </c>
      <c r="CO207" s="50"/>
      <c r="CP207" s="51"/>
      <c r="CQ207" s="144"/>
      <c r="CR207" s="347"/>
      <c r="CS207" s="51">
        <v>0</v>
      </c>
      <c r="CT207" s="50"/>
      <c r="CU207" s="51"/>
      <c r="CV207" s="144"/>
      <c r="CW207" s="347"/>
      <c r="CX207" s="51">
        <v>0</v>
      </c>
      <c r="CY207" s="50"/>
      <c r="CZ207" s="51"/>
      <c r="DA207" s="144"/>
      <c r="DB207" s="347"/>
      <c r="DC207" s="51">
        <v>0</v>
      </c>
      <c r="DD207" s="50"/>
      <c r="DE207" s="51"/>
      <c r="DF207" s="144"/>
      <c r="DG207" s="347"/>
      <c r="DH207" s="51">
        <v>0</v>
      </c>
      <c r="DI207" s="50"/>
      <c r="DJ207" s="51"/>
      <c r="DK207" s="144"/>
      <c r="DL207" s="347"/>
      <c r="DM207" s="51">
        <v>0</v>
      </c>
      <c r="DN207" s="50"/>
      <c r="DO207" s="51"/>
      <c r="DP207" s="144"/>
      <c r="DQ207" s="347"/>
      <c r="DR207" s="51">
        <v>0</v>
      </c>
      <c r="DS207" s="50"/>
      <c r="DT207" s="51"/>
      <c r="DU207" s="144"/>
      <c r="DV207" s="347"/>
      <c r="DW207" s="51">
        <v>0</v>
      </c>
      <c r="DX207" s="50"/>
      <c r="DY207" s="51"/>
      <c r="DZ207" s="144"/>
      <c r="EA207" s="347"/>
      <c r="EB207" s="51">
        <v>0</v>
      </c>
      <c r="EC207" s="50"/>
      <c r="ED207" s="51"/>
      <c r="EE207" s="144"/>
      <c r="EF207" s="347"/>
      <c r="EG207" s="51">
        <v>0</v>
      </c>
      <c r="EH207" s="50"/>
      <c r="EI207" s="51"/>
      <c r="EJ207" s="144"/>
      <c r="EK207" s="347"/>
      <c r="EL207" s="51">
        <f>SUM(CD207:EG207)</f>
        <v>0</v>
      </c>
      <c r="EM207" s="50"/>
      <c r="EN207" s="51"/>
      <c r="EO207" s="340"/>
      <c r="ER207" s="39"/>
      <c r="ES207" s="39"/>
    </row>
    <row r="208" spans="1:149" ht="12.75" hidden="1" customHeight="1" x14ac:dyDescent="0.2">
      <c r="A208" s="317"/>
      <c r="B208" s="317"/>
      <c r="D208" s="340" t="s">
        <v>187</v>
      </c>
      <c r="E208" s="453"/>
      <c r="F208" s="347"/>
      <c r="G208" s="51"/>
      <c r="H208" s="50"/>
      <c r="I208" s="51"/>
      <c r="J208" s="144"/>
      <c r="K208" s="347"/>
      <c r="L208" s="51"/>
      <c r="M208" s="50"/>
      <c r="N208" s="51"/>
      <c r="O208" s="144"/>
      <c r="P208" s="347"/>
      <c r="Q208" s="51"/>
      <c r="R208" s="50"/>
      <c r="S208" s="51"/>
      <c r="T208" s="144"/>
      <c r="U208" s="347"/>
      <c r="V208" s="51"/>
      <c r="W208" s="50"/>
      <c r="X208" s="51"/>
      <c r="Y208" s="144"/>
      <c r="Z208" s="347"/>
      <c r="AA208" s="51"/>
      <c r="AB208" s="50"/>
      <c r="AC208" s="51"/>
      <c r="AD208" s="144"/>
      <c r="AE208" s="347"/>
      <c r="AF208" s="51"/>
      <c r="AG208" s="50"/>
      <c r="AH208" s="51"/>
      <c r="AI208" s="144"/>
      <c r="AJ208" s="347"/>
      <c r="AK208" s="51"/>
      <c r="AL208" s="50"/>
      <c r="AM208" s="51"/>
      <c r="AN208" s="144"/>
      <c r="AO208" s="347"/>
      <c r="AP208" s="51"/>
      <c r="AQ208" s="50"/>
      <c r="AR208" s="51"/>
      <c r="AS208" s="144"/>
      <c r="AT208" s="347"/>
      <c r="AU208" s="51"/>
      <c r="AV208" s="50"/>
      <c r="AW208" s="51"/>
      <c r="AX208" s="144"/>
      <c r="AY208" s="347"/>
      <c r="AZ208" s="51"/>
      <c r="BA208" s="50"/>
      <c r="BB208" s="51"/>
      <c r="BC208" s="144"/>
      <c r="BD208" s="347"/>
      <c r="BE208" s="51"/>
      <c r="BF208" s="50"/>
      <c r="BG208" s="51"/>
      <c r="BH208" s="144"/>
      <c r="BI208" s="347"/>
      <c r="BJ208" s="51"/>
      <c r="BK208" s="50"/>
      <c r="BL208" s="51"/>
      <c r="BM208" s="144"/>
      <c r="BN208" s="347"/>
      <c r="BO208" s="51"/>
      <c r="BP208" s="50"/>
      <c r="BQ208" s="51"/>
      <c r="BR208" s="144"/>
      <c r="BS208" s="347"/>
      <c r="BT208" s="51">
        <f>SUM(L208:BO208)</f>
        <v>0</v>
      </c>
      <c r="BU208" s="50"/>
      <c r="BV208" s="51"/>
      <c r="BW208" s="144"/>
      <c r="BX208" s="347"/>
      <c r="BY208" s="51"/>
      <c r="BZ208" s="50"/>
      <c r="CA208" s="51"/>
      <c r="CB208" s="144"/>
      <c r="CC208" s="347"/>
      <c r="CD208" s="51"/>
      <c r="CE208" s="50"/>
      <c r="CF208" s="51"/>
      <c r="CG208" s="144"/>
      <c r="CH208" s="347"/>
      <c r="CI208" s="51"/>
      <c r="CJ208" s="50"/>
      <c r="CK208" s="51"/>
      <c r="CL208" s="144"/>
      <c r="CM208" s="347"/>
      <c r="CN208" s="51"/>
      <c r="CO208" s="50"/>
      <c r="CP208" s="51"/>
      <c r="CQ208" s="144"/>
      <c r="CR208" s="347"/>
      <c r="CS208" s="51"/>
      <c r="CT208" s="50"/>
      <c r="CU208" s="51"/>
      <c r="CV208" s="144"/>
      <c r="CW208" s="347"/>
      <c r="CX208" s="51"/>
      <c r="CY208" s="50"/>
      <c r="CZ208" s="51"/>
      <c r="DA208" s="144"/>
      <c r="DB208" s="347"/>
      <c r="DC208" s="51"/>
      <c r="DD208" s="50"/>
      <c r="DE208" s="51"/>
      <c r="DF208" s="144"/>
      <c r="DG208" s="347"/>
      <c r="DH208" s="51"/>
      <c r="DI208" s="50"/>
      <c r="DJ208" s="51"/>
      <c r="DK208" s="144"/>
      <c r="DL208" s="347"/>
      <c r="DM208" s="51"/>
      <c r="DN208" s="50"/>
      <c r="DO208" s="51"/>
      <c r="DP208" s="144"/>
      <c r="DQ208" s="347"/>
      <c r="DR208" s="51"/>
      <c r="DS208" s="50"/>
      <c r="DT208" s="51"/>
      <c r="DU208" s="144"/>
      <c r="DV208" s="347"/>
      <c r="DW208" s="51"/>
      <c r="DX208" s="50"/>
      <c r="DY208" s="51"/>
      <c r="DZ208" s="144"/>
      <c r="EA208" s="347"/>
      <c r="EB208" s="51"/>
      <c r="EC208" s="50"/>
      <c r="ED208" s="51"/>
      <c r="EE208" s="144"/>
      <c r="EF208" s="347"/>
      <c r="EG208" s="51"/>
      <c r="EH208" s="50"/>
      <c r="EI208" s="51"/>
      <c r="EJ208" s="144"/>
      <c r="EK208" s="347"/>
      <c r="EL208" s="51">
        <f>SUM(CD208:EG208)</f>
        <v>0</v>
      </c>
      <c r="EM208" s="50"/>
      <c r="EN208" s="51"/>
      <c r="EO208" s="340"/>
      <c r="ER208" s="39"/>
      <c r="ES208" s="39"/>
    </row>
    <row r="209" spans="1:149" ht="12.75" hidden="1" customHeight="1" x14ac:dyDescent="0.2">
      <c r="A209" s="317"/>
      <c r="B209" s="317"/>
      <c r="D209" s="340" t="s">
        <v>188</v>
      </c>
      <c r="E209" s="453"/>
      <c r="F209" s="371"/>
      <c r="G209" s="95">
        <v>0</v>
      </c>
      <c r="H209" s="94"/>
      <c r="I209" s="51"/>
      <c r="J209" s="144"/>
      <c r="K209" s="371"/>
      <c r="L209" s="95">
        <v>0</v>
      </c>
      <c r="M209" s="94"/>
      <c r="N209" s="51"/>
      <c r="O209" s="144"/>
      <c r="P209" s="371"/>
      <c r="Q209" s="95">
        <v>0</v>
      </c>
      <c r="R209" s="94"/>
      <c r="S209" s="51"/>
      <c r="T209" s="144"/>
      <c r="U209" s="371"/>
      <c r="V209" s="95">
        <v>0</v>
      </c>
      <c r="W209" s="94"/>
      <c r="X209" s="51"/>
      <c r="Y209" s="144"/>
      <c r="Z209" s="371"/>
      <c r="AA209" s="95">
        <v>0</v>
      </c>
      <c r="AB209" s="94"/>
      <c r="AC209" s="51"/>
      <c r="AD209" s="144"/>
      <c r="AE209" s="371"/>
      <c r="AF209" s="95">
        <v>0</v>
      </c>
      <c r="AG209" s="94"/>
      <c r="AH209" s="51"/>
      <c r="AI209" s="144"/>
      <c r="AJ209" s="371"/>
      <c r="AK209" s="95">
        <v>0</v>
      </c>
      <c r="AL209" s="94"/>
      <c r="AM209" s="51"/>
      <c r="AN209" s="144"/>
      <c r="AO209" s="371"/>
      <c r="AP209" s="95">
        <v>0</v>
      </c>
      <c r="AQ209" s="94"/>
      <c r="AR209" s="51"/>
      <c r="AS209" s="144"/>
      <c r="AT209" s="371"/>
      <c r="AU209" s="95">
        <v>0</v>
      </c>
      <c r="AV209" s="94"/>
      <c r="AW209" s="51"/>
      <c r="AX209" s="144"/>
      <c r="AY209" s="371"/>
      <c r="AZ209" s="95">
        <v>0</v>
      </c>
      <c r="BA209" s="94"/>
      <c r="BB209" s="51"/>
      <c r="BC209" s="144"/>
      <c r="BD209" s="371"/>
      <c r="BE209" s="95">
        <v>0</v>
      </c>
      <c r="BF209" s="94"/>
      <c r="BG209" s="51"/>
      <c r="BH209" s="144"/>
      <c r="BI209" s="371"/>
      <c r="BJ209" s="95">
        <v>0</v>
      </c>
      <c r="BK209" s="94"/>
      <c r="BL209" s="51"/>
      <c r="BM209" s="144"/>
      <c r="BN209" s="371"/>
      <c r="BO209" s="95">
        <v>0</v>
      </c>
      <c r="BP209" s="94"/>
      <c r="BQ209" s="51"/>
      <c r="BR209" s="144"/>
      <c r="BS209" s="371"/>
      <c r="BT209" s="95">
        <f>SUM(L209:BO209)</f>
        <v>0</v>
      </c>
      <c r="BU209" s="94"/>
      <c r="BV209" s="51"/>
      <c r="BW209" s="144"/>
      <c r="BX209" s="371"/>
      <c r="BY209" s="95">
        <v>0</v>
      </c>
      <c r="BZ209" s="94"/>
      <c r="CA209" s="51"/>
      <c r="CB209" s="144"/>
      <c r="CC209" s="371"/>
      <c r="CD209" s="95">
        <v>0</v>
      </c>
      <c r="CE209" s="94"/>
      <c r="CF209" s="51"/>
      <c r="CG209" s="144"/>
      <c r="CH209" s="371"/>
      <c r="CI209" s="95">
        <v>0</v>
      </c>
      <c r="CJ209" s="94"/>
      <c r="CK209" s="51"/>
      <c r="CL209" s="144"/>
      <c r="CM209" s="371"/>
      <c r="CN209" s="95">
        <v>0</v>
      </c>
      <c r="CO209" s="94"/>
      <c r="CP209" s="51"/>
      <c r="CQ209" s="144"/>
      <c r="CR209" s="371"/>
      <c r="CS209" s="95">
        <v>0</v>
      </c>
      <c r="CT209" s="94"/>
      <c r="CU209" s="51"/>
      <c r="CV209" s="144"/>
      <c r="CW209" s="371"/>
      <c r="CX209" s="95">
        <v>0</v>
      </c>
      <c r="CY209" s="94"/>
      <c r="CZ209" s="51"/>
      <c r="DA209" s="144"/>
      <c r="DB209" s="371"/>
      <c r="DC209" s="95">
        <v>0</v>
      </c>
      <c r="DD209" s="94"/>
      <c r="DE209" s="51"/>
      <c r="DF209" s="144"/>
      <c r="DG209" s="371"/>
      <c r="DH209" s="95">
        <v>0</v>
      </c>
      <c r="DI209" s="94"/>
      <c r="DJ209" s="51"/>
      <c r="DK209" s="144"/>
      <c r="DL209" s="371"/>
      <c r="DM209" s="95">
        <v>0</v>
      </c>
      <c r="DN209" s="94"/>
      <c r="DO209" s="51"/>
      <c r="DP209" s="144"/>
      <c r="DQ209" s="371"/>
      <c r="DR209" s="95">
        <v>0</v>
      </c>
      <c r="DS209" s="94"/>
      <c r="DT209" s="51"/>
      <c r="DU209" s="144"/>
      <c r="DV209" s="371"/>
      <c r="DW209" s="95">
        <v>0</v>
      </c>
      <c r="DX209" s="94"/>
      <c r="DY209" s="51"/>
      <c r="DZ209" s="144"/>
      <c r="EA209" s="371"/>
      <c r="EB209" s="95">
        <v>0</v>
      </c>
      <c r="EC209" s="94"/>
      <c r="ED209" s="51"/>
      <c r="EE209" s="144"/>
      <c r="EF209" s="371"/>
      <c r="EG209" s="95">
        <v>0</v>
      </c>
      <c r="EH209" s="94"/>
      <c r="EI209" s="51"/>
      <c r="EJ209" s="144"/>
      <c r="EK209" s="371"/>
      <c r="EL209" s="95">
        <f>SUM(CD209:EG209)</f>
        <v>0</v>
      </c>
      <c r="EM209" s="94"/>
      <c r="EN209" s="51"/>
      <c r="EO209" s="340"/>
      <c r="ER209" s="39"/>
      <c r="ES209" s="39"/>
    </row>
    <row r="210" spans="1:149" ht="12.75" hidden="1" customHeight="1" x14ac:dyDescent="0.2">
      <c r="A210" s="317"/>
      <c r="B210" s="317"/>
      <c r="D210" s="340"/>
      <c r="E210" s="453"/>
      <c r="F210" s="317"/>
      <c r="G210" s="51"/>
      <c r="H210" s="51"/>
      <c r="I210" s="51"/>
      <c r="J210" s="144"/>
      <c r="K210" s="317"/>
      <c r="L210" s="51"/>
      <c r="M210" s="51"/>
      <c r="N210" s="51"/>
      <c r="O210" s="144"/>
      <c r="P210" s="317"/>
      <c r="Q210" s="51"/>
      <c r="R210" s="51"/>
      <c r="S210" s="51"/>
      <c r="T210" s="144"/>
      <c r="U210" s="317"/>
      <c r="V210" s="51"/>
      <c r="W210" s="51"/>
      <c r="X210" s="51"/>
      <c r="Y210" s="144"/>
      <c r="Z210" s="317"/>
      <c r="AA210" s="51"/>
      <c r="AB210" s="51"/>
      <c r="AC210" s="51"/>
      <c r="AD210" s="144"/>
      <c r="AE210" s="317"/>
      <c r="AF210" s="51"/>
      <c r="AG210" s="51"/>
      <c r="AH210" s="51"/>
      <c r="AI210" s="144"/>
      <c r="AJ210" s="317"/>
      <c r="AK210" s="51"/>
      <c r="AL210" s="51"/>
      <c r="AM210" s="51"/>
      <c r="AN210" s="144"/>
      <c r="AO210" s="317"/>
      <c r="AP210" s="51"/>
      <c r="AQ210" s="51"/>
      <c r="AR210" s="51"/>
      <c r="AS210" s="144"/>
      <c r="AT210" s="317"/>
      <c r="AU210" s="51"/>
      <c r="AV210" s="51"/>
      <c r="AW210" s="51"/>
      <c r="AX210" s="144"/>
      <c r="AY210" s="317"/>
      <c r="AZ210" s="51"/>
      <c r="BA210" s="51"/>
      <c r="BB210" s="51"/>
      <c r="BC210" s="144"/>
      <c r="BD210" s="317"/>
      <c r="BE210" s="51"/>
      <c r="BF210" s="51"/>
      <c r="BG210" s="51"/>
      <c r="BH210" s="144"/>
      <c r="BI210" s="317"/>
      <c r="BJ210" s="51"/>
      <c r="BK210" s="51"/>
      <c r="BL210" s="51"/>
      <c r="BM210" s="144"/>
      <c r="BN210" s="317"/>
      <c r="BO210" s="51"/>
      <c r="BP210" s="51"/>
      <c r="BQ210" s="51"/>
      <c r="BR210" s="144"/>
      <c r="BS210" s="317"/>
      <c r="BT210" s="51"/>
      <c r="BU210" s="51"/>
      <c r="BV210" s="51"/>
      <c r="BW210" s="144"/>
      <c r="BX210" s="317"/>
      <c r="BY210" s="51"/>
      <c r="BZ210" s="51"/>
      <c r="CA210" s="51"/>
      <c r="CB210" s="144"/>
      <c r="CC210" s="317"/>
      <c r="CD210" s="51"/>
      <c r="CE210" s="51"/>
      <c r="CF210" s="51"/>
      <c r="CG210" s="144"/>
      <c r="CH210" s="317"/>
      <c r="CI210" s="51"/>
      <c r="CJ210" s="51"/>
      <c r="CK210" s="51"/>
      <c r="CL210" s="144"/>
      <c r="CM210" s="317"/>
      <c r="CN210" s="51"/>
      <c r="CO210" s="51"/>
      <c r="CP210" s="51"/>
      <c r="CQ210" s="144"/>
      <c r="CR210" s="317"/>
      <c r="CS210" s="51"/>
      <c r="CT210" s="51"/>
      <c r="CU210" s="51"/>
      <c r="CV210" s="144"/>
      <c r="CW210" s="317"/>
      <c r="CX210" s="51"/>
      <c r="CY210" s="51"/>
      <c r="CZ210" s="51"/>
      <c r="DA210" s="144"/>
      <c r="DB210" s="317"/>
      <c r="DC210" s="51"/>
      <c r="DD210" s="51"/>
      <c r="DE210" s="51"/>
      <c r="DF210" s="144"/>
      <c r="DG210" s="317"/>
      <c r="DH210" s="51"/>
      <c r="DI210" s="51"/>
      <c r="DJ210" s="51"/>
      <c r="DK210" s="144"/>
      <c r="DL210" s="317"/>
      <c r="DM210" s="51"/>
      <c r="DN210" s="51"/>
      <c r="DO210" s="51"/>
      <c r="DP210" s="144"/>
      <c r="DQ210" s="317"/>
      <c r="DR210" s="51"/>
      <c r="DS210" s="51"/>
      <c r="DT210" s="51"/>
      <c r="DU210" s="144"/>
      <c r="DV210" s="317"/>
      <c r="DW210" s="51"/>
      <c r="DX210" s="51"/>
      <c r="DY210" s="51"/>
      <c r="DZ210" s="144"/>
      <c r="EA210" s="317"/>
      <c r="EB210" s="51"/>
      <c r="EC210" s="51"/>
      <c r="ED210" s="51"/>
      <c r="EE210" s="144"/>
      <c r="EF210" s="317"/>
      <c r="EG210" s="51"/>
      <c r="EH210" s="51"/>
      <c r="EI210" s="51"/>
      <c r="EJ210" s="144"/>
      <c r="EK210" s="317"/>
      <c r="EL210" s="51"/>
      <c r="EM210" s="51"/>
      <c r="EN210" s="51"/>
      <c r="EO210" s="340"/>
      <c r="ER210" s="39"/>
      <c r="ES210" s="39"/>
    </row>
    <row r="211" spans="1:149" ht="12.75" hidden="1" customHeight="1" x14ac:dyDescent="0.2">
      <c r="A211" s="317"/>
      <c r="B211" s="317"/>
      <c r="D211" s="340" t="s">
        <v>192</v>
      </c>
      <c r="F211" s="317"/>
      <c r="G211" s="51">
        <f>SUM(G212:G215)</f>
        <v>0</v>
      </c>
      <c r="H211" s="51"/>
      <c r="I211" s="51"/>
      <c r="J211" s="144"/>
      <c r="K211" s="51"/>
      <c r="L211" s="51">
        <f>SUM(L212:L215)</f>
        <v>0</v>
      </c>
      <c r="M211" s="51"/>
      <c r="N211" s="51"/>
      <c r="O211" s="144"/>
      <c r="P211" s="51"/>
      <c r="Q211" s="51">
        <f>SUM(Q212:Q215)</f>
        <v>0</v>
      </c>
      <c r="R211" s="51"/>
      <c r="S211" s="51"/>
      <c r="T211" s="144"/>
      <c r="U211" s="51"/>
      <c r="V211" s="51">
        <f>SUM(V212:V215)</f>
        <v>0</v>
      </c>
      <c r="W211" s="51"/>
      <c r="X211" s="51"/>
      <c r="Y211" s="144"/>
      <c r="Z211" s="51"/>
      <c r="AA211" s="51">
        <f>SUM(AA212:AA215)</f>
        <v>0</v>
      </c>
      <c r="AB211" s="51"/>
      <c r="AC211" s="51"/>
      <c r="AD211" s="144"/>
      <c r="AE211" s="51"/>
      <c r="AF211" s="51">
        <f>SUM(AF212:AF215)</f>
        <v>0</v>
      </c>
      <c r="AG211" s="51"/>
      <c r="AH211" s="51"/>
      <c r="AI211" s="144"/>
      <c r="AJ211" s="51"/>
      <c r="AK211" s="51">
        <f>SUM(AK212:AK215)</f>
        <v>0</v>
      </c>
      <c r="AL211" s="51"/>
      <c r="AM211" s="51"/>
      <c r="AN211" s="144"/>
      <c r="AO211" s="51"/>
      <c r="AP211" s="51">
        <f>SUM(AP212:AP215)</f>
        <v>0</v>
      </c>
      <c r="AQ211" s="51"/>
      <c r="AR211" s="51"/>
      <c r="AS211" s="144"/>
      <c r="AT211" s="51"/>
      <c r="AU211" s="51">
        <f>SUM(AU212:AU215)</f>
        <v>0</v>
      </c>
      <c r="AV211" s="51"/>
      <c r="AW211" s="51"/>
      <c r="AX211" s="144"/>
      <c r="AY211" s="51"/>
      <c r="AZ211" s="51">
        <f>SUM(AZ212:AZ215)</f>
        <v>0</v>
      </c>
      <c r="BA211" s="51"/>
      <c r="BB211" s="51"/>
      <c r="BC211" s="144"/>
      <c r="BD211" s="51"/>
      <c r="BE211" s="51">
        <f>SUM(BE212:BE215)</f>
        <v>0</v>
      </c>
      <c r="BF211" s="51"/>
      <c r="BG211" s="51"/>
      <c r="BH211" s="144"/>
      <c r="BI211" s="51"/>
      <c r="BJ211" s="51">
        <f>SUM(BJ212:BJ215)</f>
        <v>0</v>
      </c>
      <c r="BK211" s="51"/>
      <c r="BL211" s="51"/>
      <c r="BM211" s="144"/>
      <c r="BN211" s="51"/>
      <c r="BO211" s="51">
        <f>SUM(BO212:BO215)</f>
        <v>0</v>
      </c>
      <c r="BP211" s="51"/>
      <c r="BQ211" s="51"/>
      <c r="BR211" s="144"/>
      <c r="BS211" s="51"/>
      <c r="BT211" s="51">
        <f>SUM(BT212:BT215)</f>
        <v>0</v>
      </c>
      <c r="BU211" s="51"/>
      <c r="BV211" s="51"/>
      <c r="BW211" s="144"/>
      <c r="BX211" s="51"/>
      <c r="BY211" s="51">
        <f>SUM(BY212:BY215)</f>
        <v>0</v>
      </c>
      <c r="BZ211" s="51"/>
      <c r="CA211" s="51"/>
      <c r="CB211" s="144"/>
      <c r="CC211" s="51"/>
      <c r="CD211" s="51">
        <f>SUM(CD212:CD215)</f>
        <v>0</v>
      </c>
      <c r="CE211" s="51"/>
      <c r="CF211" s="51"/>
      <c r="CG211" s="144"/>
      <c r="CH211" s="51"/>
      <c r="CI211" s="51">
        <f>SUM(CI212:CI215)</f>
        <v>0</v>
      </c>
      <c r="CJ211" s="51"/>
      <c r="CK211" s="51"/>
      <c r="CL211" s="144"/>
      <c r="CM211" s="51"/>
      <c r="CN211" s="51">
        <f>SUM(CN212:CN215)</f>
        <v>0</v>
      </c>
      <c r="CO211" s="51"/>
      <c r="CP211" s="51"/>
      <c r="CQ211" s="144"/>
      <c r="CR211" s="51"/>
      <c r="CS211" s="51">
        <f>SUM(CS212:CS215)</f>
        <v>0</v>
      </c>
      <c r="CT211" s="51"/>
      <c r="CU211" s="51"/>
      <c r="CV211" s="144"/>
      <c r="CW211" s="51"/>
      <c r="CX211" s="51">
        <f>SUM(CX212:CX215)</f>
        <v>0</v>
      </c>
      <c r="CY211" s="51"/>
      <c r="CZ211" s="51"/>
      <c r="DA211" s="144"/>
      <c r="DB211" s="51"/>
      <c r="DC211" s="51">
        <f>SUM(DC212:DC215)</f>
        <v>0</v>
      </c>
      <c r="DD211" s="51"/>
      <c r="DE211" s="51"/>
      <c r="DF211" s="144"/>
      <c r="DG211" s="51"/>
      <c r="DH211" s="51">
        <f>SUM(DH212:DH215)</f>
        <v>0</v>
      </c>
      <c r="DI211" s="51"/>
      <c r="DJ211" s="51"/>
      <c r="DK211" s="144"/>
      <c r="DL211" s="51"/>
      <c r="DM211" s="51">
        <f>SUM(DM212:DM215)</f>
        <v>0</v>
      </c>
      <c r="DN211" s="51"/>
      <c r="DO211" s="51"/>
      <c r="DP211" s="144"/>
      <c r="DQ211" s="51"/>
      <c r="DR211" s="51">
        <f>SUM(DR212:DR215)</f>
        <v>0</v>
      </c>
      <c r="DS211" s="51"/>
      <c r="DT211" s="51"/>
      <c r="DU211" s="144"/>
      <c r="DV211" s="51"/>
      <c r="DW211" s="51">
        <f>SUM(DW212:DW215)</f>
        <v>0</v>
      </c>
      <c r="DX211" s="51"/>
      <c r="DY211" s="51"/>
      <c r="DZ211" s="144"/>
      <c r="EA211" s="51"/>
      <c r="EB211" s="51">
        <f>SUM(EB212:EB215)</f>
        <v>0</v>
      </c>
      <c r="EC211" s="51"/>
      <c r="ED211" s="51"/>
      <c r="EE211" s="144"/>
      <c r="EF211" s="51"/>
      <c r="EG211" s="51">
        <f>SUM(EG212:EG215)</f>
        <v>0</v>
      </c>
      <c r="EH211" s="51"/>
      <c r="EI211" s="51"/>
      <c r="EJ211" s="144"/>
      <c r="EK211" s="51"/>
      <c r="EL211" s="51">
        <f>SUM(EL212:EL215)</f>
        <v>0</v>
      </c>
      <c r="EM211" s="51"/>
      <c r="EN211" s="51"/>
      <c r="EO211" s="340"/>
      <c r="ER211" s="39"/>
      <c r="ES211" s="39"/>
    </row>
    <row r="212" spans="1:149" ht="12.75" hidden="1" customHeight="1" x14ac:dyDescent="0.2">
      <c r="A212" s="317"/>
      <c r="B212" s="317"/>
      <c r="D212" s="340" t="s">
        <v>183</v>
      </c>
      <c r="F212" s="354"/>
      <c r="G212" s="430">
        <v>0</v>
      </c>
      <c r="H212" s="431"/>
      <c r="I212" s="51"/>
      <c r="J212" s="144"/>
      <c r="K212" s="432"/>
      <c r="L212" s="430">
        <v>0</v>
      </c>
      <c r="M212" s="431"/>
      <c r="N212" s="51"/>
      <c r="O212" s="144"/>
      <c r="P212" s="432"/>
      <c r="Q212" s="430">
        <v>0</v>
      </c>
      <c r="R212" s="431"/>
      <c r="S212" s="51"/>
      <c r="T212" s="144"/>
      <c r="U212" s="432"/>
      <c r="V212" s="430">
        <v>0</v>
      </c>
      <c r="W212" s="431"/>
      <c r="X212" s="51"/>
      <c r="Y212" s="144"/>
      <c r="Z212" s="432"/>
      <c r="AA212" s="430">
        <v>0</v>
      </c>
      <c r="AB212" s="431"/>
      <c r="AC212" s="51"/>
      <c r="AD212" s="144"/>
      <c r="AE212" s="432"/>
      <c r="AF212" s="430">
        <v>0</v>
      </c>
      <c r="AG212" s="431"/>
      <c r="AH212" s="51"/>
      <c r="AI212" s="144"/>
      <c r="AJ212" s="432"/>
      <c r="AK212" s="430">
        <v>0</v>
      </c>
      <c r="AL212" s="431"/>
      <c r="AM212" s="51"/>
      <c r="AN212" s="144"/>
      <c r="AO212" s="432"/>
      <c r="AP212" s="430">
        <v>0</v>
      </c>
      <c r="AQ212" s="431"/>
      <c r="AR212" s="51"/>
      <c r="AS212" s="144"/>
      <c r="AT212" s="432"/>
      <c r="AU212" s="430">
        <v>0</v>
      </c>
      <c r="AV212" s="431"/>
      <c r="AW212" s="51"/>
      <c r="AX212" s="144"/>
      <c r="AY212" s="432"/>
      <c r="AZ212" s="430">
        <v>0</v>
      </c>
      <c r="BA212" s="431"/>
      <c r="BB212" s="51"/>
      <c r="BC212" s="144"/>
      <c r="BD212" s="432"/>
      <c r="BE212" s="430">
        <v>0</v>
      </c>
      <c r="BF212" s="431"/>
      <c r="BG212" s="51"/>
      <c r="BH212" s="144"/>
      <c r="BI212" s="432"/>
      <c r="BJ212" s="430">
        <v>0</v>
      </c>
      <c r="BK212" s="431"/>
      <c r="BL212" s="51"/>
      <c r="BM212" s="144"/>
      <c r="BN212" s="432"/>
      <c r="BO212" s="430">
        <v>0</v>
      </c>
      <c r="BP212" s="431"/>
      <c r="BQ212" s="51"/>
      <c r="BR212" s="144"/>
      <c r="BS212" s="432"/>
      <c r="BT212" s="430">
        <f>SUM(L212:BO212)</f>
        <v>0</v>
      </c>
      <c r="BU212" s="431"/>
      <c r="BV212" s="51"/>
      <c r="BW212" s="144"/>
      <c r="BX212" s="432"/>
      <c r="BY212" s="430">
        <v>0</v>
      </c>
      <c r="BZ212" s="431"/>
      <c r="CA212" s="51"/>
      <c r="CB212" s="144"/>
      <c r="CC212" s="432"/>
      <c r="CD212" s="430">
        <v>0</v>
      </c>
      <c r="CE212" s="431"/>
      <c r="CF212" s="51"/>
      <c r="CG212" s="144"/>
      <c r="CH212" s="432"/>
      <c r="CI212" s="430">
        <v>0</v>
      </c>
      <c r="CJ212" s="431"/>
      <c r="CK212" s="51"/>
      <c r="CL212" s="144"/>
      <c r="CM212" s="432"/>
      <c r="CN212" s="430">
        <v>0</v>
      </c>
      <c r="CO212" s="431"/>
      <c r="CP212" s="51"/>
      <c r="CQ212" s="144"/>
      <c r="CR212" s="432"/>
      <c r="CS212" s="430">
        <v>0</v>
      </c>
      <c r="CT212" s="431"/>
      <c r="CU212" s="51"/>
      <c r="CV212" s="144"/>
      <c r="CW212" s="432"/>
      <c r="CX212" s="430">
        <v>0</v>
      </c>
      <c r="CY212" s="431"/>
      <c r="CZ212" s="51"/>
      <c r="DA212" s="144"/>
      <c r="DB212" s="432"/>
      <c r="DC212" s="430">
        <v>0</v>
      </c>
      <c r="DD212" s="431"/>
      <c r="DE212" s="51"/>
      <c r="DF212" s="144"/>
      <c r="DG212" s="432"/>
      <c r="DH212" s="430">
        <v>0</v>
      </c>
      <c r="DI212" s="431"/>
      <c r="DJ212" s="51"/>
      <c r="DK212" s="144"/>
      <c r="DL212" s="432"/>
      <c r="DM212" s="430">
        <v>0</v>
      </c>
      <c r="DN212" s="431"/>
      <c r="DO212" s="51"/>
      <c r="DP212" s="144"/>
      <c r="DQ212" s="432"/>
      <c r="DR212" s="430">
        <v>0</v>
      </c>
      <c r="DS212" s="431"/>
      <c r="DT212" s="51"/>
      <c r="DU212" s="144"/>
      <c r="DV212" s="432"/>
      <c r="DW212" s="430">
        <v>0</v>
      </c>
      <c r="DX212" s="431"/>
      <c r="DY212" s="51"/>
      <c r="DZ212" s="144"/>
      <c r="EA212" s="432"/>
      <c r="EB212" s="430">
        <v>0</v>
      </c>
      <c r="EC212" s="431"/>
      <c r="ED212" s="51"/>
      <c r="EE212" s="144"/>
      <c r="EF212" s="432"/>
      <c r="EG212" s="430">
        <v>0</v>
      </c>
      <c r="EH212" s="431"/>
      <c r="EI212" s="51"/>
      <c r="EJ212" s="144"/>
      <c r="EK212" s="432"/>
      <c r="EL212" s="430">
        <f>SUM(CD212:EG212)</f>
        <v>0</v>
      </c>
      <c r="EM212" s="431"/>
      <c r="EN212" s="51"/>
      <c r="EO212" s="340"/>
      <c r="ER212" s="39"/>
      <c r="ES212" s="39"/>
    </row>
    <row r="213" spans="1:149" ht="12.75" hidden="1" customHeight="1" x14ac:dyDescent="0.2">
      <c r="A213" s="317"/>
      <c r="B213" s="317"/>
      <c r="D213" s="340" t="s">
        <v>186</v>
      </c>
      <c r="F213" s="347"/>
      <c r="G213" s="51">
        <v>0</v>
      </c>
      <c r="H213" s="50"/>
      <c r="I213" s="51"/>
      <c r="J213" s="144"/>
      <c r="K213" s="144"/>
      <c r="L213" s="51">
        <v>0</v>
      </c>
      <c r="M213" s="50"/>
      <c r="N213" s="51"/>
      <c r="O213" s="144"/>
      <c r="P213" s="144"/>
      <c r="Q213" s="51">
        <v>0</v>
      </c>
      <c r="R213" s="50"/>
      <c r="S213" s="51"/>
      <c r="T213" s="144"/>
      <c r="U213" s="144"/>
      <c r="V213" s="51">
        <v>0</v>
      </c>
      <c r="W213" s="50"/>
      <c r="X213" s="51"/>
      <c r="Y213" s="144"/>
      <c r="Z213" s="144"/>
      <c r="AA213" s="51">
        <v>0</v>
      </c>
      <c r="AB213" s="50"/>
      <c r="AC213" s="51"/>
      <c r="AD213" s="144"/>
      <c r="AE213" s="144"/>
      <c r="AF213" s="51">
        <v>0</v>
      </c>
      <c r="AG213" s="50"/>
      <c r="AH213" s="51"/>
      <c r="AI213" s="144"/>
      <c r="AJ213" s="144"/>
      <c r="AK213" s="51">
        <v>0</v>
      </c>
      <c r="AL213" s="50"/>
      <c r="AM213" s="51"/>
      <c r="AN213" s="144"/>
      <c r="AO213" s="144"/>
      <c r="AP213" s="51">
        <v>0</v>
      </c>
      <c r="AQ213" s="50"/>
      <c r="AR213" s="51"/>
      <c r="AS213" s="144"/>
      <c r="AT213" s="144"/>
      <c r="AU213" s="51">
        <v>0</v>
      </c>
      <c r="AV213" s="50"/>
      <c r="AW213" s="51"/>
      <c r="AX213" s="144"/>
      <c r="AY213" s="144"/>
      <c r="AZ213" s="51">
        <v>0</v>
      </c>
      <c r="BA213" s="50"/>
      <c r="BB213" s="51"/>
      <c r="BC213" s="144"/>
      <c r="BD213" s="144"/>
      <c r="BE213" s="51">
        <v>0</v>
      </c>
      <c r="BF213" s="50"/>
      <c r="BG213" s="51"/>
      <c r="BH213" s="144"/>
      <c r="BI213" s="144"/>
      <c r="BJ213" s="51">
        <v>0</v>
      </c>
      <c r="BK213" s="50"/>
      <c r="BL213" s="51"/>
      <c r="BM213" s="144"/>
      <c r="BN213" s="144"/>
      <c r="BO213" s="51">
        <v>0</v>
      </c>
      <c r="BP213" s="50"/>
      <c r="BQ213" s="51"/>
      <c r="BR213" s="144"/>
      <c r="BS213" s="144"/>
      <c r="BT213" s="51">
        <f>SUM(L213:BO213)</f>
        <v>0</v>
      </c>
      <c r="BU213" s="50"/>
      <c r="BV213" s="51"/>
      <c r="BW213" s="144"/>
      <c r="BX213" s="144"/>
      <c r="BY213" s="51">
        <v>0</v>
      </c>
      <c r="BZ213" s="50"/>
      <c r="CA213" s="51"/>
      <c r="CB213" s="144"/>
      <c r="CC213" s="144"/>
      <c r="CD213" s="51">
        <v>0</v>
      </c>
      <c r="CE213" s="50"/>
      <c r="CF213" s="51"/>
      <c r="CG213" s="144"/>
      <c r="CH213" s="144"/>
      <c r="CI213" s="51">
        <v>0</v>
      </c>
      <c r="CJ213" s="50"/>
      <c r="CK213" s="51"/>
      <c r="CL213" s="144"/>
      <c r="CM213" s="144"/>
      <c r="CN213" s="51">
        <v>0</v>
      </c>
      <c r="CO213" s="50"/>
      <c r="CP213" s="51"/>
      <c r="CQ213" s="144"/>
      <c r="CR213" s="144"/>
      <c r="CS213" s="51">
        <v>0</v>
      </c>
      <c r="CT213" s="50"/>
      <c r="CU213" s="51"/>
      <c r="CV213" s="144"/>
      <c r="CW213" s="144"/>
      <c r="CX213" s="51">
        <v>0</v>
      </c>
      <c r="CY213" s="50"/>
      <c r="CZ213" s="51"/>
      <c r="DA213" s="144"/>
      <c r="DB213" s="144"/>
      <c r="DC213" s="51">
        <v>0</v>
      </c>
      <c r="DD213" s="50"/>
      <c r="DE213" s="51"/>
      <c r="DF213" s="144"/>
      <c r="DG213" s="144"/>
      <c r="DH213" s="51">
        <v>0</v>
      </c>
      <c r="DI213" s="50"/>
      <c r="DJ213" s="51"/>
      <c r="DK213" s="144"/>
      <c r="DL213" s="144"/>
      <c r="DM213" s="51">
        <v>0</v>
      </c>
      <c r="DN213" s="50"/>
      <c r="DO213" s="51"/>
      <c r="DP213" s="144"/>
      <c r="DQ213" s="144"/>
      <c r="DR213" s="51">
        <v>0</v>
      </c>
      <c r="DS213" s="50"/>
      <c r="DT213" s="51"/>
      <c r="DU213" s="144"/>
      <c r="DV213" s="144"/>
      <c r="DW213" s="51">
        <v>0</v>
      </c>
      <c r="DX213" s="50"/>
      <c r="DY213" s="51"/>
      <c r="DZ213" s="144"/>
      <c r="EA213" s="144"/>
      <c r="EB213" s="51">
        <v>0</v>
      </c>
      <c r="EC213" s="50"/>
      <c r="ED213" s="51"/>
      <c r="EE213" s="144"/>
      <c r="EF213" s="144"/>
      <c r="EG213" s="51">
        <v>0</v>
      </c>
      <c r="EH213" s="50"/>
      <c r="EI213" s="51"/>
      <c r="EJ213" s="144"/>
      <c r="EK213" s="144"/>
      <c r="EL213" s="51">
        <f>SUM(CD213:EG213)</f>
        <v>0</v>
      </c>
      <c r="EM213" s="50"/>
      <c r="EN213" s="51"/>
      <c r="EO213" s="340"/>
      <c r="ER213" s="39"/>
      <c r="ES213" s="39"/>
    </row>
    <row r="214" spans="1:149" ht="12.75" hidden="1" customHeight="1" x14ac:dyDescent="0.2">
      <c r="A214" s="317"/>
      <c r="B214" s="317"/>
      <c r="D214" s="340" t="s">
        <v>187</v>
      </c>
      <c r="F214" s="347"/>
      <c r="G214" s="51"/>
      <c r="H214" s="50"/>
      <c r="I214" s="51"/>
      <c r="J214" s="144"/>
      <c r="K214" s="144"/>
      <c r="L214" s="51"/>
      <c r="M214" s="50"/>
      <c r="N214" s="51"/>
      <c r="O214" s="144"/>
      <c r="P214" s="144"/>
      <c r="Q214" s="51"/>
      <c r="R214" s="50"/>
      <c r="S214" s="51"/>
      <c r="T214" s="144"/>
      <c r="U214" s="144"/>
      <c r="V214" s="51"/>
      <c r="W214" s="50"/>
      <c r="X214" s="51"/>
      <c r="Y214" s="144"/>
      <c r="Z214" s="144"/>
      <c r="AA214" s="51"/>
      <c r="AB214" s="50"/>
      <c r="AC214" s="51"/>
      <c r="AD214" s="144"/>
      <c r="AE214" s="144"/>
      <c r="AF214" s="51"/>
      <c r="AG214" s="50"/>
      <c r="AH214" s="51"/>
      <c r="AI214" s="144"/>
      <c r="AJ214" s="144"/>
      <c r="AK214" s="51"/>
      <c r="AL214" s="50"/>
      <c r="AM214" s="51"/>
      <c r="AN214" s="144"/>
      <c r="AO214" s="144"/>
      <c r="AP214" s="51"/>
      <c r="AQ214" s="50"/>
      <c r="AR214" s="51"/>
      <c r="AS214" s="144"/>
      <c r="AT214" s="144"/>
      <c r="AU214" s="51"/>
      <c r="AV214" s="50"/>
      <c r="AW214" s="51"/>
      <c r="AX214" s="144"/>
      <c r="AY214" s="144"/>
      <c r="AZ214" s="51"/>
      <c r="BA214" s="50"/>
      <c r="BB214" s="51"/>
      <c r="BC214" s="144"/>
      <c r="BD214" s="144"/>
      <c r="BE214" s="51"/>
      <c r="BF214" s="50"/>
      <c r="BG214" s="51"/>
      <c r="BH214" s="144"/>
      <c r="BI214" s="144"/>
      <c r="BJ214" s="51"/>
      <c r="BK214" s="50"/>
      <c r="BL214" s="51"/>
      <c r="BM214" s="144"/>
      <c r="BN214" s="144"/>
      <c r="BO214" s="51"/>
      <c r="BP214" s="50"/>
      <c r="BQ214" s="51"/>
      <c r="BR214" s="144"/>
      <c r="BS214" s="144"/>
      <c r="BT214" s="51">
        <f>SUM(L214:BO214)</f>
        <v>0</v>
      </c>
      <c r="BU214" s="50"/>
      <c r="BV214" s="51"/>
      <c r="BW214" s="144"/>
      <c r="BX214" s="144"/>
      <c r="BY214" s="51"/>
      <c r="BZ214" s="50"/>
      <c r="CA214" s="51"/>
      <c r="CB214" s="144"/>
      <c r="CC214" s="144"/>
      <c r="CD214" s="51"/>
      <c r="CE214" s="50"/>
      <c r="CF214" s="51"/>
      <c r="CG214" s="144"/>
      <c r="CH214" s="144"/>
      <c r="CI214" s="51"/>
      <c r="CJ214" s="50"/>
      <c r="CK214" s="51"/>
      <c r="CL214" s="144"/>
      <c r="CM214" s="144"/>
      <c r="CN214" s="51"/>
      <c r="CO214" s="50"/>
      <c r="CP214" s="51"/>
      <c r="CQ214" s="144"/>
      <c r="CR214" s="144"/>
      <c r="CS214" s="51"/>
      <c r="CT214" s="50"/>
      <c r="CU214" s="51"/>
      <c r="CV214" s="144"/>
      <c r="CW214" s="144"/>
      <c r="CX214" s="51"/>
      <c r="CY214" s="50"/>
      <c r="CZ214" s="51"/>
      <c r="DA214" s="144"/>
      <c r="DB214" s="144"/>
      <c r="DC214" s="51"/>
      <c r="DD214" s="50"/>
      <c r="DE214" s="51"/>
      <c r="DF214" s="144"/>
      <c r="DG214" s="144"/>
      <c r="DH214" s="51"/>
      <c r="DI214" s="50"/>
      <c r="DJ214" s="51"/>
      <c r="DK214" s="144"/>
      <c r="DL214" s="144"/>
      <c r="DM214" s="51"/>
      <c r="DN214" s="50"/>
      <c r="DO214" s="51"/>
      <c r="DP214" s="144"/>
      <c r="DQ214" s="144"/>
      <c r="DR214" s="51"/>
      <c r="DS214" s="50"/>
      <c r="DT214" s="51"/>
      <c r="DU214" s="144"/>
      <c r="DV214" s="144"/>
      <c r="DW214" s="51"/>
      <c r="DX214" s="50"/>
      <c r="DY214" s="51"/>
      <c r="DZ214" s="144"/>
      <c r="EA214" s="144"/>
      <c r="EB214" s="51"/>
      <c r="EC214" s="50"/>
      <c r="ED214" s="51"/>
      <c r="EE214" s="144"/>
      <c r="EF214" s="144"/>
      <c r="EG214" s="51"/>
      <c r="EH214" s="50"/>
      <c r="EI214" s="51"/>
      <c r="EJ214" s="144"/>
      <c r="EK214" s="144"/>
      <c r="EL214" s="51">
        <f>SUM(CD214:EG214)</f>
        <v>0</v>
      </c>
      <c r="EM214" s="50"/>
      <c r="EN214" s="51"/>
      <c r="EO214" s="340"/>
      <c r="ER214" s="39"/>
      <c r="ES214" s="39"/>
    </row>
    <row r="215" spans="1:149" ht="12.75" hidden="1" customHeight="1" x14ac:dyDescent="0.2">
      <c r="A215" s="317"/>
      <c r="B215" s="317"/>
      <c r="D215" s="340" t="s">
        <v>188</v>
      </c>
      <c r="F215" s="371"/>
      <c r="G215" s="95">
        <v>0</v>
      </c>
      <c r="H215" s="94"/>
      <c r="I215" s="51"/>
      <c r="J215" s="144"/>
      <c r="K215" s="187"/>
      <c r="L215" s="95">
        <v>0</v>
      </c>
      <c r="M215" s="94"/>
      <c r="N215" s="51"/>
      <c r="O215" s="144"/>
      <c r="P215" s="187"/>
      <c r="Q215" s="95">
        <v>0</v>
      </c>
      <c r="R215" s="94"/>
      <c r="S215" s="51"/>
      <c r="T215" s="144"/>
      <c r="U215" s="187"/>
      <c r="V215" s="95">
        <v>0</v>
      </c>
      <c r="W215" s="94"/>
      <c r="X215" s="51"/>
      <c r="Y215" s="144"/>
      <c r="Z215" s="187"/>
      <c r="AA215" s="95">
        <v>0</v>
      </c>
      <c r="AB215" s="94"/>
      <c r="AC215" s="51"/>
      <c r="AD215" s="144"/>
      <c r="AE215" s="187"/>
      <c r="AF215" s="95">
        <v>0</v>
      </c>
      <c r="AG215" s="94"/>
      <c r="AH215" s="51"/>
      <c r="AI215" s="144"/>
      <c r="AJ215" s="187"/>
      <c r="AK215" s="95">
        <v>0</v>
      </c>
      <c r="AL215" s="94"/>
      <c r="AM215" s="51"/>
      <c r="AN215" s="144"/>
      <c r="AO215" s="187"/>
      <c r="AP215" s="95">
        <v>0</v>
      </c>
      <c r="AQ215" s="94"/>
      <c r="AR215" s="51"/>
      <c r="AS215" s="144"/>
      <c r="AT215" s="187"/>
      <c r="AU215" s="95">
        <v>0</v>
      </c>
      <c r="AV215" s="94"/>
      <c r="AW215" s="51"/>
      <c r="AX215" s="144"/>
      <c r="AY215" s="187"/>
      <c r="AZ215" s="95">
        <v>0</v>
      </c>
      <c r="BA215" s="94"/>
      <c r="BB215" s="51"/>
      <c r="BC215" s="144"/>
      <c r="BD215" s="187"/>
      <c r="BE215" s="95">
        <v>0</v>
      </c>
      <c r="BF215" s="94"/>
      <c r="BG215" s="51"/>
      <c r="BH215" s="144"/>
      <c r="BI215" s="187"/>
      <c r="BJ215" s="95">
        <v>0</v>
      </c>
      <c r="BK215" s="94"/>
      <c r="BL215" s="51"/>
      <c r="BM215" s="144"/>
      <c r="BN215" s="187"/>
      <c r="BO215" s="95">
        <v>0</v>
      </c>
      <c r="BP215" s="94"/>
      <c r="BQ215" s="51"/>
      <c r="BR215" s="144"/>
      <c r="BS215" s="187"/>
      <c r="BT215" s="95">
        <f>SUM(L215:BO215)</f>
        <v>0</v>
      </c>
      <c r="BU215" s="94"/>
      <c r="BV215" s="51"/>
      <c r="BW215" s="144"/>
      <c r="BX215" s="187"/>
      <c r="BY215" s="95">
        <v>0</v>
      </c>
      <c r="BZ215" s="94"/>
      <c r="CA215" s="51"/>
      <c r="CB215" s="144"/>
      <c r="CC215" s="187"/>
      <c r="CD215" s="95">
        <v>0</v>
      </c>
      <c r="CE215" s="94"/>
      <c r="CF215" s="51"/>
      <c r="CG215" s="144"/>
      <c r="CH215" s="187"/>
      <c r="CI215" s="95">
        <v>0</v>
      </c>
      <c r="CJ215" s="94"/>
      <c r="CK215" s="51"/>
      <c r="CL215" s="144"/>
      <c r="CM215" s="187"/>
      <c r="CN215" s="95">
        <v>0</v>
      </c>
      <c r="CO215" s="94"/>
      <c r="CP215" s="51"/>
      <c r="CQ215" s="144"/>
      <c r="CR215" s="187"/>
      <c r="CS215" s="95">
        <v>0</v>
      </c>
      <c r="CT215" s="94"/>
      <c r="CU215" s="51"/>
      <c r="CV215" s="144"/>
      <c r="CW215" s="187"/>
      <c r="CX215" s="95">
        <v>0</v>
      </c>
      <c r="CY215" s="94"/>
      <c r="CZ215" s="51"/>
      <c r="DA215" s="144"/>
      <c r="DB215" s="187"/>
      <c r="DC215" s="95">
        <v>0</v>
      </c>
      <c r="DD215" s="94"/>
      <c r="DE215" s="51"/>
      <c r="DF215" s="144"/>
      <c r="DG215" s="187"/>
      <c r="DH215" s="95">
        <v>0</v>
      </c>
      <c r="DI215" s="94"/>
      <c r="DJ215" s="51"/>
      <c r="DK215" s="144"/>
      <c r="DL215" s="187"/>
      <c r="DM215" s="95">
        <v>0</v>
      </c>
      <c r="DN215" s="94"/>
      <c r="DO215" s="51"/>
      <c r="DP215" s="144"/>
      <c r="DQ215" s="187"/>
      <c r="DR215" s="95">
        <v>0</v>
      </c>
      <c r="DS215" s="94"/>
      <c r="DT215" s="51"/>
      <c r="DU215" s="144"/>
      <c r="DV215" s="187"/>
      <c r="DW215" s="95">
        <v>0</v>
      </c>
      <c r="DX215" s="94"/>
      <c r="DY215" s="51"/>
      <c r="DZ215" s="144"/>
      <c r="EA215" s="187"/>
      <c r="EB215" s="95">
        <v>0</v>
      </c>
      <c r="EC215" s="94"/>
      <c r="ED215" s="51"/>
      <c r="EE215" s="144"/>
      <c r="EF215" s="187"/>
      <c r="EG215" s="95">
        <v>0</v>
      </c>
      <c r="EH215" s="94"/>
      <c r="EI215" s="51"/>
      <c r="EJ215" s="144"/>
      <c r="EK215" s="187"/>
      <c r="EL215" s="95">
        <f>SUM(CD215:EG215)</f>
        <v>0</v>
      </c>
      <c r="EM215" s="94"/>
      <c r="EN215" s="51"/>
      <c r="EO215" s="340"/>
      <c r="ER215" s="39"/>
      <c r="ES215" s="39"/>
    </row>
    <row r="216" spans="1:149" ht="12.75" hidden="1" customHeight="1" x14ac:dyDescent="0.2">
      <c r="A216" s="317"/>
      <c r="B216" s="317"/>
      <c r="D216" s="340"/>
      <c r="E216" s="453"/>
      <c r="F216" s="317"/>
      <c r="G216" s="51"/>
      <c r="H216" s="51"/>
      <c r="I216" s="51"/>
      <c r="J216" s="144"/>
      <c r="K216" s="317"/>
      <c r="L216" s="51"/>
      <c r="M216" s="51"/>
      <c r="N216" s="51"/>
      <c r="O216" s="144"/>
      <c r="P216" s="317"/>
      <c r="Q216" s="51"/>
      <c r="R216" s="51"/>
      <c r="S216" s="51"/>
      <c r="T216" s="144"/>
      <c r="U216" s="317"/>
      <c r="V216" s="51"/>
      <c r="W216" s="51"/>
      <c r="X216" s="51"/>
      <c r="Y216" s="144"/>
      <c r="Z216" s="317"/>
      <c r="AA216" s="51"/>
      <c r="AB216" s="51"/>
      <c r="AC216" s="51"/>
      <c r="AD216" s="144"/>
      <c r="AE216" s="317"/>
      <c r="AF216" s="51"/>
      <c r="AG216" s="51"/>
      <c r="AH216" s="51"/>
      <c r="AI216" s="144"/>
      <c r="AJ216" s="317"/>
      <c r="AK216" s="51"/>
      <c r="AL216" s="51"/>
      <c r="AM216" s="51"/>
      <c r="AN216" s="144"/>
      <c r="AO216" s="317"/>
      <c r="AP216" s="51"/>
      <c r="AQ216" s="51"/>
      <c r="AR216" s="51"/>
      <c r="AS216" s="144"/>
      <c r="AT216" s="317"/>
      <c r="AU216" s="51"/>
      <c r="AV216" s="51"/>
      <c r="AW216" s="51"/>
      <c r="AX216" s="144"/>
      <c r="AY216" s="317"/>
      <c r="AZ216" s="51"/>
      <c r="BA216" s="51"/>
      <c r="BB216" s="51"/>
      <c r="BC216" s="144"/>
      <c r="BD216" s="317"/>
      <c r="BE216" s="51"/>
      <c r="BF216" s="51"/>
      <c r="BG216" s="51"/>
      <c r="BH216" s="144"/>
      <c r="BI216" s="317"/>
      <c r="BJ216" s="51"/>
      <c r="BK216" s="51"/>
      <c r="BL216" s="51"/>
      <c r="BM216" s="144"/>
      <c r="BN216" s="317"/>
      <c r="BO216" s="51"/>
      <c r="BP216" s="51"/>
      <c r="BQ216" s="51"/>
      <c r="BR216" s="144"/>
      <c r="BS216" s="317"/>
      <c r="BT216" s="51"/>
      <c r="BU216" s="51"/>
      <c r="BV216" s="51"/>
      <c r="BW216" s="144"/>
      <c r="BX216" s="317"/>
      <c r="BY216" s="51"/>
      <c r="BZ216" s="51"/>
      <c r="CA216" s="51"/>
      <c r="CB216" s="144"/>
      <c r="CC216" s="317"/>
      <c r="CD216" s="51"/>
      <c r="CE216" s="51"/>
      <c r="CF216" s="51"/>
      <c r="CG216" s="144"/>
      <c r="CH216" s="317"/>
      <c r="CI216" s="51"/>
      <c r="CJ216" s="51"/>
      <c r="CK216" s="51"/>
      <c r="CL216" s="144"/>
      <c r="CM216" s="317"/>
      <c r="CN216" s="51"/>
      <c r="CO216" s="51"/>
      <c r="CP216" s="51"/>
      <c r="CQ216" s="144"/>
      <c r="CR216" s="317"/>
      <c r="CS216" s="51"/>
      <c r="CT216" s="51"/>
      <c r="CU216" s="51"/>
      <c r="CV216" s="144"/>
      <c r="CW216" s="317"/>
      <c r="CX216" s="51"/>
      <c r="CY216" s="51"/>
      <c r="CZ216" s="51"/>
      <c r="DA216" s="144"/>
      <c r="DB216" s="317"/>
      <c r="DC216" s="51"/>
      <c r="DD216" s="51"/>
      <c r="DE216" s="51"/>
      <c r="DF216" s="144"/>
      <c r="DG216" s="317"/>
      <c r="DH216" s="51"/>
      <c r="DI216" s="51"/>
      <c r="DJ216" s="51"/>
      <c r="DK216" s="144"/>
      <c r="DL216" s="317"/>
      <c r="DM216" s="51"/>
      <c r="DN216" s="51"/>
      <c r="DO216" s="51"/>
      <c r="DP216" s="144"/>
      <c r="DQ216" s="317"/>
      <c r="DR216" s="51"/>
      <c r="DS216" s="51"/>
      <c r="DT216" s="51"/>
      <c r="DU216" s="144"/>
      <c r="DV216" s="317"/>
      <c r="DW216" s="51"/>
      <c r="DX216" s="51"/>
      <c r="DY216" s="51"/>
      <c r="DZ216" s="144"/>
      <c r="EA216" s="317"/>
      <c r="EB216" s="51"/>
      <c r="EC216" s="51"/>
      <c r="ED216" s="51"/>
      <c r="EE216" s="144"/>
      <c r="EF216" s="317"/>
      <c r="EG216" s="51"/>
      <c r="EH216" s="51"/>
      <c r="EI216" s="51"/>
      <c r="EJ216" s="144"/>
      <c r="EK216" s="317"/>
      <c r="EL216" s="51"/>
      <c r="EM216" s="51"/>
      <c r="EN216" s="51"/>
      <c r="EO216" s="340"/>
      <c r="ER216" s="39"/>
      <c r="ES216" s="39"/>
    </row>
    <row r="217" spans="1:149" ht="12.75" hidden="1" customHeight="1" x14ac:dyDescent="0.2">
      <c r="A217" s="317"/>
      <c r="B217" s="317"/>
      <c r="D217" s="340" t="s">
        <v>193</v>
      </c>
      <c r="F217" s="317"/>
      <c r="G217" s="51">
        <f>SUM(G218:G221)</f>
        <v>0</v>
      </c>
      <c r="H217" s="51"/>
      <c r="I217" s="51"/>
      <c r="J217" s="144"/>
      <c r="K217" s="51"/>
      <c r="L217" s="51">
        <f>SUM(L218:L221)</f>
        <v>0</v>
      </c>
      <c r="M217" s="51"/>
      <c r="N217" s="51"/>
      <c r="O217" s="144"/>
      <c r="P217" s="51"/>
      <c r="Q217" s="51">
        <f>SUM(Q218:Q221)</f>
        <v>0</v>
      </c>
      <c r="R217" s="51"/>
      <c r="S217" s="51"/>
      <c r="T217" s="144"/>
      <c r="U217" s="51"/>
      <c r="V217" s="51">
        <f>SUM(V218:V221)</f>
        <v>0</v>
      </c>
      <c r="W217" s="51"/>
      <c r="X217" s="51"/>
      <c r="Y217" s="144"/>
      <c r="Z217" s="51"/>
      <c r="AA217" s="51">
        <f>SUM(AA218:AA221)</f>
        <v>0</v>
      </c>
      <c r="AB217" s="51"/>
      <c r="AC217" s="51"/>
      <c r="AD217" s="144"/>
      <c r="AE217" s="51"/>
      <c r="AF217" s="51">
        <f>SUM(AF218:AF221)</f>
        <v>0</v>
      </c>
      <c r="AG217" s="51"/>
      <c r="AH217" s="51"/>
      <c r="AI217" s="144"/>
      <c r="AJ217" s="51"/>
      <c r="AK217" s="51">
        <f>SUM(AK218:AK221)</f>
        <v>0</v>
      </c>
      <c r="AL217" s="51"/>
      <c r="AM217" s="51"/>
      <c r="AN217" s="144"/>
      <c r="AO217" s="51"/>
      <c r="AP217" s="51">
        <f>SUM(AP218:AP221)</f>
        <v>0</v>
      </c>
      <c r="AQ217" s="51"/>
      <c r="AR217" s="51"/>
      <c r="AS217" s="144"/>
      <c r="AT217" s="51"/>
      <c r="AU217" s="51">
        <f>SUM(AU218:AU221)</f>
        <v>0</v>
      </c>
      <c r="AV217" s="51"/>
      <c r="AW217" s="51"/>
      <c r="AX217" s="144"/>
      <c r="AY217" s="51"/>
      <c r="AZ217" s="51">
        <f>SUM(AZ218:AZ221)</f>
        <v>0</v>
      </c>
      <c r="BA217" s="51"/>
      <c r="BB217" s="51"/>
      <c r="BC217" s="144"/>
      <c r="BD217" s="51"/>
      <c r="BE217" s="51">
        <f>SUM(BE218:BE221)</f>
        <v>0</v>
      </c>
      <c r="BF217" s="51"/>
      <c r="BG217" s="51"/>
      <c r="BH217" s="144"/>
      <c r="BI217" s="51"/>
      <c r="BJ217" s="51">
        <f>SUM(BJ218:BJ221)</f>
        <v>0</v>
      </c>
      <c r="BK217" s="51"/>
      <c r="BL217" s="51"/>
      <c r="BM217" s="144"/>
      <c r="BN217" s="51"/>
      <c r="BO217" s="51">
        <f>SUM(BO218:BO221)</f>
        <v>0</v>
      </c>
      <c r="BP217" s="51"/>
      <c r="BQ217" s="51"/>
      <c r="BR217" s="144"/>
      <c r="BS217" s="51"/>
      <c r="BT217" s="51">
        <f>SUM(BT218:BT221)</f>
        <v>0</v>
      </c>
      <c r="BU217" s="51"/>
      <c r="BV217" s="51"/>
      <c r="BW217" s="144"/>
      <c r="BX217" s="51"/>
      <c r="BY217" s="51">
        <f>SUM(BY218:BY221)</f>
        <v>0</v>
      </c>
      <c r="BZ217" s="51"/>
      <c r="CA217" s="51"/>
      <c r="CB217" s="144"/>
      <c r="CC217" s="51"/>
      <c r="CD217" s="51">
        <f>SUM(CD218:CD221)</f>
        <v>0</v>
      </c>
      <c r="CE217" s="51"/>
      <c r="CF217" s="51"/>
      <c r="CG217" s="144"/>
      <c r="CH217" s="51"/>
      <c r="CI217" s="51">
        <f>SUM(CI218:CI221)</f>
        <v>0</v>
      </c>
      <c r="CJ217" s="51"/>
      <c r="CK217" s="51"/>
      <c r="CL217" s="144"/>
      <c r="CM217" s="51"/>
      <c r="CN217" s="51">
        <f>SUM(CN218:CN221)</f>
        <v>0</v>
      </c>
      <c r="CO217" s="51"/>
      <c r="CP217" s="51"/>
      <c r="CQ217" s="144"/>
      <c r="CR217" s="51"/>
      <c r="CS217" s="51">
        <f>SUM(CS218:CS221)</f>
        <v>0</v>
      </c>
      <c r="CT217" s="51"/>
      <c r="CU217" s="51"/>
      <c r="CV217" s="144"/>
      <c r="CW217" s="51"/>
      <c r="CX217" s="51">
        <f>SUM(CX218:CX221)</f>
        <v>0</v>
      </c>
      <c r="CY217" s="51"/>
      <c r="CZ217" s="51"/>
      <c r="DA217" s="144"/>
      <c r="DB217" s="51"/>
      <c r="DC217" s="51">
        <f>SUM(DC218:DC221)</f>
        <v>0</v>
      </c>
      <c r="DD217" s="51"/>
      <c r="DE217" s="51"/>
      <c r="DF217" s="144"/>
      <c r="DG217" s="51"/>
      <c r="DH217" s="51">
        <f>SUM(DH218:DH221)</f>
        <v>0</v>
      </c>
      <c r="DI217" s="51"/>
      <c r="DJ217" s="51"/>
      <c r="DK217" s="144"/>
      <c r="DL217" s="51"/>
      <c r="DM217" s="51">
        <f>SUM(DM218:DM221)</f>
        <v>0</v>
      </c>
      <c r="DN217" s="51"/>
      <c r="DO217" s="51"/>
      <c r="DP217" s="144"/>
      <c r="DQ217" s="51"/>
      <c r="DR217" s="51">
        <f>SUM(DR218:DR221)</f>
        <v>0</v>
      </c>
      <c r="DS217" s="51"/>
      <c r="DT217" s="51"/>
      <c r="DU217" s="144"/>
      <c r="DV217" s="51"/>
      <c r="DW217" s="51">
        <f>SUM(DW218:DW221)</f>
        <v>0</v>
      </c>
      <c r="DX217" s="51"/>
      <c r="DY217" s="51"/>
      <c r="DZ217" s="144"/>
      <c r="EA217" s="51"/>
      <c r="EB217" s="51">
        <f>SUM(EB218:EB221)</f>
        <v>0</v>
      </c>
      <c r="EC217" s="51"/>
      <c r="ED217" s="51"/>
      <c r="EE217" s="144"/>
      <c r="EF217" s="51"/>
      <c r="EG217" s="51">
        <f>SUM(EG218:EG221)</f>
        <v>0</v>
      </c>
      <c r="EH217" s="51"/>
      <c r="EI217" s="51"/>
      <c r="EJ217" s="144"/>
      <c r="EK217" s="51"/>
      <c r="EL217" s="51">
        <f>SUM(EL218:EL221)</f>
        <v>0</v>
      </c>
      <c r="EM217" s="51"/>
      <c r="EN217" s="51"/>
      <c r="EO217" s="340"/>
      <c r="ER217" s="39"/>
      <c r="ES217" s="39"/>
    </row>
    <row r="218" spans="1:149" ht="12.75" hidden="1" customHeight="1" x14ac:dyDescent="0.2">
      <c r="A218" s="317"/>
      <c r="B218" s="317"/>
      <c r="D218" s="340" t="s">
        <v>183</v>
      </c>
      <c r="F218" s="354"/>
      <c r="G218" s="430">
        <v>0</v>
      </c>
      <c r="H218" s="431"/>
      <c r="I218" s="51"/>
      <c r="J218" s="144"/>
      <c r="K218" s="432"/>
      <c r="L218" s="430">
        <v>0</v>
      </c>
      <c r="M218" s="431"/>
      <c r="N218" s="51"/>
      <c r="O218" s="144"/>
      <c r="P218" s="432"/>
      <c r="Q218" s="430">
        <v>0</v>
      </c>
      <c r="R218" s="431"/>
      <c r="S218" s="51"/>
      <c r="T218" s="144"/>
      <c r="U218" s="432"/>
      <c r="V218" s="430">
        <v>0</v>
      </c>
      <c r="W218" s="431"/>
      <c r="X218" s="51"/>
      <c r="Y218" s="144"/>
      <c r="Z218" s="432"/>
      <c r="AA218" s="430">
        <v>0</v>
      </c>
      <c r="AB218" s="431"/>
      <c r="AC218" s="51"/>
      <c r="AD218" s="144"/>
      <c r="AE218" s="432"/>
      <c r="AF218" s="430">
        <v>0</v>
      </c>
      <c r="AG218" s="431"/>
      <c r="AH218" s="51"/>
      <c r="AI218" s="144"/>
      <c r="AJ218" s="432"/>
      <c r="AK218" s="430">
        <v>0</v>
      </c>
      <c r="AL218" s="431"/>
      <c r="AM218" s="51"/>
      <c r="AN218" s="144"/>
      <c r="AO218" s="432"/>
      <c r="AP218" s="430">
        <v>0</v>
      </c>
      <c r="AQ218" s="431"/>
      <c r="AR218" s="51"/>
      <c r="AS218" s="144"/>
      <c r="AT218" s="432"/>
      <c r="AU218" s="430">
        <v>0</v>
      </c>
      <c r="AV218" s="431"/>
      <c r="AW218" s="51"/>
      <c r="AX218" s="144"/>
      <c r="AY218" s="432"/>
      <c r="AZ218" s="430">
        <v>0</v>
      </c>
      <c r="BA218" s="431"/>
      <c r="BB218" s="51"/>
      <c r="BC218" s="144"/>
      <c r="BD218" s="432"/>
      <c r="BE218" s="430">
        <v>0</v>
      </c>
      <c r="BF218" s="431"/>
      <c r="BG218" s="51"/>
      <c r="BH218" s="144"/>
      <c r="BI218" s="432"/>
      <c r="BJ218" s="430">
        <v>0</v>
      </c>
      <c r="BK218" s="431"/>
      <c r="BL218" s="51"/>
      <c r="BM218" s="144"/>
      <c r="BN218" s="432"/>
      <c r="BO218" s="430">
        <v>0</v>
      </c>
      <c r="BP218" s="431"/>
      <c r="BQ218" s="51"/>
      <c r="BR218" s="144"/>
      <c r="BS218" s="432"/>
      <c r="BT218" s="430">
        <f>SUM(L218:BO218)</f>
        <v>0</v>
      </c>
      <c r="BU218" s="431"/>
      <c r="BV218" s="51"/>
      <c r="BW218" s="144"/>
      <c r="BX218" s="432"/>
      <c r="BY218" s="430">
        <v>0</v>
      </c>
      <c r="BZ218" s="431"/>
      <c r="CA218" s="51"/>
      <c r="CB218" s="144"/>
      <c r="CC218" s="432"/>
      <c r="CD218" s="430">
        <v>0</v>
      </c>
      <c r="CE218" s="431"/>
      <c r="CF218" s="51"/>
      <c r="CG218" s="144"/>
      <c r="CH218" s="432"/>
      <c r="CI218" s="430">
        <v>0</v>
      </c>
      <c r="CJ218" s="431"/>
      <c r="CK218" s="51"/>
      <c r="CL218" s="144"/>
      <c r="CM218" s="432"/>
      <c r="CN218" s="430">
        <v>0</v>
      </c>
      <c r="CO218" s="431"/>
      <c r="CP218" s="51"/>
      <c r="CQ218" s="144"/>
      <c r="CR218" s="432"/>
      <c r="CS218" s="430">
        <v>0</v>
      </c>
      <c r="CT218" s="431"/>
      <c r="CU218" s="51"/>
      <c r="CV218" s="144"/>
      <c r="CW218" s="432"/>
      <c r="CX218" s="430">
        <v>0</v>
      </c>
      <c r="CY218" s="431"/>
      <c r="CZ218" s="51"/>
      <c r="DA218" s="144"/>
      <c r="DB218" s="432"/>
      <c r="DC218" s="430">
        <v>0</v>
      </c>
      <c r="DD218" s="431"/>
      <c r="DE218" s="51"/>
      <c r="DF218" s="144"/>
      <c r="DG218" s="432"/>
      <c r="DH218" s="430">
        <v>0</v>
      </c>
      <c r="DI218" s="431"/>
      <c r="DJ218" s="51"/>
      <c r="DK218" s="144"/>
      <c r="DL218" s="432"/>
      <c r="DM218" s="430">
        <v>0</v>
      </c>
      <c r="DN218" s="431"/>
      <c r="DO218" s="51"/>
      <c r="DP218" s="144"/>
      <c r="DQ218" s="432"/>
      <c r="DR218" s="430">
        <v>0</v>
      </c>
      <c r="DS218" s="431"/>
      <c r="DT218" s="51"/>
      <c r="DU218" s="144"/>
      <c r="DV218" s="432"/>
      <c r="DW218" s="430">
        <v>0</v>
      </c>
      <c r="DX218" s="431"/>
      <c r="DY218" s="51"/>
      <c r="DZ218" s="144"/>
      <c r="EA218" s="432"/>
      <c r="EB218" s="430">
        <v>0</v>
      </c>
      <c r="EC218" s="431"/>
      <c r="ED218" s="51"/>
      <c r="EE218" s="144"/>
      <c r="EF218" s="432"/>
      <c r="EG218" s="430">
        <v>0</v>
      </c>
      <c r="EH218" s="431"/>
      <c r="EI218" s="51"/>
      <c r="EJ218" s="144"/>
      <c r="EK218" s="432"/>
      <c r="EL218" s="430">
        <f>SUM(CD218:EG218)</f>
        <v>0</v>
      </c>
      <c r="EM218" s="431"/>
      <c r="EN218" s="51"/>
      <c r="EO218" s="340"/>
      <c r="ER218" s="39"/>
      <c r="ES218" s="39"/>
    </row>
    <row r="219" spans="1:149" ht="12.75" hidden="1" customHeight="1" x14ac:dyDescent="0.2">
      <c r="A219" s="317"/>
      <c r="B219" s="317"/>
      <c r="D219" s="340" t="s">
        <v>186</v>
      </c>
      <c r="F219" s="347"/>
      <c r="G219" s="51">
        <v>0</v>
      </c>
      <c r="H219" s="50"/>
      <c r="I219" s="51"/>
      <c r="J219" s="144"/>
      <c r="K219" s="144"/>
      <c r="L219" s="51">
        <v>0</v>
      </c>
      <c r="M219" s="50"/>
      <c r="N219" s="51"/>
      <c r="O219" s="144"/>
      <c r="P219" s="144"/>
      <c r="Q219" s="51">
        <v>0</v>
      </c>
      <c r="R219" s="50"/>
      <c r="S219" s="51"/>
      <c r="T219" s="144"/>
      <c r="U219" s="144"/>
      <c r="V219" s="51">
        <v>0</v>
      </c>
      <c r="W219" s="50"/>
      <c r="X219" s="51"/>
      <c r="Y219" s="144"/>
      <c r="Z219" s="144"/>
      <c r="AA219" s="51">
        <v>0</v>
      </c>
      <c r="AB219" s="50"/>
      <c r="AC219" s="51"/>
      <c r="AD219" s="144"/>
      <c r="AE219" s="144"/>
      <c r="AF219" s="51">
        <v>0</v>
      </c>
      <c r="AG219" s="50"/>
      <c r="AH219" s="51"/>
      <c r="AI219" s="144"/>
      <c r="AJ219" s="144"/>
      <c r="AK219" s="51">
        <v>0</v>
      </c>
      <c r="AL219" s="50"/>
      <c r="AM219" s="51"/>
      <c r="AN219" s="144"/>
      <c r="AO219" s="144"/>
      <c r="AP219" s="51">
        <v>0</v>
      </c>
      <c r="AQ219" s="50"/>
      <c r="AR219" s="51"/>
      <c r="AS219" s="144"/>
      <c r="AT219" s="144"/>
      <c r="AU219" s="51">
        <v>0</v>
      </c>
      <c r="AV219" s="50"/>
      <c r="AW219" s="51"/>
      <c r="AX219" s="144"/>
      <c r="AY219" s="144"/>
      <c r="AZ219" s="51">
        <v>0</v>
      </c>
      <c r="BA219" s="50"/>
      <c r="BB219" s="51"/>
      <c r="BC219" s="144"/>
      <c r="BD219" s="144"/>
      <c r="BE219" s="51">
        <v>0</v>
      </c>
      <c r="BF219" s="50"/>
      <c r="BG219" s="51"/>
      <c r="BH219" s="144"/>
      <c r="BI219" s="144"/>
      <c r="BJ219" s="51">
        <v>0</v>
      </c>
      <c r="BK219" s="50"/>
      <c r="BL219" s="51"/>
      <c r="BM219" s="144"/>
      <c r="BN219" s="144"/>
      <c r="BO219" s="51">
        <v>0</v>
      </c>
      <c r="BP219" s="50"/>
      <c r="BQ219" s="51"/>
      <c r="BR219" s="144"/>
      <c r="BS219" s="144"/>
      <c r="BT219" s="51">
        <f>SUM(L219:BO219)</f>
        <v>0</v>
      </c>
      <c r="BU219" s="50"/>
      <c r="BV219" s="51"/>
      <c r="BW219" s="144"/>
      <c r="BX219" s="144"/>
      <c r="BY219" s="51">
        <v>0</v>
      </c>
      <c r="BZ219" s="50"/>
      <c r="CA219" s="51"/>
      <c r="CB219" s="144"/>
      <c r="CC219" s="144"/>
      <c r="CD219" s="51">
        <v>0</v>
      </c>
      <c r="CE219" s="50"/>
      <c r="CF219" s="51"/>
      <c r="CG219" s="144"/>
      <c r="CH219" s="144"/>
      <c r="CI219" s="51">
        <v>0</v>
      </c>
      <c r="CJ219" s="50"/>
      <c r="CK219" s="51"/>
      <c r="CL219" s="144"/>
      <c r="CM219" s="144"/>
      <c r="CN219" s="51">
        <v>0</v>
      </c>
      <c r="CO219" s="50"/>
      <c r="CP219" s="51"/>
      <c r="CQ219" s="144"/>
      <c r="CR219" s="144"/>
      <c r="CS219" s="51">
        <v>0</v>
      </c>
      <c r="CT219" s="50"/>
      <c r="CU219" s="51"/>
      <c r="CV219" s="144"/>
      <c r="CW219" s="144"/>
      <c r="CX219" s="51">
        <v>0</v>
      </c>
      <c r="CY219" s="50"/>
      <c r="CZ219" s="51"/>
      <c r="DA219" s="144"/>
      <c r="DB219" s="144"/>
      <c r="DC219" s="51">
        <v>0</v>
      </c>
      <c r="DD219" s="50"/>
      <c r="DE219" s="51"/>
      <c r="DF219" s="144"/>
      <c r="DG219" s="144"/>
      <c r="DH219" s="51">
        <v>0</v>
      </c>
      <c r="DI219" s="50"/>
      <c r="DJ219" s="51"/>
      <c r="DK219" s="144"/>
      <c r="DL219" s="144"/>
      <c r="DM219" s="51">
        <v>0</v>
      </c>
      <c r="DN219" s="50"/>
      <c r="DO219" s="51"/>
      <c r="DP219" s="144"/>
      <c r="DQ219" s="144"/>
      <c r="DR219" s="51">
        <v>0</v>
      </c>
      <c r="DS219" s="50"/>
      <c r="DT219" s="51"/>
      <c r="DU219" s="144"/>
      <c r="DV219" s="144"/>
      <c r="DW219" s="51">
        <v>0</v>
      </c>
      <c r="DX219" s="50"/>
      <c r="DY219" s="51"/>
      <c r="DZ219" s="144"/>
      <c r="EA219" s="144"/>
      <c r="EB219" s="51">
        <v>0</v>
      </c>
      <c r="EC219" s="50"/>
      <c r="ED219" s="51"/>
      <c r="EE219" s="144"/>
      <c r="EF219" s="144"/>
      <c r="EG219" s="51">
        <v>0</v>
      </c>
      <c r="EH219" s="50"/>
      <c r="EI219" s="51"/>
      <c r="EJ219" s="144"/>
      <c r="EK219" s="144"/>
      <c r="EL219" s="51">
        <f>SUM(CD219:EG219)</f>
        <v>0</v>
      </c>
      <c r="EM219" s="50"/>
      <c r="EN219" s="51"/>
      <c r="EO219" s="340"/>
      <c r="ER219" s="39"/>
      <c r="ES219" s="39"/>
    </row>
    <row r="220" spans="1:149" ht="12.75" hidden="1" customHeight="1" x14ac:dyDescent="0.2">
      <c r="A220" s="317"/>
      <c r="B220" s="317"/>
      <c r="D220" s="340" t="s">
        <v>187</v>
      </c>
      <c r="F220" s="347"/>
      <c r="G220" s="51"/>
      <c r="H220" s="50"/>
      <c r="I220" s="51"/>
      <c r="J220" s="144"/>
      <c r="K220" s="144"/>
      <c r="L220" s="51"/>
      <c r="M220" s="50"/>
      <c r="N220" s="51"/>
      <c r="O220" s="144"/>
      <c r="P220" s="144"/>
      <c r="Q220" s="51"/>
      <c r="R220" s="50"/>
      <c r="S220" s="51"/>
      <c r="T220" s="144"/>
      <c r="U220" s="144"/>
      <c r="V220" s="51"/>
      <c r="W220" s="50"/>
      <c r="X220" s="51"/>
      <c r="Y220" s="144"/>
      <c r="Z220" s="144"/>
      <c r="AA220" s="51"/>
      <c r="AB220" s="50"/>
      <c r="AC220" s="51"/>
      <c r="AD220" s="144"/>
      <c r="AE220" s="144"/>
      <c r="AF220" s="51"/>
      <c r="AG220" s="50"/>
      <c r="AH220" s="51"/>
      <c r="AI220" s="144"/>
      <c r="AJ220" s="144"/>
      <c r="AK220" s="51"/>
      <c r="AL220" s="50"/>
      <c r="AM220" s="51"/>
      <c r="AN220" s="144"/>
      <c r="AO220" s="144"/>
      <c r="AP220" s="51"/>
      <c r="AQ220" s="50"/>
      <c r="AR220" s="51"/>
      <c r="AS220" s="144"/>
      <c r="AT220" s="144"/>
      <c r="AU220" s="51"/>
      <c r="AV220" s="50"/>
      <c r="AW220" s="51"/>
      <c r="AX220" s="144"/>
      <c r="AY220" s="144"/>
      <c r="AZ220" s="51"/>
      <c r="BA220" s="50"/>
      <c r="BB220" s="51"/>
      <c r="BC220" s="144"/>
      <c r="BD220" s="144"/>
      <c r="BE220" s="51"/>
      <c r="BF220" s="50"/>
      <c r="BG220" s="51"/>
      <c r="BH220" s="144"/>
      <c r="BI220" s="144"/>
      <c r="BJ220" s="51"/>
      <c r="BK220" s="50"/>
      <c r="BL220" s="51"/>
      <c r="BM220" s="144"/>
      <c r="BN220" s="144"/>
      <c r="BO220" s="51"/>
      <c r="BP220" s="50"/>
      <c r="BQ220" s="51"/>
      <c r="BR220" s="144"/>
      <c r="BS220" s="144"/>
      <c r="BT220" s="51">
        <f>SUM(L220:BO220)</f>
        <v>0</v>
      </c>
      <c r="BU220" s="50"/>
      <c r="BV220" s="51"/>
      <c r="BW220" s="144"/>
      <c r="BX220" s="144"/>
      <c r="BY220" s="51"/>
      <c r="BZ220" s="50"/>
      <c r="CA220" s="51"/>
      <c r="CB220" s="144"/>
      <c r="CC220" s="144"/>
      <c r="CD220" s="51"/>
      <c r="CE220" s="50"/>
      <c r="CF220" s="51"/>
      <c r="CG220" s="144"/>
      <c r="CH220" s="144"/>
      <c r="CI220" s="51"/>
      <c r="CJ220" s="50"/>
      <c r="CK220" s="51"/>
      <c r="CL220" s="144"/>
      <c r="CM220" s="144"/>
      <c r="CN220" s="51"/>
      <c r="CO220" s="50"/>
      <c r="CP220" s="51"/>
      <c r="CQ220" s="144"/>
      <c r="CR220" s="144"/>
      <c r="CS220" s="51"/>
      <c r="CT220" s="50"/>
      <c r="CU220" s="51"/>
      <c r="CV220" s="144"/>
      <c r="CW220" s="144"/>
      <c r="CX220" s="51"/>
      <c r="CY220" s="50"/>
      <c r="CZ220" s="51"/>
      <c r="DA220" s="144"/>
      <c r="DB220" s="144"/>
      <c r="DC220" s="51"/>
      <c r="DD220" s="50"/>
      <c r="DE220" s="51"/>
      <c r="DF220" s="144"/>
      <c r="DG220" s="144"/>
      <c r="DH220" s="51"/>
      <c r="DI220" s="50"/>
      <c r="DJ220" s="51"/>
      <c r="DK220" s="144"/>
      <c r="DL220" s="144"/>
      <c r="DM220" s="51"/>
      <c r="DN220" s="50"/>
      <c r="DO220" s="51"/>
      <c r="DP220" s="144"/>
      <c r="DQ220" s="144"/>
      <c r="DR220" s="51"/>
      <c r="DS220" s="50"/>
      <c r="DT220" s="51"/>
      <c r="DU220" s="144"/>
      <c r="DV220" s="144"/>
      <c r="DW220" s="51"/>
      <c r="DX220" s="50"/>
      <c r="DY220" s="51"/>
      <c r="DZ220" s="144"/>
      <c r="EA220" s="144"/>
      <c r="EB220" s="51"/>
      <c r="EC220" s="50"/>
      <c r="ED220" s="51"/>
      <c r="EE220" s="144"/>
      <c r="EF220" s="144"/>
      <c r="EG220" s="51"/>
      <c r="EH220" s="50"/>
      <c r="EI220" s="51"/>
      <c r="EJ220" s="144"/>
      <c r="EK220" s="144"/>
      <c r="EL220" s="51">
        <f>SUM(CD220:EG220)</f>
        <v>0</v>
      </c>
      <c r="EM220" s="50"/>
      <c r="EN220" s="51"/>
      <c r="EO220" s="340"/>
      <c r="ER220" s="39"/>
      <c r="ES220" s="39"/>
    </row>
    <row r="221" spans="1:149" ht="12.75" hidden="1" customHeight="1" x14ac:dyDescent="0.2">
      <c r="A221" s="317"/>
      <c r="B221" s="317"/>
      <c r="D221" s="340" t="s">
        <v>188</v>
      </c>
      <c r="F221" s="371"/>
      <c r="G221" s="95">
        <v>0</v>
      </c>
      <c r="H221" s="94"/>
      <c r="I221" s="51"/>
      <c r="J221" s="144"/>
      <c r="K221" s="187"/>
      <c r="L221" s="95">
        <v>0</v>
      </c>
      <c r="M221" s="94"/>
      <c r="N221" s="51"/>
      <c r="O221" s="144"/>
      <c r="P221" s="187"/>
      <c r="Q221" s="95">
        <v>0</v>
      </c>
      <c r="R221" s="94"/>
      <c r="S221" s="51"/>
      <c r="T221" s="144"/>
      <c r="U221" s="187"/>
      <c r="V221" s="95">
        <v>0</v>
      </c>
      <c r="W221" s="94"/>
      <c r="X221" s="51"/>
      <c r="Y221" s="144"/>
      <c r="Z221" s="187"/>
      <c r="AA221" s="95">
        <v>0</v>
      </c>
      <c r="AB221" s="94"/>
      <c r="AC221" s="51"/>
      <c r="AD221" s="144"/>
      <c r="AE221" s="187"/>
      <c r="AF221" s="95">
        <v>0</v>
      </c>
      <c r="AG221" s="94"/>
      <c r="AH221" s="51"/>
      <c r="AI221" s="144"/>
      <c r="AJ221" s="187"/>
      <c r="AK221" s="95">
        <v>0</v>
      </c>
      <c r="AL221" s="94"/>
      <c r="AM221" s="51"/>
      <c r="AN221" s="144"/>
      <c r="AO221" s="187"/>
      <c r="AP221" s="95">
        <v>0</v>
      </c>
      <c r="AQ221" s="94"/>
      <c r="AR221" s="51"/>
      <c r="AS221" s="144"/>
      <c r="AT221" s="187"/>
      <c r="AU221" s="95">
        <v>0</v>
      </c>
      <c r="AV221" s="94"/>
      <c r="AW221" s="51"/>
      <c r="AX221" s="144"/>
      <c r="AY221" s="187"/>
      <c r="AZ221" s="95">
        <v>0</v>
      </c>
      <c r="BA221" s="94"/>
      <c r="BB221" s="51"/>
      <c r="BC221" s="144"/>
      <c r="BD221" s="187"/>
      <c r="BE221" s="95">
        <v>0</v>
      </c>
      <c r="BF221" s="94"/>
      <c r="BG221" s="51"/>
      <c r="BH221" s="144"/>
      <c r="BI221" s="187"/>
      <c r="BJ221" s="95">
        <v>0</v>
      </c>
      <c r="BK221" s="94"/>
      <c r="BL221" s="51"/>
      <c r="BM221" s="144"/>
      <c r="BN221" s="187"/>
      <c r="BO221" s="95">
        <v>0</v>
      </c>
      <c r="BP221" s="94"/>
      <c r="BQ221" s="51"/>
      <c r="BR221" s="144"/>
      <c r="BS221" s="187"/>
      <c r="BT221" s="95">
        <f>SUM(L221:BO221)</f>
        <v>0</v>
      </c>
      <c r="BU221" s="94"/>
      <c r="BV221" s="51"/>
      <c r="BW221" s="144"/>
      <c r="BX221" s="187"/>
      <c r="BY221" s="95">
        <v>0</v>
      </c>
      <c r="BZ221" s="94"/>
      <c r="CA221" s="51"/>
      <c r="CB221" s="144"/>
      <c r="CC221" s="187"/>
      <c r="CD221" s="95">
        <v>0</v>
      </c>
      <c r="CE221" s="94"/>
      <c r="CF221" s="51"/>
      <c r="CG221" s="144"/>
      <c r="CH221" s="187"/>
      <c r="CI221" s="95">
        <v>0</v>
      </c>
      <c r="CJ221" s="94"/>
      <c r="CK221" s="51"/>
      <c r="CL221" s="144"/>
      <c r="CM221" s="187"/>
      <c r="CN221" s="95">
        <v>0</v>
      </c>
      <c r="CO221" s="94"/>
      <c r="CP221" s="51"/>
      <c r="CQ221" s="144"/>
      <c r="CR221" s="187"/>
      <c r="CS221" s="95">
        <v>0</v>
      </c>
      <c r="CT221" s="94"/>
      <c r="CU221" s="51"/>
      <c r="CV221" s="144"/>
      <c r="CW221" s="187"/>
      <c r="CX221" s="95">
        <v>0</v>
      </c>
      <c r="CY221" s="94"/>
      <c r="CZ221" s="51"/>
      <c r="DA221" s="144"/>
      <c r="DB221" s="187"/>
      <c r="DC221" s="95">
        <v>0</v>
      </c>
      <c r="DD221" s="94"/>
      <c r="DE221" s="51"/>
      <c r="DF221" s="144"/>
      <c r="DG221" s="187"/>
      <c r="DH221" s="95">
        <v>0</v>
      </c>
      <c r="DI221" s="94"/>
      <c r="DJ221" s="51"/>
      <c r="DK221" s="144"/>
      <c r="DL221" s="187"/>
      <c r="DM221" s="95">
        <v>0</v>
      </c>
      <c r="DN221" s="94"/>
      <c r="DO221" s="51"/>
      <c r="DP221" s="144"/>
      <c r="DQ221" s="187"/>
      <c r="DR221" s="95">
        <v>0</v>
      </c>
      <c r="DS221" s="94"/>
      <c r="DT221" s="51"/>
      <c r="DU221" s="144"/>
      <c r="DV221" s="187"/>
      <c r="DW221" s="95">
        <v>0</v>
      </c>
      <c r="DX221" s="94"/>
      <c r="DY221" s="51"/>
      <c r="DZ221" s="144"/>
      <c r="EA221" s="187"/>
      <c r="EB221" s="95">
        <v>0</v>
      </c>
      <c r="EC221" s="94"/>
      <c r="ED221" s="51"/>
      <c r="EE221" s="144"/>
      <c r="EF221" s="187"/>
      <c r="EG221" s="95">
        <v>0</v>
      </c>
      <c r="EH221" s="94"/>
      <c r="EI221" s="51"/>
      <c r="EJ221" s="144"/>
      <c r="EK221" s="187"/>
      <c r="EL221" s="95">
        <f>SUM(CD221:EG221)</f>
        <v>0</v>
      </c>
      <c r="EM221" s="94"/>
      <c r="EN221" s="51"/>
      <c r="EO221" s="340"/>
      <c r="ER221" s="39"/>
      <c r="ES221" s="39"/>
    </row>
    <row r="222" spans="1:149" ht="12.75" hidden="1" customHeight="1" x14ac:dyDescent="0.2">
      <c r="A222" s="317"/>
      <c r="B222" s="317"/>
      <c r="D222" s="340"/>
      <c r="E222" s="453"/>
      <c r="F222" s="663"/>
      <c r="G222" s="51"/>
      <c r="H222" s="51"/>
      <c r="I222" s="51"/>
      <c r="J222" s="144"/>
      <c r="K222" s="663"/>
      <c r="L222" s="51"/>
      <c r="M222" s="51"/>
      <c r="N222" s="51"/>
      <c r="O222" s="144"/>
      <c r="P222" s="663"/>
      <c r="Q222" s="51"/>
      <c r="R222" s="51"/>
      <c r="S222" s="51"/>
      <c r="T222" s="144"/>
      <c r="U222" s="663"/>
      <c r="V222" s="51"/>
      <c r="W222" s="51"/>
      <c r="X222" s="51"/>
      <c r="Y222" s="144"/>
      <c r="Z222" s="663"/>
      <c r="AA222" s="51"/>
      <c r="AB222" s="51"/>
      <c r="AC222" s="51"/>
      <c r="AD222" s="144"/>
      <c r="AE222" s="663"/>
      <c r="AF222" s="51"/>
      <c r="AG222" s="51"/>
      <c r="AH222" s="51"/>
      <c r="AI222" s="144"/>
      <c r="AJ222" s="663"/>
      <c r="AK222" s="51"/>
      <c r="AL222" s="51"/>
      <c r="AM222" s="51"/>
      <c r="AN222" s="144"/>
      <c r="AO222" s="663"/>
      <c r="AP222" s="51"/>
      <c r="AQ222" s="51"/>
      <c r="AR222" s="51"/>
      <c r="AS222" s="144"/>
      <c r="AT222" s="663"/>
      <c r="AU222" s="51"/>
      <c r="AV222" s="51"/>
      <c r="AW222" s="51"/>
      <c r="AX222" s="144"/>
      <c r="AY222" s="663"/>
      <c r="AZ222" s="51"/>
      <c r="BA222" s="51"/>
      <c r="BB222" s="51"/>
      <c r="BC222" s="144"/>
      <c r="BD222" s="663"/>
      <c r="BE222" s="51"/>
      <c r="BF222" s="51"/>
      <c r="BG222" s="51"/>
      <c r="BH222" s="144"/>
      <c r="BI222" s="663"/>
      <c r="BJ222" s="51"/>
      <c r="BK222" s="51"/>
      <c r="BL222" s="51"/>
      <c r="BM222" s="144"/>
      <c r="BN222" s="663"/>
      <c r="BO222" s="51"/>
      <c r="BP222" s="51"/>
      <c r="BQ222" s="51"/>
      <c r="BR222" s="144"/>
      <c r="BS222" s="663"/>
      <c r="BT222" s="51"/>
      <c r="BU222" s="51"/>
      <c r="BV222" s="51"/>
      <c r="BW222" s="144"/>
      <c r="BX222" s="663"/>
      <c r="BY222" s="51"/>
      <c r="BZ222" s="51"/>
      <c r="CA222" s="51"/>
      <c r="CB222" s="144"/>
      <c r="CC222" s="663"/>
      <c r="CD222" s="51"/>
      <c r="CE222" s="51"/>
      <c r="CF222" s="51"/>
      <c r="CG222" s="144"/>
      <c r="CH222" s="663"/>
      <c r="CI222" s="51"/>
      <c r="CJ222" s="51"/>
      <c r="CK222" s="51"/>
      <c r="CL222" s="144"/>
      <c r="CM222" s="663"/>
      <c r="CN222" s="51"/>
      <c r="CO222" s="51"/>
      <c r="CP222" s="51"/>
      <c r="CQ222" s="144"/>
      <c r="CR222" s="663"/>
      <c r="CS222" s="51"/>
      <c r="CT222" s="51"/>
      <c r="CU222" s="51"/>
      <c r="CV222" s="144"/>
      <c r="CW222" s="663"/>
      <c r="CX222" s="51"/>
      <c r="CY222" s="51"/>
      <c r="CZ222" s="51"/>
      <c r="DA222" s="144"/>
      <c r="DB222" s="663"/>
      <c r="DC222" s="51"/>
      <c r="DD222" s="51"/>
      <c r="DE222" s="51"/>
      <c r="DF222" s="144"/>
      <c r="DG222" s="663"/>
      <c r="DH222" s="51"/>
      <c r="DI222" s="51"/>
      <c r="DJ222" s="51"/>
      <c r="DK222" s="144"/>
      <c r="DL222" s="663"/>
      <c r="DM222" s="51"/>
      <c r="DN222" s="51"/>
      <c r="DO222" s="51"/>
      <c r="DP222" s="144"/>
      <c r="DQ222" s="663"/>
      <c r="DR222" s="51"/>
      <c r="DS222" s="51"/>
      <c r="DT222" s="51"/>
      <c r="DU222" s="144"/>
      <c r="DV222" s="663"/>
      <c r="DW222" s="51"/>
      <c r="DX222" s="51"/>
      <c r="DY222" s="51"/>
      <c r="DZ222" s="144"/>
      <c r="EA222" s="663"/>
      <c r="EB222" s="51"/>
      <c r="EC222" s="51"/>
      <c r="ED222" s="51"/>
      <c r="EE222" s="144"/>
      <c r="EF222" s="663"/>
      <c r="EG222" s="51"/>
      <c r="EH222" s="51"/>
      <c r="EI222" s="51"/>
      <c r="EJ222" s="144"/>
      <c r="EK222" s="663"/>
      <c r="EL222" s="51"/>
      <c r="EM222" s="51"/>
      <c r="EN222" s="51"/>
      <c r="EO222" s="340"/>
      <c r="ER222" s="39"/>
      <c r="ES222" s="39"/>
    </row>
    <row r="223" spans="1:149" ht="12.75" hidden="1" customHeight="1" x14ac:dyDescent="0.2">
      <c r="A223" s="317"/>
      <c r="B223" s="317"/>
      <c r="D223" s="340" t="s">
        <v>194</v>
      </c>
      <c r="E223" s="453"/>
      <c r="F223" s="663"/>
      <c r="G223" s="51">
        <v>0</v>
      </c>
      <c r="H223" s="51"/>
      <c r="I223" s="51"/>
      <c r="J223" s="144"/>
      <c r="K223" s="663"/>
      <c r="L223" s="51">
        <v>0</v>
      </c>
      <c r="M223" s="51"/>
      <c r="N223" s="51"/>
      <c r="O223" s="144"/>
      <c r="P223" s="663"/>
      <c r="Q223" s="51">
        <v>0</v>
      </c>
      <c r="R223" s="51"/>
      <c r="S223" s="51"/>
      <c r="T223" s="144"/>
      <c r="U223" s="663"/>
      <c r="V223" s="51">
        <v>0</v>
      </c>
      <c r="W223" s="51"/>
      <c r="X223" s="51"/>
      <c r="Y223" s="144"/>
      <c r="Z223" s="663"/>
      <c r="AA223" s="51">
        <v>0</v>
      </c>
      <c r="AB223" s="51"/>
      <c r="AC223" s="51"/>
      <c r="AD223" s="144"/>
      <c r="AE223" s="663"/>
      <c r="AF223" s="51">
        <v>0</v>
      </c>
      <c r="AG223" s="51"/>
      <c r="AH223" s="51"/>
      <c r="AI223" s="144"/>
      <c r="AJ223" s="663"/>
      <c r="AK223" s="51">
        <v>0</v>
      </c>
      <c r="AL223" s="51"/>
      <c r="AM223" s="51"/>
      <c r="AN223" s="144"/>
      <c r="AO223" s="663"/>
      <c r="AP223" s="51">
        <v>0</v>
      </c>
      <c r="AQ223" s="51"/>
      <c r="AR223" s="51"/>
      <c r="AS223" s="144"/>
      <c r="AT223" s="663"/>
      <c r="AU223" s="51">
        <v>0</v>
      </c>
      <c r="AV223" s="51"/>
      <c r="AW223" s="51"/>
      <c r="AX223" s="144"/>
      <c r="AY223" s="663"/>
      <c r="AZ223" s="51">
        <v>0</v>
      </c>
      <c r="BA223" s="51"/>
      <c r="BB223" s="51"/>
      <c r="BC223" s="144"/>
      <c r="BD223" s="663"/>
      <c r="BE223" s="51">
        <v>0</v>
      </c>
      <c r="BF223" s="51"/>
      <c r="BG223" s="51"/>
      <c r="BH223" s="144"/>
      <c r="BI223" s="663"/>
      <c r="BJ223" s="51">
        <v>0</v>
      </c>
      <c r="BK223" s="51"/>
      <c r="BL223" s="51"/>
      <c r="BM223" s="144"/>
      <c r="BN223" s="663"/>
      <c r="BO223" s="51">
        <v>0</v>
      </c>
      <c r="BP223" s="51"/>
      <c r="BQ223" s="51"/>
      <c r="BR223" s="144"/>
      <c r="BS223" s="663"/>
      <c r="BT223" s="51">
        <f>SUM(BT224:BT227)</f>
        <v>0</v>
      </c>
      <c r="BU223" s="51"/>
      <c r="BV223" s="51"/>
      <c r="BW223" s="144"/>
      <c r="BX223" s="663"/>
      <c r="BY223" s="51">
        <v>0</v>
      </c>
      <c r="BZ223" s="51"/>
      <c r="CA223" s="51"/>
      <c r="CB223" s="144"/>
      <c r="CC223" s="663"/>
      <c r="CD223" s="51">
        <v>0</v>
      </c>
      <c r="CE223" s="51"/>
      <c r="CF223" s="51"/>
      <c r="CG223" s="144"/>
      <c r="CH223" s="663"/>
      <c r="CI223" s="51">
        <v>0</v>
      </c>
      <c r="CJ223" s="51"/>
      <c r="CK223" s="51"/>
      <c r="CL223" s="144"/>
      <c r="CM223" s="663"/>
      <c r="CN223" s="51">
        <v>0</v>
      </c>
      <c r="CO223" s="51"/>
      <c r="CP223" s="51"/>
      <c r="CQ223" s="144"/>
      <c r="CR223" s="663"/>
      <c r="CS223" s="51">
        <v>0</v>
      </c>
      <c r="CT223" s="51"/>
      <c r="CU223" s="51"/>
      <c r="CV223" s="144"/>
      <c r="CW223" s="663"/>
      <c r="CX223" s="51">
        <v>0</v>
      </c>
      <c r="CY223" s="51"/>
      <c r="CZ223" s="51"/>
      <c r="DA223" s="144"/>
      <c r="DB223" s="663"/>
      <c r="DC223" s="51">
        <v>0</v>
      </c>
      <c r="DD223" s="51"/>
      <c r="DE223" s="51"/>
      <c r="DF223" s="144"/>
      <c r="DG223" s="663"/>
      <c r="DH223" s="51">
        <v>0</v>
      </c>
      <c r="DI223" s="51"/>
      <c r="DJ223" s="51"/>
      <c r="DK223" s="144"/>
      <c r="DL223" s="663"/>
      <c r="DM223" s="51">
        <v>0</v>
      </c>
      <c r="DN223" s="51"/>
      <c r="DO223" s="51"/>
      <c r="DP223" s="144"/>
      <c r="DQ223" s="663"/>
      <c r="DR223" s="51">
        <v>0</v>
      </c>
      <c r="DS223" s="51"/>
      <c r="DT223" s="51"/>
      <c r="DU223" s="144"/>
      <c r="DV223" s="663"/>
      <c r="DW223" s="51">
        <v>0</v>
      </c>
      <c r="DX223" s="51"/>
      <c r="DY223" s="51"/>
      <c r="DZ223" s="144"/>
      <c r="EA223" s="663"/>
      <c r="EB223" s="51">
        <v>0</v>
      </c>
      <c r="EC223" s="51"/>
      <c r="ED223" s="51"/>
      <c r="EE223" s="144"/>
      <c r="EF223" s="663"/>
      <c r="EG223" s="51">
        <v>0</v>
      </c>
      <c r="EH223" s="51"/>
      <c r="EI223" s="51"/>
      <c r="EJ223" s="144"/>
      <c r="EK223" s="663"/>
      <c r="EL223" s="51">
        <f>SUM(EL224:EL227)</f>
        <v>0</v>
      </c>
      <c r="EM223" s="51"/>
      <c r="EN223" s="51"/>
      <c r="EO223" s="340"/>
      <c r="ER223" s="39"/>
      <c r="ES223" s="39"/>
    </row>
    <row r="224" spans="1:149" ht="12.75" hidden="1" customHeight="1" x14ac:dyDescent="0.2">
      <c r="A224" s="317"/>
      <c r="B224" s="317"/>
      <c r="D224" s="340" t="s">
        <v>183</v>
      </c>
      <c r="E224" s="453"/>
      <c r="F224" s="454"/>
      <c r="G224" s="430">
        <v>0</v>
      </c>
      <c r="H224" s="431"/>
      <c r="I224" s="51"/>
      <c r="J224" s="144"/>
      <c r="K224" s="454"/>
      <c r="L224" s="430">
        <v>0</v>
      </c>
      <c r="M224" s="431"/>
      <c r="N224" s="51"/>
      <c r="O224" s="144"/>
      <c r="P224" s="454"/>
      <c r="Q224" s="430">
        <v>0</v>
      </c>
      <c r="R224" s="431"/>
      <c r="S224" s="51"/>
      <c r="T224" s="144"/>
      <c r="U224" s="454"/>
      <c r="V224" s="430">
        <v>0</v>
      </c>
      <c r="W224" s="431"/>
      <c r="X224" s="51"/>
      <c r="Y224" s="144"/>
      <c r="Z224" s="454"/>
      <c r="AA224" s="430">
        <v>0</v>
      </c>
      <c r="AB224" s="431"/>
      <c r="AC224" s="51"/>
      <c r="AD224" s="144"/>
      <c r="AE224" s="454"/>
      <c r="AF224" s="430">
        <v>0</v>
      </c>
      <c r="AG224" s="431"/>
      <c r="AH224" s="51"/>
      <c r="AI224" s="144"/>
      <c r="AJ224" s="454"/>
      <c r="AK224" s="430">
        <v>0</v>
      </c>
      <c r="AL224" s="431"/>
      <c r="AM224" s="51"/>
      <c r="AN224" s="144"/>
      <c r="AO224" s="454"/>
      <c r="AP224" s="430">
        <v>0</v>
      </c>
      <c r="AQ224" s="431"/>
      <c r="AR224" s="51"/>
      <c r="AS224" s="144"/>
      <c r="AT224" s="454"/>
      <c r="AU224" s="430">
        <v>0</v>
      </c>
      <c r="AV224" s="431"/>
      <c r="AW224" s="51"/>
      <c r="AX224" s="144"/>
      <c r="AY224" s="454"/>
      <c r="AZ224" s="430">
        <v>0</v>
      </c>
      <c r="BA224" s="431"/>
      <c r="BB224" s="51"/>
      <c r="BC224" s="144"/>
      <c r="BD224" s="454"/>
      <c r="BE224" s="430">
        <v>0</v>
      </c>
      <c r="BF224" s="431"/>
      <c r="BG224" s="51"/>
      <c r="BH224" s="144"/>
      <c r="BI224" s="454"/>
      <c r="BJ224" s="430">
        <v>0</v>
      </c>
      <c r="BK224" s="431"/>
      <c r="BL224" s="51"/>
      <c r="BM224" s="144"/>
      <c r="BN224" s="454"/>
      <c r="BO224" s="430">
        <v>0</v>
      </c>
      <c r="BP224" s="431"/>
      <c r="BQ224" s="51"/>
      <c r="BR224" s="144"/>
      <c r="BS224" s="454"/>
      <c r="BT224" s="430">
        <f>SUM(L224:BO224)</f>
        <v>0</v>
      </c>
      <c r="BU224" s="431"/>
      <c r="BV224" s="51"/>
      <c r="BW224" s="144"/>
      <c r="BX224" s="454"/>
      <c r="BY224" s="430">
        <v>0</v>
      </c>
      <c r="BZ224" s="431"/>
      <c r="CA224" s="51"/>
      <c r="CB224" s="144"/>
      <c r="CC224" s="454"/>
      <c r="CD224" s="430">
        <v>0</v>
      </c>
      <c r="CE224" s="431"/>
      <c r="CF224" s="51"/>
      <c r="CG224" s="144"/>
      <c r="CH224" s="454"/>
      <c r="CI224" s="430">
        <v>0</v>
      </c>
      <c r="CJ224" s="431"/>
      <c r="CK224" s="51"/>
      <c r="CL224" s="144"/>
      <c r="CM224" s="454"/>
      <c r="CN224" s="430">
        <v>0</v>
      </c>
      <c r="CO224" s="431"/>
      <c r="CP224" s="51"/>
      <c r="CQ224" s="144"/>
      <c r="CR224" s="454"/>
      <c r="CS224" s="430">
        <v>0</v>
      </c>
      <c r="CT224" s="431"/>
      <c r="CU224" s="51"/>
      <c r="CV224" s="144"/>
      <c r="CW224" s="454"/>
      <c r="CX224" s="430">
        <v>0</v>
      </c>
      <c r="CY224" s="431"/>
      <c r="CZ224" s="51"/>
      <c r="DA224" s="144"/>
      <c r="DB224" s="454"/>
      <c r="DC224" s="430">
        <v>0</v>
      </c>
      <c r="DD224" s="431"/>
      <c r="DE224" s="51"/>
      <c r="DF224" s="144"/>
      <c r="DG224" s="454"/>
      <c r="DH224" s="430">
        <v>0</v>
      </c>
      <c r="DI224" s="431"/>
      <c r="DJ224" s="51"/>
      <c r="DK224" s="144"/>
      <c r="DL224" s="454"/>
      <c r="DM224" s="430">
        <v>0</v>
      </c>
      <c r="DN224" s="431"/>
      <c r="DO224" s="51"/>
      <c r="DP224" s="144"/>
      <c r="DQ224" s="454"/>
      <c r="DR224" s="430">
        <v>0</v>
      </c>
      <c r="DS224" s="431"/>
      <c r="DT224" s="51"/>
      <c r="DU224" s="144"/>
      <c r="DV224" s="454"/>
      <c r="DW224" s="430">
        <v>0</v>
      </c>
      <c r="DX224" s="431"/>
      <c r="DY224" s="51"/>
      <c r="DZ224" s="144"/>
      <c r="EA224" s="454"/>
      <c r="EB224" s="430">
        <v>0</v>
      </c>
      <c r="EC224" s="431"/>
      <c r="ED224" s="51"/>
      <c r="EE224" s="144"/>
      <c r="EF224" s="454"/>
      <c r="EG224" s="430">
        <v>0</v>
      </c>
      <c r="EH224" s="431"/>
      <c r="EI224" s="51"/>
      <c r="EJ224" s="144"/>
      <c r="EK224" s="454"/>
      <c r="EL224" s="430">
        <f>SUM(CD224:EG224)</f>
        <v>0</v>
      </c>
      <c r="EM224" s="431"/>
      <c r="EN224" s="51"/>
      <c r="EO224" s="340"/>
      <c r="ER224" s="39"/>
      <c r="ES224" s="39"/>
    </row>
    <row r="225" spans="1:149" ht="12.75" hidden="1" customHeight="1" x14ac:dyDescent="0.2">
      <c r="A225" s="317"/>
      <c r="B225" s="317"/>
      <c r="D225" s="340" t="s">
        <v>186</v>
      </c>
      <c r="E225" s="453"/>
      <c r="F225" s="456"/>
      <c r="G225" s="51">
        <v>0</v>
      </c>
      <c r="H225" s="50"/>
      <c r="I225" s="51"/>
      <c r="J225" s="144"/>
      <c r="K225" s="456"/>
      <c r="L225" s="51">
        <v>0</v>
      </c>
      <c r="M225" s="50"/>
      <c r="N225" s="51"/>
      <c r="O225" s="144"/>
      <c r="P225" s="456"/>
      <c r="Q225" s="51">
        <v>0</v>
      </c>
      <c r="R225" s="50"/>
      <c r="S225" s="51"/>
      <c r="T225" s="144"/>
      <c r="U225" s="456"/>
      <c r="V225" s="51">
        <v>0</v>
      </c>
      <c r="W225" s="50"/>
      <c r="X225" s="51"/>
      <c r="Y225" s="144"/>
      <c r="Z225" s="456"/>
      <c r="AA225" s="51">
        <v>0</v>
      </c>
      <c r="AB225" s="50"/>
      <c r="AC225" s="51"/>
      <c r="AD225" s="144"/>
      <c r="AE225" s="456"/>
      <c r="AF225" s="51">
        <v>0</v>
      </c>
      <c r="AG225" s="50"/>
      <c r="AH225" s="51"/>
      <c r="AI225" s="144"/>
      <c r="AJ225" s="456"/>
      <c r="AK225" s="51">
        <v>0</v>
      </c>
      <c r="AL225" s="50"/>
      <c r="AM225" s="51"/>
      <c r="AN225" s="144"/>
      <c r="AO225" s="456"/>
      <c r="AP225" s="51">
        <v>0</v>
      </c>
      <c r="AQ225" s="50"/>
      <c r="AR225" s="51"/>
      <c r="AS225" s="144"/>
      <c r="AT225" s="456"/>
      <c r="AU225" s="51">
        <v>0</v>
      </c>
      <c r="AV225" s="50"/>
      <c r="AW225" s="51"/>
      <c r="AX225" s="144"/>
      <c r="AY225" s="456"/>
      <c r="AZ225" s="51">
        <v>0</v>
      </c>
      <c r="BA225" s="50"/>
      <c r="BB225" s="51"/>
      <c r="BC225" s="144"/>
      <c r="BD225" s="456"/>
      <c r="BE225" s="51">
        <v>0</v>
      </c>
      <c r="BF225" s="50"/>
      <c r="BG225" s="51"/>
      <c r="BH225" s="144"/>
      <c r="BI225" s="456"/>
      <c r="BJ225" s="51">
        <v>0</v>
      </c>
      <c r="BK225" s="50"/>
      <c r="BL225" s="51"/>
      <c r="BM225" s="144"/>
      <c r="BN225" s="456"/>
      <c r="BO225" s="51">
        <v>0</v>
      </c>
      <c r="BP225" s="50"/>
      <c r="BQ225" s="51"/>
      <c r="BR225" s="144"/>
      <c r="BS225" s="456"/>
      <c r="BT225" s="51">
        <f>SUM(L225:BO225)</f>
        <v>0</v>
      </c>
      <c r="BU225" s="50"/>
      <c r="BV225" s="51"/>
      <c r="BW225" s="144"/>
      <c r="BX225" s="456"/>
      <c r="BY225" s="51">
        <v>0</v>
      </c>
      <c r="BZ225" s="50"/>
      <c r="CA225" s="51"/>
      <c r="CB225" s="144"/>
      <c r="CC225" s="456"/>
      <c r="CD225" s="51">
        <v>0</v>
      </c>
      <c r="CE225" s="50"/>
      <c r="CF225" s="51"/>
      <c r="CG225" s="144"/>
      <c r="CH225" s="456"/>
      <c r="CI225" s="51">
        <v>0</v>
      </c>
      <c r="CJ225" s="50"/>
      <c r="CK225" s="51"/>
      <c r="CL225" s="144"/>
      <c r="CM225" s="456"/>
      <c r="CN225" s="51">
        <v>0</v>
      </c>
      <c r="CO225" s="50"/>
      <c r="CP225" s="51"/>
      <c r="CQ225" s="144"/>
      <c r="CR225" s="456"/>
      <c r="CS225" s="51">
        <v>0</v>
      </c>
      <c r="CT225" s="50"/>
      <c r="CU225" s="51"/>
      <c r="CV225" s="144"/>
      <c r="CW225" s="456"/>
      <c r="CX225" s="51">
        <v>0</v>
      </c>
      <c r="CY225" s="50"/>
      <c r="CZ225" s="51"/>
      <c r="DA225" s="144"/>
      <c r="DB225" s="456"/>
      <c r="DC225" s="51">
        <v>0</v>
      </c>
      <c r="DD225" s="50"/>
      <c r="DE225" s="51"/>
      <c r="DF225" s="144"/>
      <c r="DG225" s="456"/>
      <c r="DH225" s="51">
        <v>0</v>
      </c>
      <c r="DI225" s="50"/>
      <c r="DJ225" s="51"/>
      <c r="DK225" s="144"/>
      <c r="DL225" s="456"/>
      <c r="DM225" s="51">
        <v>0</v>
      </c>
      <c r="DN225" s="50"/>
      <c r="DO225" s="51"/>
      <c r="DP225" s="144"/>
      <c r="DQ225" s="456"/>
      <c r="DR225" s="51">
        <v>0</v>
      </c>
      <c r="DS225" s="50"/>
      <c r="DT225" s="51"/>
      <c r="DU225" s="144"/>
      <c r="DV225" s="456"/>
      <c r="DW225" s="51">
        <v>0</v>
      </c>
      <c r="DX225" s="50"/>
      <c r="DY225" s="51"/>
      <c r="DZ225" s="144"/>
      <c r="EA225" s="456"/>
      <c r="EB225" s="51">
        <v>0</v>
      </c>
      <c r="EC225" s="50"/>
      <c r="ED225" s="51"/>
      <c r="EE225" s="144"/>
      <c r="EF225" s="456"/>
      <c r="EG225" s="51">
        <v>0</v>
      </c>
      <c r="EH225" s="50"/>
      <c r="EI225" s="51"/>
      <c r="EJ225" s="144"/>
      <c r="EK225" s="456"/>
      <c r="EL225" s="51">
        <f>SUM(CD225:EG225)</f>
        <v>0</v>
      </c>
      <c r="EM225" s="50"/>
      <c r="EN225" s="51"/>
      <c r="EO225" s="340"/>
      <c r="ER225" s="39"/>
      <c r="ES225" s="39"/>
    </row>
    <row r="226" spans="1:149" ht="12.75" hidden="1" customHeight="1" x14ac:dyDescent="0.2">
      <c r="A226" s="317"/>
      <c r="B226" s="317"/>
      <c r="D226" s="340" t="s">
        <v>187</v>
      </c>
      <c r="E226" s="453"/>
      <c r="F226" s="456"/>
      <c r="G226" s="51">
        <v>0</v>
      </c>
      <c r="H226" s="50"/>
      <c r="I226" s="51"/>
      <c r="J226" s="144"/>
      <c r="K226" s="456"/>
      <c r="L226" s="51">
        <v>0</v>
      </c>
      <c r="M226" s="50"/>
      <c r="N226" s="51"/>
      <c r="O226" s="144"/>
      <c r="P226" s="456"/>
      <c r="Q226" s="51">
        <v>0</v>
      </c>
      <c r="R226" s="50"/>
      <c r="S226" s="51"/>
      <c r="T226" s="144"/>
      <c r="U226" s="456"/>
      <c r="V226" s="51">
        <v>0</v>
      </c>
      <c r="W226" s="50"/>
      <c r="X226" s="51"/>
      <c r="Y226" s="144"/>
      <c r="Z226" s="456"/>
      <c r="AA226" s="51">
        <v>0</v>
      </c>
      <c r="AB226" s="50"/>
      <c r="AC226" s="51"/>
      <c r="AD226" s="144"/>
      <c r="AE226" s="456"/>
      <c r="AF226" s="51">
        <v>0</v>
      </c>
      <c r="AG226" s="50"/>
      <c r="AH226" s="51"/>
      <c r="AI226" s="144"/>
      <c r="AJ226" s="456"/>
      <c r="AK226" s="51">
        <v>0</v>
      </c>
      <c r="AL226" s="50"/>
      <c r="AM226" s="51"/>
      <c r="AN226" s="144"/>
      <c r="AO226" s="456"/>
      <c r="AP226" s="51">
        <v>0</v>
      </c>
      <c r="AQ226" s="50"/>
      <c r="AR226" s="51"/>
      <c r="AS226" s="144"/>
      <c r="AT226" s="456"/>
      <c r="AU226" s="51">
        <v>0</v>
      </c>
      <c r="AV226" s="50"/>
      <c r="AW226" s="51"/>
      <c r="AX226" s="144"/>
      <c r="AY226" s="456"/>
      <c r="AZ226" s="51">
        <v>0</v>
      </c>
      <c r="BA226" s="50"/>
      <c r="BB226" s="51"/>
      <c r="BC226" s="144"/>
      <c r="BD226" s="456"/>
      <c r="BE226" s="51">
        <v>0</v>
      </c>
      <c r="BF226" s="50"/>
      <c r="BG226" s="51"/>
      <c r="BH226" s="144"/>
      <c r="BI226" s="456"/>
      <c r="BJ226" s="51">
        <v>0</v>
      </c>
      <c r="BK226" s="50"/>
      <c r="BL226" s="51"/>
      <c r="BM226" s="144"/>
      <c r="BN226" s="456"/>
      <c r="BO226" s="51">
        <v>0</v>
      </c>
      <c r="BP226" s="50"/>
      <c r="BQ226" s="51"/>
      <c r="BR226" s="144"/>
      <c r="BS226" s="456"/>
      <c r="BT226" s="51">
        <f>SUM(L226:BO226)</f>
        <v>0</v>
      </c>
      <c r="BU226" s="50"/>
      <c r="BV226" s="51"/>
      <c r="BW226" s="144"/>
      <c r="BX226" s="456"/>
      <c r="BY226" s="51">
        <v>0</v>
      </c>
      <c r="BZ226" s="50"/>
      <c r="CA226" s="51"/>
      <c r="CB226" s="144"/>
      <c r="CC226" s="456"/>
      <c r="CD226" s="51">
        <v>0</v>
      </c>
      <c r="CE226" s="50"/>
      <c r="CF226" s="51"/>
      <c r="CG226" s="144"/>
      <c r="CH226" s="456"/>
      <c r="CI226" s="51">
        <v>0</v>
      </c>
      <c r="CJ226" s="50"/>
      <c r="CK226" s="51"/>
      <c r="CL226" s="144"/>
      <c r="CM226" s="456"/>
      <c r="CN226" s="51">
        <v>0</v>
      </c>
      <c r="CO226" s="50"/>
      <c r="CP226" s="51"/>
      <c r="CQ226" s="144"/>
      <c r="CR226" s="456"/>
      <c r="CS226" s="51">
        <v>0</v>
      </c>
      <c r="CT226" s="50"/>
      <c r="CU226" s="51"/>
      <c r="CV226" s="144"/>
      <c r="CW226" s="456"/>
      <c r="CX226" s="51">
        <v>0</v>
      </c>
      <c r="CY226" s="50"/>
      <c r="CZ226" s="51"/>
      <c r="DA226" s="144"/>
      <c r="DB226" s="456"/>
      <c r="DC226" s="51">
        <v>0</v>
      </c>
      <c r="DD226" s="50"/>
      <c r="DE226" s="51"/>
      <c r="DF226" s="144"/>
      <c r="DG226" s="456"/>
      <c r="DH226" s="51">
        <v>0</v>
      </c>
      <c r="DI226" s="50"/>
      <c r="DJ226" s="51"/>
      <c r="DK226" s="144"/>
      <c r="DL226" s="456"/>
      <c r="DM226" s="51">
        <v>0</v>
      </c>
      <c r="DN226" s="50"/>
      <c r="DO226" s="51"/>
      <c r="DP226" s="144"/>
      <c r="DQ226" s="456"/>
      <c r="DR226" s="51">
        <v>0</v>
      </c>
      <c r="DS226" s="50"/>
      <c r="DT226" s="51"/>
      <c r="DU226" s="144"/>
      <c r="DV226" s="456"/>
      <c r="DW226" s="51">
        <v>0</v>
      </c>
      <c r="DX226" s="50"/>
      <c r="DY226" s="51"/>
      <c r="DZ226" s="144"/>
      <c r="EA226" s="456"/>
      <c r="EB226" s="51">
        <v>0</v>
      </c>
      <c r="EC226" s="50"/>
      <c r="ED226" s="51"/>
      <c r="EE226" s="144"/>
      <c r="EF226" s="456"/>
      <c r="EG226" s="51">
        <v>0</v>
      </c>
      <c r="EH226" s="50"/>
      <c r="EI226" s="51"/>
      <c r="EJ226" s="144"/>
      <c r="EK226" s="456"/>
      <c r="EL226" s="51">
        <f>SUM(CD226:EG226)</f>
        <v>0</v>
      </c>
      <c r="EM226" s="50"/>
      <c r="EN226" s="51"/>
      <c r="EO226" s="340"/>
      <c r="ER226" s="39"/>
      <c r="ES226" s="39"/>
    </row>
    <row r="227" spans="1:149" ht="12.75" hidden="1" customHeight="1" x14ac:dyDescent="0.2">
      <c r="A227" s="317"/>
      <c r="B227" s="317"/>
      <c r="D227" s="340" t="s">
        <v>188</v>
      </c>
      <c r="E227" s="453"/>
      <c r="F227" s="460"/>
      <c r="G227" s="95">
        <v>0</v>
      </c>
      <c r="H227" s="94"/>
      <c r="I227" s="51"/>
      <c r="J227" s="144"/>
      <c r="K227" s="371"/>
      <c r="L227" s="95">
        <v>0</v>
      </c>
      <c r="M227" s="94"/>
      <c r="N227" s="51"/>
      <c r="O227" s="144"/>
      <c r="P227" s="371"/>
      <c r="Q227" s="95">
        <v>0</v>
      </c>
      <c r="R227" s="94"/>
      <c r="S227" s="51"/>
      <c r="T227" s="144"/>
      <c r="U227" s="371"/>
      <c r="V227" s="95">
        <v>0</v>
      </c>
      <c r="W227" s="94"/>
      <c r="X227" s="51"/>
      <c r="Y227" s="144"/>
      <c r="Z227" s="371"/>
      <c r="AA227" s="95">
        <v>0</v>
      </c>
      <c r="AB227" s="94"/>
      <c r="AC227" s="51"/>
      <c r="AD227" s="144"/>
      <c r="AE227" s="371"/>
      <c r="AF227" s="95">
        <v>0</v>
      </c>
      <c r="AG227" s="94"/>
      <c r="AH227" s="51"/>
      <c r="AI227" s="144"/>
      <c r="AJ227" s="371"/>
      <c r="AK227" s="95">
        <v>0</v>
      </c>
      <c r="AL227" s="94"/>
      <c r="AM227" s="51"/>
      <c r="AN227" s="144"/>
      <c r="AO227" s="371"/>
      <c r="AP227" s="95">
        <v>0</v>
      </c>
      <c r="AQ227" s="94"/>
      <c r="AR227" s="51"/>
      <c r="AS227" s="144"/>
      <c r="AT227" s="187"/>
      <c r="AU227" s="95">
        <v>0</v>
      </c>
      <c r="AV227" s="94"/>
      <c r="AW227" s="51"/>
      <c r="AX227" s="144"/>
      <c r="AY227" s="187"/>
      <c r="AZ227" s="95">
        <v>0</v>
      </c>
      <c r="BA227" s="94"/>
      <c r="BB227" s="51"/>
      <c r="BC227" s="144"/>
      <c r="BD227" s="187"/>
      <c r="BE227" s="95">
        <v>0</v>
      </c>
      <c r="BF227" s="94"/>
      <c r="BG227" s="51"/>
      <c r="BH227" s="144"/>
      <c r="BI227" s="187"/>
      <c r="BJ227" s="95">
        <v>0</v>
      </c>
      <c r="BK227" s="94"/>
      <c r="BL227" s="51"/>
      <c r="BM227" s="144"/>
      <c r="BN227" s="187"/>
      <c r="BO227" s="95">
        <v>0</v>
      </c>
      <c r="BP227" s="94"/>
      <c r="BQ227" s="51"/>
      <c r="BR227" s="144"/>
      <c r="BS227" s="187"/>
      <c r="BT227" s="95">
        <f>SUM(L227:BO227)</f>
        <v>0</v>
      </c>
      <c r="BU227" s="94"/>
      <c r="BV227" s="51"/>
      <c r="BW227" s="144"/>
      <c r="BX227" s="187"/>
      <c r="BY227" s="95">
        <v>0</v>
      </c>
      <c r="BZ227" s="94"/>
      <c r="CA227" s="51"/>
      <c r="CB227" s="144"/>
      <c r="CC227" s="371"/>
      <c r="CD227" s="95">
        <v>0</v>
      </c>
      <c r="CE227" s="94"/>
      <c r="CF227" s="51"/>
      <c r="CG227" s="144"/>
      <c r="CH227" s="371"/>
      <c r="CI227" s="95">
        <v>0</v>
      </c>
      <c r="CJ227" s="94"/>
      <c r="CK227" s="51"/>
      <c r="CL227" s="144"/>
      <c r="CM227" s="371"/>
      <c r="CN227" s="95">
        <v>0</v>
      </c>
      <c r="CO227" s="94"/>
      <c r="CP227" s="51"/>
      <c r="CQ227" s="144"/>
      <c r="CR227" s="371"/>
      <c r="CS227" s="95">
        <v>0</v>
      </c>
      <c r="CT227" s="94"/>
      <c r="CU227" s="51"/>
      <c r="CV227" s="144"/>
      <c r="CW227" s="371"/>
      <c r="CX227" s="95">
        <v>0</v>
      </c>
      <c r="CY227" s="94"/>
      <c r="CZ227" s="51"/>
      <c r="DA227" s="144"/>
      <c r="DB227" s="371"/>
      <c r="DC227" s="95">
        <v>0</v>
      </c>
      <c r="DD227" s="94"/>
      <c r="DE227" s="51"/>
      <c r="DF227" s="144"/>
      <c r="DG227" s="371"/>
      <c r="DH227" s="95">
        <v>0</v>
      </c>
      <c r="DI227" s="94"/>
      <c r="DJ227" s="51"/>
      <c r="DK227" s="144"/>
      <c r="DL227" s="187"/>
      <c r="DM227" s="95">
        <v>0</v>
      </c>
      <c r="DN227" s="94"/>
      <c r="DO227" s="51"/>
      <c r="DP227" s="144"/>
      <c r="DQ227" s="187"/>
      <c r="DR227" s="95">
        <v>0</v>
      </c>
      <c r="DS227" s="94"/>
      <c r="DT227" s="51"/>
      <c r="DU227" s="144"/>
      <c r="DV227" s="187"/>
      <c r="DW227" s="95">
        <v>0</v>
      </c>
      <c r="DX227" s="94"/>
      <c r="DY227" s="51"/>
      <c r="DZ227" s="144"/>
      <c r="EA227" s="187"/>
      <c r="EB227" s="95">
        <v>0</v>
      </c>
      <c r="EC227" s="94"/>
      <c r="ED227" s="51"/>
      <c r="EE227" s="144"/>
      <c r="EF227" s="187"/>
      <c r="EG227" s="95">
        <v>0</v>
      </c>
      <c r="EH227" s="94"/>
      <c r="EI227" s="51"/>
      <c r="EJ227" s="144"/>
      <c r="EK227" s="187"/>
      <c r="EL227" s="95">
        <f>SUM(CD227:EG227)</f>
        <v>0</v>
      </c>
      <c r="EM227" s="94"/>
      <c r="EN227" s="51"/>
      <c r="EO227" s="340"/>
      <c r="ER227" s="39"/>
      <c r="ES227" s="39"/>
    </row>
    <row r="228" spans="1:149" ht="12.75" hidden="1" customHeight="1" x14ac:dyDescent="0.2">
      <c r="A228" s="317"/>
      <c r="B228" s="317"/>
      <c r="D228" s="340"/>
      <c r="E228" s="453"/>
      <c r="F228" s="663"/>
      <c r="G228" s="51"/>
      <c r="H228" s="51"/>
      <c r="I228" s="51"/>
      <c r="J228" s="144"/>
      <c r="K228" s="663"/>
      <c r="L228" s="51"/>
      <c r="M228" s="51"/>
      <c r="N228" s="51"/>
      <c r="O228" s="144"/>
      <c r="P228" s="663"/>
      <c r="Q228" s="51"/>
      <c r="R228" s="51"/>
      <c r="S228" s="51"/>
      <c r="T228" s="144"/>
      <c r="U228" s="663"/>
      <c r="V228" s="51"/>
      <c r="W228" s="51"/>
      <c r="X228" s="51"/>
      <c r="Y228" s="144"/>
      <c r="Z228" s="663"/>
      <c r="AA228" s="51"/>
      <c r="AB228" s="51"/>
      <c r="AC228" s="51"/>
      <c r="AD228" s="144"/>
      <c r="AE228" s="663"/>
      <c r="AF228" s="51"/>
      <c r="AG228" s="51"/>
      <c r="AH228" s="51"/>
      <c r="AI228" s="144"/>
      <c r="AJ228" s="663"/>
      <c r="AK228" s="51"/>
      <c r="AL228" s="51"/>
      <c r="AM228" s="51"/>
      <c r="AN228" s="144"/>
      <c r="AO228" s="663"/>
      <c r="AP228" s="51"/>
      <c r="AQ228" s="51"/>
      <c r="AR228" s="51"/>
      <c r="AS228" s="144"/>
      <c r="AT228" s="663"/>
      <c r="AU228" s="51"/>
      <c r="AV228" s="51"/>
      <c r="AW228" s="51"/>
      <c r="AX228" s="144"/>
      <c r="AY228" s="663"/>
      <c r="AZ228" s="51"/>
      <c r="BA228" s="51"/>
      <c r="BB228" s="51"/>
      <c r="BC228" s="144"/>
      <c r="BD228" s="663"/>
      <c r="BE228" s="51"/>
      <c r="BF228" s="51"/>
      <c r="BG228" s="51"/>
      <c r="BH228" s="144"/>
      <c r="BI228" s="663"/>
      <c r="BJ228" s="51"/>
      <c r="BK228" s="51"/>
      <c r="BL228" s="51"/>
      <c r="BM228" s="144"/>
      <c r="BN228" s="663"/>
      <c r="BO228" s="51"/>
      <c r="BP228" s="51"/>
      <c r="BQ228" s="51"/>
      <c r="BR228" s="144"/>
      <c r="BS228" s="663"/>
      <c r="BT228" s="51"/>
      <c r="BU228" s="51"/>
      <c r="BV228" s="51"/>
      <c r="BW228" s="144"/>
      <c r="BX228" s="663"/>
      <c r="BY228" s="51"/>
      <c r="BZ228" s="51"/>
      <c r="CA228" s="51"/>
      <c r="CB228" s="144"/>
      <c r="CC228" s="663"/>
      <c r="CD228" s="51"/>
      <c r="CE228" s="51"/>
      <c r="CF228" s="51"/>
      <c r="CG228" s="144"/>
      <c r="CH228" s="663"/>
      <c r="CI228" s="51"/>
      <c r="CJ228" s="51"/>
      <c r="CK228" s="51"/>
      <c r="CL228" s="144"/>
      <c r="CM228" s="663"/>
      <c r="CN228" s="51"/>
      <c r="CO228" s="51"/>
      <c r="CP228" s="51"/>
      <c r="CQ228" s="144"/>
      <c r="CR228" s="663"/>
      <c r="CS228" s="51"/>
      <c r="CT228" s="51"/>
      <c r="CU228" s="51"/>
      <c r="CV228" s="144"/>
      <c r="CW228" s="663"/>
      <c r="CX228" s="51"/>
      <c r="CY228" s="51"/>
      <c r="CZ228" s="51"/>
      <c r="DA228" s="144"/>
      <c r="DB228" s="663"/>
      <c r="DC228" s="51"/>
      <c r="DD228" s="51"/>
      <c r="DE228" s="51"/>
      <c r="DF228" s="144"/>
      <c r="DG228" s="663"/>
      <c r="DH228" s="51"/>
      <c r="DI228" s="51"/>
      <c r="DJ228" s="51"/>
      <c r="DK228" s="144"/>
      <c r="DL228" s="663"/>
      <c r="DM228" s="51"/>
      <c r="DN228" s="51"/>
      <c r="DO228" s="51"/>
      <c r="DP228" s="144"/>
      <c r="DQ228" s="663"/>
      <c r="DR228" s="51"/>
      <c r="DS228" s="51"/>
      <c r="DT228" s="51"/>
      <c r="DU228" s="144"/>
      <c r="DV228" s="663"/>
      <c r="DW228" s="51"/>
      <c r="DX228" s="51"/>
      <c r="DY228" s="51"/>
      <c r="DZ228" s="144"/>
      <c r="EA228" s="663"/>
      <c r="EB228" s="51"/>
      <c r="EC228" s="51"/>
      <c r="ED228" s="51"/>
      <c r="EE228" s="144"/>
      <c r="EF228" s="663"/>
      <c r="EG228" s="51"/>
      <c r="EH228" s="51"/>
      <c r="EI228" s="51"/>
      <c r="EJ228" s="144"/>
      <c r="EK228" s="663"/>
      <c r="EL228" s="51"/>
      <c r="EM228" s="51"/>
      <c r="EN228" s="51"/>
      <c r="EO228" s="340"/>
      <c r="ER228" s="39"/>
      <c r="ES228" s="39"/>
    </row>
    <row r="229" spans="1:149" ht="12.75" hidden="1" customHeight="1" x14ac:dyDescent="0.2">
      <c r="A229" s="317"/>
      <c r="B229" s="317"/>
      <c r="D229" s="340" t="s">
        <v>195</v>
      </c>
      <c r="E229" s="453"/>
      <c r="F229" s="663"/>
      <c r="G229" s="51">
        <f>SUM(G230:G233)</f>
        <v>0</v>
      </c>
      <c r="H229" s="51"/>
      <c r="I229" s="51"/>
      <c r="J229" s="144"/>
      <c r="K229" s="663"/>
      <c r="L229" s="51">
        <f>SUM(L230:L233)</f>
        <v>0</v>
      </c>
      <c r="M229" s="51"/>
      <c r="N229" s="51"/>
      <c r="O229" s="144"/>
      <c r="P229" s="663"/>
      <c r="Q229" s="51">
        <f>SUM(Q230:Q233)</f>
        <v>0</v>
      </c>
      <c r="R229" s="51"/>
      <c r="S229" s="51"/>
      <c r="T229" s="144"/>
      <c r="U229" s="663"/>
      <c r="V229" s="51">
        <f>SUM(V230:V233)</f>
        <v>0</v>
      </c>
      <c r="W229" s="51"/>
      <c r="X229" s="51"/>
      <c r="Y229" s="144"/>
      <c r="Z229" s="663"/>
      <c r="AA229" s="51">
        <f>SUM(AA230:AA233)</f>
        <v>0</v>
      </c>
      <c r="AB229" s="51"/>
      <c r="AC229" s="51"/>
      <c r="AD229" s="144"/>
      <c r="AE229" s="663"/>
      <c r="AF229" s="51">
        <f>SUM(AF230:AF233)</f>
        <v>0</v>
      </c>
      <c r="AG229" s="51"/>
      <c r="AH229" s="51"/>
      <c r="AI229" s="144"/>
      <c r="AJ229" s="663"/>
      <c r="AK229" s="51">
        <f>SUM(AK230:AK233)</f>
        <v>0</v>
      </c>
      <c r="AL229" s="51"/>
      <c r="AM229" s="51"/>
      <c r="AN229" s="144"/>
      <c r="AO229" s="663"/>
      <c r="AP229" s="51">
        <f>SUM(AP230:AP233)</f>
        <v>0</v>
      </c>
      <c r="AQ229" s="51"/>
      <c r="AR229" s="51"/>
      <c r="AS229" s="144"/>
      <c r="AT229" s="663"/>
      <c r="AU229" s="51">
        <f>SUM(AU230:AU233)</f>
        <v>0</v>
      </c>
      <c r="AV229" s="51"/>
      <c r="AW229" s="51"/>
      <c r="AX229" s="144"/>
      <c r="AY229" s="663"/>
      <c r="AZ229" s="51">
        <f>SUM(AZ230:AZ233)</f>
        <v>0</v>
      </c>
      <c r="BA229" s="51"/>
      <c r="BB229" s="51"/>
      <c r="BC229" s="144"/>
      <c r="BD229" s="663"/>
      <c r="BE229" s="51">
        <f>SUM(BE230:BE233)</f>
        <v>0</v>
      </c>
      <c r="BF229" s="51"/>
      <c r="BG229" s="51"/>
      <c r="BH229" s="144"/>
      <c r="BI229" s="663"/>
      <c r="BJ229" s="51">
        <f>SUM(BJ230:BJ233)</f>
        <v>0</v>
      </c>
      <c r="BK229" s="51"/>
      <c r="BL229" s="51"/>
      <c r="BM229" s="144"/>
      <c r="BN229" s="663"/>
      <c r="BO229" s="51">
        <f>SUM(BO230:BO233)</f>
        <v>0</v>
      </c>
      <c r="BP229" s="51"/>
      <c r="BQ229" s="51"/>
      <c r="BR229" s="144"/>
      <c r="BS229" s="663"/>
      <c r="BT229" s="51">
        <f>SUM(BT230:BT233)</f>
        <v>0</v>
      </c>
      <c r="BU229" s="51"/>
      <c r="BV229" s="51"/>
      <c r="BW229" s="144"/>
      <c r="BX229" s="663"/>
      <c r="BY229" s="51">
        <f>SUM(BY230:BY233)</f>
        <v>0</v>
      </c>
      <c r="BZ229" s="51"/>
      <c r="CA229" s="51"/>
      <c r="CB229" s="144"/>
      <c r="CC229" s="663"/>
      <c r="CD229" s="51">
        <f>SUM(CD230:CD233)</f>
        <v>0</v>
      </c>
      <c r="CE229" s="51"/>
      <c r="CF229" s="51"/>
      <c r="CG229" s="144"/>
      <c r="CH229" s="663"/>
      <c r="CI229" s="51">
        <f>SUM(CI230:CI233)</f>
        <v>0</v>
      </c>
      <c r="CJ229" s="51"/>
      <c r="CK229" s="51"/>
      <c r="CL229" s="144"/>
      <c r="CM229" s="663"/>
      <c r="CN229" s="51">
        <f>SUM(CN230:CN233)</f>
        <v>0</v>
      </c>
      <c r="CO229" s="51"/>
      <c r="CP229" s="51"/>
      <c r="CQ229" s="144"/>
      <c r="CR229" s="663"/>
      <c r="CS229" s="51">
        <f>SUM(CS230:CS233)</f>
        <v>0</v>
      </c>
      <c r="CT229" s="51"/>
      <c r="CU229" s="51"/>
      <c r="CV229" s="144"/>
      <c r="CW229" s="663"/>
      <c r="CX229" s="51">
        <f>SUM(CX230:CX233)</f>
        <v>0</v>
      </c>
      <c r="CY229" s="51"/>
      <c r="CZ229" s="51"/>
      <c r="DA229" s="144"/>
      <c r="DB229" s="663"/>
      <c r="DC229" s="51">
        <f>SUM(DC230:DC233)</f>
        <v>0</v>
      </c>
      <c r="DD229" s="51"/>
      <c r="DE229" s="51"/>
      <c r="DF229" s="144"/>
      <c r="DG229" s="663"/>
      <c r="DH229" s="51">
        <f>SUM(DH230:DH233)</f>
        <v>0</v>
      </c>
      <c r="DI229" s="51"/>
      <c r="DJ229" s="51"/>
      <c r="DK229" s="144"/>
      <c r="DL229" s="663"/>
      <c r="DM229" s="51">
        <f>SUM(DM230:DM233)</f>
        <v>0</v>
      </c>
      <c r="DN229" s="51"/>
      <c r="DO229" s="51"/>
      <c r="DP229" s="144"/>
      <c r="DQ229" s="663"/>
      <c r="DR229" s="51">
        <f>SUM(DR230:DR233)</f>
        <v>0</v>
      </c>
      <c r="DS229" s="51"/>
      <c r="DT229" s="51"/>
      <c r="DU229" s="144"/>
      <c r="DV229" s="663"/>
      <c r="DW229" s="51">
        <f>SUM(DW230:DW233)</f>
        <v>0</v>
      </c>
      <c r="DX229" s="51"/>
      <c r="DY229" s="51"/>
      <c r="DZ229" s="144"/>
      <c r="EA229" s="663"/>
      <c r="EB229" s="51">
        <f>SUM(EB230:EB233)</f>
        <v>0</v>
      </c>
      <c r="EC229" s="51"/>
      <c r="ED229" s="51"/>
      <c r="EE229" s="144"/>
      <c r="EF229" s="663"/>
      <c r="EG229" s="51">
        <f>SUM(EG230:EG233)</f>
        <v>0</v>
      </c>
      <c r="EH229" s="51"/>
      <c r="EI229" s="51"/>
      <c r="EJ229" s="144"/>
      <c r="EK229" s="663"/>
      <c r="EL229" s="51">
        <f>SUM(EL230:EL233)</f>
        <v>0</v>
      </c>
      <c r="EM229" s="51"/>
      <c r="EN229" s="51"/>
      <c r="EO229" s="340"/>
      <c r="ER229" s="39"/>
      <c r="ES229" s="39"/>
    </row>
    <row r="230" spans="1:149" ht="12.75" hidden="1" customHeight="1" x14ac:dyDescent="0.2">
      <c r="A230" s="317"/>
      <c r="B230" s="317"/>
      <c r="D230" s="340" t="s">
        <v>183</v>
      </c>
      <c r="E230" s="453"/>
      <c r="F230" s="454"/>
      <c r="G230" s="430">
        <v>0</v>
      </c>
      <c r="H230" s="431"/>
      <c r="I230" s="51"/>
      <c r="J230" s="144"/>
      <c r="K230" s="454"/>
      <c r="L230" s="430">
        <v>0</v>
      </c>
      <c r="M230" s="431"/>
      <c r="N230" s="51"/>
      <c r="O230" s="144"/>
      <c r="P230" s="454"/>
      <c r="Q230" s="430">
        <v>0</v>
      </c>
      <c r="R230" s="431"/>
      <c r="S230" s="51"/>
      <c r="T230" s="144"/>
      <c r="U230" s="454"/>
      <c r="V230" s="430">
        <v>0</v>
      </c>
      <c r="W230" s="431"/>
      <c r="X230" s="51"/>
      <c r="Y230" s="144"/>
      <c r="Z230" s="454"/>
      <c r="AA230" s="430">
        <v>0</v>
      </c>
      <c r="AB230" s="431"/>
      <c r="AC230" s="51"/>
      <c r="AD230" s="144"/>
      <c r="AE230" s="454"/>
      <c r="AF230" s="430">
        <v>0</v>
      </c>
      <c r="AG230" s="431"/>
      <c r="AH230" s="51"/>
      <c r="AI230" s="144"/>
      <c r="AJ230" s="454"/>
      <c r="AK230" s="430">
        <v>0</v>
      </c>
      <c r="AL230" s="431"/>
      <c r="AM230" s="51"/>
      <c r="AN230" s="144"/>
      <c r="AO230" s="454"/>
      <c r="AP230" s="430">
        <v>0</v>
      </c>
      <c r="AQ230" s="431"/>
      <c r="AR230" s="51"/>
      <c r="AS230" s="144"/>
      <c r="AT230" s="454"/>
      <c r="AU230" s="430">
        <v>0</v>
      </c>
      <c r="AV230" s="431"/>
      <c r="AW230" s="51"/>
      <c r="AX230" s="144"/>
      <c r="AY230" s="454"/>
      <c r="AZ230" s="430">
        <v>0</v>
      </c>
      <c r="BA230" s="431"/>
      <c r="BB230" s="51"/>
      <c r="BC230" s="144"/>
      <c r="BD230" s="454"/>
      <c r="BE230" s="430">
        <v>0</v>
      </c>
      <c r="BF230" s="431"/>
      <c r="BG230" s="51"/>
      <c r="BH230" s="144"/>
      <c r="BI230" s="454"/>
      <c r="BJ230" s="430">
        <v>0</v>
      </c>
      <c r="BK230" s="431"/>
      <c r="BL230" s="51"/>
      <c r="BM230" s="144"/>
      <c r="BN230" s="454"/>
      <c r="BO230" s="430">
        <v>0</v>
      </c>
      <c r="BP230" s="431"/>
      <c r="BQ230" s="51"/>
      <c r="BR230" s="144"/>
      <c r="BS230" s="454"/>
      <c r="BT230" s="430">
        <f>SUM(L230:BO230)</f>
        <v>0</v>
      </c>
      <c r="BU230" s="431"/>
      <c r="BV230" s="51"/>
      <c r="BW230" s="144"/>
      <c r="BX230" s="454"/>
      <c r="BY230" s="430">
        <v>0</v>
      </c>
      <c r="BZ230" s="431"/>
      <c r="CA230" s="51"/>
      <c r="CB230" s="144"/>
      <c r="CC230" s="454"/>
      <c r="CD230" s="430">
        <v>0</v>
      </c>
      <c r="CE230" s="431"/>
      <c r="CF230" s="51"/>
      <c r="CG230" s="144"/>
      <c r="CH230" s="454"/>
      <c r="CI230" s="430">
        <v>0</v>
      </c>
      <c r="CJ230" s="431"/>
      <c r="CK230" s="51"/>
      <c r="CL230" s="144"/>
      <c r="CM230" s="454"/>
      <c r="CN230" s="430">
        <v>0</v>
      </c>
      <c r="CO230" s="431"/>
      <c r="CP230" s="51"/>
      <c r="CQ230" s="144"/>
      <c r="CR230" s="454"/>
      <c r="CS230" s="430">
        <v>0</v>
      </c>
      <c r="CT230" s="431"/>
      <c r="CU230" s="51"/>
      <c r="CV230" s="144"/>
      <c r="CW230" s="454"/>
      <c r="CX230" s="430">
        <v>0</v>
      </c>
      <c r="CY230" s="431"/>
      <c r="CZ230" s="51"/>
      <c r="DA230" s="144"/>
      <c r="DB230" s="454"/>
      <c r="DC230" s="430">
        <v>0</v>
      </c>
      <c r="DD230" s="431"/>
      <c r="DE230" s="51"/>
      <c r="DF230" s="144"/>
      <c r="DG230" s="454"/>
      <c r="DH230" s="430">
        <v>0</v>
      </c>
      <c r="DI230" s="431"/>
      <c r="DJ230" s="51"/>
      <c r="DK230" s="144"/>
      <c r="DL230" s="454"/>
      <c r="DM230" s="430">
        <v>0</v>
      </c>
      <c r="DN230" s="431"/>
      <c r="DO230" s="51"/>
      <c r="DP230" s="144"/>
      <c r="DQ230" s="454"/>
      <c r="DR230" s="430">
        <v>0</v>
      </c>
      <c r="DS230" s="431"/>
      <c r="DT230" s="51"/>
      <c r="DU230" s="144"/>
      <c r="DV230" s="454"/>
      <c r="DW230" s="430">
        <v>0</v>
      </c>
      <c r="DX230" s="431"/>
      <c r="DY230" s="51"/>
      <c r="DZ230" s="144"/>
      <c r="EA230" s="454"/>
      <c r="EB230" s="430">
        <v>0</v>
      </c>
      <c r="EC230" s="431"/>
      <c r="ED230" s="51"/>
      <c r="EE230" s="144"/>
      <c r="EF230" s="454"/>
      <c r="EG230" s="430">
        <v>0</v>
      </c>
      <c r="EH230" s="431"/>
      <c r="EI230" s="51"/>
      <c r="EJ230" s="144"/>
      <c r="EK230" s="454"/>
      <c r="EL230" s="430">
        <f>SUM(CD230:EG230)</f>
        <v>0</v>
      </c>
      <c r="EM230" s="431"/>
      <c r="EN230" s="51"/>
      <c r="EO230" s="340"/>
      <c r="ER230" s="39"/>
      <c r="ES230" s="39"/>
    </row>
    <row r="231" spans="1:149" ht="12.75" hidden="1" customHeight="1" x14ac:dyDescent="0.2">
      <c r="A231" s="317"/>
      <c r="B231" s="317"/>
      <c r="D231" s="340" t="s">
        <v>186</v>
      </c>
      <c r="E231" s="453"/>
      <c r="F231" s="456"/>
      <c r="G231" s="51">
        <v>0</v>
      </c>
      <c r="H231" s="50"/>
      <c r="I231" s="51"/>
      <c r="J231" s="144"/>
      <c r="K231" s="456"/>
      <c r="L231" s="51">
        <v>0</v>
      </c>
      <c r="M231" s="50"/>
      <c r="N231" s="51"/>
      <c r="O231" s="144"/>
      <c r="P231" s="456"/>
      <c r="Q231" s="51">
        <v>0</v>
      </c>
      <c r="R231" s="50"/>
      <c r="S231" s="51"/>
      <c r="T231" s="144"/>
      <c r="U231" s="456"/>
      <c r="V231" s="51">
        <v>0</v>
      </c>
      <c r="W231" s="50"/>
      <c r="X231" s="51"/>
      <c r="Y231" s="144"/>
      <c r="Z231" s="456"/>
      <c r="AA231" s="51">
        <v>0</v>
      </c>
      <c r="AB231" s="50"/>
      <c r="AC231" s="51"/>
      <c r="AD231" s="144"/>
      <c r="AE231" s="456"/>
      <c r="AF231" s="51">
        <v>0</v>
      </c>
      <c r="AG231" s="50"/>
      <c r="AH231" s="51"/>
      <c r="AI231" s="144"/>
      <c r="AJ231" s="456"/>
      <c r="AK231" s="51">
        <v>0</v>
      </c>
      <c r="AL231" s="50"/>
      <c r="AM231" s="51"/>
      <c r="AN231" s="144"/>
      <c r="AO231" s="456"/>
      <c r="AP231" s="51">
        <v>0</v>
      </c>
      <c r="AQ231" s="50"/>
      <c r="AR231" s="51"/>
      <c r="AS231" s="144"/>
      <c r="AT231" s="456"/>
      <c r="AU231" s="51">
        <v>0</v>
      </c>
      <c r="AV231" s="50"/>
      <c r="AW231" s="51"/>
      <c r="AX231" s="144"/>
      <c r="AY231" s="456"/>
      <c r="AZ231" s="51">
        <v>0</v>
      </c>
      <c r="BA231" s="50"/>
      <c r="BB231" s="51"/>
      <c r="BC231" s="144"/>
      <c r="BD231" s="456"/>
      <c r="BE231" s="51">
        <v>0</v>
      </c>
      <c r="BF231" s="50"/>
      <c r="BG231" s="51"/>
      <c r="BH231" s="144"/>
      <c r="BI231" s="456"/>
      <c r="BJ231" s="51">
        <v>0</v>
      </c>
      <c r="BK231" s="50"/>
      <c r="BL231" s="51"/>
      <c r="BM231" s="144"/>
      <c r="BN231" s="456"/>
      <c r="BO231" s="51">
        <v>0</v>
      </c>
      <c r="BP231" s="50"/>
      <c r="BQ231" s="51"/>
      <c r="BR231" s="144"/>
      <c r="BS231" s="456"/>
      <c r="BT231" s="51">
        <f>SUM(L231:BO231)</f>
        <v>0</v>
      </c>
      <c r="BU231" s="50"/>
      <c r="BV231" s="51"/>
      <c r="BW231" s="144"/>
      <c r="BX231" s="456"/>
      <c r="BY231" s="51">
        <v>0</v>
      </c>
      <c r="BZ231" s="50"/>
      <c r="CA231" s="51"/>
      <c r="CB231" s="144"/>
      <c r="CC231" s="456"/>
      <c r="CD231" s="51">
        <v>0</v>
      </c>
      <c r="CE231" s="50"/>
      <c r="CF231" s="51"/>
      <c r="CG231" s="144"/>
      <c r="CH231" s="456"/>
      <c r="CI231" s="51">
        <v>0</v>
      </c>
      <c r="CJ231" s="50"/>
      <c r="CK231" s="51"/>
      <c r="CL231" s="144"/>
      <c r="CM231" s="456"/>
      <c r="CN231" s="51">
        <v>0</v>
      </c>
      <c r="CO231" s="50"/>
      <c r="CP231" s="51"/>
      <c r="CQ231" s="144"/>
      <c r="CR231" s="456"/>
      <c r="CS231" s="51">
        <v>0</v>
      </c>
      <c r="CT231" s="50"/>
      <c r="CU231" s="51"/>
      <c r="CV231" s="144"/>
      <c r="CW231" s="456"/>
      <c r="CX231" s="51">
        <v>0</v>
      </c>
      <c r="CY231" s="50"/>
      <c r="CZ231" s="51"/>
      <c r="DA231" s="144"/>
      <c r="DB231" s="456"/>
      <c r="DC231" s="51">
        <v>0</v>
      </c>
      <c r="DD231" s="50"/>
      <c r="DE231" s="51"/>
      <c r="DF231" s="144"/>
      <c r="DG231" s="456"/>
      <c r="DH231" s="51">
        <v>0</v>
      </c>
      <c r="DI231" s="50"/>
      <c r="DJ231" s="51"/>
      <c r="DK231" s="144"/>
      <c r="DL231" s="456"/>
      <c r="DM231" s="51">
        <v>0</v>
      </c>
      <c r="DN231" s="50"/>
      <c r="DO231" s="51"/>
      <c r="DP231" s="144"/>
      <c r="DQ231" s="456"/>
      <c r="DR231" s="51">
        <v>0</v>
      </c>
      <c r="DS231" s="50"/>
      <c r="DT231" s="51"/>
      <c r="DU231" s="144"/>
      <c r="DV231" s="456"/>
      <c r="DW231" s="51">
        <v>0</v>
      </c>
      <c r="DX231" s="50"/>
      <c r="DY231" s="51"/>
      <c r="DZ231" s="144"/>
      <c r="EA231" s="456"/>
      <c r="EB231" s="51">
        <v>0</v>
      </c>
      <c r="EC231" s="50"/>
      <c r="ED231" s="51"/>
      <c r="EE231" s="144"/>
      <c r="EF231" s="456"/>
      <c r="EG231" s="51">
        <v>0</v>
      </c>
      <c r="EH231" s="50"/>
      <c r="EI231" s="51"/>
      <c r="EJ231" s="144"/>
      <c r="EK231" s="456"/>
      <c r="EL231" s="51">
        <f>SUM(CD231:EG231)</f>
        <v>0</v>
      </c>
      <c r="EM231" s="50"/>
      <c r="EN231" s="51"/>
      <c r="EO231" s="340"/>
      <c r="ER231" s="39"/>
      <c r="ES231" s="39"/>
    </row>
    <row r="232" spans="1:149" ht="12.75" hidden="1" customHeight="1" x14ac:dyDescent="0.2">
      <c r="A232" s="317"/>
      <c r="B232" s="317"/>
      <c r="D232" s="340" t="s">
        <v>187</v>
      </c>
      <c r="E232" s="453"/>
      <c r="F232" s="456"/>
      <c r="G232" s="51">
        <v>0</v>
      </c>
      <c r="H232" s="50"/>
      <c r="I232" s="51"/>
      <c r="J232" s="144"/>
      <c r="K232" s="456"/>
      <c r="L232" s="51">
        <v>0</v>
      </c>
      <c r="M232" s="50"/>
      <c r="N232" s="51"/>
      <c r="O232" s="144"/>
      <c r="P232" s="456"/>
      <c r="Q232" s="51">
        <v>0</v>
      </c>
      <c r="R232" s="50"/>
      <c r="S232" s="51"/>
      <c r="T232" s="144"/>
      <c r="U232" s="456"/>
      <c r="V232" s="51">
        <v>0</v>
      </c>
      <c r="W232" s="50"/>
      <c r="X232" s="51"/>
      <c r="Y232" s="144"/>
      <c r="Z232" s="456"/>
      <c r="AA232" s="51">
        <v>0</v>
      </c>
      <c r="AB232" s="50"/>
      <c r="AC232" s="51"/>
      <c r="AD232" s="144"/>
      <c r="AE232" s="456"/>
      <c r="AF232" s="51">
        <v>0</v>
      </c>
      <c r="AG232" s="50"/>
      <c r="AH232" s="51"/>
      <c r="AI232" s="144"/>
      <c r="AJ232" s="456"/>
      <c r="AK232" s="51">
        <v>0</v>
      </c>
      <c r="AL232" s="50"/>
      <c r="AM232" s="51"/>
      <c r="AN232" s="144"/>
      <c r="AO232" s="456"/>
      <c r="AP232" s="51">
        <v>0</v>
      </c>
      <c r="AQ232" s="50"/>
      <c r="AR232" s="51"/>
      <c r="AS232" s="144"/>
      <c r="AT232" s="456"/>
      <c r="AU232" s="51">
        <v>0</v>
      </c>
      <c r="AV232" s="50"/>
      <c r="AW232" s="51"/>
      <c r="AX232" s="144"/>
      <c r="AY232" s="456"/>
      <c r="AZ232" s="51">
        <v>0</v>
      </c>
      <c r="BA232" s="50"/>
      <c r="BB232" s="51"/>
      <c r="BC232" s="144"/>
      <c r="BD232" s="456"/>
      <c r="BE232" s="51">
        <v>0</v>
      </c>
      <c r="BF232" s="50"/>
      <c r="BG232" s="51"/>
      <c r="BH232" s="144"/>
      <c r="BI232" s="456"/>
      <c r="BJ232" s="51">
        <v>0</v>
      </c>
      <c r="BK232" s="50"/>
      <c r="BL232" s="51"/>
      <c r="BM232" s="144"/>
      <c r="BN232" s="456"/>
      <c r="BO232" s="51">
        <v>0</v>
      </c>
      <c r="BP232" s="50"/>
      <c r="BQ232" s="51"/>
      <c r="BR232" s="144"/>
      <c r="BS232" s="456"/>
      <c r="BT232" s="51">
        <f>SUM(L232:BO232)</f>
        <v>0</v>
      </c>
      <c r="BU232" s="50"/>
      <c r="BV232" s="51"/>
      <c r="BW232" s="144"/>
      <c r="BX232" s="456"/>
      <c r="BY232" s="51">
        <v>0</v>
      </c>
      <c r="BZ232" s="50"/>
      <c r="CA232" s="51"/>
      <c r="CB232" s="144"/>
      <c r="CC232" s="456"/>
      <c r="CD232" s="51">
        <v>0</v>
      </c>
      <c r="CE232" s="50"/>
      <c r="CF232" s="51"/>
      <c r="CG232" s="144"/>
      <c r="CH232" s="456"/>
      <c r="CI232" s="51">
        <v>0</v>
      </c>
      <c r="CJ232" s="50"/>
      <c r="CK232" s="51"/>
      <c r="CL232" s="144"/>
      <c r="CM232" s="456"/>
      <c r="CN232" s="51">
        <v>0</v>
      </c>
      <c r="CO232" s="50"/>
      <c r="CP232" s="51"/>
      <c r="CQ232" s="144"/>
      <c r="CR232" s="456"/>
      <c r="CS232" s="51">
        <v>0</v>
      </c>
      <c r="CT232" s="50"/>
      <c r="CU232" s="51"/>
      <c r="CV232" s="144"/>
      <c r="CW232" s="456"/>
      <c r="CX232" s="51">
        <v>0</v>
      </c>
      <c r="CY232" s="50"/>
      <c r="CZ232" s="51"/>
      <c r="DA232" s="144"/>
      <c r="DB232" s="456"/>
      <c r="DC232" s="51">
        <v>0</v>
      </c>
      <c r="DD232" s="50"/>
      <c r="DE232" s="51"/>
      <c r="DF232" s="144"/>
      <c r="DG232" s="456"/>
      <c r="DH232" s="51">
        <v>0</v>
      </c>
      <c r="DI232" s="50"/>
      <c r="DJ232" s="51"/>
      <c r="DK232" s="144"/>
      <c r="DL232" s="456"/>
      <c r="DM232" s="51">
        <v>0</v>
      </c>
      <c r="DN232" s="50"/>
      <c r="DO232" s="51"/>
      <c r="DP232" s="144"/>
      <c r="DQ232" s="456"/>
      <c r="DR232" s="51">
        <v>0</v>
      </c>
      <c r="DS232" s="50"/>
      <c r="DT232" s="51"/>
      <c r="DU232" s="144"/>
      <c r="DV232" s="456"/>
      <c r="DW232" s="51">
        <v>0</v>
      </c>
      <c r="DX232" s="50"/>
      <c r="DY232" s="51"/>
      <c r="DZ232" s="144"/>
      <c r="EA232" s="456"/>
      <c r="EB232" s="51">
        <v>0</v>
      </c>
      <c r="EC232" s="50"/>
      <c r="ED232" s="51"/>
      <c r="EE232" s="144"/>
      <c r="EF232" s="456"/>
      <c r="EG232" s="51">
        <v>0</v>
      </c>
      <c r="EH232" s="50"/>
      <c r="EI232" s="51"/>
      <c r="EJ232" s="144"/>
      <c r="EK232" s="456"/>
      <c r="EL232" s="51">
        <f>SUM(CD232:EG232)</f>
        <v>0</v>
      </c>
      <c r="EM232" s="50"/>
      <c r="EN232" s="51"/>
      <c r="EO232" s="340"/>
      <c r="ER232" s="39"/>
      <c r="ES232" s="39"/>
    </row>
    <row r="233" spans="1:149" ht="12.75" hidden="1" customHeight="1" x14ac:dyDescent="0.2">
      <c r="A233" s="317"/>
      <c r="B233" s="317"/>
      <c r="D233" s="340" t="s">
        <v>188</v>
      </c>
      <c r="E233" s="453"/>
      <c r="F233" s="371"/>
      <c r="G233" s="95">
        <v>0</v>
      </c>
      <c r="H233" s="94"/>
      <c r="I233" s="51"/>
      <c r="J233" s="144"/>
      <c r="K233" s="371"/>
      <c r="L233" s="95">
        <v>0</v>
      </c>
      <c r="M233" s="94"/>
      <c r="N233" s="51"/>
      <c r="O233" s="144"/>
      <c r="P233" s="371"/>
      <c r="Q233" s="95">
        <v>0</v>
      </c>
      <c r="R233" s="94"/>
      <c r="S233" s="51"/>
      <c r="T233" s="144"/>
      <c r="U233" s="371"/>
      <c r="V233" s="95">
        <v>0</v>
      </c>
      <c r="W233" s="94"/>
      <c r="X233" s="51"/>
      <c r="Y233" s="144"/>
      <c r="Z233" s="371"/>
      <c r="AA233" s="95">
        <v>0</v>
      </c>
      <c r="AB233" s="94"/>
      <c r="AC233" s="51"/>
      <c r="AD233" s="144"/>
      <c r="AE233" s="371"/>
      <c r="AF233" s="95">
        <v>0</v>
      </c>
      <c r="AG233" s="94"/>
      <c r="AH233" s="51"/>
      <c r="AI233" s="144"/>
      <c r="AJ233" s="371"/>
      <c r="AK233" s="95">
        <v>0</v>
      </c>
      <c r="AL233" s="94"/>
      <c r="AM233" s="51"/>
      <c r="AN233" s="144"/>
      <c r="AO233" s="371"/>
      <c r="AP233" s="95">
        <v>0</v>
      </c>
      <c r="AQ233" s="94"/>
      <c r="AR233" s="51"/>
      <c r="AS233" s="144"/>
      <c r="AT233" s="187"/>
      <c r="AU233" s="95">
        <v>0</v>
      </c>
      <c r="AV233" s="94"/>
      <c r="AW233" s="51"/>
      <c r="AX233" s="144"/>
      <c r="AY233" s="187"/>
      <c r="AZ233" s="95">
        <v>0</v>
      </c>
      <c r="BA233" s="94"/>
      <c r="BB233" s="51"/>
      <c r="BC233" s="144"/>
      <c r="BD233" s="187"/>
      <c r="BE233" s="95">
        <v>0</v>
      </c>
      <c r="BF233" s="94"/>
      <c r="BG233" s="51"/>
      <c r="BH233" s="144"/>
      <c r="BI233" s="187"/>
      <c r="BJ233" s="95">
        <v>0</v>
      </c>
      <c r="BK233" s="94"/>
      <c r="BL233" s="51"/>
      <c r="BM233" s="144"/>
      <c r="BN233" s="187"/>
      <c r="BO233" s="95">
        <v>0</v>
      </c>
      <c r="BP233" s="94"/>
      <c r="BQ233" s="51"/>
      <c r="BR233" s="144"/>
      <c r="BS233" s="187"/>
      <c r="BT233" s="95">
        <f>SUM(L233:BO233)</f>
        <v>0</v>
      </c>
      <c r="BU233" s="94"/>
      <c r="BV233" s="51"/>
      <c r="BW233" s="144"/>
      <c r="BX233" s="187"/>
      <c r="BY233" s="95">
        <v>0</v>
      </c>
      <c r="BZ233" s="94"/>
      <c r="CA233" s="51"/>
      <c r="CB233" s="144"/>
      <c r="CC233" s="371"/>
      <c r="CD233" s="95">
        <v>0</v>
      </c>
      <c r="CE233" s="94"/>
      <c r="CF233" s="51"/>
      <c r="CG233" s="144"/>
      <c r="CH233" s="371"/>
      <c r="CI233" s="95">
        <v>0</v>
      </c>
      <c r="CJ233" s="94"/>
      <c r="CK233" s="51"/>
      <c r="CL233" s="144"/>
      <c r="CM233" s="371"/>
      <c r="CN233" s="95">
        <v>0</v>
      </c>
      <c r="CO233" s="94"/>
      <c r="CP233" s="51"/>
      <c r="CQ233" s="144"/>
      <c r="CR233" s="371"/>
      <c r="CS233" s="95">
        <v>0</v>
      </c>
      <c r="CT233" s="94"/>
      <c r="CU233" s="51"/>
      <c r="CV233" s="144"/>
      <c r="CW233" s="371"/>
      <c r="CX233" s="95">
        <v>0</v>
      </c>
      <c r="CY233" s="94"/>
      <c r="CZ233" s="51"/>
      <c r="DA233" s="144"/>
      <c r="DB233" s="371"/>
      <c r="DC233" s="95">
        <v>0</v>
      </c>
      <c r="DD233" s="94"/>
      <c r="DE233" s="51"/>
      <c r="DF233" s="144"/>
      <c r="DG233" s="371"/>
      <c r="DH233" s="95">
        <v>0</v>
      </c>
      <c r="DI233" s="94"/>
      <c r="DJ233" s="51"/>
      <c r="DK233" s="144"/>
      <c r="DL233" s="187"/>
      <c r="DM233" s="95">
        <v>0</v>
      </c>
      <c r="DN233" s="94"/>
      <c r="DO233" s="51"/>
      <c r="DP233" s="144"/>
      <c r="DQ233" s="187"/>
      <c r="DR233" s="95">
        <v>0</v>
      </c>
      <c r="DS233" s="94"/>
      <c r="DT233" s="51"/>
      <c r="DU233" s="144"/>
      <c r="DV233" s="187"/>
      <c r="DW233" s="95">
        <v>0</v>
      </c>
      <c r="DX233" s="94"/>
      <c r="DY233" s="51"/>
      <c r="DZ233" s="144"/>
      <c r="EA233" s="187"/>
      <c r="EB233" s="95">
        <v>0</v>
      </c>
      <c r="EC233" s="94"/>
      <c r="ED233" s="51"/>
      <c r="EE233" s="144"/>
      <c r="EF233" s="187"/>
      <c r="EG233" s="95">
        <v>0</v>
      </c>
      <c r="EH233" s="94"/>
      <c r="EI233" s="51"/>
      <c r="EJ233" s="144"/>
      <c r="EK233" s="187"/>
      <c r="EL233" s="95">
        <f>SUM(CD233:EG233)</f>
        <v>0</v>
      </c>
      <c r="EM233" s="94"/>
      <c r="EN233" s="51"/>
      <c r="EO233" s="340"/>
      <c r="ER233" s="39"/>
      <c r="ES233" s="39"/>
    </row>
    <row r="234" spans="1:149" ht="12.75" hidden="1" customHeight="1" x14ac:dyDescent="0.2">
      <c r="A234" s="317"/>
      <c r="B234" s="317"/>
      <c r="D234" s="340"/>
      <c r="E234" s="453"/>
      <c r="F234" s="663"/>
      <c r="G234" s="51"/>
      <c r="H234" s="51"/>
      <c r="I234" s="51"/>
      <c r="J234" s="144"/>
      <c r="K234" s="663"/>
      <c r="L234" s="51"/>
      <c r="M234" s="51"/>
      <c r="N234" s="51"/>
      <c r="O234" s="144"/>
      <c r="P234" s="663"/>
      <c r="Q234" s="51"/>
      <c r="R234" s="51"/>
      <c r="S234" s="51"/>
      <c r="T234" s="144"/>
      <c r="U234" s="663"/>
      <c r="V234" s="51"/>
      <c r="W234" s="51"/>
      <c r="X234" s="51"/>
      <c r="Y234" s="144"/>
      <c r="Z234" s="663"/>
      <c r="AA234" s="51"/>
      <c r="AB234" s="51"/>
      <c r="AC234" s="51"/>
      <c r="AD234" s="144"/>
      <c r="AE234" s="663"/>
      <c r="AF234" s="51"/>
      <c r="AG234" s="51"/>
      <c r="AH234" s="51"/>
      <c r="AI234" s="144"/>
      <c r="AJ234" s="663"/>
      <c r="AK234" s="51"/>
      <c r="AL234" s="51"/>
      <c r="AM234" s="51"/>
      <c r="AN234" s="144"/>
      <c r="AO234" s="663"/>
      <c r="AP234" s="51"/>
      <c r="AQ234" s="51"/>
      <c r="AR234" s="51"/>
      <c r="AS234" s="144"/>
      <c r="AT234" s="663"/>
      <c r="AU234" s="51"/>
      <c r="AV234" s="51"/>
      <c r="AW234" s="51"/>
      <c r="AX234" s="144"/>
      <c r="AY234" s="663"/>
      <c r="AZ234" s="51"/>
      <c r="BA234" s="51"/>
      <c r="BB234" s="51"/>
      <c r="BC234" s="144"/>
      <c r="BD234" s="663"/>
      <c r="BE234" s="51"/>
      <c r="BF234" s="51"/>
      <c r="BG234" s="51"/>
      <c r="BH234" s="144"/>
      <c r="BI234" s="663"/>
      <c r="BJ234" s="51"/>
      <c r="BK234" s="51"/>
      <c r="BL234" s="51"/>
      <c r="BM234" s="144"/>
      <c r="BN234" s="663"/>
      <c r="BO234" s="51"/>
      <c r="BP234" s="51"/>
      <c r="BQ234" s="51"/>
      <c r="BR234" s="144"/>
      <c r="BS234" s="663"/>
      <c r="BT234" s="51"/>
      <c r="BU234" s="51"/>
      <c r="BV234" s="51"/>
      <c r="BW234" s="144"/>
      <c r="BX234" s="663"/>
      <c r="BY234" s="51"/>
      <c r="BZ234" s="51"/>
      <c r="CA234" s="51"/>
      <c r="CB234" s="144"/>
      <c r="CC234" s="663"/>
      <c r="CD234" s="51"/>
      <c r="CE234" s="51"/>
      <c r="CF234" s="51"/>
      <c r="CG234" s="144"/>
      <c r="CH234" s="663"/>
      <c r="CI234" s="51"/>
      <c r="CJ234" s="51"/>
      <c r="CK234" s="51"/>
      <c r="CL234" s="144"/>
      <c r="CM234" s="663"/>
      <c r="CN234" s="51"/>
      <c r="CO234" s="51"/>
      <c r="CP234" s="51"/>
      <c r="CQ234" s="144"/>
      <c r="CR234" s="663"/>
      <c r="CS234" s="51"/>
      <c r="CT234" s="51"/>
      <c r="CU234" s="51"/>
      <c r="CV234" s="144"/>
      <c r="CW234" s="663"/>
      <c r="CX234" s="51"/>
      <c r="CY234" s="51"/>
      <c r="CZ234" s="51"/>
      <c r="DA234" s="144"/>
      <c r="DB234" s="663"/>
      <c r="DC234" s="51"/>
      <c r="DD234" s="51"/>
      <c r="DE234" s="51"/>
      <c r="DF234" s="144"/>
      <c r="DG234" s="663"/>
      <c r="DH234" s="51"/>
      <c r="DI234" s="51"/>
      <c r="DJ234" s="51"/>
      <c r="DK234" s="144"/>
      <c r="DL234" s="663"/>
      <c r="DM234" s="51"/>
      <c r="DN234" s="51"/>
      <c r="DO234" s="51"/>
      <c r="DP234" s="144"/>
      <c r="DQ234" s="663"/>
      <c r="DR234" s="51"/>
      <c r="DS234" s="51"/>
      <c r="DT234" s="51"/>
      <c r="DU234" s="144"/>
      <c r="DV234" s="663"/>
      <c r="DW234" s="51"/>
      <c r="DX234" s="51"/>
      <c r="DY234" s="51"/>
      <c r="DZ234" s="144"/>
      <c r="EA234" s="663"/>
      <c r="EB234" s="51"/>
      <c r="EC234" s="51"/>
      <c r="ED234" s="51"/>
      <c r="EE234" s="144"/>
      <c r="EF234" s="663"/>
      <c r="EG234" s="51"/>
      <c r="EH234" s="51"/>
      <c r="EI234" s="51"/>
      <c r="EJ234" s="144"/>
      <c r="EK234" s="663"/>
      <c r="EL234" s="51"/>
      <c r="EM234" s="51"/>
      <c r="EN234" s="51"/>
      <c r="EO234" s="340"/>
      <c r="ER234" s="39"/>
      <c r="ES234" s="39"/>
    </row>
    <row r="235" spans="1:149" ht="12.75" hidden="1" customHeight="1" x14ac:dyDescent="0.2">
      <c r="A235" s="317"/>
      <c r="B235" s="317"/>
      <c r="D235" s="340" t="s">
        <v>196</v>
      </c>
      <c r="E235" s="453"/>
      <c r="F235" s="663"/>
      <c r="G235" s="51">
        <f>SUM(G236:G239)</f>
        <v>0</v>
      </c>
      <c r="H235" s="51"/>
      <c r="I235" s="51"/>
      <c r="J235" s="144"/>
      <c r="K235" s="663"/>
      <c r="L235" s="51">
        <f>SUM(L236:L239)</f>
        <v>0</v>
      </c>
      <c r="M235" s="51"/>
      <c r="N235" s="51"/>
      <c r="O235" s="144"/>
      <c r="P235" s="663"/>
      <c r="Q235" s="51">
        <f>SUM(Q236:Q239)</f>
        <v>0</v>
      </c>
      <c r="R235" s="51"/>
      <c r="S235" s="51"/>
      <c r="T235" s="144"/>
      <c r="U235" s="663"/>
      <c r="V235" s="51">
        <f>SUM(V236:V239)</f>
        <v>0</v>
      </c>
      <c r="W235" s="51"/>
      <c r="X235" s="51"/>
      <c r="Y235" s="144"/>
      <c r="Z235" s="663"/>
      <c r="AA235" s="51">
        <f>SUM(AA236:AA239)</f>
        <v>0</v>
      </c>
      <c r="AB235" s="51"/>
      <c r="AC235" s="51"/>
      <c r="AD235" s="144"/>
      <c r="AE235" s="663"/>
      <c r="AF235" s="51">
        <f>SUM(AF236:AF239)</f>
        <v>0</v>
      </c>
      <c r="AG235" s="51"/>
      <c r="AH235" s="51"/>
      <c r="AI235" s="144"/>
      <c r="AJ235" s="663"/>
      <c r="AK235" s="51">
        <f>SUM(AK236:AK239)</f>
        <v>0</v>
      </c>
      <c r="AL235" s="51"/>
      <c r="AM235" s="51"/>
      <c r="AN235" s="144"/>
      <c r="AO235" s="663"/>
      <c r="AP235" s="51">
        <f>SUM(AP236:AP239)</f>
        <v>0</v>
      </c>
      <c r="AQ235" s="51"/>
      <c r="AR235" s="51"/>
      <c r="AS235" s="144"/>
      <c r="AT235" s="663"/>
      <c r="AU235" s="51">
        <f>SUM(AU236:AU239)</f>
        <v>0</v>
      </c>
      <c r="AV235" s="51"/>
      <c r="AW235" s="51"/>
      <c r="AX235" s="144"/>
      <c r="AY235" s="663"/>
      <c r="AZ235" s="51">
        <f>SUM(AZ236:AZ239)</f>
        <v>0</v>
      </c>
      <c r="BA235" s="51"/>
      <c r="BB235" s="51"/>
      <c r="BC235" s="144"/>
      <c r="BD235" s="663"/>
      <c r="BE235" s="51">
        <f>SUM(BE236:BE239)</f>
        <v>0</v>
      </c>
      <c r="BF235" s="51"/>
      <c r="BG235" s="51"/>
      <c r="BH235" s="144"/>
      <c r="BI235" s="663"/>
      <c r="BJ235" s="51">
        <f>SUM(BJ236:BJ239)</f>
        <v>0</v>
      </c>
      <c r="BK235" s="51"/>
      <c r="BL235" s="51"/>
      <c r="BM235" s="144"/>
      <c r="BN235" s="663"/>
      <c r="BO235" s="51">
        <f>SUM(BO236:BO239)</f>
        <v>0</v>
      </c>
      <c r="BP235" s="51"/>
      <c r="BQ235" s="51"/>
      <c r="BR235" s="144"/>
      <c r="BS235" s="663"/>
      <c r="BT235" s="51">
        <f>SUM(BT236:BT239)</f>
        <v>0</v>
      </c>
      <c r="BU235" s="51"/>
      <c r="BV235" s="51"/>
      <c r="BW235" s="144"/>
      <c r="BX235" s="663"/>
      <c r="BY235" s="51">
        <f>SUM(BY236:BY239)</f>
        <v>0</v>
      </c>
      <c r="BZ235" s="51"/>
      <c r="CA235" s="51"/>
      <c r="CB235" s="144"/>
      <c r="CC235" s="663"/>
      <c r="CD235" s="51">
        <f>SUM(CD236:CD239)</f>
        <v>0</v>
      </c>
      <c r="CE235" s="51"/>
      <c r="CF235" s="51"/>
      <c r="CG235" s="144"/>
      <c r="CH235" s="663"/>
      <c r="CI235" s="51">
        <f>SUM(CI236:CI239)</f>
        <v>0</v>
      </c>
      <c r="CJ235" s="51"/>
      <c r="CK235" s="51"/>
      <c r="CL235" s="144"/>
      <c r="CM235" s="663"/>
      <c r="CN235" s="51">
        <f>SUM(CN236:CN239)</f>
        <v>0</v>
      </c>
      <c r="CO235" s="51"/>
      <c r="CP235" s="51"/>
      <c r="CQ235" s="144"/>
      <c r="CR235" s="663"/>
      <c r="CS235" s="51">
        <f>SUM(CS236:CS239)</f>
        <v>0</v>
      </c>
      <c r="CT235" s="51"/>
      <c r="CU235" s="51"/>
      <c r="CV235" s="144"/>
      <c r="CW235" s="663"/>
      <c r="CX235" s="51">
        <f>SUM(CX236:CX239)</f>
        <v>0</v>
      </c>
      <c r="CY235" s="51"/>
      <c r="CZ235" s="51"/>
      <c r="DA235" s="144"/>
      <c r="DB235" s="663"/>
      <c r="DC235" s="51">
        <f>SUM(DC236:DC239)</f>
        <v>0</v>
      </c>
      <c r="DD235" s="51"/>
      <c r="DE235" s="51"/>
      <c r="DF235" s="144"/>
      <c r="DG235" s="663"/>
      <c r="DH235" s="51">
        <f>SUM(DH236:DH239)</f>
        <v>0</v>
      </c>
      <c r="DI235" s="51"/>
      <c r="DJ235" s="51"/>
      <c r="DK235" s="144"/>
      <c r="DL235" s="663"/>
      <c r="DM235" s="51">
        <f>SUM(DM236:DM239)</f>
        <v>0</v>
      </c>
      <c r="DN235" s="51"/>
      <c r="DO235" s="51"/>
      <c r="DP235" s="144"/>
      <c r="DQ235" s="663"/>
      <c r="DR235" s="51">
        <f>SUM(DR236:DR239)</f>
        <v>0</v>
      </c>
      <c r="DS235" s="51"/>
      <c r="DT235" s="51"/>
      <c r="DU235" s="144"/>
      <c r="DV235" s="663"/>
      <c r="DW235" s="51">
        <f>SUM(DW236:DW239)</f>
        <v>0</v>
      </c>
      <c r="DX235" s="51"/>
      <c r="DY235" s="51"/>
      <c r="DZ235" s="144"/>
      <c r="EA235" s="663"/>
      <c r="EB235" s="51">
        <f>SUM(EB236:EB239)</f>
        <v>0</v>
      </c>
      <c r="EC235" s="51"/>
      <c r="ED235" s="51"/>
      <c r="EE235" s="144"/>
      <c r="EF235" s="663"/>
      <c r="EG235" s="51">
        <f>SUM(EG236:EG239)</f>
        <v>0</v>
      </c>
      <c r="EH235" s="51"/>
      <c r="EI235" s="51"/>
      <c r="EJ235" s="144"/>
      <c r="EK235" s="663"/>
      <c r="EL235" s="51">
        <f>SUM(EL236:EL239)</f>
        <v>0</v>
      </c>
      <c r="EM235" s="51"/>
      <c r="EN235" s="51"/>
      <c r="EO235" s="340"/>
      <c r="ER235" s="39"/>
      <c r="ES235" s="39"/>
    </row>
    <row r="236" spans="1:149" ht="12.75" hidden="1" customHeight="1" x14ac:dyDescent="0.2">
      <c r="A236" s="317"/>
      <c r="B236" s="317"/>
      <c r="D236" s="340" t="s">
        <v>183</v>
      </c>
      <c r="E236" s="453"/>
      <c r="F236" s="454"/>
      <c r="G236" s="430">
        <v>0</v>
      </c>
      <c r="H236" s="431"/>
      <c r="I236" s="51"/>
      <c r="J236" s="144"/>
      <c r="K236" s="454"/>
      <c r="L236" s="430">
        <v>0</v>
      </c>
      <c r="M236" s="431"/>
      <c r="N236" s="51"/>
      <c r="O236" s="144"/>
      <c r="P236" s="454"/>
      <c r="Q236" s="430">
        <v>0</v>
      </c>
      <c r="R236" s="431"/>
      <c r="S236" s="51"/>
      <c r="T236" s="144"/>
      <c r="U236" s="454"/>
      <c r="V236" s="430">
        <v>0</v>
      </c>
      <c r="W236" s="431"/>
      <c r="X236" s="51"/>
      <c r="Y236" s="144"/>
      <c r="Z236" s="454"/>
      <c r="AA236" s="430">
        <v>0</v>
      </c>
      <c r="AB236" s="431"/>
      <c r="AC236" s="51"/>
      <c r="AD236" s="144"/>
      <c r="AE236" s="454"/>
      <c r="AF236" s="430">
        <v>0</v>
      </c>
      <c r="AG236" s="431"/>
      <c r="AH236" s="51"/>
      <c r="AI236" s="144"/>
      <c r="AJ236" s="454"/>
      <c r="AK236" s="430">
        <v>0</v>
      </c>
      <c r="AL236" s="431"/>
      <c r="AM236" s="51"/>
      <c r="AN236" s="144"/>
      <c r="AO236" s="454"/>
      <c r="AP236" s="430">
        <v>0</v>
      </c>
      <c r="AQ236" s="431"/>
      <c r="AR236" s="51"/>
      <c r="AS236" s="144"/>
      <c r="AT236" s="454"/>
      <c r="AU236" s="430">
        <v>0</v>
      </c>
      <c r="AV236" s="431"/>
      <c r="AW236" s="51"/>
      <c r="AX236" s="144"/>
      <c r="AY236" s="454"/>
      <c r="AZ236" s="430">
        <v>0</v>
      </c>
      <c r="BA236" s="431"/>
      <c r="BB236" s="51"/>
      <c r="BC236" s="144"/>
      <c r="BD236" s="454"/>
      <c r="BE236" s="430">
        <v>0</v>
      </c>
      <c r="BF236" s="431"/>
      <c r="BG236" s="51"/>
      <c r="BH236" s="144"/>
      <c r="BI236" s="454"/>
      <c r="BJ236" s="430">
        <v>0</v>
      </c>
      <c r="BK236" s="431"/>
      <c r="BL236" s="51"/>
      <c r="BM236" s="144"/>
      <c r="BN236" s="454"/>
      <c r="BO236" s="430">
        <v>0</v>
      </c>
      <c r="BP236" s="431"/>
      <c r="BQ236" s="51"/>
      <c r="BR236" s="144"/>
      <c r="BS236" s="454"/>
      <c r="BT236" s="430">
        <f>SUM(L236:BO236)</f>
        <v>0</v>
      </c>
      <c r="BU236" s="431"/>
      <c r="BV236" s="51"/>
      <c r="BW236" s="144"/>
      <c r="BX236" s="454"/>
      <c r="BY236" s="430">
        <v>0</v>
      </c>
      <c r="BZ236" s="431"/>
      <c r="CA236" s="51"/>
      <c r="CB236" s="144"/>
      <c r="CC236" s="454"/>
      <c r="CD236" s="430">
        <v>0</v>
      </c>
      <c r="CE236" s="431"/>
      <c r="CF236" s="51"/>
      <c r="CG236" s="144"/>
      <c r="CH236" s="454"/>
      <c r="CI236" s="430">
        <v>0</v>
      </c>
      <c r="CJ236" s="431"/>
      <c r="CK236" s="51"/>
      <c r="CL236" s="144"/>
      <c r="CM236" s="454"/>
      <c r="CN236" s="430">
        <v>0</v>
      </c>
      <c r="CO236" s="431"/>
      <c r="CP236" s="51"/>
      <c r="CQ236" s="144"/>
      <c r="CR236" s="454"/>
      <c r="CS236" s="430">
        <v>0</v>
      </c>
      <c r="CT236" s="431"/>
      <c r="CU236" s="51"/>
      <c r="CV236" s="144"/>
      <c r="CW236" s="454"/>
      <c r="CX236" s="430">
        <v>0</v>
      </c>
      <c r="CY236" s="431"/>
      <c r="CZ236" s="51"/>
      <c r="DA236" s="144"/>
      <c r="DB236" s="454"/>
      <c r="DC236" s="430">
        <v>0</v>
      </c>
      <c r="DD236" s="431"/>
      <c r="DE236" s="51"/>
      <c r="DF236" s="144"/>
      <c r="DG236" s="454"/>
      <c r="DH236" s="430">
        <v>0</v>
      </c>
      <c r="DI236" s="431"/>
      <c r="DJ236" s="51"/>
      <c r="DK236" s="144"/>
      <c r="DL236" s="454"/>
      <c r="DM236" s="430">
        <v>0</v>
      </c>
      <c r="DN236" s="431"/>
      <c r="DO236" s="51"/>
      <c r="DP236" s="144"/>
      <c r="DQ236" s="454"/>
      <c r="DR236" s="430">
        <v>0</v>
      </c>
      <c r="DS236" s="431"/>
      <c r="DT236" s="51"/>
      <c r="DU236" s="144"/>
      <c r="DV236" s="454"/>
      <c r="DW236" s="430">
        <v>0</v>
      </c>
      <c r="DX236" s="431"/>
      <c r="DY236" s="51"/>
      <c r="DZ236" s="144"/>
      <c r="EA236" s="454"/>
      <c r="EB236" s="430">
        <v>0</v>
      </c>
      <c r="EC236" s="431"/>
      <c r="ED236" s="51"/>
      <c r="EE236" s="144"/>
      <c r="EF236" s="454"/>
      <c r="EG236" s="430">
        <v>0</v>
      </c>
      <c r="EH236" s="431"/>
      <c r="EI236" s="51"/>
      <c r="EJ236" s="144"/>
      <c r="EK236" s="454"/>
      <c r="EL236" s="430">
        <f>SUM(CD236:EG236)</f>
        <v>0</v>
      </c>
      <c r="EM236" s="431"/>
      <c r="EN236" s="51"/>
      <c r="EO236" s="340"/>
      <c r="ER236" s="39"/>
      <c r="ES236" s="39"/>
    </row>
    <row r="237" spans="1:149" ht="12.75" hidden="1" customHeight="1" x14ac:dyDescent="0.2">
      <c r="A237" s="317"/>
      <c r="B237" s="317"/>
      <c r="D237" s="340" t="s">
        <v>186</v>
      </c>
      <c r="E237" s="453"/>
      <c r="F237" s="456"/>
      <c r="G237" s="51">
        <v>0</v>
      </c>
      <c r="H237" s="50"/>
      <c r="I237" s="51"/>
      <c r="J237" s="144"/>
      <c r="K237" s="456"/>
      <c r="L237" s="51">
        <v>0</v>
      </c>
      <c r="M237" s="50"/>
      <c r="N237" s="51"/>
      <c r="O237" s="144"/>
      <c r="P237" s="456"/>
      <c r="Q237" s="51">
        <v>0</v>
      </c>
      <c r="R237" s="50"/>
      <c r="S237" s="51"/>
      <c r="T237" s="144"/>
      <c r="U237" s="456"/>
      <c r="V237" s="51">
        <v>0</v>
      </c>
      <c r="W237" s="50"/>
      <c r="X237" s="51"/>
      <c r="Y237" s="144"/>
      <c r="Z237" s="456"/>
      <c r="AA237" s="51">
        <v>0</v>
      </c>
      <c r="AB237" s="50"/>
      <c r="AC237" s="51"/>
      <c r="AD237" s="144"/>
      <c r="AE237" s="456"/>
      <c r="AF237" s="51">
        <v>0</v>
      </c>
      <c r="AG237" s="50"/>
      <c r="AH237" s="51"/>
      <c r="AI237" s="144"/>
      <c r="AJ237" s="456"/>
      <c r="AK237" s="51">
        <v>0</v>
      </c>
      <c r="AL237" s="50"/>
      <c r="AM237" s="51"/>
      <c r="AN237" s="144"/>
      <c r="AO237" s="456"/>
      <c r="AP237" s="51">
        <v>0</v>
      </c>
      <c r="AQ237" s="50"/>
      <c r="AR237" s="51"/>
      <c r="AS237" s="144"/>
      <c r="AT237" s="456"/>
      <c r="AU237" s="51">
        <v>0</v>
      </c>
      <c r="AV237" s="50"/>
      <c r="AW237" s="51"/>
      <c r="AX237" s="144"/>
      <c r="AY237" s="456"/>
      <c r="AZ237" s="51">
        <v>0</v>
      </c>
      <c r="BA237" s="50"/>
      <c r="BB237" s="51"/>
      <c r="BC237" s="144"/>
      <c r="BD237" s="456"/>
      <c r="BE237" s="51">
        <v>0</v>
      </c>
      <c r="BF237" s="50"/>
      <c r="BG237" s="51"/>
      <c r="BH237" s="144"/>
      <c r="BI237" s="456"/>
      <c r="BJ237" s="51">
        <v>0</v>
      </c>
      <c r="BK237" s="50"/>
      <c r="BL237" s="51"/>
      <c r="BM237" s="144"/>
      <c r="BN237" s="456"/>
      <c r="BO237" s="51">
        <v>0</v>
      </c>
      <c r="BP237" s="50"/>
      <c r="BQ237" s="51"/>
      <c r="BR237" s="144"/>
      <c r="BS237" s="456"/>
      <c r="BT237" s="51">
        <f>SUM(L237:BO237)</f>
        <v>0</v>
      </c>
      <c r="BU237" s="50"/>
      <c r="BV237" s="51"/>
      <c r="BW237" s="144"/>
      <c r="BX237" s="456"/>
      <c r="BY237" s="51">
        <v>0</v>
      </c>
      <c r="BZ237" s="50"/>
      <c r="CA237" s="51"/>
      <c r="CB237" s="144"/>
      <c r="CC237" s="456"/>
      <c r="CD237" s="51">
        <v>0</v>
      </c>
      <c r="CE237" s="50"/>
      <c r="CF237" s="51"/>
      <c r="CG237" s="144"/>
      <c r="CH237" s="456"/>
      <c r="CI237" s="51">
        <v>0</v>
      </c>
      <c r="CJ237" s="50"/>
      <c r="CK237" s="51"/>
      <c r="CL237" s="144"/>
      <c r="CM237" s="456"/>
      <c r="CN237" s="51">
        <v>0</v>
      </c>
      <c r="CO237" s="50"/>
      <c r="CP237" s="51"/>
      <c r="CQ237" s="144"/>
      <c r="CR237" s="456"/>
      <c r="CS237" s="51">
        <v>0</v>
      </c>
      <c r="CT237" s="50"/>
      <c r="CU237" s="51"/>
      <c r="CV237" s="144"/>
      <c r="CW237" s="456"/>
      <c r="CX237" s="51">
        <v>0</v>
      </c>
      <c r="CY237" s="50"/>
      <c r="CZ237" s="51"/>
      <c r="DA237" s="144"/>
      <c r="DB237" s="456"/>
      <c r="DC237" s="51">
        <v>0</v>
      </c>
      <c r="DD237" s="50"/>
      <c r="DE237" s="51"/>
      <c r="DF237" s="144"/>
      <c r="DG237" s="456"/>
      <c r="DH237" s="51">
        <v>0</v>
      </c>
      <c r="DI237" s="50"/>
      <c r="DJ237" s="51"/>
      <c r="DK237" s="144"/>
      <c r="DL237" s="456"/>
      <c r="DM237" s="51">
        <v>0</v>
      </c>
      <c r="DN237" s="50"/>
      <c r="DO237" s="51"/>
      <c r="DP237" s="144"/>
      <c r="DQ237" s="456"/>
      <c r="DR237" s="51">
        <v>0</v>
      </c>
      <c r="DS237" s="50"/>
      <c r="DT237" s="51"/>
      <c r="DU237" s="144"/>
      <c r="DV237" s="456"/>
      <c r="DW237" s="51">
        <v>0</v>
      </c>
      <c r="DX237" s="50"/>
      <c r="DY237" s="51"/>
      <c r="DZ237" s="144"/>
      <c r="EA237" s="456"/>
      <c r="EB237" s="51">
        <v>0</v>
      </c>
      <c r="EC237" s="50"/>
      <c r="ED237" s="51"/>
      <c r="EE237" s="144"/>
      <c r="EF237" s="456"/>
      <c r="EG237" s="51">
        <v>0</v>
      </c>
      <c r="EH237" s="50"/>
      <c r="EI237" s="51"/>
      <c r="EJ237" s="144"/>
      <c r="EK237" s="456"/>
      <c r="EL237" s="51">
        <f>SUM(CD237:EG237)</f>
        <v>0</v>
      </c>
      <c r="EM237" s="50"/>
      <c r="EN237" s="51"/>
      <c r="EO237" s="340"/>
      <c r="ER237" s="39"/>
      <c r="ES237" s="39"/>
    </row>
    <row r="238" spans="1:149" ht="12.75" hidden="1" customHeight="1" x14ac:dyDescent="0.2">
      <c r="A238" s="317"/>
      <c r="B238" s="317"/>
      <c r="D238" s="340" t="s">
        <v>187</v>
      </c>
      <c r="E238" s="453"/>
      <c r="F238" s="456"/>
      <c r="G238" s="51"/>
      <c r="H238" s="50"/>
      <c r="I238" s="51"/>
      <c r="J238" s="144"/>
      <c r="K238" s="456"/>
      <c r="L238" s="51"/>
      <c r="M238" s="50"/>
      <c r="N238" s="51"/>
      <c r="O238" s="144"/>
      <c r="P238" s="456"/>
      <c r="Q238" s="51"/>
      <c r="R238" s="50"/>
      <c r="S238" s="51"/>
      <c r="T238" s="144"/>
      <c r="U238" s="456"/>
      <c r="V238" s="51"/>
      <c r="W238" s="50"/>
      <c r="X238" s="51"/>
      <c r="Y238" s="144"/>
      <c r="Z238" s="456"/>
      <c r="AA238" s="51"/>
      <c r="AB238" s="50"/>
      <c r="AC238" s="51"/>
      <c r="AD238" s="144"/>
      <c r="AE238" s="456"/>
      <c r="AF238" s="51"/>
      <c r="AG238" s="50"/>
      <c r="AH238" s="51"/>
      <c r="AI238" s="144"/>
      <c r="AJ238" s="456"/>
      <c r="AK238" s="51"/>
      <c r="AL238" s="50"/>
      <c r="AM238" s="51"/>
      <c r="AN238" s="144"/>
      <c r="AO238" s="456"/>
      <c r="AP238" s="51"/>
      <c r="AQ238" s="50"/>
      <c r="AR238" s="51"/>
      <c r="AS238" s="144"/>
      <c r="AT238" s="456"/>
      <c r="AU238" s="51"/>
      <c r="AV238" s="50"/>
      <c r="AW238" s="51"/>
      <c r="AX238" s="144"/>
      <c r="AY238" s="456"/>
      <c r="AZ238" s="51"/>
      <c r="BA238" s="50"/>
      <c r="BB238" s="51"/>
      <c r="BC238" s="144"/>
      <c r="BD238" s="456"/>
      <c r="BE238" s="51"/>
      <c r="BF238" s="50"/>
      <c r="BG238" s="51"/>
      <c r="BH238" s="144"/>
      <c r="BI238" s="456"/>
      <c r="BJ238" s="51"/>
      <c r="BK238" s="50"/>
      <c r="BL238" s="51"/>
      <c r="BM238" s="144"/>
      <c r="BN238" s="456"/>
      <c r="BO238" s="51"/>
      <c r="BP238" s="50"/>
      <c r="BQ238" s="51"/>
      <c r="BR238" s="144"/>
      <c r="BS238" s="456"/>
      <c r="BT238" s="51">
        <f>SUM(L238:BO238)</f>
        <v>0</v>
      </c>
      <c r="BU238" s="50"/>
      <c r="BV238" s="51"/>
      <c r="BW238" s="144"/>
      <c r="BX238" s="456"/>
      <c r="BY238" s="51"/>
      <c r="BZ238" s="50"/>
      <c r="CA238" s="51"/>
      <c r="CB238" s="144"/>
      <c r="CC238" s="456"/>
      <c r="CD238" s="51"/>
      <c r="CE238" s="50"/>
      <c r="CF238" s="51"/>
      <c r="CG238" s="144"/>
      <c r="CH238" s="456"/>
      <c r="CI238" s="51"/>
      <c r="CJ238" s="50"/>
      <c r="CK238" s="51"/>
      <c r="CL238" s="144"/>
      <c r="CM238" s="456"/>
      <c r="CN238" s="51"/>
      <c r="CO238" s="50"/>
      <c r="CP238" s="51"/>
      <c r="CQ238" s="144"/>
      <c r="CR238" s="456"/>
      <c r="CS238" s="51"/>
      <c r="CT238" s="50"/>
      <c r="CU238" s="51"/>
      <c r="CV238" s="144"/>
      <c r="CW238" s="456"/>
      <c r="CX238" s="51"/>
      <c r="CY238" s="50"/>
      <c r="CZ238" s="51"/>
      <c r="DA238" s="144"/>
      <c r="DB238" s="456"/>
      <c r="DC238" s="51"/>
      <c r="DD238" s="50"/>
      <c r="DE238" s="51"/>
      <c r="DF238" s="144"/>
      <c r="DG238" s="456"/>
      <c r="DH238" s="51"/>
      <c r="DI238" s="50"/>
      <c r="DJ238" s="51"/>
      <c r="DK238" s="144"/>
      <c r="DL238" s="456"/>
      <c r="DM238" s="51"/>
      <c r="DN238" s="50"/>
      <c r="DO238" s="51"/>
      <c r="DP238" s="144"/>
      <c r="DQ238" s="456"/>
      <c r="DR238" s="51"/>
      <c r="DS238" s="50"/>
      <c r="DT238" s="51"/>
      <c r="DU238" s="144"/>
      <c r="DV238" s="456"/>
      <c r="DW238" s="51"/>
      <c r="DX238" s="50"/>
      <c r="DY238" s="51"/>
      <c r="DZ238" s="144"/>
      <c r="EA238" s="456"/>
      <c r="EB238" s="51"/>
      <c r="EC238" s="50"/>
      <c r="ED238" s="51"/>
      <c r="EE238" s="144"/>
      <c r="EF238" s="456"/>
      <c r="EG238" s="51"/>
      <c r="EH238" s="50"/>
      <c r="EI238" s="51"/>
      <c r="EJ238" s="144"/>
      <c r="EK238" s="456"/>
      <c r="EL238" s="51">
        <f>SUM(CD238:EG238)</f>
        <v>0</v>
      </c>
      <c r="EM238" s="50"/>
      <c r="EN238" s="51"/>
      <c r="EO238" s="340"/>
      <c r="ER238" s="39"/>
      <c r="ES238" s="39"/>
    </row>
    <row r="239" spans="1:149" ht="12.75" hidden="1" customHeight="1" x14ac:dyDescent="0.2">
      <c r="A239" s="317"/>
      <c r="B239" s="317"/>
      <c r="D239" s="340" t="s">
        <v>188</v>
      </c>
      <c r="E239" s="453"/>
      <c r="F239" s="371"/>
      <c r="G239" s="95">
        <v>0</v>
      </c>
      <c r="H239" s="94"/>
      <c r="I239" s="51"/>
      <c r="J239" s="144"/>
      <c r="K239" s="371"/>
      <c r="L239" s="95">
        <v>0</v>
      </c>
      <c r="M239" s="94"/>
      <c r="N239" s="51"/>
      <c r="O239" s="144"/>
      <c r="P239" s="371"/>
      <c r="Q239" s="95">
        <v>0</v>
      </c>
      <c r="R239" s="94"/>
      <c r="S239" s="51"/>
      <c r="T239" s="144"/>
      <c r="U239" s="371"/>
      <c r="V239" s="95">
        <v>0</v>
      </c>
      <c r="W239" s="94"/>
      <c r="X239" s="51"/>
      <c r="Y239" s="144"/>
      <c r="Z239" s="371"/>
      <c r="AA239" s="95">
        <v>0</v>
      </c>
      <c r="AB239" s="94"/>
      <c r="AC239" s="51"/>
      <c r="AD239" s="144"/>
      <c r="AE239" s="371"/>
      <c r="AF239" s="95">
        <v>0</v>
      </c>
      <c r="AG239" s="94"/>
      <c r="AH239" s="51"/>
      <c r="AI239" s="144"/>
      <c r="AJ239" s="371"/>
      <c r="AK239" s="95">
        <v>0</v>
      </c>
      <c r="AL239" s="94"/>
      <c r="AM239" s="51"/>
      <c r="AN239" s="144"/>
      <c r="AO239" s="371"/>
      <c r="AP239" s="95">
        <v>0</v>
      </c>
      <c r="AQ239" s="94"/>
      <c r="AR239" s="51"/>
      <c r="AS239" s="144"/>
      <c r="AT239" s="187"/>
      <c r="AU239" s="95">
        <v>0</v>
      </c>
      <c r="AV239" s="94"/>
      <c r="AW239" s="51"/>
      <c r="AX239" s="144"/>
      <c r="AY239" s="187"/>
      <c r="AZ239" s="95">
        <v>0</v>
      </c>
      <c r="BA239" s="94"/>
      <c r="BB239" s="51"/>
      <c r="BC239" s="144"/>
      <c r="BD239" s="187"/>
      <c r="BE239" s="95">
        <v>0</v>
      </c>
      <c r="BF239" s="94"/>
      <c r="BG239" s="51"/>
      <c r="BH239" s="144"/>
      <c r="BI239" s="187"/>
      <c r="BJ239" s="95">
        <v>0</v>
      </c>
      <c r="BK239" s="94"/>
      <c r="BL239" s="51"/>
      <c r="BM239" s="144"/>
      <c r="BN239" s="187"/>
      <c r="BO239" s="95">
        <v>0</v>
      </c>
      <c r="BP239" s="94"/>
      <c r="BQ239" s="51"/>
      <c r="BR239" s="144"/>
      <c r="BS239" s="187"/>
      <c r="BT239" s="95">
        <f>SUM(L239:BO239)</f>
        <v>0</v>
      </c>
      <c r="BU239" s="94"/>
      <c r="BV239" s="51"/>
      <c r="BW239" s="144"/>
      <c r="BX239" s="187"/>
      <c r="BY239" s="95">
        <v>0</v>
      </c>
      <c r="BZ239" s="94"/>
      <c r="CA239" s="51"/>
      <c r="CB239" s="144"/>
      <c r="CC239" s="371"/>
      <c r="CD239" s="95">
        <v>0</v>
      </c>
      <c r="CE239" s="94"/>
      <c r="CF239" s="51"/>
      <c r="CG239" s="144"/>
      <c r="CH239" s="371"/>
      <c r="CI239" s="95">
        <v>0</v>
      </c>
      <c r="CJ239" s="94"/>
      <c r="CK239" s="51"/>
      <c r="CL239" s="144"/>
      <c r="CM239" s="371"/>
      <c r="CN239" s="95">
        <v>0</v>
      </c>
      <c r="CO239" s="94"/>
      <c r="CP239" s="51"/>
      <c r="CQ239" s="144"/>
      <c r="CR239" s="371"/>
      <c r="CS239" s="95">
        <v>0</v>
      </c>
      <c r="CT239" s="94"/>
      <c r="CU239" s="51"/>
      <c r="CV239" s="144"/>
      <c r="CW239" s="371"/>
      <c r="CX239" s="95">
        <v>0</v>
      </c>
      <c r="CY239" s="94"/>
      <c r="CZ239" s="51"/>
      <c r="DA239" s="144"/>
      <c r="DB239" s="371"/>
      <c r="DC239" s="95">
        <v>0</v>
      </c>
      <c r="DD239" s="94"/>
      <c r="DE239" s="51"/>
      <c r="DF239" s="144"/>
      <c r="DG239" s="371"/>
      <c r="DH239" s="95">
        <v>0</v>
      </c>
      <c r="DI239" s="94"/>
      <c r="DJ239" s="51"/>
      <c r="DK239" s="144"/>
      <c r="DL239" s="187"/>
      <c r="DM239" s="95">
        <v>0</v>
      </c>
      <c r="DN239" s="94"/>
      <c r="DO239" s="51"/>
      <c r="DP239" s="144"/>
      <c r="DQ239" s="187"/>
      <c r="DR239" s="95">
        <v>0</v>
      </c>
      <c r="DS239" s="94"/>
      <c r="DT239" s="51"/>
      <c r="DU239" s="144"/>
      <c r="DV239" s="187"/>
      <c r="DW239" s="95">
        <v>0</v>
      </c>
      <c r="DX239" s="94"/>
      <c r="DY239" s="51"/>
      <c r="DZ239" s="144"/>
      <c r="EA239" s="187"/>
      <c r="EB239" s="95">
        <v>0</v>
      </c>
      <c r="EC239" s="94"/>
      <c r="ED239" s="51"/>
      <c r="EE239" s="144"/>
      <c r="EF239" s="187"/>
      <c r="EG239" s="95">
        <v>0</v>
      </c>
      <c r="EH239" s="94"/>
      <c r="EI239" s="51"/>
      <c r="EJ239" s="144"/>
      <c r="EK239" s="187"/>
      <c r="EL239" s="95">
        <f>SUM(CD239:EG239)</f>
        <v>0</v>
      </c>
      <c r="EM239" s="94"/>
      <c r="EN239" s="51"/>
      <c r="EO239" s="340"/>
      <c r="ER239" s="39"/>
      <c r="ES239" s="39"/>
    </row>
    <row r="240" spans="1:149" ht="12.75" hidden="1" customHeight="1" x14ac:dyDescent="0.2">
      <c r="A240" s="317"/>
      <c r="B240" s="317"/>
      <c r="D240" s="340"/>
      <c r="E240" s="453"/>
      <c r="F240" s="663"/>
      <c r="G240" s="51"/>
      <c r="H240" s="51"/>
      <c r="I240" s="51"/>
      <c r="J240" s="144"/>
      <c r="K240" s="663"/>
      <c r="L240" s="51"/>
      <c r="M240" s="51"/>
      <c r="N240" s="51"/>
      <c r="O240" s="144"/>
      <c r="P240" s="663"/>
      <c r="Q240" s="51"/>
      <c r="R240" s="51"/>
      <c r="S240" s="51"/>
      <c r="T240" s="144"/>
      <c r="U240" s="663"/>
      <c r="V240" s="51"/>
      <c r="W240" s="51"/>
      <c r="X240" s="51"/>
      <c r="Y240" s="144"/>
      <c r="Z240" s="663"/>
      <c r="AA240" s="51"/>
      <c r="AB240" s="51"/>
      <c r="AC240" s="51"/>
      <c r="AD240" s="144"/>
      <c r="AE240" s="663"/>
      <c r="AF240" s="51"/>
      <c r="AG240" s="51"/>
      <c r="AH240" s="51"/>
      <c r="AI240" s="144"/>
      <c r="AJ240" s="663"/>
      <c r="AK240" s="51"/>
      <c r="AL240" s="51"/>
      <c r="AM240" s="51"/>
      <c r="AN240" s="144"/>
      <c r="AO240" s="663"/>
      <c r="AP240" s="51"/>
      <c r="AQ240" s="51"/>
      <c r="AR240" s="51"/>
      <c r="AS240" s="144"/>
      <c r="AT240" s="663"/>
      <c r="AU240" s="51"/>
      <c r="AV240" s="51"/>
      <c r="AW240" s="51"/>
      <c r="AX240" s="144"/>
      <c r="AY240" s="663"/>
      <c r="AZ240" s="51"/>
      <c r="BA240" s="51"/>
      <c r="BB240" s="51"/>
      <c r="BC240" s="144"/>
      <c r="BD240" s="663"/>
      <c r="BE240" s="51"/>
      <c r="BF240" s="51"/>
      <c r="BG240" s="51"/>
      <c r="BH240" s="144"/>
      <c r="BI240" s="663"/>
      <c r="BJ240" s="51"/>
      <c r="BK240" s="51"/>
      <c r="BL240" s="51"/>
      <c r="BM240" s="144"/>
      <c r="BN240" s="663"/>
      <c r="BO240" s="51"/>
      <c r="BP240" s="51"/>
      <c r="BQ240" s="51"/>
      <c r="BR240" s="144"/>
      <c r="BS240" s="663"/>
      <c r="BT240" s="51"/>
      <c r="BU240" s="51"/>
      <c r="BV240" s="51"/>
      <c r="BW240" s="144"/>
      <c r="BX240" s="663"/>
      <c r="BY240" s="51"/>
      <c r="BZ240" s="51"/>
      <c r="CA240" s="51"/>
      <c r="CB240" s="144"/>
      <c r="CC240" s="663"/>
      <c r="CD240" s="51"/>
      <c r="CE240" s="51"/>
      <c r="CF240" s="51"/>
      <c r="CG240" s="144"/>
      <c r="CH240" s="663"/>
      <c r="CI240" s="51"/>
      <c r="CJ240" s="51"/>
      <c r="CK240" s="51"/>
      <c r="CL240" s="144"/>
      <c r="CM240" s="663"/>
      <c r="CN240" s="51"/>
      <c r="CO240" s="51"/>
      <c r="CP240" s="51"/>
      <c r="CQ240" s="144"/>
      <c r="CR240" s="663"/>
      <c r="CS240" s="51"/>
      <c r="CT240" s="51"/>
      <c r="CU240" s="51"/>
      <c r="CV240" s="144"/>
      <c r="CW240" s="663"/>
      <c r="CX240" s="51"/>
      <c r="CY240" s="51"/>
      <c r="CZ240" s="51"/>
      <c r="DA240" s="144"/>
      <c r="DB240" s="663"/>
      <c r="DC240" s="51"/>
      <c r="DD240" s="51"/>
      <c r="DE240" s="51"/>
      <c r="DF240" s="144"/>
      <c r="DG240" s="663"/>
      <c r="DH240" s="51"/>
      <c r="DI240" s="51"/>
      <c r="DJ240" s="51"/>
      <c r="DK240" s="144"/>
      <c r="DL240" s="663"/>
      <c r="DM240" s="51"/>
      <c r="DN240" s="51"/>
      <c r="DO240" s="51"/>
      <c r="DP240" s="144"/>
      <c r="DQ240" s="663"/>
      <c r="DR240" s="51"/>
      <c r="DS240" s="51"/>
      <c r="DT240" s="51"/>
      <c r="DU240" s="144"/>
      <c r="DV240" s="663"/>
      <c r="DW240" s="51"/>
      <c r="DX240" s="51"/>
      <c r="DY240" s="51"/>
      <c r="DZ240" s="144"/>
      <c r="EA240" s="663"/>
      <c r="EB240" s="51"/>
      <c r="EC240" s="51"/>
      <c r="ED240" s="51"/>
      <c r="EE240" s="144"/>
      <c r="EF240" s="663"/>
      <c r="EG240" s="51"/>
      <c r="EH240" s="51"/>
      <c r="EI240" s="51"/>
      <c r="EJ240" s="144"/>
      <c r="EK240" s="663"/>
      <c r="EL240" s="51"/>
      <c r="EM240" s="51"/>
      <c r="EN240" s="51"/>
      <c r="EO240" s="340"/>
      <c r="ER240" s="39"/>
      <c r="ES240" s="39"/>
    </row>
    <row r="241" spans="1:149" ht="12.75" hidden="1" customHeight="1" x14ac:dyDescent="0.2">
      <c r="A241" s="317"/>
      <c r="B241" s="317"/>
      <c r="D241" s="340" t="s">
        <v>225</v>
      </c>
      <c r="F241" s="317"/>
      <c r="G241" s="51">
        <f>SUM(G242:G245)</f>
        <v>0</v>
      </c>
      <c r="H241" s="51"/>
      <c r="I241" s="51"/>
      <c r="J241" s="144"/>
      <c r="K241" s="51"/>
      <c r="L241" s="51">
        <f>SUM(L242:L245)</f>
        <v>0</v>
      </c>
      <c r="M241" s="51"/>
      <c r="N241" s="51"/>
      <c r="O241" s="144"/>
      <c r="P241" s="51"/>
      <c r="Q241" s="51">
        <f>SUM(Q242:Q245)</f>
        <v>0</v>
      </c>
      <c r="R241" s="51"/>
      <c r="S241" s="51"/>
      <c r="T241" s="144"/>
      <c r="U241" s="51"/>
      <c r="V241" s="51">
        <f>SUM(V242:V245)</f>
        <v>0</v>
      </c>
      <c r="W241" s="51"/>
      <c r="X241" s="51"/>
      <c r="Y241" s="144"/>
      <c r="Z241" s="51"/>
      <c r="AA241" s="51">
        <f>SUM(AA242:AA245)</f>
        <v>0</v>
      </c>
      <c r="AB241" s="51"/>
      <c r="AC241" s="51"/>
      <c r="AD241" s="144"/>
      <c r="AE241" s="51"/>
      <c r="AF241" s="51">
        <f>SUM(AF242:AF245)</f>
        <v>0</v>
      </c>
      <c r="AG241" s="51"/>
      <c r="AH241" s="51"/>
      <c r="AI241" s="144"/>
      <c r="AJ241" s="51"/>
      <c r="AK241" s="51">
        <f>SUM(AK242:AK245)</f>
        <v>0</v>
      </c>
      <c r="AL241" s="51"/>
      <c r="AM241" s="51"/>
      <c r="AN241" s="144"/>
      <c r="AO241" s="51"/>
      <c r="AP241" s="51">
        <f>SUM(AP242:AP245)</f>
        <v>0</v>
      </c>
      <c r="AQ241" s="51"/>
      <c r="AR241" s="51"/>
      <c r="AS241" s="144"/>
      <c r="AT241" s="51"/>
      <c r="AU241" s="51">
        <f>SUM(AU242:AU245)</f>
        <v>0</v>
      </c>
      <c r="AV241" s="51"/>
      <c r="AW241" s="51"/>
      <c r="AX241" s="144"/>
      <c r="AY241" s="51"/>
      <c r="AZ241" s="51">
        <f>SUM(AZ242:AZ245)</f>
        <v>0</v>
      </c>
      <c r="BA241" s="51"/>
      <c r="BB241" s="51"/>
      <c r="BC241" s="144"/>
      <c r="BD241" s="51"/>
      <c r="BE241" s="51">
        <f>SUM(BE242:BE245)</f>
        <v>0</v>
      </c>
      <c r="BF241" s="51"/>
      <c r="BG241" s="51"/>
      <c r="BH241" s="144"/>
      <c r="BI241" s="51"/>
      <c r="BJ241" s="51">
        <f>SUM(BJ242:BJ245)</f>
        <v>0</v>
      </c>
      <c r="BK241" s="51"/>
      <c r="BL241" s="51"/>
      <c r="BM241" s="144"/>
      <c r="BN241" s="51"/>
      <c r="BO241" s="51">
        <f>SUM(BO242:BO245)</f>
        <v>0</v>
      </c>
      <c r="BP241" s="51"/>
      <c r="BQ241" s="51"/>
      <c r="BR241" s="144"/>
      <c r="BS241" s="51"/>
      <c r="BT241" s="51">
        <f>SUM(BT242:BT245)</f>
        <v>0</v>
      </c>
      <c r="BU241" s="51"/>
      <c r="BV241" s="51"/>
      <c r="BW241" s="144"/>
      <c r="BX241" s="51"/>
      <c r="BY241" s="51">
        <f>SUM(BY242:BY245)</f>
        <v>0</v>
      </c>
      <c r="BZ241" s="51"/>
      <c r="CA241" s="51"/>
      <c r="CB241" s="144"/>
      <c r="CC241" s="51"/>
      <c r="CD241" s="51">
        <f>SUM(CD242:CD245)</f>
        <v>0</v>
      </c>
      <c r="CE241" s="51"/>
      <c r="CF241" s="51"/>
      <c r="CG241" s="144"/>
      <c r="CH241" s="51"/>
      <c r="CI241" s="51">
        <f>SUM(CI242:CI245)</f>
        <v>0</v>
      </c>
      <c r="CJ241" s="51"/>
      <c r="CK241" s="51"/>
      <c r="CL241" s="144"/>
      <c r="CM241" s="51"/>
      <c r="CN241" s="51">
        <f>SUM(CN242:CN245)</f>
        <v>0</v>
      </c>
      <c r="CO241" s="51"/>
      <c r="CP241" s="51"/>
      <c r="CQ241" s="144"/>
      <c r="CR241" s="51"/>
      <c r="CS241" s="51">
        <f>SUM(CS242:CS245)</f>
        <v>0</v>
      </c>
      <c r="CT241" s="51"/>
      <c r="CU241" s="51"/>
      <c r="CV241" s="144"/>
      <c r="CW241" s="51"/>
      <c r="CX241" s="51">
        <f>SUM(CX242:CX245)</f>
        <v>0</v>
      </c>
      <c r="CY241" s="51"/>
      <c r="CZ241" s="51"/>
      <c r="DA241" s="144"/>
      <c r="DB241" s="51"/>
      <c r="DC241" s="51">
        <f>SUM(DC242:DC245)</f>
        <v>0</v>
      </c>
      <c r="DD241" s="51"/>
      <c r="DE241" s="51"/>
      <c r="DF241" s="144"/>
      <c r="DG241" s="51"/>
      <c r="DH241" s="51">
        <f>SUM(DH242:DH245)</f>
        <v>0</v>
      </c>
      <c r="DI241" s="51"/>
      <c r="DJ241" s="51"/>
      <c r="DK241" s="144"/>
      <c r="DL241" s="51"/>
      <c r="DM241" s="51">
        <f>SUM(DM242:DM245)</f>
        <v>0</v>
      </c>
      <c r="DN241" s="51"/>
      <c r="DO241" s="51"/>
      <c r="DP241" s="144"/>
      <c r="DQ241" s="51"/>
      <c r="DR241" s="51">
        <f>SUM(DR242:DR245)</f>
        <v>0</v>
      </c>
      <c r="DS241" s="51"/>
      <c r="DT241" s="51"/>
      <c r="DU241" s="144"/>
      <c r="DV241" s="51"/>
      <c r="DW241" s="51">
        <f>SUM(DW242:DW245)</f>
        <v>0</v>
      </c>
      <c r="DX241" s="51"/>
      <c r="DY241" s="51"/>
      <c r="DZ241" s="144"/>
      <c r="EA241" s="51"/>
      <c r="EB241" s="51">
        <f>SUM(EB242:EB245)</f>
        <v>0</v>
      </c>
      <c r="EC241" s="51"/>
      <c r="ED241" s="51"/>
      <c r="EE241" s="144"/>
      <c r="EF241" s="51"/>
      <c r="EG241" s="51">
        <f>SUM(EG242:EG245)</f>
        <v>0</v>
      </c>
      <c r="EH241" s="51"/>
      <c r="EI241" s="51"/>
      <c r="EJ241" s="144"/>
      <c r="EK241" s="51"/>
      <c r="EL241" s="51">
        <f>SUM(EL242:EL245)</f>
        <v>0</v>
      </c>
      <c r="EM241" s="51"/>
      <c r="EN241" s="51"/>
      <c r="EO241" s="340"/>
      <c r="ER241" s="39"/>
      <c r="ES241" s="39"/>
    </row>
    <row r="242" spans="1:149" ht="12.75" hidden="1" customHeight="1" x14ac:dyDescent="0.2">
      <c r="A242" s="317"/>
      <c r="B242" s="317"/>
      <c r="D242" s="340" t="s">
        <v>183</v>
      </c>
      <c r="F242" s="354"/>
      <c r="G242" s="430">
        <v>0</v>
      </c>
      <c r="H242" s="431"/>
      <c r="I242" s="51"/>
      <c r="J242" s="144"/>
      <c r="K242" s="354"/>
      <c r="L242" s="430">
        <v>0</v>
      </c>
      <c r="M242" s="431"/>
      <c r="N242" s="51"/>
      <c r="O242" s="144"/>
      <c r="P242" s="354"/>
      <c r="Q242" s="430">
        <v>0</v>
      </c>
      <c r="R242" s="431"/>
      <c r="S242" s="51"/>
      <c r="T242" s="144"/>
      <c r="U242" s="354"/>
      <c r="V242" s="430">
        <v>0</v>
      </c>
      <c r="W242" s="431"/>
      <c r="X242" s="51"/>
      <c r="Y242" s="144"/>
      <c r="Z242" s="354"/>
      <c r="AA242" s="430">
        <v>0</v>
      </c>
      <c r="AB242" s="431"/>
      <c r="AC242" s="51"/>
      <c r="AD242" s="144"/>
      <c r="AE242" s="354"/>
      <c r="AF242" s="430">
        <v>0</v>
      </c>
      <c r="AG242" s="431"/>
      <c r="AH242" s="51"/>
      <c r="AI242" s="144"/>
      <c r="AJ242" s="354"/>
      <c r="AK242" s="430">
        <v>0</v>
      </c>
      <c r="AL242" s="431"/>
      <c r="AM242" s="51"/>
      <c r="AN242" s="144"/>
      <c r="AO242" s="354"/>
      <c r="AP242" s="430">
        <v>0</v>
      </c>
      <c r="AQ242" s="431"/>
      <c r="AR242" s="51"/>
      <c r="AS242" s="144"/>
      <c r="AT242" s="432"/>
      <c r="AU242" s="430">
        <v>0</v>
      </c>
      <c r="AV242" s="431"/>
      <c r="AW242" s="51"/>
      <c r="AX242" s="144"/>
      <c r="AY242" s="432"/>
      <c r="AZ242" s="430">
        <v>0</v>
      </c>
      <c r="BA242" s="431"/>
      <c r="BB242" s="51"/>
      <c r="BC242" s="144"/>
      <c r="BD242" s="432"/>
      <c r="BE242" s="430">
        <v>0</v>
      </c>
      <c r="BF242" s="431"/>
      <c r="BG242" s="51"/>
      <c r="BH242" s="144"/>
      <c r="BI242" s="432"/>
      <c r="BJ242" s="430">
        <v>0</v>
      </c>
      <c r="BK242" s="431"/>
      <c r="BL242" s="51"/>
      <c r="BM242" s="144"/>
      <c r="BN242" s="432"/>
      <c r="BO242" s="430">
        <v>0</v>
      </c>
      <c r="BP242" s="431"/>
      <c r="BQ242" s="51"/>
      <c r="BR242" s="144"/>
      <c r="BS242" s="432"/>
      <c r="BT242" s="430">
        <f>SUM(L242:BO242)</f>
        <v>0</v>
      </c>
      <c r="BU242" s="431"/>
      <c r="BV242" s="51"/>
      <c r="BW242" s="144"/>
      <c r="BX242" s="432"/>
      <c r="BY242" s="430">
        <v>0</v>
      </c>
      <c r="BZ242" s="431"/>
      <c r="CA242" s="51"/>
      <c r="CB242" s="144"/>
      <c r="CC242" s="354"/>
      <c r="CD242" s="430">
        <v>0</v>
      </c>
      <c r="CE242" s="431"/>
      <c r="CF242" s="51"/>
      <c r="CG242" s="144"/>
      <c r="CH242" s="354"/>
      <c r="CI242" s="430">
        <v>0</v>
      </c>
      <c r="CJ242" s="431"/>
      <c r="CK242" s="51"/>
      <c r="CL242" s="144"/>
      <c r="CM242" s="354"/>
      <c r="CN242" s="430">
        <v>0</v>
      </c>
      <c r="CO242" s="431"/>
      <c r="CP242" s="51"/>
      <c r="CQ242" s="144"/>
      <c r="CR242" s="354"/>
      <c r="CS242" s="430">
        <v>0</v>
      </c>
      <c r="CT242" s="431"/>
      <c r="CU242" s="51"/>
      <c r="CV242" s="144"/>
      <c r="CW242" s="354"/>
      <c r="CX242" s="430">
        <v>0</v>
      </c>
      <c r="CY242" s="431"/>
      <c r="CZ242" s="51"/>
      <c r="DA242" s="144"/>
      <c r="DB242" s="354"/>
      <c r="DC242" s="430">
        <v>0</v>
      </c>
      <c r="DD242" s="431"/>
      <c r="DE242" s="51"/>
      <c r="DF242" s="144"/>
      <c r="DG242" s="354"/>
      <c r="DH242" s="430">
        <v>0</v>
      </c>
      <c r="DI242" s="431"/>
      <c r="DJ242" s="51"/>
      <c r="DK242" s="144"/>
      <c r="DL242" s="432"/>
      <c r="DM242" s="430">
        <v>0</v>
      </c>
      <c r="DN242" s="431"/>
      <c r="DO242" s="51"/>
      <c r="DP242" s="144"/>
      <c r="DQ242" s="432"/>
      <c r="DR242" s="430">
        <v>0</v>
      </c>
      <c r="DS242" s="431"/>
      <c r="DT242" s="51"/>
      <c r="DU242" s="144"/>
      <c r="DV242" s="432"/>
      <c r="DW242" s="430">
        <v>0</v>
      </c>
      <c r="DX242" s="431"/>
      <c r="DY242" s="51"/>
      <c r="DZ242" s="144"/>
      <c r="EA242" s="432"/>
      <c r="EB242" s="430">
        <v>0</v>
      </c>
      <c r="EC242" s="431"/>
      <c r="ED242" s="51"/>
      <c r="EE242" s="144"/>
      <c r="EF242" s="432"/>
      <c r="EG242" s="430">
        <v>0</v>
      </c>
      <c r="EH242" s="431"/>
      <c r="EI242" s="51"/>
      <c r="EJ242" s="144"/>
      <c r="EK242" s="432"/>
      <c r="EL242" s="430">
        <f>SUM(CD242:EG242)</f>
        <v>0</v>
      </c>
      <c r="EM242" s="431"/>
      <c r="EN242" s="51"/>
      <c r="EO242" s="340"/>
      <c r="ER242" s="39"/>
      <c r="ES242" s="39"/>
    </row>
    <row r="243" spans="1:149" ht="12.75" hidden="1" customHeight="1" x14ac:dyDescent="0.2">
      <c r="A243" s="317"/>
      <c r="B243" s="317"/>
      <c r="D243" s="340" t="s">
        <v>186</v>
      </c>
      <c r="F243" s="347"/>
      <c r="G243" s="51">
        <v>0</v>
      </c>
      <c r="H243" s="50"/>
      <c r="I243" s="51"/>
      <c r="J243" s="144"/>
      <c r="K243" s="347"/>
      <c r="L243" s="51">
        <v>0</v>
      </c>
      <c r="M243" s="50"/>
      <c r="N243" s="51"/>
      <c r="O243" s="144"/>
      <c r="P243" s="347"/>
      <c r="Q243" s="51">
        <v>0</v>
      </c>
      <c r="R243" s="50"/>
      <c r="S243" s="51"/>
      <c r="T243" s="144"/>
      <c r="U243" s="347"/>
      <c r="V243" s="51">
        <v>0</v>
      </c>
      <c r="W243" s="50"/>
      <c r="X243" s="51"/>
      <c r="Y243" s="144"/>
      <c r="Z243" s="347"/>
      <c r="AA243" s="51">
        <v>0</v>
      </c>
      <c r="AB243" s="50"/>
      <c r="AC243" s="51"/>
      <c r="AD243" s="144"/>
      <c r="AE243" s="347"/>
      <c r="AF243" s="51">
        <v>0</v>
      </c>
      <c r="AG243" s="50"/>
      <c r="AH243" s="51"/>
      <c r="AI243" s="144"/>
      <c r="AJ243" s="347"/>
      <c r="AK243" s="51">
        <v>0</v>
      </c>
      <c r="AL243" s="50"/>
      <c r="AM243" s="51"/>
      <c r="AN243" s="144"/>
      <c r="AO243" s="347"/>
      <c r="AP243" s="51">
        <v>0</v>
      </c>
      <c r="AQ243" s="50"/>
      <c r="AR243" s="51"/>
      <c r="AS243" s="144"/>
      <c r="AT243" s="144"/>
      <c r="AU243" s="51">
        <v>0</v>
      </c>
      <c r="AV243" s="50"/>
      <c r="AW243" s="51"/>
      <c r="AX243" s="144"/>
      <c r="AY243" s="144"/>
      <c r="AZ243" s="51">
        <v>0</v>
      </c>
      <c r="BA243" s="50"/>
      <c r="BB243" s="51"/>
      <c r="BC243" s="144"/>
      <c r="BD243" s="144"/>
      <c r="BE243" s="51">
        <v>0</v>
      </c>
      <c r="BF243" s="50"/>
      <c r="BG243" s="51"/>
      <c r="BH243" s="144"/>
      <c r="BI243" s="144"/>
      <c r="BJ243" s="51">
        <v>0</v>
      </c>
      <c r="BK243" s="50"/>
      <c r="BL243" s="51"/>
      <c r="BM243" s="144"/>
      <c r="BN243" s="144"/>
      <c r="BO243" s="51">
        <v>0</v>
      </c>
      <c r="BP243" s="50"/>
      <c r="BQ243" s="51"/>
      <c r="BR243" s="144"/>
      <c r="BS243" s="144"/>
      <c r="BT243" s="51">
        <f>SUM(L243:BO243)</f>
        <v>0</v>
      </c>
      <c r="BU243" s="50"/>
      <c r="BV243" s="51"/>
      <c r="BW243" s="144"/>
      <c r="BX243" s="144"/>
      <c r="BY243" s="51">
        <v>0</v>
      </c>
      <c r="BZ243" s="50"/>
      <c r="CA243" s="51"/>
      <c r="CB243" s="144"/>
      <c r="CC243" s="347"/>
      <c r="CD243" s="51">
        <v>0</v>
      </c>
      <c r="CE243" s="50"/>
      <c r="CF243" s="51"/>
      <c r="CG243" s="144"/>
      <c r="CH243" s="347"/>
      <c r="CI243" s="51">
        <v>0</v>
      </c>
      <c r="CJ243" s="50"/>
      <c r="CK243" s="51"/>
      <c r="CL243" s="144"/>
      <c r="CM243" s="347"/>
      <c r="CN243" s="51">
        <v>0</v>
      </c>
      <c r="CO243" s="50"/>
      <c r="CP243" s="51"/>
      <c r="CQ243" s="144"/>
      <c r="CR243" s="347"/>
      <c r="CS243" s="51">
        <v>0</v>
      </c>
      <c r="CT243" s="50"/>
      <c r="CU243" s="51"/>
      <c r="CV243" s="144"/>
      <c r="CW243" s="347"/>
      <c r="CX243" s="51">
        <v>0</v>
      </c>
      <c r="CY243" s="50"/>
      <c r="CZ243" s="51"/>
      <c r="DA243" s="144"/>
      <c r="DB243" s="347"/>
      <c r="DC243" s="51">
        <v>0</v>
      </c>
      <c r="DD243" s="50"/>
      <c r="DE243" s="51"/>
      <c r="DF243" s="144"/>
      <c r="DG243" s="347"/>
      <c r="DH243" s="51">
        <v>0</v>
      </c>
      <c r="DI243" s="50"/>
      <c r="DJ243" s="51"/>
      <c r="DK243" s="144"/>
      <c r="DL243" s="144"/>
      <c r="DM243" s="51">
        <v>0</v>
      </c>
      <c r="DN243" s="50"/>
      <c r="DO243" s="51"/>
      <c r="DP243" s="144"/>
      <c r="DQ243" s="144"/>
      <c r="DR243" s="51">
        <v>0</v>
      </c>
      <c r="DS243" s="50"/>
      <c r="DT243" s="51"/>
      <c r="DU243" s="144"/>
      <c r="DV243" s="144"/>
      <c r="DW243" s="51">
        <v>0</v>
      </c>
      <c r="DX243" s="50"/>
      <c r="DY243" s="51"/>
      <c r="DZ243" s="144"/>
      <c r="EA243" s="144"/>
      <c r="EB243" s="51">
        <v>0</v>
      </c>
      <c r="EC243" s="50"/>
      <c r="ED243" s="51"/>
      <c r="EE243" s="144"/>
      <c r="EF243" s="144"/>
      <c r="EG243" s="51">
        <v>0</v>
      </c>
      <c r="EH243" s="50"/>
      <c r="EI243" s="51"/>
      <c r="EJ243" s="144"/>
      <c r="EK243" s="144"/>
      <c r="EL243" s="51">
        <f>SUM(CD243:EG243)</f>
        <v>0</v>
      </c>
      <c r="EM243" s="50"/>
      <c r="EN243" s="51"/>
      <c r="EO243" s="340"/>
      <c r="ER243" s="39"/>
      <c r="ES243" s="39"/>
    </row>
    <row r="244" spans="1:149" ht="12.75" hidden="1" customHeight="1" x14ac:dyDescent="0.2">
      <c r="A244" s="317"/>
      <c r="B244" s="317"/>
      <c r="D244" s="340" t="s">
        <v>200</v>
      </c>
      <c r="F244" s="347"/>
      <c r="G244" s="51">
        <v>0</v>
      </c>
      <c r="H244" s="50"/>
      <c r="I244" s="51"/>
      <c r="J244" s="144"/>
      <c r="K244" s="347"/>
      <c r="L244" s="51">
        <v>0</v>
      </c>
      <c r="M244" s="50"/>
      <c r="N244" s="51"/>
      <c r="O244" s="144"/>
      <c r="P244" s="347"/>
      <c r="Q244" s="51">
        <v>0</v>
      </c>
      <c r="R244" s="50"/>
      <c r="S244" s="51"/>
      <c r="T244" s="144"/>
      <c r="U244" s="347"/>
      <c r="V244" s="51">
        <v>0</v>
      </c>
      <c r="W244" s="50"/>
      <c r="X244" s="51"/>
      <c r="Y244" s="144"/>
      <c r="Z244" s="347"/>
      <c r="AA244" s="51">
        <v>0</v>
      </c>
      <c r="AB244" s="50"/>
      <c r="AC244" s="51"/>
      <c r="AD244" s="144"/>
      <c r="AE244" s="347"/>
      <c r="AF244" s="51">
        <v>0</v>
      </c>
      <c r="AG244" s="50"/>
      <c r="AH244" s="51"/>
      <c r="AI244" s="144"/>
      <c r="AJ244" s="347"/>
      <c r="AK244" s="51">
        <v>0</v>
      </c>
      <c r="AL244" s="50"/>
      <c r="AM244" s="51"/>
      <c r="AN244" s="144"/>
      <c r="AO244" s="347"/>
      <c r="AP244" s="51">
        <v>0</v>
      </c>
      <c r="AQ244" s="50"/>
      <c r="AR244" s="51"/>
      <c r="AS244" s="144"/>
      <c r="AT244" s="144"/>
      <c r="AU244" s="51">
        <v>0</v>
      </c>
      <c r="AV244" s="50"/>
      <c r="AW244" s="51"/>
      <c r="AX244" s="144"/>
      <c r="AY244" s="144"/>
      <c r="AZ244" s="51">
        <v>0</v>
      </c>
      <c r="BA244" s="50"/>
      <c r="BB244" s="51"/>
      <c r="BC244" s="144"/>
      <c r="BD244" s="144"/>
      <c r="BE244" s="51">
        <v>0</v>
      </c>
      <c r="BF244" s="50"/>
      <c r="BG244" s="51"/>
      <c r="BH244" s="144"/>
      <c r="BI244" s="144"/>
      <c r="BJ244" s="51">
        <v>0</v>
      </c>
      <c r="BK244" s="50"/>
      <c r="BL244" s="51"/>
      <c r="BM244" s="144"/>
      <c r="BN244" s="144"/>
      <c r="BO244" s="51">
        <v>0</v>
      </c>
      <c r="BP244" s="50"/>
      <c r="BQ244" s="51"/>
      <c r="BR244" s="144"/>
      <c r="BS244" s="144"/>
      <c r="BT244" s="51">
        <f>SUM(L244:BO244)</f>
        <v>0</v>
      </c>
      <c r="BU244" s="50"/>
      <c r="BV244" s="51"/>
      <c r="BW244" s="144"/>
      <c r="BX244" s="144"/>
      <c r="BY244" s="51">
        <v>0</v>
      </c>
      <c r="BZ244" s="50"/>
      <c r="CA244" s="51"/>
      <c r="CB244" s="144"/>
      <c r="CC244" s="347"/>
      <c r="CD244" s="51">
        <v>0</v>
      </c>
      <c r="CE244" s="50"/>
      <c r="CF244" s="51"/>
      <c r="CG244" s="144"/>
      <c r="CH244" s="347"/>
      <c r="CI244" s="51">
        <v>0</v>
      </c>
      <c r="CJ244" s="50"/>
      <c r="CK244" s="51"/>
      <c r="CL244" s="144"/>
      <c r="CM244" s="347"/>
      <c r="CN244" s="51">
        <v>0</v>
      </c>
      <c r="CO244" s="50"/>
      <c r="CP244" s="51"/>
      <c r="CQ244" s="144"/>
      <c r="CR244" s="347"/>
      <c r="CS244" s="51">
        <v>0</v>
      </c>
      <c r="CT244" s="50"/>
      <c r="CU244" s="51"/>
      <c r="CV244" s="144"/>
      <c r="CW244" s="347"/>
      <c r="CX244" s="51">
        <v>0</v>
      </c>
      <c r="CY244" s="50"/>
      <c r="CZ244" s="51"/>
      <c r="DA244" s="144"/>
      <c r="DB244" s="347"/>
      <c r="DC244" s="51">
        <v>0</v>
      </c>
      <c r="DD244" s="50"/>
      <c r="DE244" s="51"/>
      <c r="DF244" s="144"/>
      <c r="DG244" s="347"/>
      <c r="DH244" s="51">
        <v>0</v>
      </c>
      <c r="DI244" s="50"/>
      <c r="DJ244" s="51"/>
      <c r="DK244" s="144"/>
      <c r="DL244" s="144"/>
      <c r="DM244" s="51">
        <v>0</v>
      </c>
      <c r="DN244" s="50"/>
      <c r="DO244" s="51"/>
      <c r="DP244" s="144"/>
      <c r="DQ244" s="144"/>
      <c r="DR244" s="51">
        <v>0</v>
      </c>
      <c r="DS244" s="50"/>
      <c r="DT244" s="51"/>
      <c r="DU244" s="144"/>
      <c r="DV244" s="144"/>
      <c r="DW244" s="51">
        <v>0</v>
      </c>
      <c r="DX244" s="50"/>
      <c r="DY244" s="51"/>
      <c r="DZ244" s="144"/>
      <c r="EA244" s="144"/>
      <c r="EB244" s="51">
        <v>0</v>
      </c>
      <c r="EC244" s="50"/>
      <c r="ED244" s="51"/>
      <c r="EE244" s="144"/>
      <c r="EF244" s="144"/>
      <c r="EG244" s="51">
        <v>0</v>
      </c>
      <c r="EH244" s="50"/>
      <c r="EI244" s="51"/>
      <c r="EJ244" s="144"/>
      <c r="EK244" s="144"/>
      <c r="EL244" s="51">
        <f>SUM(CD244:EG244)</f>
        <v>0</v>
      </c>
      <c r="EM244" s="50"/>
      <c r="EN244" s="51"/>
      <c r="EO244" s="340"/>
      <c r="ER244" s="39"/>
      <c r="ES244" s="39"/>
    </row>
    <row r="245" spans="1:149" ht="12.75" hidden="1" customHeight="1" x14ac:dyDescent="0.2">
      <c r="A245" s="317"/>
      <c r="B245" s="317"/>
      <c r="D245" s="340" t="s">
        <v>188</v>
      </c>
      <c r="F245" s="371"/>
      <c r="G245" s="95">
        <v>0</v>
      </c>
      <c r="H245" s="94"/>
      <c r="I245" s="51"/>
      <c r="J245" s="144"/>
      <c r="K245" s="371"/>
      <c r="L245" s="95">
        <v>0</v>
      </c>
      <c r="M245" s="94"/>
      <c r="N245" s="51"/>
      <c r="O245" s="144"/>
      <c r="P245" s="371"/>
      <c r="Q245" s="95">
        <v>0</v>
      </c>
      <c r="R245" s="94"/>
      <c r="S245" s="51"/>
      <c r="T245" s="144"/>
      <c r="U245" s="371"/>
      <c r="V245" s="95">
        <v>0</v>
      </c>
      <c r="W245" s="94"/>
      <c r="X245" s="51"/>
      <c r="Y245" s="144"/>
      <c r="Z245" s="371"/>
      <c r="AA245" s="95">
        <v>0</v>
      </c>
      <c r="AB245" s="94"/>
      <c r="AC245" s="51"/>
      <c r="AD245" s="144"/>
      <c r="AE245" s="371"/>
      <c r="AF245" s="95">
        <v>0</v>
      </c>
      <c r="AG245" s="94"/>
      <c r="AH245" s="51"/>
      <c r="AI245" s="144"/>
      <c r="AJ245" s="371"/>
      <c r="AK245" s="95">
        <v>0</v>
      </c>
      <c r="AL245" s="94"/>
      <c r="AM245" s="51"/>
      <c r="AN245" s="144"/>
      <c r="AO245" s="371"/>
      <c r="AP245" s="95">
        <v>0</v>
      </c>
      <c r="AQ245" s="94"/>
      <c r="AR245" s="51"/>
      <c r="AS245" s="144"/>
      <c r="AT245" s="187"/>
      <c r="AU245" s="95">
        <v>0</v>
      </c>
      <c r="AV245" s="94"/>
      <c r="AW245" s="51"/>
      <c r="AX245" s="144"/>
      <c r="AY245" s="187"/>
      <c r="AZ245" s="95">
        <v>0</v>
      </c>
      <c r="BA245" s="94"/>
      <c r="BB245" s="51"/>
      <c r="BC245" s="144"/>
      <c r="BD245" s="187"/>
      <c r="BE245" s="95">
        <v>0</v>
      </c>
      <c r="BF245" s="94"/>
      <c r="BG245" s="51"/>
      <c r="BH245" s="144"/>
      <c r="BI245" s="187"/>
      <c r="BJ245" s="95">
        <v>0</v>
      </c>
      <c r="BK245" s="94"/>
      <c r="BL245" s="51"/>
      <c r="BM245" s="144"/>
      <c r="BN245" s="187"/>
      <c r="BO245" s="95">
        <v>0</v>
      </c>
      <c r="BP245" s="94"/>
      <c r="BQ245" s="51"/>
      <c r="BR245" s="144"/>
      <c r="BS245" s="187"/>
      <c r="BT245" s="95">
        <f>SUM(L245:BO245)</f>
        <v>0</v>
      </c>
      <c r="BU245" s="94"/>
      <c r="BV245" s="51"/>
      <c r="BW245" s="144"/>
      <c r="BX245" s="187"/>
      <c r="BY245" s="95">
        <v>0</v>
      </c>
      <c r="BZ245" s="94"/>
      <c r="CA245" s="51"/>
      <c r="CB245" s="144"/>
      <c r="CC245" s="371"/>
      <c r="CD245" s="95">
        <v>0</v>
      </c>
      <c r="CE245" s="94"/>
      <c r="CF245" s="51"/>
      <c r="CG245" s="144"/>
      <c r="CH245" s="371"/>
      <c r="CI245" s="95">
        <v>0</v>
      </c>
      <c r="CJ245" s="94"/>
      <c r="CK245" s="51"/>
      <c r="CL245" s="144"/>
      <c r="CM245" s="371"/>
      <c r="CN245" s="95">
        <v>0</v>
      </c>
      <c r="CO245" s="94"/>
      <c r="CP245" s="51"/>
      <c r="CQ245" s="144"/>
      <c r="CR245" s="371"/>
      <c r="CS245" s="95">
        <v>0</v>
      </c>
      <c r="CT245" s="94"/>
      <c r="CU245" s="51"/>
      <c r="CV245" s="144"/>
      <c r="CW245" s="371"/>
      <c r="CX245" s="95">
        <v>0</v>
      </c>
      <c r="CY245" s="94"/>
      <c r="CZ245" s="51"/>
      <c r="DA245" s="144"/>
      <c r="DB245" s="371"/>
      <c r="DC245" s="95">
        <v>0</v>
      </c>
      <c r="DD245" s="94"/>
      <c r="DE245" s="51"/>
      <c r="DF245" s="144"/>
      <c r="DG245" s="371"/>
      <c r="DH245" s="95">
        <v>0</v>
      </c>
      <c r="DI245" s="94"/>
      <c r="DJ245" s="51"/>
      <c r="DK245" s="144"/>
      <c r="DL245" s="187"/>
      <c r="DM245" s="95">
        <v>0</v>
      </c>
      <c r="DN245" s="94"/>
      <c r="DO245" s="51"/>
      <c r="DP245" s="144"/>
      <c r="DQ245" s="187"/>
      <c r="DR245" s="95">
        <v>0</v>
      </c>
      <c r="DS245" s="94"/>
      <c r="DT245" s="51"/>
      <c r="DU245" s="144"/>
      <c r="DV245" s="187"/>
      <c r="DW245" s="95">
        <v>0</v>
      </c>
      <c r="DX245" s="94"/>
      <c r="DY245" s="51"/>
      <c r="DZ245" s="144"/>
      <c r="EA245" s="187"/>
      <c r="EB245" s="95">
        <v>0</v>
      </c>
      <c r="EC245" s="94"/>
      <c r="ED245" s="51"/>
      <c r="EE245" s="144"/>
      <c r="EF245" s="187"/>
      <c r="EG245" s="95">
        <v>0</v>
      </c>
      <c r="EH245" s="94"/>
      <c r="EI245" s="51"/>
      <c r="EJ245" s="144"/>
      <c r="EK245" s="187"/>
      <c r="EL245" s="95">
        <f>SUM(CD245:EG245)</f>
        <v>0</v>
      </c>
      <c r="EM245" s="94"/>
      <c r="EN245" s="51"/>
      <c r="EO245" s="340"/>
      <c r="ER245" s="39"/>
      <c r="ES245" s="39"/>
    </row>
    <row r="246" spans="1:149" ht="12.75" hidden="1" customHeight="1" x14ac:dyDescent="0.2">
      <c r="A246" s="317"/>
      <c r="B246" s="317"/>
      <c r="D246" s="340"/>
      <c r="F246" s="317"/>
      <c r="G246" s="51"/>
      <c r="H246" s="51"/>
      <c r="I246" s="51"/>
      <c r="J246" s="144"/>
      <c r="K246" s="317"/>
      <c r="L246" s="51"/>
      <c r="M246" s="51"/>
      <c r="N246" s="51"/>
      <c r="O246" s="144"/>
      <c r="P246" s="317"/>
      <c r="Q246" s="51"/>
      <c r="R246" s="51"/>
      <c r="S246" s="51"/>
      <c r="T246" s="144"/>
      <c r="U246" s="317"/>
      <c r="V246" s="51"/>
      <c r="W246" s="51"/>
      <c r="X246" s="51"/>
      <c r="Y246" s="144"/>
      <c r="Z246" s="317"/>
      <c r="AA246" s="51"/>
      <c r="AB246" s="51"/>
      <c r="AC246" s="51"/>
      <c r="AD246" s="144"/>
      <c r="AE246" s="317"/>
      <c r="AF246" s="51"/>
      <c r="AG246" s="51"/>
      <c r="AH246" s="51"/>
      <c r="AI246" s="144"/>
      <c r="AJ246" s="317"/>
      <c r="AK246" s="51"/>
      <c r="AL246" s="51"/>
      <c r="AM246" s="51"/>
      <c r="AN246" s="144"/>
      <c r="AO246" s="317"/>
      <c r="AP246" s="51"/>
      <c r="AQ246" s="51"/>
      <c r="AR246" s="51"/>
      <c r="AS246" s="144"/>
      <c r="AT246" s="51"/>
      <c r="AU246" s="51"/>
      <c r="AV246" s="51"/>
      <c r="AW246" s="51"/>
      <c r="AX246" s="144"/>
      <c r="AY246" s="51"/>
      <c r="AZ246" s="51"/>
      <c r="BA246" s="51"/>
      <c r="BB246" s="51"/>
      <c r="BC246" s="144"/>
      <c r="BD246" s="51"/>
      <c r="BE246" s="51"/>
      <c r="BF246" s="51"/>
      <c r="BG246" s="51"/>
      <c r="BH246" s="144"/>
      <c r="BI246" s="51"/>
      <c r="BJ246" s="51"/>
      <c r="BK246" s="51"/>
      <c r="BL246" s="51"/>
      <c r="BM246" s="144"/>
      <c r="BN246" s="51"/>
      <c r="BO246" s="51"/>
      <c r="BP246" s="51"/>
      <c r="BQ246" s="51"/>
      <c r="BR246" s="144"/>
      <c r="BS246" s="51"/>
      <c r="BT246" s="51"/>
      <c r="BU246" s="51"/>
      <c r="BV246" s="51"/>
      <c r="BW246" s="144"/>
      <c r="BX246" s="51"/>
      <c r="BY246" s="51"/>
      <c r="BZ246" s="51"/>
      <c r="CA246" s="51"/>
      <c r="CB246" s="144"/>
      <c r="CC246" s="317"/>
      <c r="CD246" s="51"/>
      <c r="CE246" s="51"/>
      <c r="CF246" s="51"/>
      <c r="CG246" s="144"/>
      <c r="CH246" s="317"/>
      <c r="CI246" s="51"/>
      <c r="CJ246" s="51"/>
      <c r="CK246" s="51"/>
      <c r="CL246" s="144"/>
      <c r="CM246" s="317"/>
      <c r="CN246" s="51"/>
      <c r="CO246" s="51"/>
      <c r="CP246" s="51"/>
      <c r="CQ246" s="144"/>
      <c r="CR246" s="317"/>
      <c r="CS246" s="51"/>
      <c r="CT246" s="51"/>
      <c r="CU246" s="51"/>
      <c r="CV246" s="144"/>
      <c r="CW246" s="317"/>
      <c r="CX246" s="51"/>
      <c r="CY246" s="51"/>
      <c r="CZ246" s="51"/>
      <c r="DA246" s="144"/>
      <c r="DB246" s="317"/>
      <c r="DC246" s="51"/>
      <c r="DD246" s="51"/>
      <c r="DE246" s="51"/>
      <c r="DF246" s="144"/>
      <c r="DG246" s="317"/>
      <c r="DH246" s="51"/>
      <c r="DI246" s="51"/>
      <c r="DJ246" s="51"/>
      <c r="DK246" s="144"/>
      <c r="DL246" s="51"/>
      <c r="DM246" s="51"/>
      <c r="DN246" s="51"/>
      <c r="DO246" s="51"/>
      <c r="DP246" s="144"/>
      <c r="DQ246" s="51"/>
      <c r="DR246" s="51"/>
      <c r="DS246" s="51"/>
      <c r="DT246" s="51"/>
      <c r="DU246" s="144"/>
      <c r="DV246" s="51"/>
      <c r="DW246" s="51"/>
      <c r="DX246" s="51"/>
      <c r="DY246" s="51"/>
      <c r="DZ246" s="144"/>
      <c r="EA246" s="51"/>
      <c r="EB246" s="51"/>
      <c r="EC246" s="51"/>
      <c r="ED246" s="51"/>
      <c r="EE246" s="144"/>
      <c r="EF246" s="51"/>
      <c r="EG246" s="51"/>
      <c r="EH246" s="51"/>
      <c r="EI246" s="51"/>
      <c r="EJ246" s="144"/>
      <c r="EK246" s="51"/>
      <c r="EL246" s="51"/>
      <c r="EM246" s="51"/>
      <c r="EN246" s="51"/>
      <c r="EO246" s="340"/>
      <c r="ER246" s="39"/>
      <c r="ES246" s="39"/>
    </row>
    <row r="247" spans="1:149" ht="12.75" hidden="1" customHeight="1" x14ac:dyDescent="0.2">
      <c r="A247" s="317"/>
      <c r="B247" s="317"/>
      <c r="D247" s="340" t="s">
        <v>225</v>
      </c>
      <c r="F247" s="317"/>
      <c r="G247" s="51">
        <f>SUM(G248:G251)</f>
        <v>0</v>
      </c>
      <c r="H247" s="51"/>
      <c r="I247" s="51"/>
      <c r="J247" s="144"/>
      <c r="K247" s="51"/>
      <c r="L247" s="51">
        <f>SUM(L248:L251)</f>
        <v>0</v>
      </c>
      <c r="M247" s="51"/>
      <c r="N247" s="51"/>
      <c r="O247" s="144"/>
      <c r="P247" s="51"/>
      <c r="Q247" s="51">
        <f>SUM(Q248:Q251)</f>
        <v>0</v>
      </c>
      <c r="R247" s="51"/>
      <c r="S247" s="51"/>
      <c r="T247" s="144"/>
      <c r="U247" s="51"/>
      <c r="V247" s="51">
        <f>SUM(V248:V251)</f>
        <v>0</v>
      </c>
      <c r="W247" s="51"/>
      <c r="X247" s="51"/>
      <c r="Y247" s="144"/>
      <c r="Z247" s="51"/>
      <c r="AA247" s="51">
        <f>SUM(AA248:AA251)</f>
        <v>0</v>
      </c>
      <c r="AB247" s="51"/>
      <c r="AC247" s="51"/>
      <c r="AD247" s="144"/>
      <c r="AE247" s="51"/>
      <c r="AF247" s="51">
        <f>SUM(AF248:AF251)</f>
        <v>0</v>
      </c>
      <c r="AG247" s="51"/>
      <c r="AH247" s="51"/>
      <c r="AI247" s="144"/>
      <c r="AJ247" s="51"/>
      <c r="AK247" s="51">
        <f>SUM(AK248:AK251)</f>
        <v>0</v>
      </c>
      <c r="AL247" s="51"/>
      <c r="AM247" s="51"/>
      <c r="AN247" s="144"/>
      <c r="AO247" s="51"/>
      <c r="AP247" s="51">
        <f>SUM(AP248:AP251)</f>
        <v>0</v>
      </c>
      <c r="AQ247" s="51"/>
      <c r="AR247" s="51"/>
      <c r="AS247" s="144"/>
      <c r="AT247" s="51"/>
      <c r="AU247" s="51">
        <f>SUM(AU248:AU251)</f>
        <v>0</v>
      </c>
      <c r="AV247" s="51"/>
      <c r="AW247" s="51"/>
      <c r="AX247" s="144"/>
      <c r="AY247" s="51"/>
      <c r="AZ247" s="51">
        <f>SUM(AZ248:AZ251)</f>
        <v>0</v>
      </c>
      <c r="BA247" s="51"/>
      <c r="BB247" s="51"/>
      <c r="BC247" s="144"/>
      <c r="BD247" s="51"/>
      <c r="BE247" s="51">
        <f>SUM(BE248:BE251)</f>
        <v>0</v>
      </c>
      <c r="BF247" s="51"/>
      <c r="BG247" s="51"/>
      <c r="BH247" s="144"/>
      <c r="BI247" s="51"/>
      <c r="BJ247" s="51">
        <f>SUM(BJ248:BJ251)</f>
        <v>0</v>
      </c>
      <c r="BK247" s="51"/>
      <c r="BL247" s="51"/>
      <c r="BM247" s="144"/>
      <c r="BN247" s="51"/>
      <c r="BO247" s="51">
        <f>SUM(BO248:BO251)</f>
        <v>0</v>
      </c>
      <c r="BP247" s="51"/>
      <c r="BQ247" s="51"/>
      <c r="BR247" s="144"/>
      <c r="BS247" s="51"/>
      <c r="BT247" s="51">
        <f>SUM(BT248:BT251)</f>
        <v>0</v>
      </c>
      <c r="BU247" s="51"/>
      <c r="BV247" s="51"/>
      <c r="BW247" s="144"/>
      <c r="BX247" s="51"/>
      <c r="BY247" s="51">
        <f>SUM(BY248:BY251)</f>
        <v>0</v>
      </c>
      <c r="BZ247" s="51"/>
      <c r="CA247" s="51"/>
      <c r="CB247" s="144"/>
      <c r="CC247" s="51"/>
      <c r="CD247" s="51">
        <f>SUM(CD248:CD251)</f>
        <v>0</v>
      </c>
      <c r="CE247" s="51"/>
      <c r="CF247" s="51"/>
      <c r="CG247" s="144"/>
      <c r="CH247" s="51"/>
      <c r="CI247" s="51">
        <f>SUM(CI248:CI251)</f>
        <v>0</v>
      </c>
      <c r="CJ247" s="51"/>
      <c r="CK247" s="51"/>
      <c r="CL247" s="144"/>
      <c r="CM247" s="51"/>
      <c r="CN247" s="51">
        <f>SUM(CN248:CN251)</f>
        <v>0</v>
      </c>
      <c r="CO247" s="51"/>
      <c r="CP247" s="51"/>
      <c r="CQ247" s="144"/>
      <c r="CR247" s="51"/>
      <c r="CS247" s="51">
        <f>SUM(CS248:CS251)</f>
        <v>0</v>
      </c>
      <c r="CT247" s="51"/>
      <c r="CU247" s="51"/>
      <c r="CV247" s="144"/>
      <c r="CW247" s="51"/>
      <c r="CX247" s="51">
        <f>SUM(CX248:CX251)</f>
        <v>0</v>
      </c>
      <c r="CY247" s="51"/>
      <c r="CZ247" s="51"/>
      <c r="DA247" s="144"/>
      <c r="DB247" s="51"/>
      <c r="DC247" s="51">
        <f>SUM(DC248:DC251)</f>
        <v>0</v>
      </c>
      <c r="DD247" s="51"/>
      <c r="DE247" s="51"/>
      <c r="DF247" s="144"/>
      <c r="DG247" s="51"/>
      <c r="DH247" s="51">
        <f>SUM(DH248:DH251)</f>
        <v>0</v>
      </c>
      <c r="DI247" s="51"/>
      <c r="DJ247" s="51"/>
      <c r="DK247" s="144"/>
      <c r="DL247" s="51"/>
      <c r="DM247" s="51">
        <f>SUM(DM248:DM251)</f>
        <v>0</v>
      </c>
      <c r="DN247" s="51"/>
      <c r="DO247" s="51"/>
      <c r="DP247" s="144"/>
      <c r="DQ247" s="51"/>
      <c r="DR247" s="51">
        <f>SUM(DR248:DR251)</f>
        <v>0</v>
      </c>
      <c r="DS247" s="51"/>
      <c r="DT247" s="51"/>
      <c r="DU247" s="144"/>
      <c r="DV247" s="51"/>
      <c r="DW247" s="51">
        <f>SUM(DW248:DW251)</f>
        <v>0</v>
      </c>
      <c r="DX247" s="51"/>
      <c r="DY247" s="51"/>
      <c r="DZ247" s="144"/>
      <c r="EA247" s="51"/>
      <c r="EB247" s="51">
        <f>SUM(EB248:EB251)</f>
        <v>0</v>
      </c>
      <c r="EC247" s="51"/>
      <c r="ED247" s="51"/>
      <c r="EE247" s="144"/>
      <c r="EF247" s="51"/>
      <c r="EG247" s="51">
        <f>SUM(EG248:EG251)</f>
        <v>0</v>
      </c>
      <c r="EH247" s="51"/>
      <c r="EI247" s="51"/>
      <c r="EJ247" s="144"/>
      <c r="EK247" s="51"/>
      <c r="EL247" s="51">
        <f>SUM(EL248:EL251)</f>
        <v>0</v>
      </c>
      <c r="EM247" s="51"/>
      <c r="EN247" s="51"/>
      <c r="EO247" s="340"/>
      <c r="ER247" s="39"/>
      <c r="ES247" s="39"/>
    </row>
    <row r="248" spans="1:149" ht="12.75" hidden="1" customHeight="1" x14ac:dyDescent="0.2">
      <c r="A248" s="317"/>
      <c r="B248" s="317"/>
      <c r="D248" s="340" t="s">
        <v>183</v>
      </c>
      <c r="F248" s="354"/>
      <c r="G248" s="430">
        <v>0</v>
      </c>
      <c r="H248" s="431"/>
      <c r="I248" s="51"/>
      <c r="J248" s="144"/>
      <c r="K248" s="354"/>
      <c r="L248" s="430">
        <v>0</v>
      </c>
      <c r="M248" s="431"/>
      <c r="N248" s="51"/>
      <c r="O248" s="144"/>
      <c r="P248" s="354"/>
      <c r="Q248" s="430">
        <v>0</v>
      </c>
      <c r="R248" s="431"/>
      <c r="S248" s="51"/>
      <c r="T248" s="144"/>
      <c r="U248" s="354"/>
      <c r="V248" s="430">
        <v>0</v>
      </c>
      <c r="W248" s="431"/>
      <c r="X248" s="51"/>
      <c r="Y248" s="144"/>
      <c r="Z248" s="354"/>
      <c r="AA248" s="430">
        <v>0</v>
      </c>
      <c r="AB248" s="431"/>
      <c r="AC248" s="51"/>
      <c r="AD248" s="144"/>
      <c r="AE248" s="354"/>
      <c r="AF248" s="430">
        <v>0</v>
      </c>
      <c r="AG248" s="431"/>
      <c r="AH248" s="51"/>
      <c r="AI248" s="144"/>
      <c r="AJ248" s="354"/>
      <c r="AK248" s="430">
        <v>0</v>
      </c>
      <c r="AL248" s="431"/>
      <c r="AM248" s="51"/>
      <c r="AN248" s="144"/>
      <c r="AO248" s="354"/>
      <c r="AP248" s="430">
        <v>0</v>
      </c>
      <c r="AQ248" s="431"/>
      <c r="AR248" s="51"/>
      <c r="AS248" s="144"/>
      <c r="AT248" s="432"/>
      <c r="AU248" s="430">
        <v>0</v>
      </c>
      <c r="AV248" s="431"/>
      <c r="AW248" s="51"/>
      <c r="AX248" s="144"/>
      <c r="AY248" s="432"/>
      <c r="AZ248" s="430">
        <v>0</v>
      </c>
      <c r="BA248" s="431"/>
      <c r="BB248" s="51"/>
      <c r="BC248" s="144"/>
      <c r="BD248" s="432"/>
      <c r="BE248" s="430">
        <v>0</v>
      </c>
      <c r="BF248" s="431"/>
      <c r="BG248" s="51"/>
      <c r="BH248" s="144"/>
      <c r="BI248" s="432"/>
      <c r="BJ248" s="430">
        <v>0</v>
      </c>
      <c r="BK248" s="431"/>
      <c r="BL248" s="51"/>
      <c r="BM248" s="144"/>
      <c r="BN248" s="432"/>
      <c r="BO248" s="430">
        <v>0</v>
      </c>
      <c r="BP248" s="431"/>
      <c r="BQ248" s="51"/>
      <c r="BR248" s="144"/>
      <c r="BS248" s="432"/>
      <c r="BT248" s="430">
        <f>SUM(L248:BO248)</f>
        <v>0</v>
      </c>
      <c r="BU248" s="431"/>
      <c r="BV248" s="51"/>
      <c r="BW248" s="144"/>
      <c r="BX248" s="432"/>
      <c r="BY248" s="430">
        <v>0</v>
      </c>
      <c r="BZ248" s="431"/>
      <c r="CA248" s="51"/>
      <c r="CB248" s="144"/>
      <c r="CC248" s="354"/>
      <c r="CD248" s="430">
        <v>0</v>
      </c>
      <c r="CE248" s="431"/>
      <c r="CF248" s="51"/>
      <c r="CG248" s="144"/>
      <c r="CH248" s="354"/>
      <c r="CI248" s="430">
        <v>0</v>
      </c>
      <c r="CJ248" s="431"/>
      <c r="CK248" s="51"/>
      <c r="CL248" s="144"/>
      <c r="CM248" s="354"/>
      <c r="CN248" s="430">
        <v>0</v>
      </c>
      <c r="CO248" s="431"/>
      <c r="CP248" s="51"/>
      <c r="CQ248" s="144"/>
      <c r="CR248" s="354"/>
      <c r="CS248" s="430">
        <v>0</v>
      </c>
      <c r="CT248" s="431"/>
      <c r="CU248" s="51"/>
      <c r="CV248" s="144"/>
      <c r="CW248" s="354"/>
      <c r="CX248" s="430">
        <v>0</v>
      </c>
      <c r="CY248" s="431"/>
      <c r="CZ248" s="51"/>
      <c r="DA248" s="144"/>
      <c r="DB248" s="354"/>
      <c r="DC248" s="430">
        <v>0</v>
      </c>
      <c r="DD248" s="431"/>
      <c r="DE248" s="51"/>
      <c r="DF248" s="144"/>
      <c r="DG248" s="354"/>
      <c r="DH248" s="430">
        <v>0</v>
      </c>
      <c r="DI248" s="431"/>
      <c r="DJ248" s="51"/>
      <c r="DK248" s="144"/>
      <c r="DL248" s="432"/>
      <c r="DM248" s="430">
        <v>0</v>
      </c>
      <c r="DN248" s="431"/>
      <c r="DO248" s="51"/>
      <c r="DP248" s="144"/>
      <c r="DQ248" s="432"/>
      <c r="DR248" s="430">
        <v>0</v>
      </c>
      <c r="DS248" s="431"/>
      <c r="DT248" s="51"/>
      <c r="DU248" s="144"/>
      <c r="DV248" s="432"/>
      <c r="DW248" s="430">
        <v>0</v>
      </c>
      <c r="DX248" s="431"/>
      <c r="DY248" s="51"/>
      <c r="DZ248" s="144"/>
      <c r="EA248" s="432"/>
      <c r="EB248" s="430">
        <v>0</v>
      </c>
      <c r="EC248" s="431"/>
      <c r="ED248" s="51"/>
      <c r="EE248" s="144"/>
      <c r="EF248" s="432"/>
      <c r="EG248" s="430">
        <v>0</v>
      </c>
      <c r="EH248" s="431"/>
      <c r="EI248" s="51"/>
      <c r="EJ248" s="144"/>
      <c r="EK248" s="432"/>
      <c r="EL248" s="430">
        <f>SUM(CD248:EG248)</f>
        <v>0</v>
      </c>
      <c r="EM248" s="431"/>
      <c r="EN248" s="51"/>
      <c r="EO248" s="340"/>
      <c r="ER248" s="39"/>
      <c r="ES248" s="39"/>
    </row>
    <row r="249" spans="1:149" ht="12.75" hidden="1" customHeight="1" x14ac:dyDescent="0.2">
      <c r="A249" s="317"/>
      <c r="B249" s="317"/>
      <c r="D249" s="340" t="s">
        <v>186</v>
      </c>
      <c r="F249" s="347"/>
      <c r="G249" s="51">
        <v>0</v>
      </c>
      <c r="H249" s="50"/>
      <c r="I249" s="51"/>
      <c r="J249" s="144"/>
      <c r="K249" s="347"/>
      <c r="L249" s="51">
        <v>0</v>
      </c>
      <c r="M249" s="50"/>
      <c r="N249" s="51"/>
      <c r="O249" s="144"/>
      <c r="P249" s="347"/>
      <c r="Q249" s="51">
        <v>0</v>
      </c>
      <c r="R249" s="50"/>
      <c r="S249" s="51"/>
      <c r="T249" s="144"/>
      <c r="U249" s="347"/>
      <c r="V249" s="51">
        <v>0</v>
      </c>
      <c r="W249" s="50"/>
      <c r="X249" s="51"/>
      <c r="Y249" s="144"/>
      <c r="Z249" s="347"/>
      <c r="AA249" s="51">
        <v>0</v>
      </c>
      <c r="AB249" s="50"/>
      <c r="AC249" s="51"/>
      <c r="AD249" s="144"/>
      <c r="AE249" s="347"/>
      <c r="AF249" s="51">
        <v>0</v>
      </c>
      <c r="AG249" s="50"/>
      <c r="AH249" s="51"/>
      <c r="AI249" s="144"/>
      <c r="AJ249" s="347"/>
      <c r="AK249" s="51">
        <v>0</v>
      </c>
      <c r="AL249" s="50"/>
      <c r="AM249" s="51"/>
      <c r="AN249" s="144"/>
      <c r="AO249" s="347"/>
      <c r="AP249" s="51">
        <v>0</v>
      </c>
      <c r="AQ249" s="50"/>
      <c r="AR249" s="51"/>
      <c r="AS249" s="144"/>
      <c r="AT249" s="144"/>
      <c r="AU249" s="51">
        <v>0</v>
      </c>
      <c r="AV249" s="50"/>
      <c r="AW249" s="51"/>
      <c r="AX249" s="144"/>
      <c r="AY249" s="144"/>
      <c r="AZ249" s="51">
        <v>0</v>
      </c>
      <c r="BA249" s="50"/>
      <c r="BB249" s="51"/>
      <c r="BC249" s="144"/>
      <c r="BD249" s="144"/>
      <c r="BE249" s="51">
        <v>0</v>
      </c>
      <c r="BF249" s="50"/>
      <c r="BG249" s="51"/>
      <c r="BH249" s="144"/>
      <c r="BI249" s="144"/>
      <c r="BJ249" s="51">
        <v>0</v>
      </c>
      <c r="BK249" s="50"/>
      <c r="BL249" s="51"/>
      <c r="BM249" s="144"/>
      <c r="BN249" s="144"/>
      <c r="BO249" s="51">
        <v>0</v>
      </c>
      <c r="BP249" s="50"/>
      <c r="BQ249" s="51"/>
      <c r="BR249" s="144"/>
      <c r="BS249" s="144"/>
      <c r="BT249" s="51">
        <f>SUM(L249:BO249)</f>
        <v>0</v>
      </c>
      <c r="BU249" s="50"/>
      <c r="BV249" s="51"/>
      <c r="BW249" s="144"/>
      <c r="BX249" s="144"/>
      <c r="BY249" s="51">
        <v>0</v>
      </c>
      <c r="BZ249" s="50"/>
      <c r="CA249" s="51"/>
      <c r="CB249" s="144"/>
      <c r="CC249" s="347"/>
      <c r="CD249" s="51">
        <v>0</v>
      </c>
      <c r="CE249" s="50"/>
      <c r="CF249" s="51"/>
      <c r="CG249" s="144"/>
      <c r="CH249" s="347"/>
      <c r="CI249" s="51">
        <v>0</v>
      </c>
      <c r="CJ249" s="50"/>
      <c r="CK249" s="51"/>
      <c r="CL249" s="144"/>
      <c r="CM249" s="347"/>
      <c r="CN249" s="51">
        <v>0</v>
      </c>
      <c r="CO249" s="50"/>
      <c r="CP249" s="51"/>
      <c r="CQ249" s="144"/>
      <c r="CR249" s="347"/>
      <c r="CS249" s="51">
        <v>0</v>
      </c>
      <c r="CT249" s="50"/>
      <c r="CU249" s="51"/>
      <c r="CV249" s="144"/>
      <c r="CW249" s="347"/>
      <c r="CX249" s="51">
        <v>0</v>
      </c>
      <c r="CY249" s="50"/>
      <c r="CZ249" s="51"/>
      <c r="DA249" s="144"/>
      <c r="DB249" s="347"/>
      <c r="DC249" s="51">
        <v>0</v>
      </c>
      <c r="DD249" s="50"/>
      <c r="DE249" s="51"/>
      <c r="DF249" s="144"/>
      <c r="DG249" s="347"/>
      <c r="DH249" s="51">
        <v>0</v>
      </c>
      <c r="DI249" s="50"/>
      <c r="DJ249" s="51"/>
      <c r="DK249" s="144"/>
      <c r="DL249" s="144"/>
      <c r="DM249" s="51">
        <v>0</v>
      </c>
      <c r="DN249" s="50"/>
      <c r="DO249" s="51"/>
      <c r="DP249" s="144"/>
      <c r="DQ249" s="144"/>
      <c r="DR249" s="51">
        <v>0</v>
      </c>
      <c r="DS249" s="50"/>
      <c r="DT249" s="51"/>
      <c r="DU249" s="144"/>
      <c r="DV249" s="144"/>
      <c r="DW249" s="51">
        <v>0</v>
      </c>
      <c r="DX249" s="50"/>
      <c r="DY249" s="51"/>
      <c r="DZ249" s="144"/>
      <c r="EA249" s="144"/>
      <c r="EB249" s="51">
        <v>0</v>
      </c>
      <c r="EC249" s="50"/>
      <c r="ED249" s="51"/>
      <c r="EE249" s="144"/>
      <c r="EF249" s="144"/>
      <c r="EG249" s="51">
        <v>0</v>
      </c>
      <c r="EH249" s="50"/>
      <c r="EI249" s="51"/>
      <c r="EJ249" s="144"/>
      <c r="EK249" s="144"/>
      <c r="EL249" s="51">
        <f>SUM(CD249:EG249)</f>
        <v>0</v>
      </c>
      <c r="EM249" s="50"/>
      <c r="EN249" s="51"/>
      <c r="EO249" s="340"/>
      <c r="ER249" s="39"/>
      <c r="ES249" s="39"/>
    </row>
    <row r="250" spans="1:149" ht="12.75" hidden="1" customHeight="1" x14ac:dyDescent="0.2">
      <c r="A250" s="317"/>
      <c r="B250" s="317"/>
      <c r="D250" s="340" t="s">
        <v>200</v>
      </c>
      <c r="F250" s="347"/>
      <c r="G250" s="51">
        <v>0</v>
      </c>
      <c r="H250" s="50"/>
      <c r="I250" s="51"/>
      <c r="J250" s="144"/>
      <c r="K250" s="347"/>
      <c r="L250" s="51">
        <v>0</v>
      </c>
      <c r="M250" s="50"/>
      <c r="N250" s="51"/>
      <c r="O250" s="144"/>
      <c r="P250" s="347"/>
      <c r="Q250" s="51">
        <v>0</v>
      </c>
      <c r="R250" s="50"/>
      <c r="S250" s="51"/>
      <c r="T250" s="144"/>
      <c r="U250" s="347"/>
      <c r="V250" s="51">
        <v>0</v>
      </c>
      <c r="W250" s="50"/>
      <c r="X250" s="51"/>
      <c r="Y250" s="144"/>
      <c r="Z250" s="347"/>
      <c r="AA250" s="51">
        <v>0</v>
      </c>
      <c r="AB250" s="50"/>
      <c r="AC250" s="51"/>
      <c r="AD250" s="144"/>
      <c r="AE250" s="347"/>
      <c r="AF250" s="51">
        <v>0</v>
      </c>
      <c r="AG250" s="50"/>
      <c r="AH250" s="51"/>
      <c r="AI250" s="144"/>
      <c r="AJ250" s="347"/>
      <c r="AK250" s="51">
        <v>0</v>
      </c>
      <c r="AL250" s="50"/>
      <c r="AM250" s="51"/>
      <c r="AN250" s="144"/>
      <c r="AO250" s="347"/>
      <c r="AP250" s="51">
        <v>0</v>
      </c>
      <c r="AQ250" s="50"/>
      <c r="AR250" s="51"/>
      <c r="AS250" s="144"/>
      <c r="AT250" s="144"/>
      <c r="AU250" s="51">
        <v>0</v>
      </c>
      <c r="AV250" s="50"/>
      <c r="AW250" s="51"/>
      <c r="AX250" s="144"/>
      <c r="AY250" s="144"/>
      <c r="AZ250" s="51">
        <v>0</v>
      </c>
      <c r="BA250" s="50"/>
      <c r="BB250" s="51"/>
      <c r="BC250" s="144"/>
      <c r="BD250" s="144"/>
      <c r="BE250" s="51">
        <v>0</v>
      </c>
      <c r="BF250" s="50"/>
      <c r="BG250" s="51"/>
      <c r="BH250" s="144"/>
      <c r="BI250" s="144"/>
      <c r="BJ250" s="51">
        <v>0</v>
      </c>
      <c r="BK250" s="50"/>
      <c r="BL250" s="51"/>
      <c r="BM250" s="144"/>
      <c r="BN250" s="144"/>
      <c r="BO250" s="51">
        <v>0</v>
      </c>
      <c r="BP250" s="50"/>
      <c r="BQ250" s="51"/>
      <c r="BR250" s="144"/>
      <c r="BS250" s="144"/>
      <c r="BT250" s="51">
        <f>SUM(L250:BO250)</f>
        <v>0</v>
      </c>
      <c r="BU250" s="50"/>
      <c r="BV250" s="51"/>
      <c r="BW250" s="144"/>
      <c r="BX250" s="144"/>
      <c r="BY250" s="51">
        <v>0</v>
      </c>
      <c r="BZ250" s="50"/>
      <c r="CA250" s="51"/>
      <c r="CB250" s="144"/>
      <c r="CC250" s="347"/>
      <c r="CD250" s="51">
        <v>0</v>
      </c>
      <c r="CE250" s="50"/>
      <c r="CF250" s="51"/>
      <c r="CG250" s="144"/>
      <c r="CH250" s="347"/>
      <c r="CI250" s="51">
        <v>0</v>
      </c>
      <c r="CJ250" s="50"/>
      <c r="CK250" s="51"/>
      <c r="CL250" s="144"/>
      <c r="CM250" s="347"/>
      <c r="CN250" s="51">
        <v>0</v>
      </c>
      <c r="CO250" s="50"/>
      <c r="CP250" s="51"/>
      <c r="CQ250" s="144"/>
      <c r="CR250" s="347"/>
      <c r="CS250" s="51">
        <v>0</v>
      </c>
      <c r="CT250" s="50"/>
      <c r="CU250" s="51"/>
      <c r="CV250" s="144"/>
      <c r="CW250" s="347"/>
      <c r="CX250" s="51">
        <v>0</v>
      </c>
      <c r="CY250" s="50"/>
      <c r="CZ250" s="51"/>
      <c r="DA250" s="144"/>
      <c r="DB250" s="347"/>
      <c r="DC250" s="51">
        <v>0</v>
      </c>
      <c r="DD250" s="50"/>
      <c r="DE250" s="51"/>
      <c r="DF250" s="144"/>
      <c r="DG250" s="347"/>
      <c r="DH250" s="51">
        <v>0</v>
      </c>
      <c r="DI250" s="50"/>
      <c r="DJ250" s="51"/>
      <c r="DK250" s="144"/>
      <c r="DL250" s="144"/>
      <c r="DM250" s="51">
        <v>0</v>
      </c>
      <c r="DN250" s="50"/>
      <c r="DO250" s="51"/>
      <c r="DP250" s="144"/>
      <c r="DQ250" s="144"/>
      <c r="DR250" s="51">
        <v>0</v>
      </c>
      <c r="DS250" s="50"/>
      <c r="DT250" s="51"/>
      <c r="DU250" s="144"/>
      <c r="DV250" s="144"/>
      <c r="DW250" s="51">
        <v>0</v>
      </c>
      <c r="DX250" s="50"/>
      <c r="DY250" s="51"/>
      <c r="DZ250" s="144"/>
      <c r="EA250" s="144"/>
      <c r="EB250" s="51">
        <v>0</v>
      </c>
      <c r="EC250" s="50"/>
      <c r="ED250" s="51"/>
      <c r="EE250" s="144"/>
      <c r="EF250" s="144"/>
      <c r="EG250" s="51">
        <v>0</v>
      </c>
      <c r="EH250" s="50"/>
      <c r="EI250" s="51"/>
      <c r="EJ250" s="144"/>
      <c r="EK250" s="144"/>
      <c r="EL250" s="51">
        <f>SUM(CD250:EG250)</f>
        <v>0</v>
      </c>
      <c r="EM250" s="50"/>
      <c r="EN250" s="51"/>
      <c r="EO250" s="340"/>
      <c r="ER250" s="39"/>
      <c r="ES250" s="39"/>
    </row>
    <row r="251" spans="1:149" ht="12.75" hidden="1" customHeight="1" x14ac:dyDescent="0.2">
      <c r="A251" s="317"/>
      <c r="B251" s="317"/>
      <c r="D251" s="340" t="s">
        <v>188</v>
      </c>
      <c r="F251" s="371"/>
      <c r="G251" s="95">
        <v>0</v>
      </c>
      <c r="H251" s="94"/>
      <c r="I251" s="51"/>
      <c r="J251" s="144"/>
      <c r="K251" s="371"/>
      <c r="L251" s="95">
        <v>0</v>
      </c>
      <c r="M251" s="94"/>
      <c r="N251" s="51"/>
      <c r="O251" s="144"/>
      <c r="P251" s="371"/>
      <c r="Q251" s="95">
        <v>0</v>
      </c>
      <c r="R251" s="94"/>
      <c r="S251" s="51"/>
      <c r="T251" s="144"/>
      <c r="U251" s="371"/>
      <c r="V251" s="95">
        <v>0</v>
      </c>
      <c r="W251" s="94"/>
      <c r="X251" s="51"/>
      <c r="Y251" s="144"/>
      <c r="Z251" s="371"/>
      <c r="AA251" s="95">
        <v>0</v>
      </c>
      <c r="AB251" s="94"/>
      <c r="AC251" s="51"/>
      <c r="AD251" s="144"/>
      <c r="AE251" s="371"/>
      <c r="AF251" s="95">
        <v>0</v>
      </c>
      <c r="AG251" s="94"/>
      <c r="AH251" s="51"/>
      <c r="AI251" s="144"/>
      <c r="AJ251" s="371"/>
      <c r="AK251" s="95">
        <v>0</v>
      </c>
      <c r="AL251" s="94"/>
      <c r="AM251" s="51"/>
      <c r="AN251" s="144"/>
      <c r="AO251" s="371"/>
      <c r="AP251" s="95">
        <v>0</v>
      </c>
      <c r="AQ251" s="94"/>
      <c r="AR251" s="51"/>
      <c r="AS251" s="144"/>
      <c r="AT251" s="187"/>
      <c r="AU251" s="95">
        <v>0</v>
      </c>
      <c r="AV251" s="94"/>
      <c r="AW251" s="51"/>
      <c r="AX251" s="144"/>
      <c r="AY251" s="187"/>
      <c r="AZ251" s="95">
        <v>0</v>
      </c>
      <c r="BA251" s="94"/>
      <c r="BB251" s="51"/>
      <c r="BC251" s="144"/>
      <c r="BD251" s="187"/>
      <c r="BE251" s="95">
        <v>0</v>
      </c>
      <c r="BF251" s="94"/>
      <c r="BG251" s="51"/>
      <c r="BH251" s="144"/>
      <c r="BI251" s="187"/>
      <c r="BJ251" s="95">
        <v>0</v>
      </c>
      <c r="BK251" s="94"/>
      <c r="BL251" s="51"/>
      <c r="BM251" s="144"/>
      <c r="BN251" s="187"/>
      <c r="BO251" s="95">
        <v>0</v>
      </c>
      <c r="BP251" s="94"/>
      <c r="BQ251" s="51"/>
      <c r="BR251" s="144"/>
      <c r="BS251" s="187"/>
      <c r="BT251" s="95">
        <f>SUM(L251:BO251)</f>
        <v>0</v>
      </c>
      <c r="BU251" s="94"/>
      <c r="BV251" s="51"/>
      <c r="BW251" s="144"/>
      <c r="BX251" s="187"/>
      <c r="BY251" s="95">
        <v>0</v>
      </c>
      <c r="BZ251" s="94"/>
      <c r="CA251" s="51"/>
      <c r="CB251" s="144"/>
      <c r="CC251" s="371"/>
      <c r="CD251" s="95">
        <v>0</v>
      </c>
      <c r="CE251" s="94"/>
      <c r="CF251" s="51"/>
      <c r="CG251" s="144"/>
      <c r="CH251" s="371"/>
      <c r="CI251" s="95">
        <v>0</v>
      </c>
      <c r="CJ251" s="94"/>
      <c r="CK251" s="51"/>
      <c r="CL251" s="144"/>
      <c r="CM251" s="371"/>
      <c r="CN251" s="95">
        <v>0</v>
      </c>
      <c r="CO251" s="94"/>
      <c r="CP251" s="51"/>
      <c r="CQ251" s="144"/>
      <c r="CR251" s="371"/>
      <c r="CS251" s="95">
        <v>0</v>
      </c>
      <c r="CT251" s="94"/>
      <c r="CU251" s="51"/>
      <c r="CV251" s="144"/>
      <c r="CW251" s="371"/>
      <c r="CX251" s="95">
        <v>0</v>
      </c>
      <c r="CY251" s="94"/>
      <c r="CZ251" s="51"/>
      <c r="DA251" s="144"/>
      <c r="DB251" s="371"/>
      <c r="DC251" s="95">
        <v>0</v>
      </c>
      <c r="DD251" s="94"/>
      <c r="DE251" s="51"/>
      <c r="DF251" s="144"/>
      <c r="DG251" s="371"/>
      <c r="DH251" s="95">
        <v>0</v>
      </c>
      <c r="DI251" s="94"/>
      <c r="DJ251" s="51"/>
      <c r="DK251" s="144"/>
      <c r="DL251" s="187"/>
      <c r="DM251" s="95">
        <v>0</v>
      </c>
      <c r="DN251" s="94"/>
      <c r="DO251" s="51"/>
      <c r="DP251" s="144"/>
      <c r="DQ251" s="187"/>
      <c r="DR251" s="95">
        <v>0</v>
      </c>
      <c r="DS251" s="94"/>
      <c r="DT251" s="51"/>
      <c r="DU251" s="144"/>
      <c r="DV251" s="187"/>
      <c r="DW251" s="95">
        <v>0</v>
      </c>
      <c r="DX251" s="94"/>
      <c r="DY251" s="51"/>
      <c r="DZ251" s="144"/>
      <c r="EA251" s="187"/>
      <c r="EB251" s="95">
        <v>0</v>
      </c>
      <c r="EC251" s="94"/>
      <c r="ED251" s="51"/>
      <c r="EE251" s="144"/>
      <c r="EF251" s="187"/>
      <c r="EG251" s="95">
        <v>0</v>
      </c>
      <c r="EH251" s="94"/>
      <c r="EI251" s="51"/>
      <c r="EJ251" s="144"/>
      <c r="EK251" s="187"/>
      <c r="EL251" s="95">
        <f>SUM(CD251:EG251)</f>
        <v>0</v>
      </c>
      <c r="EM251" s="94"/>
      <c r="EN251" s="51"/>
      <c r="EO251" s="340"/>
      <c r="ER251" s="39"/>
      <c r="ES251" s="39"/>
    </row>
    <row r="252" spans="1:149" ht="12.75" hidden="1" customHeight="1" x14ac:dyDescent="0.2">
      <c r="A252" s="317"/>
      <c r="B252" s="317"/>
      <c r="D252" s="340"/>
      <c r="F252" s="317"/>
      <c r="G252" s="51"/>
      <c r="H252" s="51"/>
      <c r="I252" s="51"/>
      <c r="J252" s="144"/>
      <c r="K252" s="317"/>
      <c r="L252" s="51"/>
      <c r="M252" s="51"/>
      <c r="N252" s="51"/>
      <c r="O252" s="144"/>
      <c r="P252" s="317"/>
      <c r="Q252" s="51"/>
      <c r="R252" s="51"/>
      <c r="S252" s="51"/>
      <c r="T252" s="144"/>
      <c r="U252" s="317"/>
      <c r="V252" s="51"/>
      <c r="W252" s="51"/>
      <c r="X252" s="51"/>
      <c r="Y252" s="144"/>
      <c r="Z252" s="317"/>
      <c r="AA252" s="51"/>
      <c r="AB252" s="51"/>
      <c r="AC252" s="51"/>
      <c r="AD252" s="144"/>
      <c r="AE252" s="317"/>
      <c r="AF252" s="51"/>
      <c r="AG252" s="51"/>
      <c r="AH252" s="51"/>
      <c r="AI252" s="144"/>
      <c r="AJ252" s="317"/>
      <c r="AK252" s="51"/>
      <c r="AL252" s="51"/>
      <c r="AM252" s="51"/>
      <c r="AN252" s="144"/>
      <c r="AO252" s="317"/>
      <c r="AP252" s="51"/>
      <c r="AQ252" s="51"/>
      <c r="AR252" s="51"/>
      <c r="AS252" s="144"/>
      <c r="AT252" s="51"/>
      <c r="AU252" s="51"/>
      <c r="AV252" s="51"/>
      <c r="AW252" s="51"/>
      <c r="AX252" s="144"/>
      <c r="AY252" s="51"/>
      <c r="AZ252" s="51"/>
      <c r="BA252" s="51"/>
      <c r="BB252" s="51"/>
      <c r="BC252" s="144"/>
      <c r="BD252" s="51"/>
      <c r="BE252" s="51"/>
      <c r="BF252" s="51"/>
      <c r="BG252" s="51"/>
      <c r="BH252" s="144"/>
      <c r="BI252" s="51"/>
      <c r="BJ252" s="51"/>
      <c r="BK252" s="51"/>
      <c r="BL252" s="51"/>
      <c r="BM252" s="144"/>
      <c r="BN252" s="51"/>
      <c r="BO252" s="51"/>
      <c r="BP252" s="51"/>
      <c r="BQ252" s="51"/>
      <c r="BR252" s="144"/>
      <c r="BS252" s="51"/>
      <c r="BT252" s="51"/>
      <c r="BU252" s="51"/>
      <c r="BV252" s="51"/>
      <c r="BW252" s="144"/>
      <c r="BX252" s="51"/>
      <c r="BY252" s="51"/>
      <c r="BZ252" s="51"/>
      <c r="CA252" s="51"/>
      <c r="CB252" s="144"/>
      <c r="CC252" s="317"/>
      <c r="CD252" s="51"/>
      <c r="CE252" s="51"/>
      <c r="CF252" s="51"/>
      <c r="CG252" s="144"/>
      <c r="CH252" s="317"/>
      <c r="CI252" s="51"/>
      <c r="CJ252" s="51"/>
      <c r="CK252" s="51"/>
      <c r="CL252" s="144"/>
      <c r="CM252" s="317"/>
      <c r="CN252" s="51"/>
      <c r="CO252" s="51"/>
      <c r="CP252" s="51"/>
      <c r="CQ252" s="144"/>
      <c r="CR252" s="317"/>
      <c r="CS252" s="51"/>
      <c r="CT252" s="51"/>
      <c r="CU252" s="51"/>
      <c r="CV252" s="144"/>
      <c r="CW252" s="317"/>
      <c r="CX252" s="51"/>
      <c r="CY252" s="51"/>
      <c r="CZ252" s="51"/>
      <c r="DA252" s="144"/>
      <c r="DB252" s="317"/>
      <c r="DC252" s="51"/>
      <c r="DD252" s="51"/>
      <c r="DE252" s="51"/>
      <c r="DF252" s="144"/>
      <c r="DG252" s="317"/>
      <c r="DH252" s="51"/>
      <c r="DI252" s="51"/>
      <c r="DJ252" s="51"/>
      <c r="DK252" s="144"/>
      <c r="DL252" s="51"/>
      <c r="DM252" s="51"/>
      <c r="DN252" s="51"/>
      <c r="DO252" s="51"/>
      <c r="DP252" s="144"/>
      <c r="DQ252" s="51"/>
      <c r="DR252" s="51"/>
      <c r="DS252" s="51"/>
      <c r="DT252" s="51"/>
      <c r="DU252" s="144"/>
      <c r="DV252" s="51"/>
      <c r="DW252" s="51"/>
      <c r="DX252" s="51"/>
      <c r="DY252" s="51"/>
      <c r="DZ252" s="144"/>
      <c r="EA252" s="51"/>
      <c r="EB252" s="51"/>
      <c r="EC252" s="51"/>
      <c r="ED252" s="51"/>
      <c r="EE252" s="144"/>
      <c r="EF252" s="51"/>
      <c r="EG252" s="51"/>
      <c r="EH252" s="51"/>
      <c r="EI252" s="51"/>
      <c r="EJ252" s="144"/>
      <c r="EK252" s="51"/>
      <c r="EL252" s="51"/>
      <c r="EM252" s="51"/>
      <c r="EN252" s="51"/>
      <c r="EO252" s="340"/>
      <c r="ER252" s="39"/>
      <c r="ES252" s="39"/>
    </row>
    <row r="253" spans="1:149" ht="12.75" customHeight="1" x14ac:dyDescent="0.2">
      <c r="A253" s="317"/>
      <c r="B253" s="317"/>
      <c r="D253" s="340" t="s">
        <v>199</v>
      </c>
      <c r="E253" s="453"/>
      <c r="F253" s="317"/>
      <c r="G253" s="51">
        <f>SUM(G254:G256)</f>
        <v>0</v>
      </c>
      <c r="H253" s="51"/>
      <c r="I253" s="51"/>
      <c r="J253" s="144"/>
      <c r="K253" s="317"/>
      <c r="L253" s="51">
        <f>SUM(L254:L256)</f>
        <v>0</v>
      </c>
      <c r="M253" s="51"/>
      <c r="N253" s="51"/>
      <c r="O253" s="144"/>
      <c r="P253" s="317"/>
      <c r="Q253" s="51">
        <f>SUM(Q254:Q256)</f>
        <v>0</v>
      </c>
      <c r="R253" s="51"/>
      <c r="S253" s="51"/>
      <c r="T253" s="144"/>
      <c r="U253" s="317"/>
      <c r="V253" s="51">
        <f>SUM(V254:V256)</f>
        <v>0</v>
      </c>
      <c r="W253" s="51"/>
      <c r="X253" s="51"/>
      <c r="Y253" s="144"/>
      <c r="Z253" s="317"/>
      <c r="AA253" s="51">
        <f>SUM(AA254:AA256)</f>
        <v>0</v>
      </c>
      <c r="AB253" s="51"/>
      <c r="AC253" s="51"/>
      <c r="AD253" s="144"/>
      <c r="AE253" s="317"/>
      <c r="AF253" s="51">
        <f>SUM(AF254:AF256)</f>
        <v>0</v>
      </c>
      <c r="AG253" s="51"/>
      <c r="AH253" s="51"/>
      <c r="AI253" s="144"/>
      <c r="AJ253" s="317"/>
      <c r="AK253" s="51">
        <f>SUM(AK254:AK256)</f>
        <v>0</v>
      </c>
      <c r="AL253" s="51"/>
      <c r="AM253" s="51"/>
      <c r="AN253" s="144"/>
      <c r="AO253" s="317"/>
      <c r="AP253" s="51">
        <f>SUM(AP254:AP256)</f>
        <v>0</v>
      </c>
      <c r="AQ253" s="51"/>
      <c r="AR253" s="51"/>
      <c r="AS253" s="144"/>
      <c r="AT253" s="317"/>
      <c r="AU253" s="51">
        <f>SUM(AU254:AU256)</f>
        <v>0</v>
      </c>
      <c r="AV253" s="51"/>
      <c r="AW253" s="51"/>
      <c r="AX253" s="144"/>
      <c r="AY253" s="317"/>
      <c r="AZ253" s="51">
        <f>SUM(AZ254:AZ256)</f>
        <v>0</v>
      </c>
      <c r="BA253" s="51"/>
      <c r="BB253" s="51"/>
      <c r="BC253" s="144"/>
      <c r="BD253" s="317"/>
      <c r="BE253" s="51">
        <f>SUM(BE254:BE256)</f>
        <v>0</v>
      </c>
      <c r="BF253" s="51"/>
      <c r="BG253" s="51"/>
      <c r="BH253" s="144"/>
      <c r="BI253" s="317"/>
      <c r="BJ253" s="51">
        <f>SUM(BJ254:BJ256)</f>
        <v>0</v>
      </c>
      <c r="BK253" s="51"/>
      <c r="BL253" s="51"/>
      <c r="BM253" s="144"/>
      <c r="BN253" s="317"/>
      <c r="BO253" s="51">
        <f>SUM(BO254:BO256)</f>
        <v>0</v>
      </c>
      <c r="BP253" s="51"/>
      <c r="BQ253" s="51"/>
      <c r="BR253" s="144"/>
      <c r="BS253" s="317"/>
      <c r="BT253" s="51">
        <f>SUM(BT254:BT256)</f>
        <v>0</v>
      </c>
      <c r="BU253" s="51"/>
      <c r="BV253" s="51"/>
      <c r="BW253" s="144"/>
      <c r="BX253" s="317"/>
      <c r="BY253" s="51">
        <f>SUM(BY254:BY256)</f>
        <v>10134767</v>
      </c>
      <c r="BZ253" s="51"/>
      <c r="CA253" s="51"/>
      <c r="CB253" s="144"/>
      <c r="CC253" s="317"/>
      <c r="CD253" s="51">
        <f>SUM(CD254:CD256)</f>
        <v>2013939</v>
      </c>
      <c r="CE253" s="51"/>
      <c r="CF253" s="51"/>
      <c r="CG253" s="144"/>
      <c r="CH253" s="317"/>
      <c r="CI253" s="51">
        <f>SUM(CI254:CI256)</f>
        <v>468022</v>
      </c>
      <c r="CJ253" s="51"/>
      <c r="CK253" s="51"/>
      <c r="CL253" s="144"/>
      <c r="CM253" s="317"/>
      <c r="CN253" s="51">
        <f>SUM(CN254:CN256)</f>
        <v>1476097</v>
      </c>
      <c r="CO253" s="51"/>
      <c r="CP253" s="51"/>
      <c r="CQ253" s="144"/>
      <c r="CR253" s="317"/>
      <c r="CS253" s="51">
        <f>SUM(CS254:CS256)</f>
        <v>866869</v>
      </c>
      <c r="CT253" s="51"/>
      <c r="CU253" s="51"/>
      <c r="CV253" s="144"/>
      <c r="CW253" s="317"/>
      <c r="CX253" s="51">
        <f>SUM(CX254:CX256)</f>
        <v>839811</v>
      </c>
      <c r="CY253" s="51"/>
      <c r="CZ253" s="51"/>
      <c r="DA253" s="144"/>
      <c r="DB253" s="317"/>
      <c r="DC253" s="51">
        <f>SUM(DC254:DC256)</f>
        <v>1526908</v>
      </c>
      <c r="DD253" s="51"/>
      <c r="DE253" s="51"/>
      <c r="DF253" s="144"/>
      <c r="DG253" s="317"/>
      <c r="DH253" s="51">
        <f>SUM(DH254:DH256)</f>
        <v>181902</v>
      </c>
      <c r="DI253" s="51"/>
      <c r="DJ253" s="51"/>
      <c r="DK253" s="144"/>
      <c r="DL253" s="317"/>
      <c r="DM253" s="51">
        <f>SUM(DM254:DM256)</f>
        <v>229813</v>
      </c>
      <c r="DN253" s="51"/>
      <c r="DO253" s="51"/>
      <c r="DP253" s="144"/>
      <c r="DQ253" s="317"/>
      <c r="DR253" s="51">
        <f>SUM(DR254:DR256)</f>
        <v>779474</v>
      </c>
      <c r="DS253" s="51"/>
      <c r="DT253" s="51"/>
      <c r="DU253" s="144"/>
      <c r="DV253" s="317"/>
      <c r="DW253" s="51">
        <f>SUM(DW254:DW256)</f>
        <v>284285</v>
      </c>
      <c r="DX253" s="51"/>
      <c r="DY253" s="51"/>
      <c r="DZ253" s="144"/>
      <c r="EA253" s="317"/>
      <c r="EB253" s="51">
        <f>SUM(EB254:EB256)</f>
        <v>187248</v>
      </c>
      <c r="EC253" s="51"/>
      <c r="ED253" s="51"/>
      <c r="EE253" s="144"/>
      <c r="EF253" s="317"/>
      <c r="EG253" s="51">
        <f>SUM(EG254:EG256)</f>
        <v>1280399</v>
      </c>
      <c r="EH253" s="51"/>
      <c r="EI253" s="51"/>
      <c r="EJ253" s="144"/>
      <c r="EK253" s="317"/>
      <c r="EL253" s="51">
        <f>SUM(EL254:EL256)</f>
        <v>7373548</v>
      </c>
      <c r="EM253" s="51"/>
      <c r="EN253" s="51"/>
      <c r="EO253" s="340"/>
      <c r="ER253" s="39"/>
      <c r="ES253" s="39"/>
    </row>
    <row r="254" spans="1:149" ht="12.75" customHeight="1" x14ac:dyDescent="0.2">
      <c r="A254" s="317"/>
      <c r="B254" s="317"/>
      <c r="D254" s="340" t="s">
        <v>183</v>
      </c>
      <c r="E254" s="453"/>
      <c r="F254" s="354"/>
      <c r="G254" s="430">
        <v>0</v>
      </c>
      <c r="H254" s="431"/>
      <c r="I254" s="51"/>
      <c r="J254" s="144"/>
      <c r="K254" s="354"/>
      <c r="L254" s="430">
        <v>0</v>
      </c>
      <c r="M254" s="431"/>
      <c r="N254" s="51"/>
      <c r="O254" s="144"/>
      <c r="P254" s="354"/>
      <c r="Q254" s="430">
        <v>0</v>
      </c>
      <c r="R254" s="431"/>
      <c r="S254" s="51"/>
      <c r="T254" s="144"/>
      <c r="U254" s="354"/>
      <c r="V254" s="430">
        <v>0</v>
      </c>
      <c r="W254" s="431"/>
      <c r="X254" s="51"/>
      <c r="Y254" s="144"/>
      <c r="Z254" s="354"/>
      <c r="AA254" s="430">
        <v>0</v>
      </c>
      <c r="AB254" s="431"/>
      <c r="AC254" s="51"/>
      <c r="AD254" s="144"/>
      <c r="AE254" s="354"/>
      <c r="AF254" s="430">
        <v>0</v>
      </c>
      <c r="AG254" s="431"/>
      <c r="AH254" s="51"/>
      <c r="AI254" s="144"/>
      <c r="AJ254" s="354"/>
      <c r="AK254" s="430">
        <v>0</v>
      </c>
      <c r="AL254" s="431"/>
      <c r="AM254" s="51"/>
      <c r="AN254" s="144"/>
      <c r="AO254" s="354"/>
      <c r="AP254" s="430">
        <v>0</v>
      </c>
      <c r="AQ254" s="431"/>
      <c r="AR254" s="51"/>
      <c r="AS254" s="144"/>
      <c r="AT254" s="354"/>
      <c r="AU254" s="430">
        <v>0</v>
      </c>
      <c r="AV254" s="431"/>
      <c r="AW254" s="51"/>
      <c r="AX254" s="144"/>
      <c r="AY254" s="354"/>
      <c r="AZ254" s="430">
        <v>0</v>
      </c>
      <c r="BA254" s="431"/>
      <c r="BB254" s="51"/>
      <c r="BC254" s="144"/>
      <c r="BD254" s="354"/>
      <c r="BE254" s="430">
        <v>0</v>
      </c>
      <c r="BF254" s="431"/>
      <c r="BG254" s="51"/>
      <c r="BH254" s="144"/>
      <c r="BI254" s="354"/>
      <c r="BJ254" s="430">
        <v>0</v>
      </c>
      <c r="BK254" s="431"/>
      <c r="BL254" s="51"/>
      <c r="BM254" s="144"/>
      <c r="BN254" s="354"/>
      <c r="BO254" s="430">
        <v>0</v>
      </c>
      <c r="BP254" s="431"/>
      <c r="BQ254" s="51"/>
      <c r="BR254" s="144"/>
      <c r="BS254" s="354"/>
      <c r="BT254" s="430">
        <f>SUM(L254:BO254)</f>
        <v>0</v>
      </c>
      <c r="BU254" s="431"/>
      <c r="BV254" s="51"/>
      <c r="BW254" s="144"/>
      <c r="BX254" s="354"/>
      <c r="BY254" s="430">
        <v>11448027</v>
      </c>
      <c r="BZ254" s="431"/>
      <c r="CA254" s="51"/>
      <c r="CB254" s="144"/>
      <c r="CC254" s="354"/>
      <c r="CD254" s="430">
        <f>2013939+290916</f>
        <v>2304855</v>
      </c>
      <c r="CE254" s="431"/>
      <c r="CF254" s="51"/>
      <c r="CG254" s="144"/>
      <c r="CH254" s="354"/>
      <c r="CI254" s="430">
        <f>468022+68408</f>
        <v>536430</v>
      </c>
      <c r="CJ254" s="431"/>
      <c r="CK254" s="51"/>
      <c r="CL254" s="144"/>
      <c r="CM254" s="354"/>
      <c r="CN254" s="430">
        <f>1476097+213164</f>
        <v>1689261</v>
      </c>
      <c r="CO254" s="431"/>
      <c r="CP254" s="51"/>
      <c r="CQ254" s="144"/>
      <c r="CR254" s="354"/>
      <c r="CS254" s="430">
        <f>866869+115520</f>
        <v>982389</v>
      </c>
      <c r="CT254" s="431"/>
      <c r="CU254" s="51"/>
      <c r="CV254" s="144"/>
      <c r="CW254" s="354"/>
      <c r="CX254" s="430">
        <f>839811+115691</f>
        <v>955502</v>
      </c>
      <c r="CY254" s="431"/>
      <c r="CZ254" s="51"/>
      <c r="DA254" s="144"/>
      <c r="DB254" s="354"/>
      <c r="DC254" s="430">
        <f>1526908+210728</f>
        <v>1737636</v>
      </c>
      <c r="DD254" s="431"/>
      <c r="DE254" s="51"/>
      <c r="DF254" s="144"/>
      <c r="DG254" s="354"/>
      <c r="DH254" s="430">
        <f>181902+20827</f>
        <v>202729</v>
      </c>
      <c r="DI254" s="431"/>
      <c r="DJ254" s="51"/>
      <c r="DK254" s="144"/>
      <c r="DL254" s="354"/>
      <c r="DM254" s="430">
        <f>229813+21707</f>
        <v>251520</v>
      </c>
      <c r="DN254" s="431"/>
      <c r="DO254" s="51"/>
      <c r="DP254" s="144"/>
      <c r="DQ254" s="354"/>
      <c r="DR254" s="430">
        <f>779474+78516</f>
        <v>857990</v>
      </c>
      <c r="DS254" s="431"/>
      <c r="DT254" s="51"/>
      <c r="DU254" s="144"/>
      <c r="DV254" s="354"/>
      <c r="DW254" s="430">
        <f>284285+30857</f>
        <v>315142</v>
      </c>
      <c r="DX254" s="431"/>
      <c r="DY254" s="51"/>
      <c r="DZ254" s="144"/>
      <c r="EA254" s="354"/>
      <c r="EB254" s="430">
        <f>187248+21878</f>
        <v>209126</v>
      </c>
      <c r="EC254" s="431"/>
      <c r="ED254" s="51"/>
      <c r="EE254" s="144"/>
      <c r="EF254" s="354"/>
      <c r="EG254" s="430">
        <f>1280399+125048</f>
        <v>1405447</v>
      </c>
      <c r="EH254" s="431"/>
      <c r="EI254" s="51"/>
      <c r="EJ254" s="144"/>
      <c r="EK254" s="354"/>
      <c r="EL254" s="430">
        <f t="shared" ref="EL254:EL256" si="18">SUM(CD254:DH254)</f>
        <v>8408802</v>
      </c>
      <c r="EM254" s="431"/>
      <c r="EN254" s="51"/>
      <c r="EO254" s="340"/>
      <c r="ER254" s="39"/>
      <c r="ES254" s="39"/>
    </row>
    <row r="255" spans="1:149" ht="12.75" customHeight="1" x14ac:dyDescent="0.2">
      <c r="A255" s="317"/>
      <c r="B255" s="317"/>
      <c r="D255" s="340" t="s">
        <v>186</v>
      </c>
      <c r="E255" s="453"/>
      <c r="F255" s="347"/>
      <c r="G255" s="51">
        <v>0</v>
      </c>
      <c r="H255" s="50"/>
      <c r="I255" s="51"/>
      <c r="J255" s="144"/>
      <c r="K255" s="347"/>
      <c r="L255" s="51">
        <v>0</v>
      </c>
      <c r="M255" s="50"/>
      <c r="N255" s="51"/>
      <c r="O255" s="144"/>
      <c r="P255" s="347"/>
      <c r="Q255" s="51">
        <v>0</v>
      </c>
      <c r="R255" s="50"/>
      <c r="S255" s="51"/>
      <c r="T255" s="144"/>
      <c r="U255" s="347"/>
      <c r="V255" s="51">
        <v>0</v>
      </c>
      <c r="W255" s="50"/>
      <c r="X255" s="51"/>
      <c r="Y255" s="144"/>
      <c r="Z255" s="347"/>
      <c r="AA255" s="51">
        <v>0</v>
      </c>
      <c r="AB255" s="50"/>
      <c r="AC255" s="51"/>
      <c r="AD255" s="144"/>
      <c r="AE255" s="347"/>
      <c r="AF255" s="51">
        <v>0</v>
      </c>
      <c r="AG255" s="50"/>
      <c r="AH255" s="51"/>
      <c r="AI255" s="144"/>
      <c r="AJ255" s="347"/>
      <c r="AK255" s="51">
        <v>0</v>
      </c>
      <c r="AL255" s="50"/>
      <c r="AM255" s="51"/>
      <c r="AN255" s="144"/>
      <c r="AO255" s="347"/>
      <c r="AP255" s="51">
        <v>0</v>
      </c>
      <c r="AQ255" s="50"/>
      <c r="AR255" s="51"/>
      <c r="AS255" s="144"/>
      <c r="AT255" s="347"/>
      <c r="AU255" s="51">
        <v>0</v>
      </c>
      <c r="AV255" s="50"/>
      <c r="AW255" s="51"/>
      <c r="AX255" s="144"/>
      <c r="AY255" s="347"/>
      <c r="AZ255" s="51">
        <v>0</v>
      </c>
      <c r="BA255" s="50"/>
      <c r="BB255" s="51"/>
      <c r="BC255" s="144"/>
      <c r="BD255" s="347"/>
      <c r="BE255" s="51">
        <v>0</v>
      </c>
      <c r="BF255" s="50"/>
      <c r="BG255" s="51"/>
      <c r="BH255" s="144"/>
      <c r="BI255" s="347"/>
      <c r="BJ255" s="51">
        <v>0</v>
      </c>
      <c r="BK255" s="50"/>
      <c r="BL255" s="51"/>
      <c r="BM255" s="144"/>
      <c r="BN255" s="347"/>
      <c r="BO255" s="51">
        <v>0</v>
      </c>
      <c r="BP255" s="50"/>
      <c r="BQ255" s="51"/>
      <c r="BR255" s="144"/>
      <c r="BS255" s="347"/>
      <c r="BT255" s="51">
        <f>SUM(L255:BO255)</f>
        <v>0</v>
      </c>
      <c r="BU255" s="50"/>
      <c r="BV255" s="51"/>
      <c r="BW255" s="144"/>
      <c r="BX255" s="347"/>
      <c r="BY255" s="51">
        <v>0</v>
      </c>
      <c r="BZ255" s="50"/>
      <c r="CA255" s="51"/>
      <c r="CB255" s="144"/>
      <c r="CC255" s="347"/>
      <c r="CD255" s="51">
        <v>0</v>
      </c>
      <c r="CE255" s="50"/>
      <c r="CF255" s="51"/>
      <c r="CG255" s="144"/>
      <c r="CH255" s="347"/>
      <c r="CI255" s="51">
        <v>0</v>
      </c>
      <c r="CJ255" s="50"/>
      <c r="CK255" s="51"/>
      <c r="CL255" s="144"/>
      <c r="CM255" s="347"/>
      <c r="CN255" s="51">
        <v>0</v>
      </c>
      <c r="CO255" s="50"/>
      <c r="CP255" s="51"/>
      <c r="CQ255" s="144"/>
      <c r="CR255" s="347"/>
      <c r="CS255" s="51">
        <v>0</v>
      </c>
      <c r="CT255" s="50"/>
      <c r="CU255" s="51"/>
      <c r="CV255" s="144"/>
      <c r="CW255" s="347"/>
      <c r="CX255" s="51">
        <v>0</v>
      </c>
      <c r="CY255" s="50"/>
      <c r="CZ255" s="51"/>
      <c r="DA255" s="144"/>
      <c r="DB255" s="347"/>
      <c r="DC255" s="51">
        <v>0</v>
      </c>
      <c r="DD255" s="50"/>
      <c r="DE255" s="51"/>
      <c r="DF255" s="144"/>
      <c r="DG255" s="347"/>
      <c r="DH255" s="51">
        <v>0</v>
      </c>
      <c r="DI255" s="50"/>
      <c r="DJ255" s="51"/>
      <c r="DK255" s="144"/>
      <c r="DL255" s="347"/>
      <c r="DM255" s="51">
        <v>0</v>
      </c>
      <c r="DN255" s="50"/>
      <c r="DO255" s="51"/>
      <c r="DP255" s="144"/>
      <c r="DQ255" s="347"/>
      <c r="DR255" s="51">
        <v>0</v>
      </c>
      <c r="DS255" s="50"/>
      <c r="DT255" s="51"/>
      <c r="DU255" s="144"/>
      <c r="DV255" s="347"/>
      <c r="DW255" s="51">
        <v>0</v>
      </c>
      <c r="DX255" s="50"/>
      <c r="DY255" s="51"/>
      <c r="DZ255" s="144"/>
      <c r="EA255" s="347"/>
      <c r="EB255" s="51">
        <v>0</v>
      </c>
      <c r="EC255" s="50"/>
      <c r="ED255" s="51"/>
      <c r="EE255" s="144"/>
      <c r="EF255" s="347"/>
      <c r="EG255" s="51">
        <v>0</v>
      </c>
      <c r="EH255" s="50"/>
      <c r="EI255" s="51"/>
      <c r="EJ255" s="144"/>
      <c r="EK255" s="347"/>
      <c r="EL255" s="51">
        <f t="shared" si="18"/>
        <v>0</v>
      </c>
      <c r="EM255" s="50"/>
      <c r="EN255" s="51"/>
      <c r="EO255" s="340"/>
      <c r="ER255" s="39"/>
      <c r="ES255" s="39"/>
    </row>
    <row r="256" spans="1:149" ht="12.75" customHeight="1" x14ac:dyDescent="0.2">
      <c r="A256" s="317"/>
      <c r="B256" s="317"/>
      <c r="D256" s="340" t="s">
        <v>200</v>
      </c>
      <c r="E256" s="453"/>
      <c r="F256" s="371"/>
      <c r="G256" s="95">
        <v>0</v>
      </c>
      <c r="H256" s="94"/>
      <c r="I256" s="51"/>
      <c r="J256" s="144"/>
      <c r="K256" s="371"/>
      <c r="L256" s="95">
        <v>0</v>
      </c>
      <c r="M256" s="94"/>
      <c r="N256" s="51"/>
      <c r="O256" s="144"/>
      <c r="P256" s="371"/>
      <c r="Q256" s="95">
        <v>0</v>
      </c>
      <c r="R256" s="94"/>
      <c r="S256" s="51"/>
      <c r="T256" s="144"/>
      <c r="U256" s="371"/>
      <c r="V256" s="95">
        <v>0</v>
      </c>
      <c r="W256" s="94"/>
      <c r="X256" s="51"/>
      <c r="Y256" s="144"/>
      <c r="Z256" s="371"/>
      <c r="AA256" s="95">
        <v>0</v>
      </c>
      <c r="AB256" s="94"/>
      <c r="AC256" s="51"/>
      <c r="AD256" s="144"/>
      <c r="AE256" s="371"/>
      <c r="AF256" s="95">
        <v>0</v>
      </c>
      <c r="AG256" s="94"/>
      <c r="AH256" s="51"/>
      <c r="AI256" s="144"/>
      <c r="AJ256" s="371"/>
      <c r="AK256" s="95">
        <v>0</v>
      </c>
      <c r="AL256" s="94"/>
      <c r="AM256" s="51"/>
      <c r="AN256" s="144"/>
      <c r="AO256" s="371"/>
      <c r="AP256" s="95">
        <v>0</v>
      </c>
      <c r="AQ256" s="94"/>
      <c r="AR256" s="51"/>
      <c r="AS256" s="144"/>
      <c r="AT256" s="371"/>
      <c r="AU256" s="95">
        <v>0</v>
      </c>
      <c r="AV256" s="94"/>
      <c r="AW256" s="51"/>
      <c r="AX256" s="144"/>
      <c r="AY256" s="371"/>
      <c r="AZ256" s="95">
        <v>0</v>
      </c>
      <c r="BA256" s="94"/>
      <c r="BB256" s="51"/>
      <c r="BC256" s="144"/>
      <c r="BD256" s="371"/>
      <c r="BE256" s="95">
        <v>0</v>
      </c>
      <c r="BF256" s="94"/>
      <c r="BG256" s="51"/>
      <c r="BH256" s="144"/>
      <c r="BI256" s="371"/>
      <c r="BJ256" s="95">
        <v>0</v>
      </c>
      <c r="BK256" s="94"/>
      <c r="BL256" s="51"/>
      <c r="BM256" s="144"/>
      <c r="BN256" s="371"/>
      <c r="BO256" s="95">
        <v>0</v>
      </c>
      <c r="BP256" s="94"/>
      <c r="BQ256" s="51"/>
      <c r="BR256" s="144"/>
      <c r="BS256" s="371"/>
      <c r="BT256" s="95">
        <f>SUM(L256:BO256)</f>
        <v>0</v>
      </c>
      <c r="BU256" s="94"/>
      <c r="BV256" s="51"/>
      <c r="BW256" s="144"/>
      <c r="BX256" s="371"/>
      <c r="BY256" s="95">
        <v>-1313260</v>
      </c>
      <c r="BZ256" s="94"/>
      <c r="CA256" s="51"/>
      <c r="CB256" s="144"/>
      <c r="CC256" s="371"/>
      <c r="CD256" s="95">
        <v>-290916</v>
      </c>
      <c r="CE256" s="94"/>
      <c r="CF256" s="51"/>
      <c r="CG256" s="144"/>
      <c r="CH256" s="371"/>
      <c r="CI256" s="95">
        <v>-68408</v>
      </c>
      <c r="CJ256" s="94"/>
      <c r="CK256" s="51"/>
      <c r="CL256" s="144"/>
      <c r="CM256" s="371"/>
      <c r="CN256" s="95">
        <v>-213164</v>
      </c>
      <c r="CO256" s="94"/>
      <c r="CP256" s="51"/>
      <c r="CQ256" s="144"/>
      <c r="CR256" s="371"/>
      <c r="CS256" s="95">
        <v>-115520</v>
      </c>
      <c r="CT256" s="94"/>
      <c r="CU256" s="51"/>
      <c r="CV256" s="144"/>
      <c r="CW256" s="371"/>
      <c r="CX256" s="95">
        <v>-115691</v>
      </c>
      <c r="CY256" s="94"/>
      <c r="CZ256" s="51"/>
      <c r="DA256" s="144"/>
      <c r="DB256" s="371"/>
      <c r="DC256" s="95">
        <v>-210728</v>
      </c>
      <c r="DD256" s="94"/>
      <c r="DE256" s="51"/>
      <c r="DF256" s="144"/>
      <c r="DG256" s="371"/>
      <c r="DH256" s="95">
        <v>-20827</v>
      </c>
      <c r="DI256" s="94"/>
      <c r="DJ256" s="51"/>
      <c r="DK256" s="144"/>
      <c r="DL256" s="371"/>
      <c r="DM256" s="95">
        <v>-21707</v>
      </c>
      <c r="DN256" s="94"/>
      <c r="DO256" s="51"/>
      <c r="DP256" s="144"/>
      <c r="DQ256" s="371"/>
      <c r="DR256" s="95">
        <v>-78516</v>
      </c>
      <c r="DS256" s="94"/>
      <c r="DT256" s="51"/>
      <c r="DU256" s="144"/>
      <c r="DV256" s="371"/>
      <c r="DW256" s="95">
        <v>-30857</v>
      </c>
      <c r="DX256" s="94"/>
      <c r="DY256" s="51"/>
      <c r="DZ256" s="144"/>
      <c r="EA256" s="371"/>
      <c r="EB256" s="95">
        <v>-21878</v>
      </c>
      <c r="EC256" s="94"/>
      <c r="ED256" s="51"/>
      <c r="EE256" s="144"/>
      <c r="EF256" s="371"/>
      <c r="EG256" s="95">
        <v>-125048</v>
      </c>
      <c r="EH256" s="94"/>
      <c r="EI256" s="51"/>
      <c r="EJ256" s="144"/>
      <c r="EK256" s="371"/>
      <c r="EL256" s="95">
        <f t="shared" si="18"/>
        <v>-1035254</v>
      </c>
      <c r="EM256" s="94"/>
      <c r="EN256" s="51"/>
      <c r="EO256" s="340"/>
      <c r="ER256" s="39"/>
      <c r="ES256" s="39"/>
    </row>
    <row r="257" spans="1:149" ht="12.75" customHeight="1" x14ac:dyDescent="0.2">
      <c r="A257" s="317"/>
      <c r="B257" s="317"/>
      <c r="D257" s="340"/>
      <c r="E257" s="453"/>
      <c r="F257" s="317"/>
      <c r="G257" s="51"/>
      <c r="H257" s="51"/>
      <c r="I257" s="51"/>
      <c r="J257" s="144"/>
      <c r="K257" s="317"/>
      <c r="L257" s="51"/>
      <c r="M257" s="51"/>
      <c r="N257" s="51"/>
      <c r="O257" s="144"/>
      <c r="P257" s="317"/>
      <c r="Q257" s="51"/>
      <c r="R257" s="51"/>
      <c r="S257" s="51"/>
      <c r="T257" s="144"/>
      <c r="U257" s="317"/>
      <c r="V257" s="51"/>
      <c r="W257" s="51"/>
      <c r="X257" s="51"/>
      <c r="Y257" s="144"/>
      <c r="Z257" s="317"/>
      <c r="AA257" s="51"/>
      <c r="AB257" s="51"/>
      <c r="AC257" s="51"/>
      <c r="AD257" s="144"/>
      <c r="AE257" s="317"/>
      <c r="AF257" s="51"/>
      <c r="AG257" s="51"/>
      <c r="AH257" s="51"/>
      <c r="AI257" s="144"/>
      <c r="AJ257" s="317"/>
      <c r="AK257" s="51"/>
      <c r="AL257" s="51"/>
      <c r="AM257" s="51"/>
      <c r="AN257" s="144"/>
      <c r="AO257" s="317"/>
      <c r="AP257" s="51"/>
      <c r="AQ257" s="51"/>
      <c r="AR257" s="51"/>
      <c r="AS257" s="144"/>
      <c r="AT257" s="317"/>
      <c r="AU257" s="51"/>
      <c r="AV257" s="51"/>
      <c r="AW257" s="51"/>
      <c r="AX257" s="144"/>
      <c r="AY257" s="317"/>
      <c r="AZ257" s="51"/>
      <c r="BA257" s="51"/>
      <c r="BB257" s="51"/>
      <c r="BC257" s="144"/>
      <c r="BD257" s="317"/>
      <c r="BE257" s="51"/>
      <c r="BF257" s="51"/>
      <c r="BG257" s="51"/>
      <c r="BH257" s="144"/>
      <c r="BI257" s="317"/>
      <c r="BJ257" s="51"/>
      <c r="BK257" s="51"/>
      <c r="BL257" s="51"/>
      <c r="BM257" s="144"/>
      <c r="BN257" s="317"/>
      <c r="BO257" s="51"/>
      <c r="BP257" s="51"/>
      <c r="BQ257" s="51"/>
      <c r="BR257" s="144"/>
      <c r="BS257" s="317"/>
      <c r="BT257" s="51"/>
      <c r="BU257" s="51"/>
      <c r="BV257" s="51"/>
      <c r="BW257" s="144"/>
      <c r="BX257" s="317"/>
      <c r="BY257" s="51"/>
      <c r="BZ257" s="51"/>
      <c r="CA257" s="51"/>
      <c r="CB257" s="144"/>
      <c r="CC257" s="317"/>
      <c r="CD257" s="51"/>
      <c r="CE257" s="51"/>
      <c r="CF257" s="51"/>
      <c r="CG257" s="144"/>
      <c r="CH257" s="317"/>
      <c r="CI257" s="51"/>
      <c r="CJ257" s="51"/>
      <c r="CK257" s="51"/>
      <c r="CL257" s="144"/>
      <c r="CM257" s="317"/>
      <c r="CN257" s="51"/>
      <c r="CO257" s="51"/>
      <c r="CP257" s="51"/>
      <c r="CQ257" s="144"/>
      <c r="CR257" s="317"/>
      <c r="CS257" s="51"/>
      <c r="CT257" s="51"/>
      <c r="CU257" s="51"/>
      <c r="CV257" s="144"/>
      <c r="CW257" s="317"/>
      <c r="CX257" s="51"/>
      <c r="CY257" s="51"/>
      <c r="CZ257" s="51"/>
      <c r="DA257" s="144"/>
      <c r="DB257" s="317"/>
      <c r="DC257" s="51"/>
      <c r="DD257" s="51"/>
      <c r="DE257" s="51"/>
      <c r="DF257" s="144"/>
      <c r="DG257" s="317"/>
      <c r="DH257" s="51"/>
      <c r="DI257" s="51"/>
      <c r="DJ257" s="51"/>
      <c r="DK257" s="144"/>
      <c r="DL257" s="317"/>
      <c r="DM257" s="51"/>
      <c r="DN257" s="51"/>
      <c r="DO257" s="51"/>
      <c r="DP257" s="144"/>
      <c r="DQ257" s="317"/>
      <c r="DR257" s="51"/>
      <c r="DS257" s="51"/>
      <c r="DT257" s="51"/>
      <c r="DU257" s="144"/>
      <c r="DV257" s="317"/>
      <c r="DW257" s="51"/>
      <c r="DX257" s="51"/>
      <c r="DY257" s="51"/>
      <c r="DZ257" s="144"/>
      <c r="EA257" s="317"/>
      <c r="EB257" s="51"/>
      <c r="EC257" s="51"/>
      <c r="ED257" s="51"/>
      <c r="EE257" s="144"/>
      <c r="EF257" s="317"/>
      <c r="EG257" s="51"/>
      <c r="EH257" s="51"/>
      <c r="EI257" s="51"/>
      <c r="EJ257" s="144"/>
      <c r="EK257" s="317"/>
      <c r="EL257" s="51"/>
      <c r="EM257" s="51"/>
      <c r="EN257" s="51"/>
      <c r="EO257" s="340"/>
      <c r="ER257" s="39"/>
      <c r="ES257" s="39"/>
    </row>
    <row r="258" spans="1:149" ht="12.75" customHeight="1" x14ac:dyDescent="0.2">
      <c r="A258" s="317"/>
      <c r="B258" s="317"/>
      <c r="D258" s="340" t="s">
        <v>201</v>
      </c>
      <c r="F258" s="317"/>
      <c r="G258" s="51">
        <f>SUM(G259:G261)</f>
        <v>3310802</v>
      </c>
      <c r="H258" s="51"/>
      <c r="I258" s="51"/>
      <c r="J258" s="144"/>
      <c r="K258" s="51"/>
      <c r="L258" s="51">
        <f>SUM(L259:L261)</f>
        <v>2306360</v>
      </c>
      <c r="M258" s="51"/>
      <c r="N258" s="51"/>
      <c r="O258" s="144"/>
      <c r="P258" s="51"/>
      <c r="Q258" s="51">
        <f>SUM(Q259:Q261)</f>
        <v>0</v>
      </c>
      <c r="R258" s="51"/>
      <c r="S258" s="51"/>
      <c r="T258" s="144"/>
      <c r="U258" s="51"/>
      <c r="V258" s="51">
        <f>SUM(V259:V261)</f>
        <v>1004442</v>
      </c>
      <c r="W258" s="51"/>
      <c r="X258" s="51"/>
      <c r="Y258" s="144"/>
      <c r="Z258" s="51"/>
      <c r="AA258" s="51">
        <f>SUM(AA259:AA261)</f>
        <v>0</v>
      </c>
      <c r="AB258" s="51"/>
      <c r="AC258" s="51"/>
      <c r="AD258" s="144"/>
      <c r="AE258" s="51"/>
      <c r="AF258" s="51">
        <f>SUM(AF259:AF261)</f>
        <v>0</v>
      </c>
      <c r="AG258" s="51"/>
      <c r="AH258" s="51"/>
      <c r="AI258" s="144"/>
      <c r="AJ258" s="51"/>
      <c r="AK258" s="51">
        <f>SUM(AK259:AK261)</f>
        <v>0</v>
      </c>
      <c r="AL258" s="51"/>
      <c r="AM258" s="51"/>
      <c r="AN258" s="144"/>
      <c r="AO258" s="51"/>
      <c r="AP258" s="51">
        <f>SUM(AP259:AP261)</f>
        <v>0</v>
      </c>
      <c r="AQ258" s="51"/>
      <c r="AR258" s="51"/>
      <c r="AS258" s="144"/>
      <c r="AT258" s="51"/>
      <c r="AU258" s="51">
        <f>SUM(AU259:AU261)</f>
        <v>0</v>
      </c>
      <c r="AV258" s="51"/>
      <c r="AW258" s="51"/>
      <c r="AX258" s="144"/>
      <c r="AY258" s="51"/>
      <c r="AZ258" s="51">
        <f>SUM(AZ259:AZ261)</f>
        <v>0</v>
      </c>
      <c r="BA258" s="51"/>
      <c r="BB258" s="51"/>
      <c r="BC258" s="144"/>
      <c r="BD258" s="51"/>
      <c r="BE258" s="51">
        <f>SUM(BE259:BE261)</f>
        <v>0</v>
      </c>
      <c r="BF258" s="51"/>
      <c r="BG258" s="51"/>
      <c r="BH258" s="144"/>
      <c r="BI258" s="51"/>
      <c r="BJ258" s="51">
        <f>SUM(BJ259:BJ261)</f>
        <v>0</v>
      </c>
      <c r="BK258" s="51"/>
      <c r="BL258" s="51"/>
      <c r="BM258" s="144"/>
      <c r="BN258" s="51"/>
      <c r="BO258" s="51">
        <f>SUM(BO259:BO261)</f>
        <v>0</v>
      </c>
      <c r="BP258" s="51"/>
      <c r="BQ258" s="51"/>
      <c r="BR258" s="144"/>
      <c r="BS258" s="51"/>
      <c r="BT258" s="51">
        <f>SUM(BT259:BT261)</f>
        <v>3310802</v>
      </c>
      <c r="BU258" s="51"/>
      <c r="BV258" s="51"/>
      <c r="BW258" s="144"/>
      <c r="BX258" s="51"/>
      <c r="BY258" s="51">
        <f>SUM(BY259:BY261)</f>
        <v>8535562</v>
      </c>
      <c r="BZ258" s="51"/>
      <c r="CA258" s="51"/>
      <c r="CB258" s="144"/>
      <c r="CC258" s="51"/>
      <c r="CD258" s="51">
        <f>SUM(CD259:CD261)</f>
        <v>2361985</v>
      </c>
      <c r="CE258" s="51"/>
      <c r="CF258" s="51"/>
      <c r="CG258" s="144"/>
      <c r="CH258" s="51"/>
      <c r="CI258" s="51">
        <f>SUM(CI259:CI261)</f>
        <v>0</v>
      </c>
      <c r="CJ258" s="51"/>
      <c r="CK258" s="51"/>
      <c r="CL258" s="144"/>
      <c r="CM258" s="51"/>
      <c r="CN258" s="51">
        <f>SUM(CN259:CN261)</f>
        <v>937347</v>
      </c>
      <c r="CO258" s="51"/>
      <c r="CP258" s="51"/>
      <c r="CQ258" s="144"/>
      <c r="CR258" s="51"/>
      <c r="CS258" s="51">
        <f>SUM(CS259:CS261)</f>
        <v>0</v>
      </c>
      <c r="CT258" s="51"/>
      <c r="CU258" s="51"/>
      <c r="CV258" s="144"/>
      <c r="CW258" s="51"/>
      <c r="CX258" s="51">
        <f>SUM(CX259:CX261)</f>
        <v>1604249</v>
      </c>
      <c r="CY258" s="51"/>
      <c r="CZ258" s="51"/>
      <c r="DA258" s="144"/>
      <c r="DB258" s="51"/>
      <c r="DC258" s="51">
        <f>SUM(DC259:DC261)</f>
        <v>0</v>
      </c>
      <c r="DD258" s="51"/>
      <c r="DE258" s="51"/>
      <c r="DF258" s="144"/>
      <c r="DG258" s="51"/>
      <c r="DH258" s="51">
        <f>SUM(DH259:DH261)</f>
        <v>1060430</v>
      </c>
      <c r="DI258" s="51"/>
      <c r="DJ258" s="51"/>
      <c r="DK258" s="144"/>
      <c r="DL258" s="51"/>
      <c r="DM258" s="51">
        <f>SUM(DM259:DM261)</f>
        <v>756410</v>
      </c>
      <c r="DN258" s="51"/>
      <c r="DO258" s="51"/>
      <c r="DP258" s="144"/>
      <c r="DQ258" s="51"/>
      <c r="DR258" s="51">
        <f>SUM(DR259:DR261)</f>
        <v>0</v>
      </c>
      <c r="DS258" s="51"/>
      <c r="DT258" s="51"/>
      <c r="DU258" s="144"/>
      <c r="DV258" s="51"/>
      <c r="DW258" s="51">
        <f>SUM(DW259:DW261)</f>
        <v>684561</v>
      </c>
      <c r="DX258" s="51"/>
      <c r="DY258" s="51"/>
      <c r="DZ258" s="144"/>
      <c r="EA258" s="51"/>
      <c r="EB258" s="51">
        <f>SUM(EB259:EB261)</f>
        <v>1130580</v>
      </c>
      <c r="EC258" s="51"/>
      <c r="ED258" s="51"/>
      <c r="EE258" s="144"/>
      <c r="EF258" s="51"/>
      <c r="EG258" s="51">
        <f>SUM(EG259:EG261)</f>
        <v>0</v>
      </c>
      <c r="EH258" s="51"/>
      <c r="EI258" s="51"/>
      <c r="EJ258" s="144"/>
      <c r="EK258" s="51"/>
      <c r="EL258" s="51">
        <f>SUM(EL259:EL261)</f>
        <v>5964011</v>
      </c>
      <c r="EM258" s="51"/>
      <c r="EN258" s="51"/>
      <c r="EO258" s="340"/>
      <c r="ER258" s="39"/>
      <c r="ES258" s="39"/>
    </row>
    <row r="259" spans="1:149" ht="12.75" customHeight="1" x14ac:dyDescent="0.2">
      <c r="A259" s="317"/>
      <c r="B259" s="317"/>
      <c r="D259" s="340" t="s">
        <v>183</v>
      </c>
      <c r="F259" s="354"/>
      <c r="G259" s="430">
        <v>3018492</v>
      </c>
      <c r="H259" s="431"/>
      <c r="I259" s="51"/>
      <c r="J259" s="144"/>
      <c r="K259" s="432"/>
      <c r="L259" s="430">
        <f>2306360-192613</f>
        <v>2113747</v>
      </c>
      <c r="M259" s="431"/>
      <c r="N259" s="51"/>
      <c r="O259" s="144"/>
      <c r="P259" s="432"/>
      <c r="Q259" s="430">
        <v>0</v>
      </c>
      <c r="R259" s="431"/>
      <c r="S259" s="51"/>
      <c r="T259" s="144"/>
      <c r="U259" s="432"/>
      <c r="V259" s="430">
        <f>1004442-99697</f>
        <v>904745</v>
      </c>
      <c r="W259" s="431"/>
      <c r="X259" s="51"/>
      <c r="Y259" s="144"/>
      <c r="Z259" s="432"/>
      <c r="AA259" s="430">
        <v>0</v>
      </c>
      <c r="AB259" s="431"/>
      <c r="AC259" s="51"/>
      <c r="AD259" s="144"/>
      <c r="AE259" s="432"/>
      <c r="AF259" s="430">
        <v>0</v>
      </c>
      <c r="AG259" s="431"/>
      <c r="AH259" s="51"/>
      <c r="AI259" s="144"/>
      <c r="AJ259" s="432"/>
      <c r="AK259" s="430">
        <v>0</v>
      </c>
      <c r="AL259" s="431"/>
      <c r="AM259" s="51"/>
      <c r="AN259" s="144"/>
      <c r="AO259" s="432"/>
      <c r="AP259" s="430">
        <v>0</v>
      </c>
      <c r="AQ259" s="431"/>
      <c r="AR259" s="51"/>
      <c r="AS259" s="144"/>
      <c r="AT259" s="432"/>
      <c r="AU259" s="430">
        <v>0</v>
      </c>
      <c r="AV259" s="431"/>
      <c r="AW259" s="51"/>
      <c r="AX259" s="144"/>
      <c r="AY259" s="432"/>
      <c r="AZ259" s="430">
        <v>0</v>
      </c>
      <c r="BA259" s="431"/>
      <c r="BB259" s="51"/>
      <c r="BC259" s="144"/>
      <c r="BD259" s="432"/>
      <c r="BE259" s="430">
        <v>0</v>
      </c>
      <c r="BF259" s="431"/>
      <c r="BG259" s="51"/>
      <c r="BH259" s="144"/>
      <c r="BI259" s="432"/>
      <c r="BJ259" s="430">
        <v>0</v>
      </c>
      <c r="BK259" s="431"/>
      <c r="BL259" s="51"/>
      <c r="BM259" s="144"/>
      <c r="BN259" s="432"/>
      <c r="BO259" s="430">
        <v>0</v>
      </c>
      <c r="BP259" s="431"/>
      <c r="BQ259" s="51"/>
      <c r="BR259" s="144"/>
      <c r="BS259" s="432"/>
      <c r="BT259" s="430">
        <f>SUM(L259:BO259)</f>
        <v>3018492</v>
      </c>
      <c r="BU259" s="431"/>
      <c r="BV259" s="51"/>
      <c r="BW259" s="144"/>
      <c r="BX259" s="432"/>
      <c r="BY259" s="430">
        <v>7911696</v>
      </c>
      <c r="BZ259" s="431"/>
      <c r="CA259" s="51"/>
      <c r="CB259" s="144"/>
      <c r="CC259" s="432"/>
      <c r="CD259" s="430">
        <f>2361985-213832</f>
        <v>2148153</v>
      </c>
      <c r="CE259" s="431"/>
      <c r="CF259" s="51"/>
      <c r="CG259" s="144"/>
      <c r="CH259" s="432"/>
      <c r="CI259" s="430">
        <v>0</v>
      </c>
      <c r="CJ259" s="431"/>
      <c r="CK259" s="51"/>
      <c r="CL259" s="144"/>
      <c r="CM259" s="432"/>
      <c r="CN259" s="430">
        <f>937347-45777</f>
        <v>891570</v>
      </c>
      <c r="CO259" s="431"/>
      <c r="CP259" s="51"/>
      <c r="CQ259" s="144"/>
      <c r="CR259" s="432"/>
      <c r="CS259" s="430">
        <v>0</v>
      </c>
      <c r="CT259" s="431"/>
      <c r="CU259" s="51"/>
      <c r="CV259" s="144"/>
      <c r="CW259" s="432"/>
      <c r="CX259" s="430">
        <f>1604249-81107</f>
        <v>1523142</v>
      </c>
      <c r="CY259" s="431"/>
      <c r="CZ259" s="51"/>
      <c r="DA259" s="144"/>
      <c r="DB259" s="432"/>
      <c r="DC259" s="430">
        <v>0</v>
      </c>
      <c r="DD259" s="431"/>
      <c r="DE259" s="51"/>
      <c r="DF259" s="144"/>
      <c r="DG259" s="432"/>
      <c r="DH259" s="430">
        <f>1060430-86346</f>
        <v>974084</v>
      </c>
      <c r="DI259" s="431"/>
      <c r="DJ259" s="51"/>
      <c r="DK259" s="144"/>
      <c r="DL259" s="432"/>
      <c r="DM259" s="430">
        <f>756410-68882</f>
        <v>687528</v>
      </c>
      <c r="DN259" s="431"/>
      <c r="DO259" s="51"/>
      <c r="DP259" s="144"/>
      <c r="DQ259" s="432"/>
      <c r="DR259" s="430">
        <v>0</v>
      </c>
      <c r="DS259" s="431"/>
      <c r="DT259" s="51"/>
      <c r="DU259" s="144"/>
      <c r="DV259" s="432"/>
      <c r="DW259" s="430">
        <f>684561-54191</f>
        <v>630370</v>
      </c>
      <c r="DX259" s="431"/>
      <c r="DY259" s="51"/>
      <c r="DZ259" s="144"/>
      <c r="EA259" s="432"/>
      <c r="EB259" s="430">
        <f>1130580-73731</f>
        <v>1056849</v>
      </c>
      <c r="EC259" s="431"/>
      <c r="ED259" s="51"/>
      <c r="EE259" s="144"/>
      <c r="EF259" s="432"/>
      <c r="EG259" s="430">
        <v>0</v>
      </c>
      <c r="EH259" s="431"/>
      <c r="EI259" s="51"/>
      <c r="EJ259" s="144"/>
      <c r="EK259" s="432"/>
      <c r="EL259" s="430">
        <f t="shared" ref="EL259:EL261" si="19">SUM(CD259:DH259)</f>
        <v>5536949</v>
      </c>
      <c r="EM259" s="431"/>
      <c r="EN259" s="51"/>
      <c r="EO259" s="340"/>
      <c r="ER259" s="39"/>
      <c r="ES259" s="39"/>
    </row>
    <row r="260" spans="1:149" ht="12.75" customHeight="1" x14ac:dyDescent="0.2">
      <c r="A260" s="317"/>
      <c r="B260" s="317"/>
      <c r="D260" s="340" t="s">
        <v>186</v>
      </c>
      <c r="F260" s="347"/>
      <c r="G260" s="51">
        <v>292310</v>
      </c>
      <c r="H260" s="50"/>
      <c r="I260" s="51"/>
      <c r="J260" s="144"/>
      <c r="K260" s="144"/>
      <c r="L260" s="51">
        <v>192613</v>
      </c>
      <c r="M260" s="50"/>
      <c r="N260" s="51"/>
      <c r="O260" s="144"/>
      <c r="P260" s="144"/>
      <c r="Q260" s="51">
        <v>0</v>
      </c>
      <c r="R260" s="50"/>
      <c r="S260" s="51"/>
      <c r="T260" s="144"/>
      <c r="U260" s="144"/>
      <c r="V260" s="51">
        <v>99697</v>
      </c>
      <c r="W260" s="50"/>
      <c r="X260" s="51"/>
      <c r="Y260" s="144"/>
      <c r="Z260" s="144"/>
      <c r="AA260" s="51">
        <v>0</v>
      </c>
      <c r="AB260" s="50"/>
      <c r="AC260" s="51"/>
      <c r="AD260" s="144"/>
      <c r="AE260" s="144"/>
      <c r="AF260" s="51">
        <v>0</v>
      </c>
      <c r="AG260" s="50"/>
      <c r="AH260" s="51"/>
      <c r="AI260" s="144"/>
      <c r="AJ260" s="144"/>
      <c r="AK260" s="51">
        <v>0</v>
      </c>
      <c r="AL260" s="50"/>
      <c r="AM260" s="51"/>
      <c r="AN260" s="144"/>
      <c r="AO260" s="144"/>
      <c r="AP260" s="51">
        <v>0</v>
      </c>
      <c r="AQ260" s="50"/>
      <c r="AR260" s="51"/>
      <c r="AS260" s="144"/>
      <c r="AT260" s="144"/>
      <c r="AU260" s="51">
        <v>0</v>
      </c>
      <c r="AV260" s="50"/>
      <c r="AW260" s="51"/>
      <c r="AX260" s="144"/>
      <c r="AY260" s="144"/>
      <c r="AZ260" s="51">
        <v>0</v>
      </c>
      <c r="BA260" s="50"/>
      <c r="BB260" s="51"/>
      <c r="BC260" s="144"/>
      <c r="BD260" s="144"/>
      <c r="BE260" s="51">
        <v>0</v>
      </c>
      <c r="BF260" s="50"/>
      <c r="BG260" s="51"/>
      <c r="BH260" s="144"/>
      <c r="BI260" s="144"/>
      <c r="BJ260" s="51">
        <v>0</v>
      </c>
      <c r="BK260" s="50"/>
      <c r="BL260" s="51"/>
      <c r="BM260" s="144"/>
      <c r="BN260" s="144"/>
      <c r="BO260" s="51">
        <v>0</v>
      </c>
      <c r="BP260" s="50"/>
      <c r="BQ260" s="51"/>
      <c r="BR260" s="144"/>
      <c r="BS260" s="144"/>
      <c r="BT260" s="51">
        <f>SUM(L260:BO260)</f>
        <v>292310</v>
      </c>
      <c r="BU260" s="50"/>
      <c r="BV260" s="51"/>
      <c r="BW260" s="144"/>
      <c r="BX260" s="144"/>
      <c r="BY260" s="51">
        <v>623866</v>
      </c>
      <c r="BZ260" s="50"/>
      <c r="CA260" s="51"/>
      <c r="CB260" s="144"/>
      <c r="CC260" s="144"/>
      <c r="CD260" s="51">
        <v>213832</v>
      </c>
      <c r="CE260" s="50"/>
      <c r="CF260" s="51"/>
      <c r="CG260" s="144"/>
      <c r="CH260" s="144"/>
      <c r="CI260" s="51">
        <v>0</v>
      </c>
      <c r="CJ260" s="50"/>
      <c r="CK260" s="51"/>
      <c r="CL260" s="144"/>
      <c r="CM260" s="144"/>
      <c r="CN260" s="51">
        <v>45777</v>
      </c>
      <c r="CO260" s="50"/>
      <c r="CP260" s="51"/>
      <c r="CQ260" s="144"/>
      <c r="CR260" s="144"/>
      <c r="CS260" s="51">
        <v>0</v>
      </c>
      <c r="CT260" s="50"/>
      <c r="CU260" s="51"/>
      <c r="CV260" s="144"/>
      <c r="CW260" s="144"/>
      <c r="CX260" s="51">
        <v>81107</v>
      </c>
      <c r="CY260" s="50"/>
      <c r="CZ260" s="51"/>
      <c r="DA260" s="144"/>
      <c r="DB260" s="144"/>
      <c r="DC260" s="51">
        <v>0</v>
      </c>
      <c r="DD260" s="50"/>
      <c r="DE260" s="51"/>
      <c r="DF260" s="144"/>
      <c r="DG260" s="144"/>
      <c r="DH260" s="51">
        <v>86346</v>
      </c>
      <c r="DI260" s="50"/>
      <c r="DJ260" s="51"/>
      <c r="DK260" s="144"/>
      <c r="DL260" s="144"/>
      <c r="DM260" s="51">
        <v>68882</v>
      </c>
      <c r="DN260" s="50"/>
      <c r="DO260" s="51"/>
      <c r="DP260" s="144"/>
      <c r="DQ260" s="144"/>
      <c r="DR260" s="51">
        <v>0</v>
      </c>
      <c r="DS260" s="50"/>
      <c r="DT260" s="51"/>
      <c r="DU260" s="144"/>
      <c r="DV260" s="144"/>
      <c r="DW260" s="51">
        <v>54191</v>
      </c>
      <c r="DX260" s="50"/>
      <c r="DY260" s="51"/>
      <c r="DZ260" s="144"/>
      <c r="EA260" s="144"/>
      <c r="EB260" s="51">
        <v>73731</v>
      </c>
      <c r="EC260" s="50"/>
      <c r="ED260" s="51"/>
      <c r="EE260" s="144"/>
      <c r="EF260" s="144"/>
      <c r="EG260" s="51">
        <v>0</v>
      </c>
      <c r="EH260" s="50"/>
      <c r="EI260" s="51"/>
      <c r="EJ260" s="144"/>
      <c r="EK260" s="144"/>
      <c r="EL260" s="51">
        <f t="shared" si="19"/>
        <v>427062</v>
      </c>
      <c r="EM260" s="50"/>
      <c r="EN260" s="51"/>
      <c r="EO260" s="340"/>
      <c r="ER260" s="39"/>
      <c r="ES260" s="39"/>
    </row>
    <row r="261" spans="1:149" ht="12.75" customHeight="1" x14ac:dyDescent="0.2">
      <c r="A261" s="317"/>
      <c r="B261" s="317"/>
      <c r="D261" s="340" t="s">
        <v>200</v>
      </c>
      <c r="F261" s="371"/>
      <c r="G261" s="95">
        <v>0</v>
      </c>
      <c r="H261" s="94"/>
      <c r="I261" s="51"/>
      <c r="J261" s="144"/>
      <c r="K261" s="187"/>
      <c r="L261" s="95">
        <v>0</v>
      </c>
      <c r="M261" s="94"/>
      <c r="N261" s="51"/>
      <c r="O261" s="144"/>
      <c r="P261" s="187"/>
      <c r="Q261" s="95">
        <v>0</v>
      </c>
      <c r="R261" s="94"/>
      <c r="S261" s="51"/>
      <c r="T261" s="144"/>
      <c r="U261" s="187"/>
      <c r="V261" s="95">
        <v>0</v>
      </c>
      <c r="W261" s="94"/>
      <c r="X261" s="51"/>
      <c r="Y261" s="144"/>
      <c r="Z261" s="187"/>
      <c r="AA261" s="95">
        <v>0</v>
      </c>
      <c r="AB261" s="94"/>
      <c r="AC261" s="51"/>
      <c r="AD261" s="144"/>
      <c r="AE261" s="187"/>
      <c r="AF261" s="95">
        <v>0</v>
      </c>
      <c r="AG261" s="94"/>
      <c r="AH261" s="51"/>
      <c r="AI261" s="144"/>
      <c r="AJ261" s="187"/>
      <c r="AK261" s="95">
        <v>0</v>
      </c>
      <c r="AL261" s="94"/>
      <c r="AM261" s="51"/>
      <c r="AN261" s="144"/>
      <c r="AO261" s="187"/>
      <c r="AP261" s="95">
        <v>0</v>
      </c>
      <c r="AQ261" s="94"/>
      <c r="AR261" s="51"/>
      <c r="AS261" s="144"/>
      <c r="AT261" s="187"/>
      <c r="AU261" s="95">
        <v>0</v>
      </c>
      <c r="AV261" s="94"/>
      <c r="AW261" s="51"/>
      <c r="AX261" s="144"/>
      <c r="AY261" s="187"/>
      <c r="AZ261" s="95">
        <v>0</v>
      </c>
      <c r="BA261" s="94"/>
      <c r="BB261" s="51"/>
      <c r="BC261" s="144"/>
      <c r="BD261" s="187"/>
      <c r="BE261" s="95">
        <v>0</v>
      </c>
      <c r="BF261" s="94"/>
      <c r="BG261" s="51"/>
      <c r="BH261" s="144"/>
      <c r="BI261" s="187"/>
      <c r="BJ261" s="95">
        <v>0</v>
      </c>
      <c r="BK261" s="94"/>
      <c r="BL261" s="51"/>
      <c r="BM261" s="144"/>
      <c r="BN261" s="187"/>
      <c r="BO261" s="95">
        <v>0</v>
      </c>
      <c r="BP261" s="94"/>
      <c r="BQ261" s="51"/>
      <c r="BR261" s="144"/>
      <c r="BS261" s="187"/>
      <c r="BT261" s="95">
        <f>SUM(L261:BO261)</f>
        <v>0</v>
      </c>
      <c r="BU261" s="94"/>
      <c r="BV261" s="51"/>
      <c r="BW261" s="144"/>
      <c r="BX261" s="187"/>
      <c r="BY261" s="95">
        <v>0</v>
      </c>
      <c r="BZ261" s="94"/>
      <c r="CA261" s="51"/>
      <c r="CB261" s="144"/>
      <c r="CC261" s="187"/>
      <c r="CD261" s="95">
        <v>0</v>
      </c>
      <c r="CE261" s="94"/>
      <c r="CF261" s="51"/>
      <c r="CG261" s="144"/>
      <c r="CH261" s="187"/>
      <c r="CI261" s="95">
        <v>0</v>
      </c>
      <c r="CJ261" s="94"/>
      <c r="CK261" s="51"/>
      <c r="CL261" s="144"/>
      <c r="CM261" s="187"/>
      <c r="CN261" s="95">
        <v>0</v>
      </c>
      <c r="CO261" s="94"/>
      <c r="CP261" s="51"/>
      <c r="CQ261" s="144"/>
      <c r="CR261" s="187"/>
      <c r="CS261" s="95">
        <v>0</v>
      </c>
      <c r="CT261" s="94"/>
      <c r="CU261" s="51"/>
      <c r="CV261" s="144"/>
      <c r="CW261" s="187"/>
      <c r="CX261" s="95">
        <v>0</v>
      </c>
      <c r="CY261" s="94"/>
      <c r="CZ261" s="51"/>
      <c r="DA261" s="144"/>
      <c r="DB261" s="187"/>
      <c r="DC261" s="95">
        <v>0</v>
      </c>
      <c r="DD261" s="94"/>
      <c r="DE261" s="51"/>
      <c r="DF261" s="144"/>
      <c r="DG261" s="187"/>
      <c r="DH261" s="95">
        <v>0</v>
      </c>
      <c r="DI261" s="94"/>
      <c r="DJ261" s="51"/>
      <c r="DK261" s="144"/>
      <c r="DL261" s="187"/>
      <c r="DM261" s="95">
        <v>0</v>
      </c>
      <c r="DN261" s="94"/>
      <c r="DO261" s="51"/>
      <c r="DP261" s="144"/>
      <c r="DQ261" s="187"/>
      <c r="DR261" s="95">
        <v>0</v>
      </c>
      <c r="DS261" s="94"/>
      <c r="DT261" s="51"/>
      <c r="DU261" s="144"/>
      <c r="DV261" s="187"/>
      <c r="DW261" s="95">
        <v>0</v>
      </c>
      <c r="DX261" s="94"/>
      <c r="DY261" s="51"/>
      <c r="DZ261" s="144"/>
      <c r="EA261" s="187"/>
      <c r="EB261" s="95">
        <v>0</v>
      </c>
      <c r="EC261" s="94"/>
      <c r="ED261" s="51"/>
      <c r="EE261" s="144"/>
      <c r="EF261" s="187"/>
      <c r="EG261" s="95">
        <v>0</v>
      </c>
      <c r="EH261" s="94"/>
      <c r="EI261" s="51"/>
      <c r="EJ261" s="144"/>
      <c r="EK261" s="187"/>
      <c r="EL261" s="95">
        <f t="shared" si="19"/>
        <v>0</v>
      </c>
      <c r="EM261" s="94"/>
      <c r="EN261" s="51"/>
      <c r="EO261" s="340"/>
      <c r="ER261" s="39"/>
      <c r="ES261" s="39"/>
    </row>
    <row r="262" spans="1:149" ht="12.75" customHeight="1" x14ac:dyDescent="0.2">
      <c r="A262" s="317"/>
      <c r="B262" s="317"/>
      <c r="D262" s="340"/>
      <c r="F262" s="317"/>
      <c r="G262" s="51"/>
      <c r="H262" s="51"/>
      <c r="I262" s="51"/>
      <c r="J262" s="144"/>
      <c r="K262" s="51"/>
      <c r="L262" s="51"/>
      <c r="M262" s="51"/>
      <c r="N262" s="51"/>
      <c r="O262" s="144"/>
      <c r="P262" s="51"/>
      <c r="Q262" s="51"/>
      <c r="R262" s="51"/>
      <c r="S262" s="51"/>
      <c r="T262" s="144"/>
      <c r="U262" s="51"/>
      <c r="V262" s="51"/>
      <c r="W262" s="51"/>
      <c r="X262" s="51"/>
      <c r="Y262" s="144"/>
      <c r="Z262" s="51"/>
      <c r="AA262" s="51"/>
      <c r="AB262" s="51"/>
      <c r="AC262" s="51"/>
      <c r="AD262" s="144"/>
      <c r="AE262" s="51"/>
      <c r="AF262" s="51"/>
      <c r="AG262" s="51"/>
      <c r="AH262" s="51"/>
      <c r="AI262" s="144"/>
      <c r="AJ262" s="51"/>
      <c r="AK262" s="51"/>
      <c r="AL262" s="51"/>
      <c r="AM262" s="51"/>
      <c r="AN262" s="144"/>
      <c r="AO262" s="51"/>
      <c r="AP262" s="51"/>
      <c r="AQ262" s="51"/>
      <c r="AR262" s="51"/>
      <c r="AS262" s="144"/>
      <c r="AT262" s="51"/>
      <c r="AU262" s="51"/>
      <c r="AV262" s="51"/>
      <c r="AW262" s="51"/>
      <c r="AX262" s="144"/>
      <c r="AY262" s="51"/>
      <c r="AZ262" s="51"/>
      <c r="BA262" s="51"/>
      <c r="BB262" s="51"/>
      <c r="BC262" s="144"/>
      <c r="BD262" s="51"/>
      <c r="BE262" s="51"/>
      <c r="BF262" s="51"/>
      <c r="BG262" s="51"/>
      <c r="BH262" s="144"/>
      <c r="BI262" s="51"/>
      <c r="BJ262" s="51"/>
      <c r="BK262" s="51"/>
      <c r="BL262" s="51"/>
      <c r="BM262" s="144"/>
      <c r="BN262" s="51"/>
      <c r="BO262" s="51"/>
      <c r="BP262" s="51"/>
      <c r="BQ262" s="51"/>
      <c r="BR262" s="144"/>
      <c r="BS262" s="51"/>
      <c r="BT262" s="51"/>
      <c r="BU262" s="51"/>
      <c r="BV262" s="51"/>
      <c r="BW262" s="144"/>
      <c r="BX262" s="51"/>
      <c r="BY262" s="51"/>
      <c r="BZ262" s="51"/>
      <c r="CA262" s="51"/>
      <c r="CB262" s="144"/>
      <c r="CC262" s="51"/>
      <c r="CD262" s="51"/>
      <c r="CE262" s="51"/>
      <c r="CF262" s="51"/>
      <c r="CG262" s="144"/>
      <c r="CH262" s="51"/>
      <c r="CI262" s="51"/>
      <c r="CJ262" s="51"/>
      <c r="CK262" s="51"/>
      <c r="CL262" s="144"/>
      <c r="CM262" s="51"/>
      <c r="CN262" s="51"/>
      <c r="CO262" s="51"/>
      <c r="CP262" s="51"/>
      <c r="CQ262" s="144"/>
      <c r="CR262" s="51"/>
      <c r="CS262" s="51"/>
      <c r="CT262" s="51"/>
      <c r="CU262" s="51"/>
      <c r="CV262" s="144"/>
      <c r="CW262" s="51"/>
      <c r="CX262" s="51"/>
      <c r="CY262" s="51"/>
      <c r="CZ262" s="51"/>
      <c r="DA262" s="144"/>
      <c r="DB262" s="51"/>
      <c r="DC262" s="51"/>
      <c r="DD262" s="51"/>
      <c r="DE262" s="51"/>
      <c r="DF262" s="144"/>
      <c r="DG262" s="51"/>
      <c r="DH262" s="51"/>
      <c r="DI262" s="51"/>
      <c r="DJ262" s="51"/>
      <c r="DK262" s="144"/>
      <c r="DL262" s="51"/>
      <c r="DM262" s="51"/>
      <c r="DN262" s="51"/>
      <c r="DO262" s="51"/>
      <c r="DP262" s="144"/>
      <c r="DQ262" s="51"/>
      <c r="DR262" s="51"/>
      <c r="DS262" s="51"/>
      <c r="DT262" s="51"/>
      <c r="DU262" s="144"/>
      <c r="DV262" s="51"/>
      <c r="DW262" s="51"/>
      <c r="DX262" s="51"/>
      <c r="DY262" s="51"/>
      <c r="DZ262" s="144"/>
      <c r="EA262" s="51"/>
      <c r="EB262" s="51"/>
      <c r="EC262" s="51"/>
      <c r="ED262" s="51"/>
      <c r="EE262" s="144"/>
      <c r="EF262" s="51"/>
      <c r="EG262" s="51"/>
      <c r="EH262" s="51"/>
      <c r="EI262" s="51"/>
      <c r="EJ262" s="144"/>
      <c r="EK262" s="51"/>
      <c r="EL262" s="51"/>
      <c r="EM262" s="51"/>
      <c r="EN262" s="51"/>
      <c r="EO262" s="340"/>
      <c r="ER262" s="39"/>
      <c r="ES262" s="39"/>
    </row>
    <row r="263" spans="1:149" ht="12.75" customHeight="1" x14ac:dyDescent="0.2">
      <c r="A263" s="317"/>
      <c r="B263" s="317"/>
      <c r="D263" s="340" t="s">
        <v>202</v>
      </c>
      <c r="F263" s="317"/>
      <c r="G263" s="51">
        <f>SUM(G264:G266)</f>
        <v>0</v>
      </c>
      <c r="H263" s="51"/>
      <c r="I263" s="51"/>
      <c r="J263" s="144"/>
      <c r="K263" s="51"/>
      <c r="L263" s="51">
        <f>SUM(L264:L266)</f>
        <v>0</v>
      </c>
      <c r="M263" s="51"/>
      <c r="N263" s="51"/>
      <c r="O263" s="144"/>
      <c r="P263" s="51"/>
      <c r="Q263" s="51">
        <f>SUM(Q264:Q266)</f>
        <v>0</v>
      </c>
      <c r="R263" s="51"/>
      <c r="S263" s="51"/>
      <c r="T263" s="144"/>
      <c r="U263" s="51"/>
      <c r="V263" s="51">
        <f>SUM(V264:V266)</f>
        <v>0</v>
      </c>
      <c r="W263" s="51"/>
      <c r="X263" s="51"/>
      <c r="Y263" s="144"/>
      <c r="Z263" s="51"/>
      <c r="AA263" s="51">
        <f>SUM(AA264:AA266)</f>
        <v>0</v>
      </c>
      <c r="AB263" s="51"/>
      <c r="AC263" s="51"/>
      <c r="AD263" s="144"/>
      <c r="AE263" s="51"/>
      <c r="AF263" s="51">
        <f>SUM(AF264:AF266)</f>
        <v>0</v>
      </c>
      <c r="AG263" s="51"/>
      <c r="AH263" s="51"/>
      <c r="AI263" s="144"/>
      <c r="AJ263" s="51"/>
      <c r="AK263" s="51">
        <f>SUM(AK264:AK266)</f>
        <v>0</v>
      </c>
      <c r="AL263" s="51"/>
      <c r="AM263" s="51"/>
      <c r="AN263" s="144"/>
      <c r="AO263" s="51"/>
      <c r="AP263" s="51">
        <f>SUM(AP264:AP266)</f>
        <v>0</v>
      </c>
      <c r="AQ263" s="51"/>
      <c r="AR263" s="51"/>
      <c r="AS263" s="144"/>
      <c r="AT263" s="51"/>
      <c r="AU263" s="51">
        <f>SUM(AU264:AU266)</f>
        <v>0</v>
      </c>
      <c r="AV263" s="51"/>
      <c r="AW263" s="51"/>
      <c r="AX263" s="144"/>
      <c r="AY263" s="51"/>
      <c r="AZ263" s="51">
        <f>SUM(AZ264:AZ266)</f>
        <v>0</v>
      </c>
      <c r="BA263" s="51"/>
      <c r="BB263" s="51"/>
      <c r="BC263" s="144"/>
      <c r="BD263" s="51"/>
      <c r="BE263" s="51">
        <f>SUM(BE264:BE266)</f>
        <v>0</v>
      </c>
      <c r="BF263" s="51"/>
      <c r="BG263" s="51"/>
      <c r="BH263" s="144"/>
      <c r="BI263" s="51"/>
      <c r="BJ263" s="51">
        <f>SUM(BJ264:BJ266)</f>
        <v>0</v>
      </c>
      <c r="BK263" s="51"/>
      <c r="BL263" s="51"/>
      <c r="BM263" s="144"/>
      <c r="BN263" s="51"/>
      <c r="BO263" s="51">
        <f>SUM(BO264:BO266)</f>
        <v>0</v>
      </c>
      <c r="BP263" s="51"/>
      <c r="BQ263" s="51"/>
      <c r="BR263" s="144"/>
      <c r="BS263" s="51"/>
      <c r="BT263" s="51">
        <f>SUM(BT264:BT266)</f>
        <v>0</v>
      </c>
      <c r="BU263" s="51"/>
      <c r="BV263" s="51"/>
      <c r="BW263" s="144"/>
      <c r="BX263" s="51"/>
      <c r="BY263" s="51">
        <f>SUM(BY264:BY266)</f>
        <v>1762525</v>
      </c>
      <c r="BZ263" s="51"/>
      <c r="CA263" s="51"/>
      <c r="CB263" s="144"/>
      <c r="CC263" s="51"/>
      <c r="CD263" s="51">
        <f>SUM(CD264:CD266)</f>
        <v>1762525</v>
      </c>
      <c r="CE263" s="51"/>
      <c r="CF263" s="51"/>
      <c r="CG263" s="144"/>
      <c r="CH263" s="51"/>
      <c r="CI263" s="51">
        <f>SUM(CI264:CI266)</f>
        <v>0</v>
      </c>
      <c r="CJ263" s="51"/>
      <c r="CK263" s="51"/>
      <c r="CL263" s="144"/>
      <c r="CM263" s="51"/>
      <c r="CN263" s="51">
        <f>SUM(CN264:CN266)</f>
        <v>0</v>
      </c>
      <c r="CO263" s="51"/>
      <c r="CP263" s="51"/>
      <c r="CQ263" s="144"/>
      <c r="CR263" s="51"/>
      <c r="CS263" s="51">
        <f>SUM(CS264:CS266)</f>
        <v>0</v>
      </c>
      <c r="CT263" s="51"/>
      <c r="CU263" s="51"/>
      <c r="CV263" s="144"/>
      <c r="CW263" s="51"/>
      <c r="CX263" s="51">
        <f>SUM(CX264:CX266)</f>
        <v>0</v>
      </c>
      <c r="CY263" s="51"/>
      <c r="CZ263" s="51"/>
      <c r="DA263" s="144"/>
      <c r="DB263" s="51"/>
      <c r="DC263" s="51">
        <f>SUM(DC264:DC266)</f>
        <v>0</v>
      </c>
      <c r="DD263" s="51"/>
      <c r="DE263" s="51"/>
      <c r="DF263" s="144"/>
      <c r="DG263" s="51"/>
      <c r="DH263" s="51">
        <f>SUM(DH264:DH266)</f>
        <v>0</v>
      </c>
      <c r="DI263" s="51"/>
      <c r="DJ263" s="51"/>
      <c r="DK263" s="144"/>
      <c r="DL263" s="51"/>
      <c r="DM263" s="51">
        <f>SUM(DM264:DM266)</f>
        <v>0</v>
      </c>
      <c r="DN263" s="51"/>
      <c r="DO263" s="51"/>
      <c r="DP263" s="144"/>
      <c r="DQ263" s="51"/>
      <c r="DR263" s="51">
        <f>SUM(DR264:DR266)</f>
        <v>0</v>
      </c>
      <c r="DS263" s="51"/>
      <c r="DT263" s="51"/>
      <c r="DU263" s="144"/>
      <c r="DV263" s="51"/>
      <c r="DW263" s="51">
        <f>SUM(DW264:DW266)</f>
        <v>0</v>
      </c>
      <c r="DX263" s="51"/>
      <c r="DY263" s="51"/>
      <c r="DZ263" s="144"/>
      <c r="EA263" s="51"/>
      <c r="EB263" s="51">
        <f>SUM(EB264:EB266)</f>
        <v>0</v>
      </c>
      <c r="EC263" s="51"/>
      <c r="ED263" s="51"/>
      <c r="EE263" s="144"/>
      <c r="EF263" s="51"/>
      <c r="EG263" s="51">
        <f>SUM(EG264:EG266)</f>
        <v>0</v>
      </c>
      <c r="EH263" s="51"/>
      <c r="EI263" s="51"/>
      <c r="EJ263" s="144"/>
      <c r="EK263" s="51"/>
      <c r="EL263" s="51">
        <f>SUM(EL264:EL266)</f>
        <v>1762525</v>
      </c>
      <c r="EM263" s="51"/>
      <c r="EN263" s="51"/>
      <c r="EO263" s="340"/>
      <c r="ER263" s="39"/>
      <c r="ES263" s="39"/>
    </row>
    <row r="264" spans="1:149" ht="12.75" customHeight="1" x14ac:dyDescent="0.2">
      <c r="A264" s="317"/>
      <c r="B264" s="317"/>
      <c r="D264" s="340" t="s">
        <v>183</v>
      </c>
      <c r="F264" s="354"/>
      <c r="G264" s="430">
        <v>0</v>
      </c>
      <c r="H264" s="431"/>
      <c r="I264" s="51"/>
      <c r="J264" s="144"/>
      <c r="K264" s="432"/>
      <c r="L264" s="430">
        <v>0</v>
      </c>
      <c r="M264" s="431"/>
      <c r="N264" s="51"/>
      <c r="O264" s="144"/>
      <c r="P264" s="432"/>
      <c r="Q264" s="430">
        <v>0</v>
      </c>
      <c r="R264" s="431"/>
      <c r="S264" s="51"/>
      <c r="T264" s="144"/>
      <c r="U264" s="432"/>
      <c r="V264" s="430">
        <v>0</v>
      </c>
      <c r="W264" s="431"/>
      <c r="X264" s="51"/>
      <c r="Y264" s="144"/>
      <c r="Z264" s="432"/>
      <c r="AA264" s="430">
        <v>0</v>
      </c>
      <c r="AB264" s="431"/>
      <c r="AC264" s="51"/>
      <c r="AD264" s="144"/>
      <c r="AE264" s="432"/>
      <c r="AF264" s="430">
        <v>0</v>
      </c>
      <c r="AG264" s="431"/>
      <c r="AH264" s="51"/>
      <c r="AI264" s="144"/>
      <c r="AJ264" s="432"/>
      <c r="AK264" s="430">
        <v>0</v>
      </c>
      <c r="AL264" s="431"/>
      <c r="AM264" s="51"/>
      <c r="AN264" s="144"/>
      <c r="AO264" s="432"/>
      <c r="AP264" s="430">
        <v>0</v>
      </c>
      <c r="AQ264" s="431"/>
      <c r="AR264" s="51"/>
      <c r="AS264" s="144"/>
      <c r="AT264" s="432"/>
      <c r="AU264" s="430">
        <v>0</v>
      </c>
      <c r="AV264" s="431"/>
      <c r="AW264" s="51"/>
      <c r="AX264" s="144"/>
      <c r="AY264" s="432"/>
      <c r="AZ264" s="430">
        <v>0</v>
      </c>
      <c r="BA264" s="431"/>
      <c r="BB264" s="51"/>
      <c r="BC264" s="144"/>
      <c r="BD264" s="432"/>
      <c r="BE264" s="430">
        <v>0</v>
      </c>
      <c r="BF264" s="431"/>
      <c r="BG264" s="51"/>
      <c r="BH264" s="144"/>
      <c r="BI264" s="432"/>
      <c r="BJ264" s="430">
        <v>0</v>
      </c>
      <c r="BK264" s="431"/>
      <c r="BL264" s="51"/>
      <c r="BM264" s="144"/>
      <c r="BN264" s="432"/>
      <c r="BO264" s="430">
        <v>0</v>
      </c>
      <c r="BP264" s="431"/>
      <c r="BQ264" s="51"/>
      <c r="BR264" s="144"/>
      <c r="BS264" s="432"/>
      <c r="BT264" s="430">
        <f>SUM(L264:BO264)</f>
        <v>0</v>
      </c>
      <c r="BU264" s="431"/>
      <c r="BV264" s="51"/>
      <c r="BW264" s="144"/>
      <c r="BX264" s="432"/>
      <c r="BY264" s="430">
        <v>1480356</v>
      </c>
      <c r="BZ264" s="431"/>
      <c r="CA264" s="51"/>
      <c r="CB264" s="144"/>
      <c r="CC264" s="432"/>
      <c r="CD264" s="430">
        <f>1762525-282169</f>
        <v>1480356</v>
      </c>
      <c r="CE264" s="431"/>
      <c r="CF264" s="51"/>
      <c r="CG264" s="144"/>
      <c r="CH264" s="432"/>
      <c r="CI264" s="430">
        <v>0</v>
      </c>
      <c r="CJ264" s="431"/>
      <c r="CK264" s="51"/>
      <c r="CL264" s="144"/>
      <c r="CM264" s="432"/>
      <c r="CN264" s="430">
        <v>0</v>
      </c>
      <c r="CO264" s="431"/>
      <c r="CP264" s="51"/>
      <c r="CQ264" s="144"/>
      <c r="CR264" s="432"/>
      <c r="CS264" s="430">
        <v>0</v>
      </c>
      <c r="CT264" s="431"/>
      <c r="CU264" s="51"/>
      <c r="CV264" s="144"/>
      <c r="CW264" s="432"/>
      <c r="CX264" s="430">
        <v>0</v>
      </c>
      <c r="CY264" s="431"/>
      <c r="CZ264" s="51"/>
      <c r="DA264" s="144"/>
      <c r="DB264" s="432"/>
      <c r="DC264" s="430">
        <v>0</v>
      </c>
      <c r="DD264" s="431"/>
      <c r="DE264" s="51"/>
      <c r="DF264" s="144"/>
      <c r="DG264" s="432"/>
      <c r="DH264" s="430">
        <v>0</v>
      </c>
      <c r="DI264" s="431"/>
      <c r="DJ264" s="51"/>
      <c r="DK264" s="144"/>
      <c r="DL264" s="432"/>
      <c r="DM264" s="430">
        <v>0</v>
      </c>
      <c r="DN264" s="431"/>
      <c r="DO264" s="51"/>
      <c r="DP264" s="144"/>
      <c r="DQ264" s="432"/>
      <c r="DR264" s="430">
        <v>0</v>
      </c>
      <c r="DS264" s="431"/>
      <c r="DT264" s="51"/>
      <c r="DU264" s="144"/>
      <c r="DV264" s="432"/>
      <c r="DW264" s="430">
        <v>0</v>
      </c>
      <c r="DX264" s="431"/>
      <c r="DY264" s="51"/>
      <c r="DZ264" s="144"/>
      <c r="EA264" s="432"/>
      <c r="EB264" s="430">
        <v>0</v>
      </c>
      <c r="EC264" s="431"/>
      <c r="ED264" s="51"/>
      <c r="EE264" s="144"/>
      <c r="EF264" s="432"/>
      <c r="EG264" s="430">
        <v>0</v>
      </c>
      <c r="EH264" s="431"/>
      <c r="EI264" s="51"/>
      <c r="EJ264" s="144"/>
      <c r="EK264" s="432"/>
      <c r="EL264" s="430">
        <f t="shared" ref="EL264:EL266" si="20">SUM(CD264:DH264)</f>
        <v>1480356</v>
      </c>
      <c r="EM264" s="431"/>
      <c r="EN264" s="51"/>
      <c r="EO264" s="340"/>
      <c r="ER264" s="39"/>
      <c r="ES264" s="39"/>
    </row>
    <row r="265" spans="1:149" ht="12.75" customHeight="1" x14ac:dyDescent="0.2">
      <c r="A265" s="317"/>
      <c r="B265" s="317"/>
      <c r="D265" s="340" t="s">
        <v>186</v>
      </c>
      <c r="F265" s="347"/>
      <c r="G265" s="51">
        <v>0</v>
      </c>
      <c r="H265" s="50"/>
      <c r="I265" s="51"/>
      <c r="J265" s="144"/>
      <c r="K265" s="144"/>
      <c r="L265" s="51">
        <v>0</v>
      </c>
      <c r="M265" s="50"/>
      <c r="N265" s="51"/>
      <c r="O265" s="144"/>
      <c r="P265" s="144"/>
      <c r="Q265" s="51">
        <v>0</v>
      </c>
      <c r="R265" s="50"/>
      <c r="S265" s="51"/>
      <c r="T265" s="144"/>
      <c r="U265" s="144"/>
      <c r="V265" s="51">
        <v>0</v>
      </c>
      <c r="W265" s="50"/>
      <c r="X265" s="51"/>
      <c r="Y265" s="144"/>
      <c r="Z265" s="144"/>
      <c r="AA265" s="51">
        <v>0</v>
      </c>
      <c r="AB265" s="50"/>
      <c r="AC265" s="51"/>
      <c r="AD265" s="144"/>
      <c r="AE265" s="144"/>
      <c r="AF265" s="51">
        <v>0</v>
      </c>
      <c r="AG265" s="50"/>
      <c r="AH265" s="51"/>
      <c r="AI265" s="144"/>
      <c r="AJ265" s="144"/>
      <c r="AK265" s="51">
        <v>0</v>
      </c>
      <c r="AL265" s="50"/>
      <c r="AM265" s="51"/>
      <c r="AN265" s="144"/>
      <c r="AO265" s="144"/>
      <c r="AP265" s="51">
        <v>0</v>
      </c>
      <c r="AQ265" s="50"/>
      <c r="AR265" s="51"/>
      <c r="AS265" s="144"/>
      <c r="AT265" s="144"/>
      <c r="AU265" s="51">
        <v>0</v>
      </c>
      <c r="AV265" s="50"/>
      <c r="AW265" s="51"/>
      <c r="AX265" s="144"/>
      <c r="AY265" s="144"/>
      <c r="AZ265" s="51">
        <v>0</v>
      </c>
      <c r="BA265" s="50"/>
      <c r="BB265" s="51"/>
      <c r="BC265" s="144"/>
      <c r="BD265" s="144"/>
      <c r="BE265" s="51">
        <v>0</v>
      </c>
      <c r="BF265" s="50"/>
      <c r="BG265" s="51"/>
      <c r="BH265" s="144"/>
      <c r="BI265" s="144"/>
      <c r="BJ265" s="51">
        <v>0</v>
      </c>
      <c r="BK265" s="50"/>
      <c r="BL265" s="51"/>
      <c r="BM265" s="144"/>
      <c r="BN265" s="144"/>
      <c r="BO265" s="51">
        <v>0</v>
      </c>
      <c r="BP265" s="50"/>
      <c r="BQ265" s="51"/>
      <c r="BR265" s="144"/>
      <c r="BS265" s="144"/>
      <c r="BT265" s="51">
        <f>SUM(L265:BO265)</f>
        <v>0</v>
      </c>
      <c r="BU265" s="50"/>
      <c r="BV265" s="51"/>
      <c r="BW265" s="144"/>
      <c r="BX265" s="144"/>
      <c r="BY265" s="51">
        <v>282169</v>
      </c>
      <c r="BZ265" s="50"/>
      <c r="CA265" s="51"/>
      <c r="CB265" s="144"/>
      <c r="CC265" s="144"/>
      <c r="CD265" s="51">
        <v>282169</v>
      </c>
      <c r="CE265" s="50"/>
      <c r="CF265" s="51"/>
      <c r="CG265" s="144"/>
      <c r="CH265" s="144"/>
      <c r="CI265" s="51">
        <v>0</v>
      </c>
      <c r="CJ265" s="50"/>
      <c r="CK265" s="51"/>
      <c r="CL265" s="144"/>
      <c r="CM265" s="144"/>
      <c r="CN265" s="51">
        <v>0</v>
      </c>
      <c r="CO265" s="50"/>
      <c r="CP265" s="51"/>
      <c r="CQ265" s="144"/>
      <c r="CR265" s="144"/>
      <c r="CS265" s="51">
        <v>0</v>
      </c>
      <c r="CT265" s="50"/>
      <c r="CU265" s="51"/>
      <c r="CV265" s="144"/>
      <c r="CW265" s="144"/>
      <c r="CX265" s="51">
        <v>0</v>
      </c>
      <c r="CY265" s="50"/>
      <c r="CZ265" s="51"/>
      <c r="DA265" s="144"/>
      <c r="DB265" s="144"/>
      <c r="DC265" s="51">
        <v>0</v>
      </c>
      <c r="DD265" s="50"/>
      <c r="DE265" s="51"/>
      <c r="DF265" s="144"/>
      <c r="DG265" s="144"/>
      <c r="DH265" s="51">
        <v>0</v>
      </c>
      <c r="DI265" s="50"/>
      <c r="DJ265" s="51"/>
      <c r="DK265" s="144"/>
      <c r="DL265" s="144"/>
      <c r="DM265" s="51">
        <v>0</v>
      </c>
      <c r="DN265" s="50"/>
      <c r="DO265" s="51"/>
      <c r="DP265" s="144"/>
      <c r="DQ265" s="144"/>
      <c r="DR265" s="51">
        <v>0</v>
      </c>
      <c r="DS265" s="50"/>
      <c r="DT265" s="51"/>
      <c r="DU265" s="144"/>
      <c r="DV265" s="144"/>
      <c r="DW265" s="51">
        <v>0</v>
      </c>
      <c r="DX265" s="50"/>
      <c r="DY265" s="51"/>
      <c r="DZ265" s="144"/>
      <c r="EA265" s="144"/>
      <c r="EB265" s="51">
        <v>0</v>
      </c>
      <c r="EC265" s="50"/>
      <c r="ED265" s="51"/>
      <c r="EE265" s="144"/>
      <c r="EF265" s="144"/>
      <c r="EG265" s="51">
        <v>0</v>
      </c>
      <c r="EH265" s="50"/>
      <c r="EI265" s="51"/>
      <c r="EJ265" s="144"/>
      <c r="EK265" s="144"/>
      <c r="EL265" s="51">
        <f t="shared" si="20"/>
        <v>282169</v>
      </c>
      <c r="EM265" s="50"/>
      <c r="EN265" s="51"/>
      <c r="EO265" s="340"/>
      <c r="ER265" s="39"/>
      <c r="ES265" s="39"/>
    </row>
    <row r="266" spans="1:149" ht="12.75" customHeight="1" x14ac:dyDescent="0.2">
      <c r="A266" s="317"/>
      <c r="B266" s="317"/>
      <c r="D266" s="340" t="s">
        <v>200</v>
      </c>
      <c r="F266" s="371"/>
      <c r="G266" s="95">
        <v>0</v>
      </c>
      <c r="H266" s="94"/>
      <c r="I266" s="51"/>
      <c r="J266" s="144"/>
      <c r="K266" s="187"/>
      <c r="L266" s="95">
        <v>0</v>
      </c>
      <c r="M266" s="94"/>
      <c r="N266" s="51"/>
      <c r="O266" s="144"/>
      <c r="P266" s="187"/>
      <c r="Q266" s="95">
        <v>0</v>
      </c>
      <c r="R266" s="94"/>
      <c r="S266" s="51"/>
      <c r="T266" s="144"/>
      <c r="U266" s="187"/>
      <c r="V266" s="95">
        <v>0</v>
      </c>
      <c r="W266" s="94"/>
      <c r="X266" s="51"/>
      <c r="Y266" s="144"/>
      <c r="Z266" s="187"/>
      <c r="AA266" s="95">
        <v>0</v>
      </c>
      <c r="AB266" s="94"/>
      <c r="AC266" s="51"/>
      <c r="AD266" s="144"/>
      <c r="AE266" s="187"/>
      <c r="AF266" s="95">
        <v>0</v>
      </c>
      <c r="AG266" s="94"/>
      <c r="AH266" s="51"/>
      <c r="AI266" s="144"/>
      <c r="AJ266" s="187"/>
      <c r="AK266" s="95">
        <v>0</v>
      </c>
      <c r="AL266" s="94"/>
      <c r="AM266" s="51"/>
      <c r="AN266" s="144"/>
      <c r="AO266" s="187"/>
      <c r="AP266" s="95">
        <v>0</v>
      </c>
      <c r="AQ266" s="94"/>
      <c r="AR266" s="51"/>
      <c r="AS266" s="144"/>
      <c r="AT266" s="187"/>
      <c r="AU266" s="95">
        <v>0</v>
      </c>
      <c r="AV266" s="94"/>
      <c r="AW266" s="51"/>
      <c r="AX266" s="144"/>
      <c r="AY266" s="187"/>
      <c r="AZ266" s="95">
        <v>0</v>
      </c>
      <c r="BA266" s="94"/>
      <c r="BB266" s="51"/>
      <c r="BC266" s="144"/>
      <c r="BD266" s="187"/>
      <c r="BE266" s="95">
        <v>0</v>
      </c>
      <c r="BF266" s="94"/>
      <c r="BG266" s="51"/>
      <c r="BH266" s="144"/>
      <c r="BI266" s="187"/>
      <c r="BJ266" s="95">
        <v>0</v>
      </c>
      <c r="BK266" s="94"/>
      <c r="BL266" s="51"/>
      <c r="BM266" s="144"/>
      <c r="BN266" s="187"/>
      <c r="BO266" s="95">
        <v>0</v>
      </c>
      <c r="BP266" s="94"/>
      <c r="BQ266" s="51"/>
      <c r="BR266" s="144"/>
      <c r="BS266" s="187"/>
      <c r="BT266" s="95">
        <f>SUM(L266:BO266)</f>
        <v>0</v>
      </c>
      <c r="BU266" s="94"/>
      <c r="BV266" s="51"/>
      <c r="BW266" s="144"/>
      <c r="BX266" s="187"/>
      <c r="BY266" s="95">
        <v>0</v>
      </c>
      <c r="BZ266" s="94"/>
      <c r="CA266" s="51"/>
      <c r="CB266" s="144"/>
      <c r="CC266" s="187"/>
      <c r="CD266" s="95">
        <v>0</v>
      </c>
      <c r="CE266" s="94"/>
      <c r="CF266" s="51"/>
      <c r="CG266" s="144"/>
      <c r="CH266" s="187"/>
      <c r="CI266" s="95">
        <v>0</v>
      </c>
      <c r="CJ266" s="94"/>
      <c r="CK266" s="51"/>
      <c r="CL266" s="144"/>
      <c r="CM266" s="187"/>
      <c r="CN266" s="95">
        <v>0</v>
      </c>
      <c r="CO266" s="94"/>
      <c r="CP266" s="51"/>
      <c r="CQ266" s="144"/>
      <c r="CR266" s="187"/>
      <c r="CS266" s="95">
        <v>0</v>
      </c>
      <c r="CT266" s="94"/>
      <c r="CU266" s="51"/>
      <c r="CV266" s="144"/>
      <c r="CW266" s="187"/>
      <c r="CX266" s="95">
        <v>0</v>
      </c>
      <c r="CY266" s="94"/>
      <c r="CZ266" s="51"/>
      <c r="DA266" s="144"/>
      <c r="DB266" s="187"/>
      <c r="DC266" s="95">
        <v>0</v>
      </c>
      <c r="DD266" s="94"/>
      <c r="DE266" s="51"/>
      <c r="DF266" s="144"/>
      <c r="DG266" s="187"/>
      <c r="DH266" s="95">
        <v>0</v>
      </c>
      <c r="DI266" s="94"/>
      <c r="DJ266" s="51"/>
      <c r="DK266" s="144"/>
      <c r="DL266" s="187"/>
      <c r="DM266" s="95">
        <v>0</v>
      </c>
      <c r="DN266" s="94"/>
      <c r="DO266" s="51"/>
      <c r="DP266" s="144"/>
      <c r="DQ266" s="187"/>
      <c r="DR266" s="95">
        <v>0</v>
      </c>
      <c r="DS266" s="94"/>
      <c r="DT266" s="51"/>
      <c r="DU266" s="144"/>
      <c r="DV266" s="187"/>
      <c r="DW266" s="95">
        <v>0</v>
      </c>
      <c r="DX266" s="94"/>
      <c r="DY266" s="51"/>
      <c r="DZ266" s="144"/>
      <c r="EA266" s="187"/>
      <c r="EB266" s="95">
        <v>0</v>
      </c>
      <c r="EC266" s="94"/>
      <c r="ED266" s="51"/>
      <c r="EE266" s="144"/>
      <c r="EF266" s="187"/>
      <c r="EG266" s="95">
        <v>0</v>
      </c>
      <c r="EH266" s="94"/>
      <c r="EI266" s="51"/>
      <c r="EJ266" s="144"/>
      <c r="EK266" s="187"/>
      <c r="EL266" s="95">
        <f t="shared" si="20"/>
        <v>0</v>
      </c>
      <c r="EM266" s="94"/>
      <c r="EN266" s="51"/>
      <c r="EO266" s="340"/>
      <c r="ER266" s="39"/>
      <c r="ES266" s="39"/>
    </row>
    <row r="267" spans="1:149" ht="12.75" customHeight="1" x14ac:dyDescent="0.2">
      <c r="A267" s="317"/>
      <c r="B267" s="317"/>
      <c r="D267" s="340"/>
      <c r="F267" s="317"/>
      <c r="G267" s="51"/>
      <c r="H267" s="51"/>
      <c r="I267" s="51"/>
      <c r="J267" s="144"/>
      <c r="K267" s="51"/>
      <c r="L267" s="51"/>
      <c r="M267" s="51"/>
      <c r="N267" s="51"/>
      <c r="O267" s="144"/>
      <c r="P267" s="51"/>
      <c r="Q267" s="51"/>
      <c r="R267" s="51"/>
      <c r="S267" s="51"/>
      <c r="T267" s="144"/>
      <c r="U267" s="51"/>
      <c r="V267" s="51"/>
      <c r="W267" s="51"/>
      <c r="X267" s="51"/>
      <c r="Y267" s="144"/>
      <c r="Z267" s="51"/>
      <c r="AA267" s="51"/>
      <c r="AB267" s="51"/>
      <c r="AC267" s="51"/>
      <c r="AD267" s="144"/>
      <c r="AE267" s="51"/>
      <c r="AF267" s="51"/>
      <c r="AG267" s="51"/>
      <c r="AH267" s="51"/>
      <c r="AI267" s="144"/>
      <c r="AJ267" s="51"/>
      <c r="AK267" s="51"/>
      <c r="AL267" s="51"/>
      <c r="AM267" s="51"/>
      <c r="AN267" s="144"/>
      <c r="AO267" s="51"/>
      <c r="AP267" s="51"/>
      <c r="AQ267" s="51"/>
      <c r="AR267" s="51"/>
      <c r="AS267" s="144"/>
      <c r="AT267" s="51"/>
      <c r="AU267" s="51"/>
      <c r="AV267" s="51"/>
      <c r="AW267" s="51"/>
      <c r="AX267" s="144"/>
      <c r="AY267" s="51"/>
      <c r="AZ267" s="51"/>
      <c r="BA267" s="51"/>
      <c r="BB267" s="51"/>
      <c r="BC267" s="144"/>
      <c r="BD267" s="51"/>
      <c r="BE267" s="51"/>
      <c r="BF267" s="51"/>
      <c r="BG267" s="51"/>
      <c r="BH267" s="144"/>
      <c r="BI267" s="51"/>
      <c r="BJ267" s="51"/>
      <c r="BK267" s="51"/>
      <c r="BL267" s="51"/>
      <c r="BM267" s="144"/>
      <c r="BN267" s="51"/>
      <c r="BO267" s="51"/>
      <c r="BP267" s="51"/>
      <c r="BQ267" s="51"/>
      <c r="BR267" s="144"/>
      <c r="BS267" s="51"/>
      <c r="BT267" s="51"/>
      <c r="BU267" s="51"/>
      <c r="BV267" s="51"/>
      <c r="BW267" s="144"/>
      <c r="BX267" s="51"/>
      <c r="BY267" s="51"/>
      <c r="BZ267" s="51"/>
      <c r="CA267" s="51"/>
      <c r="CB267" s="144"/>
      <c r="CC267" s="51"/>
      <c r="CD267" s="51"/>
      <c r="CE267" s="51"/>
      <c r="CF267" s="51"/>
      <c r="CG267" s="144"/>
      <c r="CH267" s="51"/>
      <c r="CI267" s="51"/>
      <c r="CJ267" s="51"/>
      <c r="CK267" s="51"/>
      <c r="CL267" s="144"/>
      <c r="CM267" s="51"/>
      <c r="CN267" s="51"/>
      <c r="CO267" s="51"/>
      <c r="CP267" s="51"/>
      <c r="CQ267" s="144"/>
      <c r="CR267" s="51"/>
      <c r="CS267" s="51"/>
      <c r="CT267" s="51"/>
      <c r="CU267" s="51"/>
      <c r="CV267" s="144"/>
      <c r="CW267" s="51"/>
      <c r="CX267" s="51"/>
      <c r="CY267" s="51"/>
      <c r="CZ267" s="51"/>
      <c r="DA267" s="144"/>
      <c r="DB267" s="51"/>
      <c r="DC267" s="51"/>
      <c r="DD267" s="51"/>
      <c r="DE267" s="51"/>
      <c r="DF267" s="144"/>
      <c r="DG267" s="51"/>
      <c r="DH267" s="51"/>
      <c r="DI267" s="51"/>
      <c r="DJ267" s="51"/>
      <c r="DK267" s="144"/>
      <c r="DL267" s="51"/>
      <c r="DM267" s="51"/>
      <c r="DN267" s="51"/>
      <c r="DO267" s="51"/>
      <c r="DP267" s="144"/>
      <c r="DQ267" s="51"/>
      <c r="DR267" s="51"/>
      <c r="DS267" s="51"/>
      <c r="DT267" s="51"/>
      <c r="DU267" s="144"/>
      <c r="DV267" s="51"/>
      <c r="DW267" s="51"/>
      <c r="DX267" s="51"/>
      <c r="DY267" s="51"/>
      <c r="DZ267" s="144"/>
      <c r="EA267" s="51"/>
      <c r="EB267" s="51"/>
      <c r="EC267" s="51"/>
      <c r="ED267" s="51"/>
      <c r="EE267" s="144"/>
      <c r="EF267" s="51"/>
      <c r="EG267" s="51"/>
      <c r="EH267" s="51"/>
      <c r="EI267" s="51"/>
      <c r="EJ267" s="144"/>
      <c r="EK267" s="51"/>
      <c r="EL267" s="51"/>
      <c r="EM267" s="51"/>
      <c r="EN267" s="51"/>
      <c r="EO267" s="340"/>
      <c r="ER267" s="39"/>
      <c r="ES267" s="39"/>
    </row>
    <row r="268" spans="1:149" ht="12.75" customHeight="1" x14ac:dyDescent="0.2">
      <c r="A268" s="317"/>
      <c r="B268" s="317"/>
      <c r="D268" s="340" t="s">
        <v>203</v>
      </c>
      <c r="F268" s="317"/>
      <c r="G268" s="51">
        <f>SUM(G269:G271)</f>
        <v>1791329</v>
      </c>
      <c r="H268" s="51"/>
      <c r="I268" s="51"/>
      <c r="J268" s="144"/>
      <c r="K268" s="51"/>
      <c r="L268" s="51">
        <f>SUM(L269:L271)</f>
        <v>0</v>
      </c>
      <c r="M268" s="51"/>
      <c r="N268" s="51"/>
      <c r="O268" s="144"/>
      <c r="P268" s="51"/>
      <c r="Q268" s="51">
        <f>SUM(Q269:Q271)</f>
        <v>1500149</v>
      </c>
      <c r="R268" s="51"/>
      <c r="S268" s="51"/>
      <c r="T268" s="144"/>
      <c r="U268" s="51"/>
      <c r="V268" s="51">
        <f>SUM(V269:V271)</f>
        <v>291180</v>
      </c>
      <c r="W268" s="51"/>
      <c r="X268" s="51"/>
      <c r="Y268" s="144"/>
      <c r="Z268" s="51"/>
      <c r="AA268" s="51">
        <f>SUM(AA269:AA271)</f>
        <v>0</v>
      </c>
      <c r="AB268" s="51"/>
      <c r="AC268" s="51"/>
      <c r="AD268" s="144"/>
      <c r="AE268" s="51"/>
      <c r="AF268" s="51">
        <f>SUM(AF269:AF271)</f>
        <v>0</v>
      </c>
      <c r="AG268" s="51"/>
      <c r="AH268" s="51"/>
      <c r="AI268" s="144"/>
      <c r="AJ268" s="51"/>
      <c r="AK268" s="51">
        <f>SUM(AK269:AK271)</f>
        <v>0</v>
      </c>
      <c r="AL268" s="51"/>
      <c r="AM268" s="51"/>
      <c r="AN268" s="144"/>
      <c r="AO268" s="51"/>
      <c r="AP268" s="51">
        <f>SUM(AP269:AP271)</f>
        <v>0</v>
      </c>
      <c r="AQ268" s="51"/>
      <c r="AR268" s="51"/>
      <c r="AS268" s="144"/>
      <c r="AT268" s="51"/>
      <c r="AU268" s="51">
        <f>SUM(AU269:AU271)</f>
        <v>0</v>
      </c>
      <c r="AV268" s="51"/>
      <c r="AW268" s="51"/>
      <c r="AX268" s="144"/>
      <c r="AY268" s="51"/>
      <c r="AZ268" s="51">
        <f>SUM(AZ269:AZ271)</f>
        <v>0</v>
      </c>
      <c r="BA268" s="51"/>
      <c r="BB268" s="51"/>
      <c r="BC268" s="144"/>
      <c r="BD268" s="51"/>
      <c r="BE268" s="51">
        <f>SUM(BE269:BE271)</f>
        <v>0</v>
      </c>
      <c r="BF268" s="51"/>
      <c r="BG268" s="51"/>
      <c r="BH268" s="144"/>
      <c r="BI268" s="51"/>
      <c r="BJ268" s="51">
        <f>SUM(BJ269:BJ271)</f>
        <v>0</v>
      </c>
      <c r="BK268" s="51"/>
      <c r="BL268" s="51"/>
      <c r="BM268" s="144"/>
      <c r="BN268" s="51"/>
      <c r="BO268" s="51">
        <f>SUM(BO269:BO271)</f>
        <v>0</v>
      </c>
      <c r="BP268" s="51"/>
      <c r="BQ268" s="51"/>
      <c r="BR268" s="144"/>
      <c r="BS268" s="51"/>
      <c r="BT268" s="51">
        <f>SUM(BT269:BT271)</f>
        <v>1791329</v>
      </c>
      <c r="BU268" s="51"/>
      <c r="BV268" s="51"/>
      <c r="BW268" s="144"/>
      <c r="BX268" s="51"/>
      <c r="BY268" s="51">
        <f>SUM(BY269:BY271)</f>
        <v>11813592</v>
      </c>
      <c r="BZ268" s="51"/>
      <c r="CA268" s="51"/>
      <c r="CB268" s="144"/>
      <c r="CC268" s="51"/>
      <c r="CD268" s="51">
        <f>SUM(CD269:CD271)</f>
        <v>2314937</v>
      </c>
      <c r="CE268" s="51"/>
      <c r="CF268" s="51"/>
      <c r="CG268" s="144"/>
      <c r="CH268" s="51"/>
      <c r="CI268" s="51">
        <f>SUM(CI269:CI271)</f>
        <v>1054813</v>
      </c>
      <c r="CJ268" s="51"/>
      <c r="CK268" s="51"/>
      <c r="CL268" s="144"/>
      <c r="CM268" s="51"/>
      <c r="CN268" s="51">
        <f>SUM(CN269:CN271)</f>
        <v>2851517</v>
      </c>
      <c r="CO268" s="51"/>
      <c r="CP268" s="51"/>
      <c r="CQ268" s="144"/>
      <c r="CR268" s="51"/>
      <c r="CS268" s="51">
        <f>SUM(CS269:CS271)</f>
        <v>1087665</v>
      </c>
      <c r="CT268" s="51"/>
      <c r="CU268" s="51"/>
      <c r="CV268" s="144"/>
      <c r="CW268" s="51"/>
      <c r="CX268" s="51">
        <f>SUM(CX269:CX271)</f>
        <v>1296164</v>
      </c>
      <c r="CY268" s="51"/>
      <c r="CZ268" s="51"/>
      <c r="DA268" s="144"/>
      <c r="DB268" s="51"/>
      <c r="DC268" s="51">
        <f>SUM(DC269:DC271)</f>
        <v>238941</v>
      </c>
      <c r="DD268" s="51"/>
      <c r="DE268" s="51"/>
      <c r="DF268" s="144"/>
      <c r="DG268" s="51"/>
      <c r="DH268" s="51">
        <f>SUM(DH269:DH271)</f>
        <v>0</v>
      </c>
      <c r="DI268" s="51"/>
      <c r="DJ268" s="51"/>
      <c r="DK268" s="144"/>
      <c r="DL268" s="51"/>
      <c r="DM268" s="51">
        <f>SUM(DM269:DM271)</f>
        <v>0</v>
      </c>
      <c r="DN268" s="51"/>
      <c r="DO268" s="51"/>
      <c r="DP268" s="144"/>
      <c r="DQ268" s="51"/>
      <c r="DR268" s="51">
        <f>SUM(DR269:DR271)</f>
        <v>2627515</v>
      </c>
      <c r="DS268" s="51"/>
      <c r="DT268" s="51"/>
      <c r="DU268" s="144"/>
      <c r="DV268" s="51"/>
      <c r="DW268" s="51">
        <f>SUM(DW269:DW271)</f>
        <v>0</v>
      </c>
      <c r="DX268" s="51"/>
      <c r="DY268" s="51"/>
      <c r="DZ268" s="144"/>
      <c r="EA268" s="51"/>
      <c r="EB268" s="51">
        <f>SUM(EB269:EB271)</f>
        <v>0</v>
      </c>
      <c r="EC268" s="51"/>
      <c r="ED268" s="51"/>
      <c r="EE268" s="144"/>
      <c r="EF268" s="51"/>
      <c r="EG268" s="51">
        <f>SUM(EG269:EG271)</f>
        <v>342040</v>
      </c>
      <c r="EH268" s="51"/>
      <c r="EI268" s="51"/>
      <c r="EJ268" s="144"/>
      <c r="EK268" s="51"/>
      <c r="EL268" s="51">
        <f>SUM(EL269:EL271)</f>
        <v>8844037</v>
      </c>
      <c r="EM268" s="51"/>
      <c r="EN268" s="51"/>
      <c r="EO268" s="340"/>
      <c r="ER268" s="39"/>
      <c r="ES268" s="39"/>
    </row>
    <row r="269" spans="1:149" ht="12.75" customHeight="1" x14ac:dyDescent="0.2">
      <c r="A269" s="317"/>
      <c r="B269" s="317"/>
      <c r="D269" s="340" t="s">
        <v>183</v>
      </c>
      <c r="F269" s="354"/>
      <c r="G269" s="430">
        <v>1568131</v>
      </c>
      <c r="H269" s="431"/>
      <c r="I269" s="51"/>
      <c r="J269" s="144"/>
      <c r="K269" s="432"/>
      <c r="L269" s="430">
        <v>0</v>
      </c>
      <c r="M269" s="431"/>
      <c r="N269" s="51"/>
      <c r="O269" s="144"/>
      <c r="P269" s="432"/>
      <c r="Q269" s="430">
        <f>1500149-186627</f>
        <v>1313522</v>
      </c>
      <c r="R269" s="431"/>
      <c r="S269" s="51"/>
      <c r="T269" s="144"/>
      <c r="U269" s="432"/>
      <c r="V269" s="430">
        <f>291180-36571</f>
        <v>254609</v>
      </c>
      <c r="W269" s="431"/>
      <c r="X269" s="51"/>
      <c r="Y269" s="144"/>
      <c r="Z269" s="432"/>
      <c r="AA269" s="430">
        <v>0</v>
      </c>
      <c r="AB269" s="431"/>
      <c r="AC269" s="51"/>
      <c r="AD269" s="144"/>
      <c r="AE269" s="432"/>
      <c r="AF269" s="430">
        <v>0</v>
      </c>
      <c r="AG269" s="431"/>
      <c r="AH269" s="51"/>
      <c r="AI269" s="144"/>
      <c r="AJ269" s="432"/>
      <c r="AK269" s="430">
        <v>0</v>
      </c>
      <c r="AL269" s="431"/>
      <c r="AM269" s="51"/>
      <c r="AN269" s="144"/>
      <c r="AO269" s="432"/>
      <c r="AP269" s="430">
        <v>0</v>
      </c>
      <c r="AQ269" s="431"/>
      <c r="AR269" s="51"/>
      <c r="AS269" s="144"/>
      <c r="AT269" s="432"/>
      <c r="AU269" s="430">
        <v>0</v>
      </c>
      <c r="AV269" s="431"/>
      <c r="AW269" s="51"/>
      <c r="AX269" s="144"/>
      <c r="AY269" s="432"/>
      <c r="AZ269" s="430">
        <v>0</v>
      </c>
      <c r="BA269" s="431"/>
      <c r="BB269" s="51"/>
      <c r="BC269" s="144"/>
      <c r="BD269" s="432"/>
      <c r="BE269" s="430">
        <v>0</v>
      </c>
      <c r="BF269" s="431"/>
      <c r="BG269" s="51"/>
      <c r="BH269" s="144"/>
      <c r="BI269" s="432"/>
      <c r="BJ269" s="430">
        <v>0</v>
      </c>
      <c r="BK269" s="431"/>
      <c r="BL269" s="51"/>
      <c r="BM269" s="144"/>
      <c r="BN269" s="432"/>
      <c r="BO269" s="430">
        <v>0</v>
      </c>
      <c r="BP269" s="431"/>
      <c r="BQ269" s="51"/>
      <c r="BR269" s="144"/>
      <c r="BS269" s="432"/>
      <c r="BT269" s="430">
        <f>SUM(L269:BO269)</f>
        <v>1568131</v>
      </c>
      <c r="BU269" s="431"/>
      <c r="BV269" s="51"/>
      <c r="BW269" s="144"/>
      <c r="BX269" s="432"/>
      <c r="BY269" s="430">
        <v>10609890</v>
      </c>
      <c r="BZ269" s="431"/>
      <c r="CA269" s="51"/>
      <c r="CB269" s="144"/>
      <c r="CC269" s="432"/>
      <c r="CD269" s="430">
        <f>2314937-254707</f>
        <v>2060230</v>
      </c>
      <c r="CE269" s="431"/>
      <c r="CF269" s="51"/>
      <c r="CG269" s="144"/>
      <c r="CH269" s="432"/>
      <c r="CI269" s="430">
        <f>1054813-113977</f>
        <v>940836</v>
      </c>
      <c r="CJ269" s="431"/>
      <c r="CK269" s="51"/>
      <c r="CL269" s="144"/>
      <c r="CM269" s="432"/>
      <c r="CN269" s="430">
        <f>2851517-243780</f>
        <v>2607737</v>
      </c>
      <c r="CO269" s="431"/>
      <c r="CP269" s="51"/>
      <c r="CQ269" s="144"/>
      <c r="CR269" s="432"/>
      <c r="CS269" s="430">
        <f>1087665-98731</f>
        <v>988934</v>
      </c>
      <c r="CT269" s="431"/>
      <c r="CU269" s="51"/>
      <c r="CV269" s="144"/>
      <c r="CW269" s="432"/>
      <c r="CX269" s="430">
        <f>1296164-114597</f>
        <v>1181567</v>
      </c>
      <c r="CY269" s="431"/>
      <c r="CZ269" s="51"/>
      <c r="DA269" s="144"/>
      <c r="DB269" s="432"/>
      <c r="DC269" s="430">
        <f>238941-18277</f>
        <v>220664</v>
      </c>
      <c r="DD269" s="431"/>
      <c r="DE269" s="51"/>
      <c r="DF269" s="144"/>
      <c r="DG269" s="432"/>
      <c r="DH269" s="430">
        <v>0</v>
      </c>
      <c r="DI269" s="431"/>
      <c r="DJ269" s="51"/>
      <c r="DK269" s="144"/>
      <c r="DL269" s="432"/>
      <c r="DM269" s="430">
        <v>0</v>
      </c>
      <c r="DN269" s="431"/>
      <c r="DO269" s="51"/>
      <c r="DP269" s="144"/>
      <c r="DQ269" s="432"/>
      <c r="DR269" s="430">
        <f>2627515-322787</f>
        <v>2304728</v>
      </c>
      <c r="DS269" s="431"/>
      <c r="DT269" s="51"/>
      <c r="DU269" s="144"/>
      <c r="DV269" s="432"/>
      <c r="DW269" s="430">
        <v>0</v>
      </c>
      <c r="DX269" s="431"/>
      <c r="DY269" s="51"/>
      <c r="DZ269" s="144"/>
      <c r="EA269" s="432"/>
      <c r="EB269" s="430">
        <v>0</v>
      </c>
      <c r="EC269" s="431"/>
      <c r="ED269" s="51"/>
      <c r="EE269" s="144"/>
      <c r="EF269" s="432"/>
      <c r="EG269" s="430">
        <f>342040-36846</f>
        <v>305194</v>
      </c>
      <c r="EH269" s="431"/>
      <c r="EI269" s="51"/>
      <c r="EJ269" s="144"/>
      <c r="EK269" s="432"/>
      <c r="EL269" s="430">
        <f t="shared" ref="EL269:EL271" si="21">SUM(CD269:DH269)</f>
        <v>7999968</v>
      </c>
      <c r="EM269" s="431"/>
      <c r="EN269" s="51"/>
      <c r="EO269" s="340"/>
      <c r="ER269" s="39"/>
      <c r="ES269" s="39"/>
    </row>
    <row r="270" spans="1:149" ht="12.75" customHeight="1" x14ac:dyDescent="0.2">
      <c r="A270" s="317"/>
      <c r="B270" s="317"/>
      <c r="D270" s="340" t="s">
        <v>186</v>
      </c>
      <c r="F270" s="347"/>
      <c r="G270" s="51">
        <v>223198</v>
      </c>
      <c r="H270" s="50"/>
      <c r="I270" s="51"/>
      <c r="J270" s="144"/>
      <c r="K270" s="144"/>
      <c r="L270" s="51">
        <v>0</v>
      </c>
      <c r="M270" s="50"/>
      <c r="N270" s="51"/>
      <c r="O270" s="144"/>
      <c r="P270" s="144"/>
      <c r="Q270" s="51">
        <v>186627</v>
      </c>
      <c r="R270" s="50"/>
      <c r="S270" s="51"/>
      <c r="T270" s="144"/>
      <c r="U270" s="144"/>
      <c r="V270" s="51">
        <v>36571</v>
      </c>
      <c r="W270" s="50"/>
      <c r="X270" s="51"/>
      <c r="Y270" s="144"/>
      <c r="Z270" s="144"/>
      <c r="AA270" s="51">
        <v>0</v>
      </c>
      <c r="AB270" s="50"/>
      <c r="AC270" s="51"/>
      <c r="AD270" s="144"/>
      <c r="AE270" s="144"/>
      <c r="AF270" s="51">
        <v>0</v>
      </c>
      <c r="AG270" s="50"/>
      <c r="AH270" s="51"/>
      <c r="AI270" s="144"/>
      <c r="AJ270" s="144"/>
      <c r="AK270" s="51">
        <v>0</v>
      </c>
      <c r="AL270" s="50"/>
      <c r="AM270" s="51"/>
      <c r="AN270" s="144"/>
      <c r="AO270" s="144"/>
      <c r="AP270" s="51">
        <v>0</v>
      </c>
      <c r="AQ270" s="50"/>
      <c r="AR270" s="51"/>
      <c r="AS270" s="144"/>
      <c r="AT270" s="144"/>
      <c r="AU270" s="51">
        <v>0</v>
      </c>
      <c r="AV270" s="50"/>
      <c r="AW270" s="51"/>
      <c r="AX270" s="144"/>
      <c r="AY270" s="144"/>
      <c r="AZ270" s="51">
        <v>0</v>
      </c>
      <c r="BA270" s="50"/>
      <c r="BB270" s="51"/>
      <c r="BC270" s="144"/>
      <c r="BD270" s="144"/>
      <c r="BE270" s="51">
        <v>0</v>
      </c>
      <c r="BF270" s="50"/>
      <c r="BG270" s="51"/>
      <c r="BH270" s="144"/>
      <c r="BI270" s="144"/>
      <c r="BJ270" s="51">
        <v>0</v>
      </c>
      <c r="BK270" s="50"/>
      <c r="BL270" s="51"/>
      <c r="BM270" s="144"/>
      <c r="BN270" s="144"/>
      <c r="BO270" s="51">
        <v>0</v>
      </c>
      <c r="BP270" s="50"/>
      <c r="BQ270" s="51"/>
      <c r="BR270" s="144"/>
      <c r="BS270" s="144"/>
      <c r="BT270" s="51">
        <f>SUM(L270:BO270)</f>
        <v>223198</v>
      </c>
      <c r="BU270" s="50"/>
      <c r="BV270" s="51"/>
      <c r="BW270" s="144"/>
      <c r="BX270" s="144"/>
      <c r="BY270" s="51">
        <v>1203702</v>
      </c>
      <c r="BZ270" s="50"/>
      <c r="CA270" s="51"/>
      <c r="CB270" s="144"/>
      <c r="CC270" s="144"/>
      <c r="CD270" s="51">
        <v>254707</v>
      </c>
      <c r="CE270" s="50"/>
      <c r="CF270" s="51"/>
      <c r="CG270" s="144"/>
      <c r="CH270" s="144"/>
      <c r="CI270" s="51">
        <v>113977</v>
      </c>
      <c r="CJ270" s="50"/>
      <c r="CK270" s="51"/>
      <c r="CL270" s="144"/>
      <c r="CM270" s="144"/>
      <c r="CN270" s="51">
        <v>243780</v>
      </c>
      <c r="CO270" s="50"/>
      <c r="CP270" s="51"/>
      <c r="CQ270" s="144"/>
      <c r="CR270" s="144"/>
      <c r="CS270" s="51">
        <v>98731</v>
      </c>
      <c r="CT270" s="50"/>
      <c r="CU270" s="51"/>
      <c r="CV270" s="144"/>
      <c r="CW270" s="144"/>
      <c r="CX270" s="51">
        <v>114597</v>
      </c>
      <c r="CY270" s="50"/>
      <c r="CZ270" s="51"/>
      <c r="DA270" s="144"/>
      <c r="DB270" s="144"/>
      <c r="DC270" s="51">
        <v>18277</v>
      </c>
      <c r="DD270" s="50"/>
      <c r="DE270" s="51"/>
      <c r="DF270" s="144"/>
      <c r="DG270" s="144"/>
      <c r="DH270" s="51">
        <v>0</v>
      </c>
      <c r="DI270" s="50"/>
      <c r="DJ270" s="51"/>
      <c r="DK270" s="144"/>
      <c r="DL270" s="144"/>
      <c r="DM270" s="51">
        <v>0</v>
      </c>
      <c r="DN270" s="50"/>
      <c r="DO270" s="51"/>
      <c r="DP270" s="144"/>
      <c r="DQ270" s="144"/>
      <c r="DR270" s="51">
        <v>322787</v>
      </c>
      <c r="DS270" s="50"/>
      <c r="DT270" s="51"/>
      <c r="DU270" s="144"/>
      <c r="DV270" s="144"/>
      <c r="DW270" s="51">
        <v>0</v>
      </c>
      <c r="DX270" s="50"/>
      <c r="DY270" s="51"/>
      <c r="DZ270" s="144"/>
      <c r="EA270" s="144"/>
      <c r="EB270" s="51">
        <v>0</v>
      </c>
      <c r="EC270" s="50"/>
      <c r="ED270" s="51"/>
      <c r="EE270" s="144"/>
      <c r="EF270" s="144"/>
      <c r="EG270" s="51">
        <v>36846</v>
      </c>
      <c r="EH270" s="50"/>
      <c r="EI270" s="51"/>
      <c r="EJ270" s="144"/>
      <c r="EK270" s="144"/>
      <c r="EL270" s="51">
        <f t="shared" si="21"/>
        <v>844069</v>
      </c>
      <c r="EM270" s="50"/>
      <c r="EN270" s="51"/>
      <c r="EO270" s="340"/>
      <c r="ER270" s="39"/>
      <c r="ES270" s="39"/>
    </row>
    <row r="271" spans="1:149" ht="12.75" customHeight="1" x14ac:dyDescent="0.2">
      <c r="A271" s="317"/>
      <c r="B271" s="317"/>
      <c r="D271" s="340" t="s">
        <v>200</v>
      </c>
      <c r="F271" s="371"/>
      <c r="G271" s="95">
        <v>0</v>
      </c>
      <c r="H271" s="94"/>
      <c r="I271" s="51"/>
      <c r="J271" s="144"/>
      <c r="K271" s="187"/>
      <c r="L271" s="95">
        <v>0</v>
      </c>
      <c r="M271" s="94"/>
      <c r="N271" s="51"/>
      <c r="O271" s="144"/>
      <c r="P271" s="187"/>
      <c r="Q271" s="95">
        <v>0</v>
      </c>
      <c r="R271" s="94"/>
      <c r="S271" s="51"/>
      <c r="T271" s="144"/>
      <c r="U271" s="187"/>
      <c r="V271" s="95">
        <v>0</v>
      </c>
      <c r="W271" s="94"/>
      <c r="X271" s="51"/>
      <c r="Y271" s="144"/>
      <c r="Z271" s="187"/>
      <c r="AA271" s="95">
        <v>0</v>
      </c>
      <c r="AB271" s="94"/>
      <c r="AC271" s="51"/>
      <c r="AD271" s="144"/>
      <c r="AE271" s="187"/>
      <c r="AF271" s="95">
        <v>0</v>
      </c>
      <c r="AG271" s="94"/>
      <c r="AH271" s="51"/>
      <c r="AI271" s="144"/>
      <c r="AJ271" s="187"/>
      <c r="AK271" s="95">
        <v>0</v>
      </c>
      <c r="AL271" s="94"/>
      <c r="AM271" s="51"/>
      <c r="AN271" s="144"/>
      <c r="AO271" s="187"/>
      <c r="AP271" s="95">
        <v>0</v>
      </c>
      <c r="AQ271" s="94"/>
      <c r="AR271" s="51"/>
      <c r="AS271" s="144"/>
      <c r="AT271" s="187"/>
      <c r="AU271" s="95">
        <v>0</v>
      </c>
      <c r="AV271" s="94"/>
      <c r="AW271" s="51"/>
      <c r="AX271" s="144"/>
      <c r="AY271" s="187"/>
      <c r="AZ271" s="95">
        <v>0</v>
      </c>
      <c r="BA271" s="94"/>
      <c r="BB271" s="51"/>
      <c r="BC271" s="144"/>
      <c r="BD271" s="187"/>
      <c r="BE271" s="95">
        <v>0</v>
      </c>
      <c r="BF271" s="94"/>
      <c r="BG271" s="51"/>
      <c r="BH271" s="144"/>
      <c r="BI271" s="187"/>
      <c r="BJ271" s="95">
        <v>0</v>
      </c>
      <c r="BK271" s="94"/>
      <c r="BL271" s="51"/>
      <c r="BM271" s="144"/>
      <c r="BN271" s="187"/>
      <c r="BO271" s="95">
        <v>0</v>
      </c>
      <c r="BP271" s="94"/>
      <c r="BQ271" s="51"/>
      <c r="BR271" s="144"/>
      <c r="BS271" s="187"/>
      <c r="BT271" s="95">
        <f>SUM(L271:BO271)</f>
        <v>0</v>
      </c>
      <c r="BU271" s="94"/>
      <c r="BV271" s="51"/>
      <c r="BW271" s="144"/>
      <c r="BX271" s="187"/>
      <c r="BY271" s="95">
        <v>0</v>
      </c>
      <c r="BZ271" s="94"/>
      <c r="CA271" s="51"/>
      <c r="CB271" s="144"/>
      <c r="CC271" s="187"/>
      <c r="CD271" s="95">
        <v>0</v>
      </c>
      <c r="CE271" s="94"/>
      <c r="CF271" s="51"/>
      <c r="CG271" s="144"/>
      <c r="CH271" s="187"/>
      <c r="CI271" s="95">
        <v>0</v>
      </c>
      <c r="CJ271" s="94"/>
      <c r="CK271" s="51"/>
      <c r="CL271" s="144"/>
      <c r="CM271" s="187"/>
      <c r="CN271" s="95">
        <v>0</v>
      </c>
      <c r="CO271" s="94"/>
      <c r="CP271" s="51"/>
      <c r="CQ271" s="144"/>
      <c r="CR271" s="187"/>
      <c r="CS271" s="95">
        <v>0</v>
      </c>
      <c r="CT271" s="94"/>
      <c r="CU271" s="51"/>
      <c r="CV271" s="144"/>
      <c r="CW271" s="187"/>
      <c r="CX271" s="95">
        <v>0</v>
      </c>
      <c r="CY271" s="94"/>
      <c r="CZ271" s="51"/>
      <c r="DA271" s="144"/>
      <c r="DB271" s="187"/>
      <c r="DC271" s="95">
        <v>0</v>
      </c>
      <c r="DD271" s="94"/>
      <c r="DE271" s="51"/>
      <c r="DF271" s="144"/>
      <c r="DG271" s="187"/>
      <c r="DH271" s="95">
        <v>0</v>
      </c>
      <c r="DI271" s="94"/>
      <c r="DJ271" s="51"/>
      <c r="DK271" s="144"/>
      <c r="DL271" s="187"/>
      <c r="DM271" s="95">
        <v>0</v>
      </c>
      <c r="DN271" s="94"/>
      <c r="DO271" s="51"/>
      <c r="DP271" s="144"/>
      <c r="DQ271" s="187"/>
      <c r="DR271" s="95">
        <v>0</v>
      </c>
      <c r="DS271" s="94"/>
      <c r="DT271" s="51"/>
      <c r="DU271" s="144"/>
      <c r="DV271" s="187"/>
      <c r="DW271" s="95">
        <v>0</v>
      </c>
      <c r="DX271" s="94"/>
      <c r="DY271" s="51"/>
      <c r="DZ271" s="144"/>
      <c r="EA271" s="187"/>
      <c r="EB271" s="95">
        <v>0</v>
      </c>
      <c r="EC271" s="94"/>
      <c r="ED271" s="51"/>
      <c r="EE271" s="144"/>
      <c r="EF271" s="187"/>
      <c r="EG271" s="95">
        <v>0</v>
      </c>
      <c r="EH271" s="94"/>
      <c r="EI271" s="51"/>
      <c r="EJ271" s="144"/>
      <c r="EK271" s="187"/>
      <c r="EL271" s="95">
        <f t="shared" si="21"/>
        <v>0</v>
      </c>
      <c r="EM271" s="94"/>
      <c r="EN271" s="51"/>
      <c r="EO271" s="340"/>
      <c r="ER271" s="39"/>
      <c r="ES271" s="39"/>
    </row>
    <row r="272" spans="1:149" ht="12.75" customHeight="1" x14ac:dyDescent="0.2">
      <c r="A272" s="317"/>
      <c r="B272" s="317"/>
      <c r="D272" s="340"/>
      <c r="F272" s="317"/>
      <c r="G272" s="51"/>
      <c r="H272" s="51"/>
      <c r="I272" s="51"/>
      <c r="J272" s="144"/>
      <c r="K272" s="51"/>
      <c r="L272" s="51"/>
      <c r="M272" s="51"/>
      <c r="N272" s="51"/>
      <c r="O272" s="144"/>
      <c r="P272" s="51"/>
      <c r="Q272" s="51"/>
      <c r="R272" s="51"/>
      <c r="S272" s="51"/>
      <c r="T272" s="144"/>
      <c r="U272" s="51"/>
      <c r="V272" s="51"/>
      <c r="W272" s="51"/>
      <c r="X272" s="51"/>
      <c r="Y272" s="144"/>
      <c r="Z272" s="51"/>
      <c r="AA272" s="51"/>
      <c r="AB272" s="51"/>
      <c r="AC272" s="51"/>
      <c r="AD272" s="144"/>
      <c r="AE272" s="51"/>
      <c r="AF272" s="51"/>
      <c r="AG272" s="51"/>
      <c r="AH272" s="51"/>
      <c r="AI272" s="144"/>
      <c r="AJ272" s="51"/>
      <c r="AK272" s="51"/>
      <c r="AL272" s="51"/>
      <c r="AM272" s="51"/>
      <c r="AN272" s="144"/>
      <c r="AO272" s="51"/>
      <c r="AP272" s="51"/>
      <c r="AQ272" s="51"/>
      <c r="AR272" s="51"/>
      <c r="AS272" s="144"/>
      <c r="AT272" s="51"/>
      <c r="AU272" s="51"/>
      <c r="AV272" s="51"/>
      <c r="AW272" s="51"/>
      <c r="AX272" s="144"/>
      <c r="AY272" s="51"/>
      <c r="AZ272" s="51"/>
      <c r="BA272" s="51"/>
      <c r="BB272" s="51"/>
      <c r="BC272" s="144"/>
      <c r="BD272" s="51"/>
      <c r="BE272" s="51"/>
      <c r="BF272" s="51"/>
      <c r="BG272" s="51"/>
      <c r="BH272" s="144"/>
      <c r="BI272" s="51"/>
      <c r="BJ272" s="51"/>
      <c r="BK272" s="51"/>
      <c r="BL272" s="51"/>
      <c r="BM272" s="144"/>
      <c r="BN272" s="51"/>
      <c r="BO272" s="51"/>
      <c r="BP272" s="51"/>
      <c r="BQ272" s="51"/>
      <c r="BR272" s="144"/>
      <c r="BS272" s="51"/>
      <c r="BT272" s="51"/>
      <c r="BU272" s="51"/>
      <c r="BV272" s="51"/>
      <c r="BW272" s="144"/>
      <c r="BX272" s="51"/>
      <c r="BY272" s="51"/>
      <c r="BZ272" s="51"/>
      <c r="CA272" s="51"/>
      <c r="CB272" s="144"/>
      <c r="CC272" s="51"/>
      <c r="CD272" s="51"/>
      <c r="CE272" s="51"/>
      <c r="CF272" s="51"/>
      <c r="CG272" s="144"/>
      <c r="CH272" s="51"/>
      <c r="CI272" s="51"/>
      <c r="CJ272" s="51"/>
      <c r="CK272" s="51"/>
      <c r="CL272" s="144"/>
      <c r="CM272" s="51"/>
      <c r="CN272" s="51"/>
      <c r="CO272" s="51"/>
      <c r="CP272" s="51"/>
      <c r="CQ272" s="144"/>
      <c r="CR272" s="51"/>
      <c r="CS272" s="51"/>
      <c r="CT272" s="51"/>
      <c r="CU272" s="51"/>
      <c r="CV272" s="144"/>
      <c r="CW272" s="51"/>
      <c r="CX272" s="51"/>
      <c r="CY272" s="51"/>
      <c r="CZ272" s="51"/>
      <c r="DA272" s="144"/>
      <c r="DB272" s="51"/>
      <c r="DC272" s="51"/>
      <c r="DD272" s="51"/>
      <c r="DE272" s="51"/>
      <c r="DF272" s="144"/>
      <c r="DG272" s="51"/>
      <c r="DH272" s="51"/>
      <c r="DI272" s="51"/>
      <c r="DJ272" s="51"/>
      <c r="DK272" s="144"/>
      <c r="DL272" s="51"/>
      <c r="DM272" s="51"/>
      <c r="DN272" s="51"/>
      <c r="DO272" s="51"/>
      <c r="DP272" s="144"/>
      <c r="DQ272" s="51"/>
      <c r="DR272" s="51"/>
      <c r="DS272" s="51"/>
      <c r="DT272" s="51"/>
      <c r="DU272" s="144"/>
      <c r="DV272" s="51"/>
      <c r="DW272" s="51"/>
      <c r="DX272" s="51"/>
      <c r="DY272" s="51"/>
      <c r="DZ272" s="144"/>
      <c r="EA272" s="51"/>
      <c r="EB272" s="51"/>
      <c r="EC272" s="51"/>
      <c r="ED272" s="51"/>
      <c r="EE272" s="144"/>
      <c r="EF272" s="51"/>
      <c r="EG272" s="51"/>
      <c r="EH272" s="51"/>
      <c r="EI272" s="51"/>
      <c r="EJ272" s="144"/>
      <c r="EK272" s="51"/>
      <c r="EL272" s="51"/>
      <c r="EM272" s="51"/>
      <c r="EN272" s="51"/>
      <c r="EO272" s="340"/>
      <c r="ER272" s="39"/>
      <c r="ES272" s="39"/>
    </row>
    <row r="273" spans="1:149" ht="12.75" customHeight="1" x14ac:dyDescent="0.2">
      <c r="A273" s="317"/>
      <c r="B273" s="317"/>
      <c r="D273" s="340" t="s">
        <v>204</v>
      </c>
      <c r="F273" s="317"/>
      <c r="G273" s="51">
        <f>SUM(G274:G276)</f>
        <v>797850</v>
      </c>
      <c r="H273" s="51"/>
      <c r="I273" s="51"/>
      <c r="J273" s="144"/>
      <c r="K273" s="51"/>
      <c r="L273" s="51">
        <f>SUM(L274:L276)</f>
        <v>382735</v>
      </c>
      <c r="M273" s="51"/>
      <c r="N273" s="51"/>
      <c r="O273" s="144"/>
      <c r="P273" s="51"/>
      <c r="Q273" s="51">
        <f>SUM(Q274:Q276)</f>
        <v>299825</v>
      </c>
      <c r="R273" s="51"/>
      <c r="S273" s="51"/>
      <c r="T273" s="144"/>
      <c r="U273" s="51"/>
      <c r="V273" s="51">
        <f>SUM(V274:V276)</f>
        <v>115290</v>
      </c>
      <c r="W273" s="51"/>
      <c r="X273" s="51"/>
      <c r="Y273" s="144"/>
      <c r="Z273" s="51"/>
      <c r="AA273" s="51">
        <f>SUM(AA274:AA276)</f>
        <v>0</v>
      </c>
      <c r="AB273" s="51"/>
      <c r="AC273" s="51"/>
      <c r="AD273" s="144"/>
      <c r="AE273" s="51"/>
      <c r="AF273" s="51">
        <f>SUM(AF274:AF276)</f>
        <v>0</v>
      </c>
      <c r="AG273" s="51"/>
      <c r="AH273" s="51"/>
      <c r="AI273" s="144"/>
      <c r="AJ273" s="51"/>
      <c r="AK273" s="51">
        <f>SUM(AK274:AK276)</f>
        <v>0</v>
      </c>
      <c r="AL273" s="51"/>
      <c r="AM273" s="51"/>
      <c r="AN273" s="144"/>
      <c r="AO273" s="51"/>
      <c r="AP273" s="51">
        <f>SUM(AP274:AP276)</f>
        <v>0</v>
      </c>
      <c r="AQ273" s="51"/>
      <c r="AR273" s="51"/>
      <c r="AS273" s="144"/>
      <c r="AT273" s="51"/>
      <c r="AU273" s="51">
        <f>SUM(AU274:AU276)</f>
        <v>0</v>
      </c>
      <c r="AV273" s="51"/>
      <c r="AW273" s="51"/>
      <c r="AX273" s="144"/>
      <c r="AY273" s="51"/>
      <c r="AZ273" s="51">
        <f>SUM(AZ274:AZ276)</f>
        <v>0</v>
      </c>
      <c r="BA273" s="51"/>
      <c r="BB273" s="51"/>
      <c r="BC273" s="144"/>
      <c r="BD273" s="51"/>
      <c r="BE273" s="51">
        <f>SUM(BE274:BE276)</f>
        <v>0</v>
      </c>
      <c r="BF273" s="51"/>
      <c r="BG273" s="51"/>
      <c r="BH273" s="144"/>
      <c r="BI273" s="51"/>
      <c r="BJ273" s="51">
        <f>SUM(BJ274:BJ276)</f>
        <v>0</v>
      </c>
      <c r="BK273" s="51"/>
      <c r="BL273" s="51"/>
      <c r="BM273" s="144"/>
      <c r="BN273" s="51"/>
      <c r="BO273" s="51">
        <f>SUM(BO274:BO276)</f>
        <v>0</v>
      </c>
      <c r="BP273" s="51"/>
      <c r="BQ273" s="51"/>
      <c r="BR273" s="144"/>
      <c r="BS273" s="51"/>
      <c r="BT273" s="51">
        <f>SUM(BT274:BT276)</f>
        <v>797850</v>
      </c>
      <c r="BU273" s="51"/>
      <c r="BV273" s="51"/>
      <c r="BW273" s="144"/>
      <c r="BX273" s="51"/>
      <c r="BY273" s="51">
        <f>SUM(BY274:BY276)</f>
        <v>1360973</v>
      </c>
      <c r="BZ273" s="51"/>
      <c r="CA273" s="51"/>
      <c r="CB273" s="144"/>
      <c r="CC273" s="51"/>
      <c r="CD273" s="51">
        <f>SUM(CD274:CD276)</f>
        <v>0</v>
      </c>
      <c r="CE273" s="51"/>
      <c r="CF273" s="51"/>
      <c r="CG273" s="144"/>
      <c r="CH273" s="51"/>
      <c r="CI273" s="51">
        <f>SUM(CI274:CI276)</f>
        <v>0</v>
      </c>
      <c r="CJ273" s="51"/>
      <c r="CK273" s="51"/>
      <c r="CL273" s="144"/>
      <c r="CM273" s="51"/>
      <c r="CN273" s="51">
        <f>SUM(CN274:CN276)</f>
        <v>0</v>
      </c>
      <c r="CO273" s="51"/>
      <c r="CP273" s="51"/>
      <c r="CQ273" s="144"/>
      <c r="CR273" s="51"/>
      <c r="CS273" s="51">
        <f>SUM(CS274:CS276)</f>
        <v>1002120</v>
      </c>
      <c r="CT273" s="51"/>
      <c r="CU273" s="51"/>
      <c r="CV273" s="144"/>
      <c r="CW273" s="51"/>
      <c r="CX273" s="51">
        <f>SUM(CX274:CX276)</f>
        <v>358853</v>
      </c>
      <c r="CY273" s="51"/>
      <c r="CZ273" s="51"/>
      <c r="DA273" s="144"/>
      <c r="DB273" s="51"/>
      <c r="DC273" s="51">
        <f>SUM(DC274:DC276)</f>
        <v>0</v>
      </c>
      <c r="DD273" s="51"/>
      <c r="DE273" s="51"/>
      <c r="DF273" s="144"/>
      <c r="DG273" s="51"/>
      <c r="DH273" s="51">
        <f>SUM(DH274:DH276)</f>
        <v>0</v>
      </c>
      <c r="DI273" s="51"/>
      <c r="DJ273" s="51"/>
      <c r="DK273" s="144"/>
      <c r="DL273" s="51"/>
      <c r="DM273" s="51">
        <f>SUM(DM274:DM276)</f>
        <v>0</v>
      </c>
      <c r="DN273" s="51"/>
      <c r="DO273" s="51"/>
      <c r="DP273" s="144"/>
      <c r="DQ273" s="51"/>
      <c r="DR273" s="51">
        <f>SUM(DR274:DR276)</f>
        <v>0</v>
      </c>
      <c r="DS273" s="51"/>
      <c r="DT273" s="51"/>
      <c r="DU273" s="144"/>
      <c r="DV273" s="51"/>
      <c r="DW273" s="51">
        <f>SUM(DW274:DW276)</f>
        <v>0</v>
      </c>
      <c r="DX273" s="51"/>
      <c r="DY273" s="51"/>
      <c r="DZ273" s="144"/>
      <c r="EA273" s="51"/>
      <c r="EB273" s="51">
        <f>SUM(EB274:EB276)</f>
        <v>0</v>
      </c>
      <c r="EC273" s="51"/>
      <c r="ED273" s="51"/>
      <c r="EE273" s="144"/>
      <c r="EF273" s="51"/>
      <c r="EG273" s="51">
        <f>SUM(EG274:EG276)</f>
        <v>0</v>
      </c>
      <c r="EH273" s="51"/>
      <c r="EI273" s="51"/>
      <c r="EJ273" s="144"/>
      <c r="EK273" s="51"/>
      <c r="EL273" s="51">
        <f>SUM(EL274:EL276)</f>
        <v>1360973</v>
      </c>
      <c r="EM273" s="51"/>
      <c r="EN273" s="51"/>
      <c r="EO273" s="340"/>
      <c r="ER273" s="39"/>
      <c r="ES273" s="39"/>
    </row>
    <row r="274" spans="1:149" ht="12.75" customHeight="1" x14ac:dyDescent="0.2">
      <c r="A274" s="317"/>
      <c r="B274" s="317"/>
      <c r="D274" s="340" t="s">
        <v>183</v>
      </c>
      <c r="F274" s="354"/>
      <c r="G274" s="430">
        <v>709898</v>
      </c>
      <c r="H274" s="431"/>
      <c r="I274" s="51"/>
      <c r="J274" s="144"/>
      <c r="K274" s="432"/>
      <c r="L274" s="430">
        <f>382735-37035</f>
        <v>345700</v>
      </c>
      <c r="M274" s="431"/>
      <c r="N274" s="51"/>
      <c r="O274" s="144"/>
      <c r="P274" s="432"/>
      <c r="Q274" s="430">
        <f>299825-36486</f>
        <v>263339</v>
      </c>
      <c r="R274" s="431"/>
      <c r="S274" s="51"/>
      <c r="T274" s="144"/>
      <c r="U274" s="432"/>
      <c r="V274" s="430">
        <f>115290-14431</f>
        <v>100859</v>
      </c>
      <c r="W274" s="431"/>
      <c r="X274" s="51"/>
      <c r="Y274" s="144"/>
      <c r="Z274" s="432"/>
      <c r="AA274" s="430">
        <v>0</v>
      </c>
      <c r="AB274" s="431"/>
      <c r="AC274" s="51"/>
      <c r="AD274" s="144"/>
      <c r="AE274" s="432"/>
      <c r="AF274" s="430">
        <v>0</v>
      </c>
      <c r="AG274" s="431"/>
      <c r="AH274" s="51"/>
      <c r="AI274" s="144"/>
      <c r="AJ274" s="432"/>
      <c r="AK274" s="430">
        <v>0</v>
      </c>
      <c r="AL274" s="431"/>
      <c r="AM274" s="51"/>
      <c r="AN274" s="144"/>
      <c r="AO274" s="432"/>
      <c r="AP274" s="430">
        <v>0</v>
      </c>
      <c r="AQ274" s="431"/>
      <c r="AR274" s="51"/>
      <c r="AS274" s="144"/>
      <c r="AT274" s="432"/>
      <c r="AU274" s="430">
        <v>0</v>
      </c>
      <c r="AV274" s="431"/>
      <c r="AW274" s="51"/>
      <c r="AX274" s="144"/>
      <c r="AY274" s="432"/>
      <c r="AZ274" s="430">
        <v>0</v>
      </c>
      <c r="BA274" s="431"/>
      <c r="BB274" s="51"/>
      <c r="BC274" s="144"/>
      <c r="BD274" s="432"/>
      <c r="BE274" s="430">
        <v>0</v>
      </c>
      <c r="BF274" s="431"/>
      <c r="BG274" s="51"/>
      <c r="BH274" s="144"/>
      <c r="BI274" s="432"/>
      <c r="BJ274" s="430">
        <v>0</v>
      </c>
      <c r="BK274" s="431"/>
      <c r="BL274" s="51"/>
      <c r="BM274" s="144"/>
      <c r="BN274" s="432"/>
      <c r="BO274" s="430">
        <v>0</v>
      </c>
      <c r="BP274" s="431"/>
      <c r="BQ274" s="51"/>
      <c r="BR274" s="144"/>
      <c r="BS274" s="432"/>
      <c r="BT274" s="430">
        <f>SUM(L274:BO274)</f>
        <v>709898</v>
      </c>
      <c r="BU274" s="431"/>
      <c r="BV274" s="51"/>
      <c r="BW274" s="144"/>
      <c r="BX274" s="432"/>
      <c r="BY274" s="430">
        <v>1231393</v>
      </c>
      <c r="BZ274" s="431"/>
      <c r="CA274" s="51"/>
      <c r="CB274" s="144"/>
      <c r="CC274" s="432"/>
      <c r="CD274" s="430">
        <v>0</v>
      </c>
      <c r="CE274" s="431"/>
      <c r="CF274" s="51"/>
      <c r="CG274" s="144"/>
      <c r="CH274" s="432"/>
      <c r="CI274" s="430">
        <v>0</v>
      </c>
      <c r="CJ274" s="431"/>
      <c r="CK274" s="51"/>
      <c r="CL274" s="144"/>
      <c r="CM274" s="432"/>
      <c r="CN274" s="430">
        <v>0</v>
      </c>
      <c r="CO274" s="431"/>
      <c r="CP274" s="51"/>
      <c r="CQ274" s="144"/>
      <c r="CR274" s="432"/>
      <c r="CS274" s="430">
        <f>1002120-95155</f>
        <v>906965</v>
      </c>
      <c r="CT274" s="431"/>
      <c r="CU274" s="51"/>
      <c r="CV274" s="144"/>
      <c r="CW274" s="432"/>
      <c r="CX274" s="430">
        <f>358853-34425</f>
        <v>324428</v>
      </c>
      <c r="CY274" s="431"/>
      <c r="CZ274" s="51"/>
      <c r="DA274" s="144"/>
      <c r="DB274" s="432"/>
      <c r="DC274" s="430">
        <v>0</v>
      </c>
      <c r="DD274" s="431"/>
      <c r="DE274" s="51"/>
      <c r="DF274" s="144"/>
      <c r="DG274" s="432"/>
      <c r="DH274" s="430">
        <v>0</v>
      </c>
      <c r="DI274" s="431"/>
      <c r="DJ274" s="51"/>
      <c r="DK274" s="144"/>
      <c r="DL274" s="432"/>
      <c r="DM274" s="430">
        <v>0</v>
      </c>
      <c r="DN274" s="431"/>
      <c r="DO274" s="51"/>
      <c r="DP274" s="144"/>
      <c r="DQ274" s="432"/>
      <c r="DR274" s="430">
        <v>0</v>
      </c>
      <c r="DS274" s="431"/>
      <c r="DT274" s="51"/>
      <c r="DU274" s="144"/>
      <c r="DV274" s="432"/>
      <c r="DW274" s="430">
        <v>0</v>
      </c>
      <c r="DX274" s="431"/>
      <c r="DY274" s="51"/>
      <c r="DZ274" s="144"/>
      <c r="EA274" s="432"/>
      <c r="EB274" s="430">
        <v>0</v>
      </c>
      <c r="EC274" s="431"/>
      <c r="ED274" s="51"/>
      <c r="EE274" s="144"/>
      <c r="EF274" s="432"/>
      <c r="EG274" s="430">
        <v>0</v>
      </c>
      <c r="EH274" s="431"/>
      <c r="EI274" s="51"/>
      <c r="EJ274" s="144"/>
      <c r="EK274" s="432"/>
      <c r="EL274" s="430">
        <f t="shared" ref="EL274:EL276" si="22">SUM(CD274:DH274)</f>
        <v>1231393</v>
      </c>
      <c r="EM274" s="431"/>
      <c r="EN274" s="51"/>
      <c r="EO274" s="340"/>
      <c r="ER274" s="39"/>
      <c r="ES274" s="39"/>
    </row>
    <row r="275" spans="1:149" ht="12.75" customHeight="1" x14ac:dyDescent="0.2">
      <c r="A275" s="317"/>
      <c r="B275" s="317"/>
      <c r="D275" s="340" t="s">
        <v>186</v>
      </c>
      <c r="F275" s="347"/>
      <c r="G275" s="51">
        <v>87952</v>
      </c>
      <c r="H275" s="50"/>
      <c r="I275" s="51"/>
      <c r="J275" s="144"/>
      <c r="K275" s="144"/>
      <c r="L275" s="51">
        <v>37035</v>
      </c>
      <c r="M275" s="50"/>
      <c r="N275" s="51"/>
      <c r="O275" s="144"/>
      <c r="P275" s="144"/>
      <c r="Q275" s="51">
        <v>36486</v>
      </c>
      <c r="R275" s="50"/>
      <c r="S275" s="51"/>
      <c r="T275" s="144"/>
      <c r="U275" s="144"/>
      <c r="V275" s="51">
        <v>14431</v>
      </c>
      <c r="W275" s="50"/>
      <c r="X275" s="51"/>
      <c r="Y275" s="144"/>
      <c r="Z275" s="144"/>
      <c r="AA275" s="51">
        <v>0</v>
      </c>
      <c r="AB275" s="50"/>
      <c r="AC275" s="51"/>
      <c r="AD275" s="144"/>
      <c r="AE275" s="144"/>
      <c r="AF275" s="51">
        <v>0</v>
      </c>
      <c r="AG275" s="50"/>
      <c r="AH275" s="51"/>
      <c r="AI275" s="144"/>
      <c r="AJ275" s="144"/>
      <c r="AK275" s="51">
        <v>0</v>
      </c>
      <c r="AL275" s="50"/>
      <c r="AM275" s="51"/>
      <c r="AN275" s="144"/>
      <c r="AO275" s="144"/>
      <c r="AP275" s="51">
        <v>0</v>
      </c>
      <c r="AQ275" s="50"/>
      <c r="AR275" s="51"/>
      <c r="AS275" s="144"/>
      <c r="AT275" s="144"/>
      <c r="AU275" s="51">
        <v>0</v>
      </c>
      <c r="AV275" s="50"/>
      <c r="AW275" s="51"/>
      <c r="AX275" s="144"/>
      <c r="AY275" s="144"/>
      <c r="AZ275" s="51">
        <v>0</v>
      </c>
      <c r="BA275" s="50"/>
      <c r="BB275" s="51"/>
      <c r="BC275" s="144"/>
      <c r="BD275" s="144"/>
      <c r="BE275" s="51">
        <v>0</v>
      </c>
      <c r="BF275" s="50"/>
      <c r="BG275" s="51"/>
      <c r="BH275" s="144"/>
      <c r="BI275" s="144"/>
      <c r="BJ275" s="51">
        <v>0</v>
      </c>
      <c r="BK275" s="50"/>
      <c r="BL275" s="51"/>
      <c r="BM275" s="144"/>
      <c r="BN275" s="144"/>
      <c r="BO275" s="51">
        <v>0</v>
      </c>
      <c r="BP275" s="50"/>
      <c r="BQ275" s="51"/>
      <c r="BR275" s="144"/>
      <c r="BS275" s="144"/>
      <c r="BT275" s="51">
        <f>SUM(L275:BO275)</f>
        <v>87952</v>
      </c>
      <c r="BU275" s="50"/>
      <c r="BV275" s="51"/>
      <c r="BW275" s="144"/>
      <c r="BX275" s="144"/>
      <c r="BY275" s="51">
        <v>129580</v>
      </c>
      <c r="BZ275" s="50"/>
      <c r="CA275" s="51"/>
      <c r="CB275" s="144"/>
      <c r="CC275" s="144"/>
      <c r="CD275" s="51">
        <v>0</v>
      </c>
      <c r="CE275" s="50"/>
      <c r="CF275" s="51"/>
      <c r="CG275" s="144"/>
      <c r="CH275" s="144"/>
      <c r="CI275" s="51">
        <v>0</v>
      </c>
      <c r="CJ275" s="50"/>
      <c r="CK275" s="51"/>
      <c r="CL275" s="144"/>
      <c r="CM275" s="144"/>
      <c r="CN275" s="51">
        <v>0</v>
      </c>
      <c r="CO275" s="50"/>
      <c r="CP275" s="51"/>
      <c r="CQ275" s="144"/>
      <c r="CR275" s="144"/>
      <c r="CS275" s="51">
        <v>95155</v>
      </c>
      <c r="CT275" s="50"/>
      <c r="CU275" s="51"/>
      <c r="CV275" s="144"/>
      <c r="CW275" s="144"/>
      <c r="CX275" s="51">
        <v>34425</v>
      </c>
      <c r="CY275" s="50"/>
      <c r="CZ275" s="51"/>
      <c r="DA275" s="144"/>
      <c r="DB275" s="144"/>
      <c r="DC275" s="51">
        <v>0</v>
      </c>
      <c r="DD275" s="50"/>
      <c r="DE275" s="51"/>
      <c r="DF275" s="144"/>
      <c r="DG275" s="144"/>
      <c r="DH275" s="51">
        <v>0</v>
      </c>
      <c r="DI275" s="50"/>
      <c r="DJ275" s="51"/>
      <c r="DK275" s="144"/>
      <c r="DL275" s="144"/>
      <c r="DM275" s="51">
        <v>0</v>
      </c>
      <c r="DN275" s="50"/>
      <c r="DO275" s="51"/>
      <c r="DP275" s="144"/>
      <c r="DQ275" s="144"/>
      <c r="DR275" s="51">
        <v>0</v>
      </c>
      <c r="DS275" s="50"/>
      <c r="DT275" s="51"/>
      <c r="DU275" s="144"/>
      <c r="DV275" s="144"/>
      <c r="DW275" s="51">
        <v>0</v>
      </c>
      <c r="DX275" s="50"/>
      <c r="DY275" s="51"/>
      <c r="DZ275" s="144"/>
      <c r="EA275" s="144"/>
      <c r="EB275" s="51">
        <v>0</v>
      </c>
      <c r="EC275" s="50"/>
      <c r="ED275" s="51"/>
      <c r="EE275" s="144"/>
      <c r="EF275" s="144"/>
      <c r="EG275" s="51">
        <v>0</v>
      </c>
      <c r="EH275" s="50"/>
      <c r="EI275" s="51"/>
      <c r="EJ275" s="144"/>
      <c r="EK275" s="144"/>
      <c r="EL275" s="51">
        <f t="shared" si="22"/>
        <v>129580</v>
      </c>
      <c r="EM275" s="50"/>
      <c r="EN275" s="51"/>
      <c r="EO275" s="340"/>
      <c r="ER275" s="39"/>
      <c r="ES275" s="39"/>
    </row>
    <row r="276" spans="1:149" ht="12.75" customHeight="1" x14ac:dyDescent="0.2">
      <c r="A276" s="317"/>
      <c r="B276" s="317"/>
      <c r="D276" s="340" t="s">
        <v>200</v>
      </c>
      <c r="F276" s="371"/>
      <c r="G276" s="95">
        <v>0</v>
      </c>
      <c r="H276" s="94"/>
      <c r="I276" s="51"/>
      <c r="J276" s="144"/>
      <c r="K276" s="187"/>
      <c r="L276" s="95">
        <v>0</v>
      </c>
      <c r="M276" s="94"/>
      <c r="N276" s="51"/>
      <c r="O276" s="144"/>
      <c r="P276" s="187"/>
      <c r="Q276" s="95">
        <v>0</v>
      </c>
      <c r="R276" s="94"/>
      <c r="S276" s="51"/>
      <c r="T276" s="144"/>
      <c r="U276" s="187"/>
      <c r="V276" s="95">
        <v>0</v>
      </c>
      <c r="W276" s="94"/>
      <c r="X276" s="51"/>
      <c r="Y276" s="144"/>
      <c r="Z276" s="187"/>
      <c r="AA276" s="95">
        <v>0</v>
      </c>
      <c r="AB276" s="94"/>
      <c r="AC276" s="51"/>
      <c r="AD276" s="144"/>
      <c r="AE276" s="187"/>
      <c r="AF276" s="95">
        <v>0</v>
      </c>
      <c r="AG276" s="94"/>
      <c r="AH276" s="51"/>
      <c r="AI276" s="144"/>
      <c r="AJ276" s="187"/>
      <c r="AK276" s="95">
        <v>0</v>
      </c>
      <c r="AL276" s="94"/>
      <c r="AM276" s="51"/>
      <c r="AN276" s="144"/>
      <c r="AO276" s="187"/>
      <c r="AP276" s="95">
        <v>0</v>
      </c>
      <c r="AQ276" s="94"/>
      <c r="AR276" s="51"/>
      <c r="AS276" s="144"/>
      <c r="AT276" s="187"/>
      <c r="AU276" s="95">
        <v>0</v>
      </c>
      <c r="AV276" s="94"/>
      <c r="AW276" s="51"/>
      <c r="AX276" s="144"/>
      <c r="AY276" s="187"/>
      <c r="AZ276" s="95">
        <v>0</v>
      </c>
      <c r="BA276" s="94"/>
      <c r="BB276" s="51"/>
      <c r="BC276" s="144"/>
      <c r="BD276" s="187"/>
      <c r="BE276" s="95">
        <v>0</v>
      </c>
      <c r="BF276" s="94"/>
      <c r="BG276" s="51"/>
      <c r="BH276" s="144"/>
      <c r="BI276" s="187"/>
      <c r="BJ276" s="95">
        <v>0</v>
      </c>
      <c r="BK276" s="94"/>
      <c r="BL276" s="51"/>
      <c r="BM276" s="144"/>
      <c r="BN276" s="187"/>
      <c r="BO276" s="95">
        <v>0</v>
      </c>
      <c r="BP276" s="94"/>
      <c r="BQ276" s="51"/>
      <c r="BR276" s="144"/>
      <c r="BS276" s="187"/>
      <c r="BT276" s="95">
        <f>SUM(L276:BO276)</f>
        <v>0</v>
      </c>
      <c r="BU276" s="94"/>
      <c r="BV276" s="51"/>
      <c r="BW276" s="144"/>
      <c r="BX276" s="187"/>
      <c r="BY276" s="95">
        <v>0</v>
      </c>
      <c r="BZ276" s="94"/>
      <c r="CA276" s="51"/>
      <c r="CB276" s="144"/>
      <c r="CC276" s="187"/>
      <c r="CD276" s="95">
        <v>0</v>
      </c>
      <c r="CE276" s="94"/>
      <c r="CF276" s="51"/>
      <c r="CG276" s="144"/>
      <c r="CH276" s="187"/>
      <c r="CI276" s="95">
        <v>0</v>
      </c>
      <c r="CJ276" s="94"/>
      <c r="CK276" s="51"/>
      <c r="CL276" s="144"/>
      <c r="CM276" s="187"/>
      <c r="CN276" s="95">
        <v>0</v>
      </c>
      <c r="CO276" s="94"/>
      <c r="CP276" s="51"/>
      <c r="CQ276" s="144"/>
      <c r="CR276" s="187"/>
      <c r="CS276" s="95">
        <v>0</v>
      </c>
      <c r="CT276" s="94"/>
      <c r="CU276" s="51"/>
      <c r="CV276" s="144"/>
      <c r="CW276" s="187"/>
      <c r="CX276" s="95">
        <v>0</v>
      </c>
      <c r="CY276" s="94"/>
      <c r="CZ276" s="51"/>
      <c r="DA276" s="144"/>
      <c r="DB276" s="187"/>
      <c r="DC276" s="95">
        <v>0</v>
      </c>
      <c r="DD276" s="94"/>
      <c r="DE276" s="51"/>
      <c r="DF276" s="144"/>
      <c r="DG276" s="187"/>
      <c r="DH276" s="95">
        <v>0</v>
      </c>
      <c r="DI276" s="94"/>
      <c r="DJ276" s="51"/>
      <c r="DK276" s="144"/>
      <c r="DL276" s="187"/>
      <c r="DM276" s="95">
        <v>0</v>
      </c>
      <c r="DN276" s="94"/>
      <c r="DO276" s="51"/>
      <c r="DP276" s="144"/>
      <c r="DQ276" s="187"/>
      <c r="DR276" s="95">
        <v>0</v>
      </c>
      <c r="DS276" s="94"/>
      <c r="DT276" s="51"/>
      <c r="DU276" s="144"/>
      <c r="DV276" s="187"/>
      <c r="DW276" s="95">
        <v>0</v>
      </c>
      <c r="DX276" s="94"/>
      <c r="DY276" s="51"/>
      <c r="DZ276" s="144"/>
      <c r="EA276" s="187"/>
      <c r="EB276" s="95">
        <v>0</v>
      </c>
      <c r="EC276" s="94"/>
      <c r="ED276" s="51"/>
      <c r="EE276" s="144"/>
      <c r="EF276" s="187"/>
      <c r="EG276" s="95">
        <v>0</v>
      </c>
      <c r="EH276" s="94"/>
      <c r="EI276" s="51"/>
      <c r="EJ276" s="144"/>
      <c r="EK276" s="187"/>
      <c r="EL276" s="95">
        <f t="shared" si="22"/>
        <v>0</v>
      </c>
      <c r="EM276" s="94"/>
      <c r="EN276" s="51"/>
      <c r="EO276" s="340"/>
      <c r="ER276" s="39"/>
      <c r="ES276" s="39"/>
    </row>
    <row r="277" spans="1:149" ht="12.75" customHeight="1" x14ac:dyDescent="0.2">
      <c r="A277" s="317"/>
      <c r="B277" s="317"/>
      <c r="D277" s="340"/>
      <c r="F277" s="317"/>
      <c r="G277" s="51"/>
      <c r="H277" s="51"/>
      <c r="I277" s="51"/>
      <c r="J277" s="144"/>
      <c r="K277" s="51"/>
      <c r="L277" s="51"/>
      <c r="M277" s="51"/>
      <c r="N277" s="51"/>
      <c r="O277" s="144"/>
      <c r="P277" s="51"/>
      <c r="Q277" s="51"/>
      <c r="R277" s="51"/>
      <c r="S277" s="51"/>
      <c r="T277" s="144"/>
      <c r="U277" s="51"/>
      <c r="V277" s="51"/>
      <c r="W277" s="51"/>
      <c r="X277" s="51"/>
      <c r="Y277" s="144"/>
      <c r="Z277" s="51"/>
      <c r="AA277" s="51"/>
      <c r="AB277" s="51"/>
      <c r="AC277" s="51"/>
      <c r="AD277" s="144"/>
      <c r="AE277" s="51"/>
      <c r="AF277" s="51"/>
      <c r="AG277" s="51"/>
      <c r="AH277" s="51"/>
      <c r="AI277" s="144"/>
      <c r="AJ277" s="51"/>
      <c r="AK277" s="51"/>
      <c r="AL277" s="51"/>
      <c r="AM277" s="51"/>
      <c r="AN277" s="144"/>
      <c r="AO277" s="51"/>
      <c r="AP277" s="51"/>
      <c r="AQ277" s="51"/>
      <c r="AR277" s="51"/>
      <c r="AS277" s="144"/>
      <c r="AT277" s="51"/>
      <c r="AU277" s="51"/>
      <c r="AV277" s="51"/>
      <c r="AW277" s="51"/>
      <c r="AX277" s="144"/>
      <c r="AY277" s="51"/>
      <c r="AZ277" s="51"/>
      <c r="BA277" s="51"/>
      <c r="BB277" s="51"/>
      <c r="BC277" s="144"/>
      <c r="BD277" s="51"/>
      <c r="BE277" s="51"/>
      <c r="BF277" s="51"/>
      <c r="BG277" s="51"/>
      <c r="BH277" s="144"/>
      <c r="BI277" s="51"/>
      <c r="BJ277" s="51"/>
      <c r="BK277" s="51"/>
      <c r="BL277" s="51"/>
      <c r="BM277" s="144"/>
      <c r="BN277" s="51"/>
      <c r="BO277" s="51"/>
      <c r="BP277" s="51"/>
      <c r="BQ277" s="51"/>
      <c r="BR277" s="144"/>
      <c r="BS277" s="51"/>
      <c r="BT277" s="51"/>
      <c r="BU277" s="51"/>
      <c r="BV277" s="51"/>
      <c r="BW277" s="144"/>
      <c r="BX277" s="51"/>
      <c r="BY277" s="51"/>
      <c r="BZ277" s="51"/>
      <c r="CA277" s="51"/>
      <c r="CB277" s="144"/>
      <c r="CC277" s="51"/>
      <c r="CD277" s="51"/>
      <c r="CE277" s="51"/>
      <c r="CF277" s="51"/>
      <c r="CG277" s="144"/>
      <c r="CH277" s="51"/>
      <c r="CI277" s="51"/>
      <c r="CJ277" s="51"/>
      <c r="CK277" s="51"/>
      <c r="CL277" s="144"/>
      <c r="CM277" s="51"/>
      <c r="CN277" s="51"/>
      <c r="CO277" s="51"/>
      <c r="CP277" s="51"/>
      <c r="CQ277" s="144"/>
      <c r="CR277" s="51"/>
      <c r="CS277" s="51"/>
      <c r="CT277" s="51"/>
      <c r="CU277" s="51"/>
      <c r="CV277" s="144"/>
      <c r="CW277" s="51"/>
      <c r="CX277" s="51"/>
      <c r="CY277" s="51"/>
      <c r="CZ277" s="51"/>
      <c r="DA277" s="144"/>
      <c r="DB277" s="51"/>
      <c r="DC277" s="51"/>
      <c r="DD277" s="51"/>
      <c r="DE277" s="51"/>
      <c r="DF277" s="144"/>
      <c r="DG277" s="51"/>
      <c r="DH277" s="51"/>
      <c r="DI277" s="51"/>
      <c r="DJ277" s="51"/>
      <c r="DK277" s="144"/>
      <c r="DL277" s="51"/>
      <c r="DM277" s="51"/>
      <c r="DN277" s="51"/>
      <c r="DO277" s="51"/>
      <c r="DP277" s="144"/>
      <c r="DQ277" s="51"/>
      <c r="DR277" s="51"/>
      <c r="DS277" s="51"/>
      <c r="DT277" s="51"/>
      <c r="DU277" s="144"/>
      <c r="DV277" s="51"/>
      <c r="DW277" s="51"/>
      <c r="DX277" s="51"/>
      <c r="DY277" s="51"/>
      <c r="DZ277" s="144"/>
      <c r="EA277" s="51"/>
      <c r="EB277" s="51"/>
      <c r="EC277" s="51"/>
      <c r="ED277" s="51"/>
      <c r="EE277" s="144"/>
      <c r="EF277" s="51"/>
      <c r="EG277" s="51"/>
      <c r="EH277" s="51"/>
      <c r="EI277" s="51"/>
      <c r="EJ277" s="144"/>
      <c r="EK277" s="51"/>
      <c r="EL277" s="51"/>
      <c r="EM277" s="51"/>
      <c r="EN277" s="51"/>
      <c r="EO277" s="340"/>
      <c r="ER277" s="39"/>
      <c r="ES277" s="39"/>
    </row>
    <row r="278" spans="1:149" ht="12.75" hidden="1" customHeight="1" x14ac:dyDescent="0.2">
      <c r="A278" s="317"/>
      <c r="B278" s="317"/>
      <c r="D278" s="340" t="s">
        <v>205</v>
      </c>
      <c r="F278" s="317"/>
      <c r="G278" s="51">
        <f>SUM(G279:G281)</f>
        <v>0</v>
      </c>
      <c r="H278" s="51"/>
      <c r="I278" s="51"/>
      <c r="J278" s="144"/>
      <c r="K278" s="51"/>
      <c r="L278" s="51">
        <f>SUM(L279:L281)</f>
        <v>0</v>
      </c>
      <c r="M278" s="51"/>
      <c r="N278" s="51"/>
      <c r="O278" s="144"/>
      <c r="P278" s="51"/>
      <c r="Q278" s="51">
        <f>SUM(Q279:Q281)</f>
        <v>0</v>
      </c>
      <c r="R278" s="51"/>
      <c r="S278" s="51"/>
      <c r="T278" s="144"/>
      <c r="U278" s="51"/>
      <c r="V278" s="51">
        <f>SUM(V279:V281)</f>
        <v>0</v>
      </c>
      <c r="W278" s="51"/>
      <c r="X278" s="51"/>
      <c r="Y278" s="144"/>
      <c r="Z278" s="51"/>
      <c r="AA278" s="51">
        <f>SUM(AA279:AA281)</f>
        <v>0</v>
      </c>
      <c r="AB278" s="51"/>
      <c r="AC278" s="51"/>
      <c r="AD278" s="144"/>
      <c r="AE278" s="51"/>
      <c r="AF278" s="51">
        <f>SUM(AF279:AF281)</f>
        <v>0</v>
      </c>
      <c r="AG278" s="51"/>
      <c r="AH278" s="51"/>
      <c r="AI278" s="144"/>
      <c r="AJ278" s="51"/>
      <c r="AK278" s="51">
        <f>SUM(AK279:AK281)</f>
        <v>0</v>
      </c>
      <c r="AL278" s="51"/>
      <c r="AM278" s="51"/>
      <c r="AN278" s="144"/>
      <c r="AO278" s="51"/>
      <c r="AP278" s="51">
        <f>SUM(AP279:AP281)</f>
        <v>0</v>
      </c>
      <c r="AQ278" s="51"/>
      <c r="AR278" s="51"/>
      <c r="AS278" s="144"/>
      <c r="AT278" s="51"/>
      <c r="AU278" s="51">
        <f>SUM(AU279:AU281)</f>
        <v>0</v>
      </c>
      <c r="AV278" s="51"/>
      <c r="AW278" s="51"/>
      <c r="AX278" s="144"/>
      <c r="AY278" s="51"/>
      <c r="AZ278" s="51">
        <f>SUM(AZ279:AZ281)</f>
        <v>0</v>
      </c>
      <c r="BA278" s="51"/>
      <c r="BB278" s="51"/>
      <c r="BC278" s="144"/>
      <c r="BD278" s="51"/>
      <c r="BE278" s="51">
        <f>SUM(BE279:BE281)</f>
        <v>0</v>
      </c>
      <c r="BF278" s="51"/>
      <c r="BG278" s="51"/>
      <c r="BH278" s="144"/>
      <c r="BI278" s="51"/>
      <c r="BJ278" s="51">
        <f>SUM(BJ279:BJ281)</f>
        <v>0</v>
      </c>
      <c r="BK278" s="51"/>
      <c r="BL278" s="51"/>
      <c r="BM278" s="144"/>
      <c r="BN278" s="51"/>
      <c r="BO278" s="51">
        <f>SUM(BO279:BO281)</f>
        <v>0</v>
      </c>
      <c r="BP278" s="51"/>
      <c r="BQ278" s="51"/>
      <c r="BR278" s="144"/>
      <c r="BS278" s="51"/>
      <c r="BT278" s="51">
        <f>SUM(BT279:BT281)</f>
        <v>0</v>
      </c>
      <c r="BU278" s="51"/>
      <c r="BV278" s="51"/>
      <c r="BW278" s="144"/>
      <c r="BX278" s="51"/>
      <c r="BY278" s="51">
        <f>SUM(BY279:BY281)</f>
        <v>0</v>
      </c>
      <c r="BZ278" s="51"/>
      <c r="CA278" s="51"/>
      <c r="CB278" s="144"/>
      <c r="CC278" s="51"/>
      <c r="CD278" s="51">
        <f>SUM(CD279:CD281)</f>
        <v>0</v>
      </c>
      <c r="CE278" s="51"/>
      <c r="CF278" s="51"/>
      <c r="CG278" s="144"/>
      <c r="CH278" s="51"/>
      <c r="CI278" s="51">
        <f>SUM(CI279:CI281)</f>
        <v>0</v>
      </c>
      <c r="CJ278" s="51"/>
      <c r="CK278" s="51"/>
      <c r="CL278" s="144"/>
      <c r="CM278" s="51"/>
      <c r="CN278" s="51">
        <f>SUM(CN279:CN281)</f>
        <v>0</v>
      </c>
      <c r="CO278" s="51"/>
      <c r="CP278" s="51"/>
      <c r="CQ278" s="144"/>
      <c r="CR278" s="51"/>
      <c r="CS278" s="51">
        <f>SUM(CS279:CS281)</f>
        <v>0</v>
      </c>
      <c r="CT278" s="51"/>
      <c r="CU278" s="51"/>
      <c r="CV278" s="144"/>
      <c r="CW278" s="51"/>
      <c r="CX278" s="51">
        <f>SUM(CX279:CX281)</f>
        <v>0</v>
      </c>
      <c r="CY278" s="51"/>
      <c r="CZ278" s="51"/>
      <c r="DA278" s="144"/>
      <c r="DB278" s="51"/>
      <c r="DC278" s="51">
        <f>SUM(DC279:DC281)</f>
        <v>0</v>
      </c>
      <c r="DD278" s="51"/>
      <c r="DE278" s="51"/>
      <c r="DF278" s="144"/>
      <c r="DG278" s="51"/>
      <c r="DH278" s="51">
        <f>SUM(DH279:DH281)</f>
        <v>0</v>
      </c>
      <c r="DI278" s="51"/>
      <c r="DJ278" s="51"/>
      <c r="DK278" s="144"/>
      <c r="DL278" s="51"/>
      <c r="DM278" s="51">
        <f>SUM(DM279:DM281)</f>
        <v>0</v>
      </c>
      <c r="DN278" s="51"/>
      <c r="DO278" s="51"/>
      <c r="DP278" s="144"/>
      <c r="DQ278" s="51"/>
      <c r="DR278" s="51">
        <f>SUM(DR279:DR281)</f>
        <v>0</v>
      </c>
      <c r="DS278" s="51"/>
      <c r="DT278" s="51"/>
      <c r="DU278" s="144"/>
      <c r="DV278" s="51"/>
      <c r="DW278" s="51">
        <f>SUM(DW279:DW281)</f>
        <v>0</v>
      </c>
      <c r="DX278" s="51"/>
      <c r="DY278" s="51"/>
      <c r="DZ278" s="144"/>
      <c r="EA278" s="51"/>
      <c r="EB278" s="51">
        <f>SUM(EB279:EB281)</f>
        <v>0</v>
      </c>
      <c r="EC278" s="51"/>
      <c r="ED278" s="51"/>
      <c r="EE278" s="144"/>
      <c r="EF278" s="51"/>
      <c r="EG278" s="51">
        <f>SUM(EG279:EG281)</f>
        <v>0</v>
      </c>
      <c r="EH278" s="51"/>
      <c r="EI278" s="51"/>
      <c r="EJ278" s="144"/>
      <c r="EK278" s="51"/>
      <c r="EL278" s="51">
        <f>SUM(EL279:EL281)</f>
        <v>0</v>
      </c>
      <c r="EM278" s="51"/>
      <c r="EN278" s="51"/>
      <c r="EO278" s="340"/>
      <c r="ER278" s="39"/>
      <c r="ES278" s="39"/>
    </row>
    <row r="279" spans="1:149" ht="12.75" hidden="1" customHeight="1" x14ac:dyDescent="0.2">
      <c r="A279" s="317"/>
      <c r="B279" s="317"/>
      <c r="D279" s="340" t="s">
        <v>183</v>
      </c>
      <c r="F279" s="354"/>
      <c r="G279" s="430">
        <v>0</v>
      </c>
      <c r="H279" s="431"/>
      <c r="I279" s="51"/>
      <c r="J279" s="144"/>
      <c r="K279" s="432"/>
      <c r="L279" s="430">
        <v>0</v>
      </c>
      <c r="M279" s="431"/>
      <c r="N279" s="51"/>
      <c r="O279" s="144"/>
      <c r="P279" s="432"/>
      <c r="Q279" s="430">
        <v>0</v>
      </c>
      <c r="R279" s="431"/>
      <c r="S279" s="51"/>
      <c r="T279" s="144"/>
      <c r="U279" s="432"/>
      <c r="V279" s="430">
        <v>0</v>
      </c>
      <c r="W279" s="431"/>
      <c r="X279" s="51"/>
      <c r="Y279" s="144"/>
      <c r="Z279" s="432"/>
      <c r="AA279" s="430">
        <v>0</v>
      </c>
      <c r="AB279" s="431"/>
      <c r="AC279" s="51"/>
      <c r="AD279" s="144"/>
      <c r="AE279" s="432"/>
      <c r="AF279" s="430">
        <v>0</v>
      </c>
      <c r="AG279" s="431"/>
      <c r="AH279" s="51"/>
      <c r="AI279" s="144"/>
      <c r="AJ279" s="432"/>
      <c r="AK279" s="430">
        <v>0</v>
      </c>
      <c r="AL279" s="431"/>
      <c r="AM279" s="51"/>
      <c r="AN279" s="144"/>
      <c r="AO279" s="432"/>
      <c r="AP279" s="430">
        <v>0</v>
      </c>
      <c r="AQ279" s="431"/>
      <c r="AR279" s="51"/>
      <c r="AS279" s="144"/>
      <c r="AT279" s="432"/>
      <c r="AU279" s="430">
        <v>0</v>
      </c>
      <c r="AV279" s="431"/>
      <c r="AW279" s="51"/>
      <c r="AX279" s="144"/>
      <c r="AY279" s="432"/>
      <c r="AZ279" s="430">
        <v>0</v>
      </c>
      <c r="BA279" s="431"/>
      <c r="BB279" s="51"/>
      <c r="BC279" s="144"/>
      <c r="BD279" s="432"/>
      <c r="BE279" s="430">
        <v>0</v>
      </c>
      <c r="BF279" s="431"/>
      <c r="BG279" s="51"/>
      <c r="BH279" s="144"/>
      <c r="BI279" s="432"/>
      <c r="BJ279" s="430">
        <v>0</v>
      </c>
      <c r="BK279" s="431"/>
      <c r="BL279" s="51"/>
      <c r="BM279" s="144"/>
      <c r="BN279" s="432"/>
      <c r="BO279" s="430">
        <v>0</v>
      </c>
      <c r="BP279" s="431"/>
      <c r="BQ279" s="51"/>
      <c r="BR279" s="144"/>
      <c r="BS279" s="432"/>
      <c r="BT279" s="430">
        <f>SUM(L279:BO279)</f>
        <v>0</v>
      </c>
      <c r="BU279" s="431"/>
      <c r="BV279" s="51"/>
      <c r="BW279" s="144"/>
      <c r="BX279" s="432"/>
      <c r="BY279" s="430">
        <v>0</v>
      </c>
      <c r="BZ279" s="431"/>
      <c r="CA279" s="51"/>
      <c r="CB279" s="144"/>
      <c r="CC279" s="432"/>
      <c r="CD279" s="430">
        <v>0</v>
      </c>
      <c r="CE279" s="431"/>
      <c r="CF279" s="51"/>
      <c r="CG279" s="144"/>
      <c r="CH279" s="432"/>
      <c r="CI279" s="430">
        <v>0</v>
      </c>
      <c r="CJ279" s="431"/>
      <c r="CK279" s="51"/>
      <c r="CL279" s="144"/>
      <c r="CM279" s="432"/>
      <c r="CN279" s="430">
        <v>0</v>
      </c>
      <c r="CO279" s="431"/>
      <c r="CP279" s="51"/>
      <c r="CQ279" s="144"/>
      <c r="CR279" s="432"/>
      <c r="CS279" s="430">
        <v>0</v>
      </c>
      <c r="CT279" s="431"/>
      <c r="CU279" s="51"/>
      <c r="CV279" s="144"/>
      <c r="CW279" s="432"/>
      <c r="CX279" s="430">
        <v>0</v>
      </c>
      <c r="CY279" s="431"/>
      <c r="CZ279" s="51"/>
      <c r="DA279" s="144"/>
      <c r="DB279" s="432"/>
      <c r="DC279" s="430">
        <v>0</v>
      </c>
      <c r="DD279" s="431"/>
      <c r="DE279" s="51"/>
      <c r="DF279" s="144"/>
      <c r="DG279" s="432"/>
      <c r="DH279" s="430">
        <v>0</v>
      </c>
      <c r="DI279" s="431"/>
      <c r="DJ279" s="51"/>
      <c r="DK279" s="144"/>
      <c r="DL279" s="432"/>
      <c r="DM279" s="430">
        <v>0</v>
      </c>
      <c r="DN279" s="431"/>
      <c r="DO279" s="51"/>
      <c r="DP279" s="144"/>
      <c r="DQ279" s="432"/>
      <c r="DR279" s="430">
        <v>0</v>
      </c>
      <c r="DS279" s="431"/>
      <c r="DT279" s="51"/>
      <c r="DU279" s="144"/>
      <c r="DV279" s="432"/>
      <c r="DW279" s="430">
        <v>0</v>
      </c>
      <c r="DX279" s="431"/>
      <c r="DY279" s="51"/>
      <c r="DZ279" s="144"/>
      <c r="EA279" s="432"/>
      <c r="EB279" s="430">
        <v>0</v>
      </c>
      <c r="EC279" s="431"/>
      <c r="ED279" s="51"/>
      <c r="EE279" s="144"/>
      <c r="EF279" s="432"/>
      <c r="EG279" s="430">
        <v>0</v>
      </c>
      <c r="EH279" s="431"/>
      <c r="EI279" s="51"/>
      <c r="EJ279" s="144"/>
      <c r="EK279" s="432"/>
      <c r="EL279" s="430">
        <f>SUM(CD279:CD279)</f>
        <v>0</v>
      </c>
      <c r="EM279" s="431"/>
      <c r="EN279" s="51"/>
      <c r="EO279" s="340"/>
      <c r="ER279" s="39"/>
      <c r="ES279" s="39"/>
    </row>
    <row r="280" spans="1:149" ht="12.75" hidden="1" customHeight="1" x14ac:dyDescent="0.2">
      <c r="A280" s="317"/>
      <c r="B280" s="317"/>
      <c r="D280" s="340" t="s">
        <v>186</v>
      </c>
      <c r="F280" s="347"/>
      <c r="G280" s="51">
        <v>0</v>
      </c>
      <c r="H280" s="50"/>
      <c r="I280" s="51"/>
      <c r="J280" s="144"/>
      <c r="K280" s="144"/>
      <c r="L280" s="51">
        <v>0</v>
      </c>
      <c r="M280" s="50"/>
      <c r="N280" s="51"/>
      <c r="O280" s="144"/>
      <c r="P280" s="144"/>
      <c r="Q280" s="51">
        <v>0</v>
      </c>
      <c r="R280" s="50"/>
      <c r="S280" s="51"/>
      <c r="T280" s="144"/>
      <c r="U280" s="144"/>
      <c r="V280" s="51">
        <v>0</v>
      </c>
      <c r="W280" s="50"/>
      <c r="X280" s="51"/>
      <c r="Y280" s="144"/>
      <c r="Z280" s="144"/>
      <c r="AA280" s="51">
        <v>0</v>
      </c>
      <c r="AB280" s="50"/>
      <c r="AC280" s="51"/>
      <c r="AD280" s="144"/>
      <c r="AE280" s="144"/>
      <c r="AF280" s="51">
        <v>0</v>
      </c>
      <c r="AG280" s="50"/>
      <c r="AH280" s="51"/>
      <c r="AI280" s="144"/>
      <c r="AJ280" s="144"/>
      <c r="AK280" s="51">
        <v>0</v>
      </c>
      <c r="AL280" s="50"/>
      <c r="AM280" s="51"/>
      <c r="AN280" s="144"/>
      <c r="AO280" s="144"/>
      <c r="AP280" s="51">
        <v>0</v>
      </c>
      <c r="AQ280" s="50"/>
      <c r="AR280" s="51"/>
      <c r="AS280" s="144"/>
      <c r="AT280" s="144"/>
      <c r="AU280" s="51">
        <v>0</v>
      </c>
      <c r="AV280" s="50"/>
      <c r="AW280" s="51"/>
      <c r="AX280" s="144"/>
      <c r="AY280" s="144"/>
      <c r="AZ280" s="51">
        <v>0</v>
      </c>
      <c r="BA280" s="50"/>
      <c r="BB280" s="51"/>
      <c r="BC280" s="144"/>
      <c r="BD280" s="144"/>
      <c r="BE280" s="51">
        <v>0</v>
      </c>
      <c r="BF280" s="50"/>
      <c r="BG280" s="51"/>
      <c r="BH280" s="144"/>
      <c r="BI280" s="144"/>
      <c r="BJ280" s="51">
        <v>0</v>
      </c>
      <c r="BK280" s="50"/>
      <c r="BL280" s="51"/>
      <c r="BM280" s="144"/>
      <c r="BN280" s="144"/>
      <c r="BO280" s="51">
        <v>0</v>
      </c>
      <c r="BP280" s="50"/>
      <c r="BQ280" s="51"/>
      <c r="BR280" s="144"/>
      <c r="BS280" s="144"/>
      <c r="BT280" s="51">
        <f>SUM(L280:BO280)</f>
        <v>0</v>
      </c>
      <c r="BU280" s="50"/>
      <c r="BV280" s="51"/>
      <c r="BW280" s="144"/>
      <c r="BX280" s="144"/>
      <c r="BY280" s="51">
        <v>0</v>
      </c>
      <c r="BZ280" s="50"/>
      <c r="CA280" s="51"/>
      <c r="CB280" s="144"/>
      <c r="CC280" s="144"/>
      <c r="CD280" s="51">
        <v>0</v>
      </c>
      <c r="CE280" s="50"/>
      <c r="CF280" s="51"/>
      <c r="CG280" s="144"/>
      <c r="CH280" s="144"/>
      <c r="CI280" s="51">
        <v>0</v>
      </c>
      <c r="CJ280" s="50"/>
      <c r="CK280" s="51"/>
      <c r="CL280" s="144"/>
      <c r="CM280" s="144"/>
      <c r="CN280" s="51">
        <v>0</v>
      </c>
      <c r="CO280" s="50"/>
      <c r="CP280" s="51"/>
      <c r="CQ280" s="144"/>
      <c r="CR280" s="144"/>
      <c r="CS280" s="51">
        <v>0</v>
      </c>
      <c r="CT280" s="50"/>
      <c r="CU280" s="51"/>
      <c r="CV280" s="144"/>
      <c r="CW280" s="144"/>
      <c r="CX280" s="51">
        <v>0</v>
      </c>
      <c r="CY280" s="50"/>
      <c r="CZ280" s="51"/>
      <c r="DA280" s="144"/>
      <c r="DB280" s="144"/>
      <c r="DC280" s="51">
        <v>0</v>
      </c>
      <c r="DD280" s="50"/>
      <c r="DE280" s="51"/>
      <c r="DF280" s="144"/>
      <c r="DG280" s="144"/>
      <c r="DH280" s="51">
        <v>0</v>
      </c>
      <c r="DI280" s="50"/>
      <c r="DJ280" s="51"/>
      <c r="DK280" s="144"/>
      <c r="DL280" s="144"/>
      <c r="DM280" s="51">
        <v>0</v>
      </c>
      <c r="DN280" s="50"/>
      <c r="DO280" s="51"/>
      <c r="DP280" s="144"/>
      <c r="DQ280" s="144"/>
      <c r="DR280" s="51">
        <v>0</v>
      </c>
      <c r="DS280" s="50"/>
      <c r="DT280" s="51"/>
      <c r="DU280" s="144"/>
      <c r="DV280" s="144"/>
      <c r="DW280" s="51">
        <v>0</v>
      </c>
      <c r="DX280" s="50"/>
      <c r="DY280" s="51"/>
      <c r="DZ280" s="144"/>
      <c r="EA280" s="144"/>
      <c r="EB280" s="51">
        <v>0</v>
      </c>
      <c r="EC280" s="50"/>
      <c r="ED280" s="51"/>
      <c r="EE280" s="144"/>
      <c r="EF280" s="144"/>
      <c r="EG280" s="51">
        <v>0</v>
      </c>
      <c r="EH280" s="50"/>
      <c r="EI280" s="51"/>
      <c r="EJ280" s="144"/>
      <c r="EK280" s="144"/>
      <c r="EL280" s="51">
        <f>SUM(CD280:CD280)</f>
        <v>0</v>
      </c>
      <c r="EM280" s="50"/>
      <c r="EN280" s="51"/>
      <c r="EO280" s="340"/>
      <c r="ER280" s="39"/>
      <c r="ES280" s="39"/>
    </row>
    <row r="281" spans="1:149" ht="12.75" hidden="1" customHeight="1" x14ac:dyDescent="0.2">
      <c r="A281" s="317"/>
      <c r="B281" s="317"/>
      <c r="D281" s="340" t="s">
        <v>200</v>
      </c>
      <c r="F281" s="371"/>
      <c r="G281" s="95">
        <v>0</v>
      </c>
      <c r="H281" s="94"/>
      <c r="I281" s="51"/>
      <c r="J281" s="144"/>
      <c r="K281" s="187"/>
      <c r="L281" s="95">
        <v>0</v>
      </c>
      <c r="M281" s="94"/>
      <c r="N281" s="51"/>
      <c r="O281" s="144"/>
      <c r="P281" s="187"/>
      <c r="Q281" s="95">
        <v>0</v>
      </c>
      <c r="R281" s="94"/>
      <c r="S281" s="51"/>
      <c r="T281" s="144"/>
      <c r="U281" s="187"/>
      <c r="V281" s="95">
        <v>0</v>
      </c>
      <c r="W281" s="94"/>
      <c r="X281" s="51"/>
      <c r="Y281" s="144"/>
      <c r="Z281" s="187"/>
      <c r="AA281" s="95">
        <v>0</v>
      </c>
      <c r="AB281" s="94"/>
      <c r="AC281" s="51"/>
      <c r="AD281" s="144"/>
      <c r="AE281" s="187"/>
      <c r="AF281" s="95">
        <v>0</v>
      </c>
      <c r="AG281" s="94"/>
      <c r="AH281" s="51"/>
      <c r="AI281" s="144"/>
      <c r="AJ281" s="187"/>
      <c r="AK281" s="95">
        <v>0</v>
      </c>
      <c r="AL281" s="94"/>
      <c r="AM281" s="51"/>
      <c r="AN281" s="144"/>
      <c r="AO281" s="187"/>
      <c r="AP281" s="95">
        <v>0</v>
      </c>
      <c r="AQ281" s="94"/>
      <c r="AR281" s="51"/>
      <c r="AS281" s="144"/>
      <c r="AT281" s="187"/>
      <c r="AU281" s="95">
        <v>0</v>
      </c>
      <c r="AV281" s="94"/>
      <c r="AW281" s="51"/>
      <c r="AX281" s="144"/>
      <c r="AY281" s="187"/>
      <c r="AZ281" s="95">
        <v>0</v>
      </c>
      <c r="BA281" s="94"/>
      <c r="BB281" s="51"/>
      <c r="BC281" s="144"/>
      <c r="BD281" s="187"/>
      <c r="BE281" s="95">
        <v>0</v>
      </c>
      <c r="BF281" s="94"/>
      <c r="BG281" s="51"/>
      <c r="BH281" s="144"/>
      <c r="BI281" s="187"/>
      <c r="BJ281" s="95">
        <v>0</v>
      </c>
      <c r="BK281" s="94"/>
      <c r="BL281" s="51"/>
      <c r="BM281" s="144"/>
      <c r="BN281" s="187"/>
      <c r="BO281" s="95">
        <v>0</v>
      </c>
      <c r="BP281" s="94"/>
      <c r="BQ281" s="51"/>
      <c r="BR281" s="144"/>
      <c r="BS281" s="187"/>
      <c r="BT281" s="95">
        <f>SUM(L281:BO281)</f>
        <v>0</v>
      </c>
      <c r="BU281" s="94"/>
      <c r="BV281" s="51"/>
      <c r="BW281" s="144"/>
      <c r="BX281" s="187"/>
      <c r="BY281" s="95">
        <v>0</v>
      </c>
      <c r="BZ281" s="94"/>
      <c r="CA281" s="51"/>
      <c r="CB281" s="144"/>
      <c r="CC281" s="187"/>
      <c r="CD281" s="95">
        <v>0</v>
      </c>
      <c r="CE281" s="94"/>
      <c r="CF281" s="51"/>
      <c r="CG281" s="144"/>
      <c r="CH281" s="187"/>
      <c r="CI281" s="95">
        <v>0</v>
      </c>
      <c r="CJ281" s="94"/>
      <c r="CK281" s="51"/>
      <c r="CL281" s="144"/>
      <c r="CM281" s="187"/>
      <c r="CN281" s="95">
        <v>0</v>
      </c>
      <c r="CO281" s="94"/>
      <c r="CP281" s="51"/>
      <c r="CQ281" s="144"/>
      <c r="CR281" s="187"/>
      <c r="CS281" s="95">
        <v>0</v>
      </c>
      <c r="CT281" s="94"/>
      <c r="CU281" s="51"/>
      <c r="CV281" s="144"/>
      <c r="CW281" s="187"/>
      <c r="CX281" s="95">
        <v>0</v>
      </c>
      <c r="CY281" s="94"/>
      <c r="CZ281" s="51"/>
      <c r="DA281" s="144"/>
      <c r="DB281" s="187"/>
      <c r="DC281" s="95">
        <v>0</v>
      </c>
      <c r="DD281" s="94"/>
      <c r="DE281" s="51"/>
      <c r="DF281" s="144"/>
      <c r="DG281" s="187"/>
      <c r="DH281" s="95">
        <v>0</v>
      </c>
      <c r="DI281" s="94"/>
      <c r="DJ281" s="51"/>
      <c r="DK281" s="144"/>
      <c r="DL281" s="187"/>
      <c r="DM281" s="95">
        <v>0</v>
      </c>
      <c r="DN281" s="94"/>
      <c r="DO281" s="51"/>
      <c r="DP281" s="144"/>
      <c r="DQ281" s="187"/>
      <c r="DR281" s="95">
        <v>0</v>
      </c>
      <c r="DS281" s="94"/>
      <c r="DT281" s="51"/>
      <c r="DU281" s="144"/>
      <c r="DV281" s="187"/>
      <c r="DW281" s="95">
        <v>0</v>
      </c>
      <c r="DX281" s="94"/>
      <c r="DY281" s="51"/>
      <c r="DZ281" s="144"/>
      <c r="EA281" s="187"/>
      <c r="EB281" s="95">
        <v>0</v>
      </c>
      <c r="EC281" s="94"/>
      <c r="ED281" s="51"/>
      <c r="EE281" s="144"/>
      <c r="EF281" s="187"/>
      <c r="EG281" s="95">
        <v>0</v>
      </c>
      <c r="EH281" s="94"/>
      <c r="EI281" s="51"/>
      <c r="EJ281" s="144"/>
      <c r="EK281" s="187"/>
      <c r="EL281" s="95">
        <f>SUM(CD281:CD281)</f>
        <v>0</v>
      </c>
      <c r="EM281" s="94"/>
      <c r="EN281" s="51"/>
      <c r="EO281" s="340"/>
      <c r="ER281" s="39"/>
      <c r="ES281" s="39"/>
    </row>
    <row r="282" spans="1:149" ht="12.75" hidden="1" customHeight="1" x14ac:dyDescent="0.2">
      <c r="A282" s="317"/>
      <c r="B282" s="317"/>
      <c r="D282" s="340"/>
      <c r="F282" s="317"/>
      <c r="G282" s="51"/>
      <c r="H282" s="51"/>
      <c r="I282" s="51"/>
      <c r="J282" s="144"/>
      <c r="K282" s="51"/>
      <c r="L282" s="51"/>
      <c r="M282" s="51"/>
      <c r="N282" s="51"/>
      <c r="O282" s="144"/>
      <c r="P282" s="51"/>
      <c r="Q282" s="51"/>
      <c r="R282" s="51"/>
      <c r="S282" s="51"/>
      <c r="T282" s="144"/>
      <c r="U282" s="51"/>
      <c r="V282" s="51"/>
      <c r="W282" s="51"/>
      <c r="X282" s="51"/>
      <c r="Y282" s="144"/>
      <c r="Z282" s="51"/>
      <c r="AA282" s="51"/>
      <c r="AB282" s="51"/>
      <c r="AC282" s="51"/>
      <c r="AD282" s="144"/>
      <c r="AE282" s="51"/>
      <c r="AF282" s="51"/>
      <c r="AG282" s="51"/>
      <c r="AH282" s="51"/>
      <c r="AI282" s="144"/>
      <c r="AJ282" s="51"/>
      <c r="AK282" s="51"/>
      <c r="AL282" s="51"/>
      <c r="AM282" s="51"/>
      <c r="AN282" s="144"/>
      <c r="AO282" s="51"/>
      <c r="AP282" s="51"/>
      <c r="AQ282" s="51"/>
      <c r="AR282" s="51"/>
      <c r="AS282" s="144"/>
      <c r="AT282" s="51"/>
      <c r="AU282" s="51"/>
      <c r="AV282" s="51"/>
      <c r="AW282" s="51"/>
      <c r="AX282" s="144"/>
      <c r="AY282" s="51"/>
      <c r="AZ282" s="51"/>
      <c r="BA282" s="51"/>
      <c r="BB282" s="51"/>
      <c r="BC282" s="144"/>
      <c r="BD282" s="51"/>
      <c r="BE282" s="51"/>
      <c r="BF282" s="51"/>
      <c r="BG282" s="51"/>
      <c r="BH282" s="144"/>
      <c r="BI282" s="51"/>
      <c r="BJ282" s="51"/>
      <c r="BK282" s="51"/>
      <c r="BL282" s="51"/>
      <c r="BM282" s="144"/>
      <c r="BN282" s="51"/>
      <c r="BO282" s="51"/>
      <c r="BP282" s="51"/>
      <c r="BQ282" s="51"/>
      <c r="BR282" s="144"/>
      <c r="BS282" s="51"/>
      <c r="BT282" s="51"/>
      <c r="BU282" s="51"/>
      <c r="BV282" s="51"/>
      <c r="BW282" s="144"/>
      <c r="BX282" s="51"/>
      <c r="BY282" s="51"/>
      <c r="BZ282" s="51"/>
      <c r="CA282" s="51"/>
      <c r="CB282" s="144"/>
      <c r="CC282" s="51"/>
      <c r="CD282" s="51"/>
      <c r="CE282" s="51"/>
      <c r="CF282" s="51"/>
      <c r="CG282" s="144"/>
      <c r="CH282" s="51"/>
      <c r="CI282" s="51"/>
      <c r="CJ282" s="51"/>
      <c r="CK282" s="51"/>
      <c r="CL282" s="144"/>
      <c r="CM282" s="51"/>
      <c r="CN282" s="51"/>
      <c r="CO282" s="51"/>
      <c r="CP282" s="51"/>
      <c r="CQ282" s="144"/>
      <c r="CR282" s="51"/>
      <c r="CS282" s="51"/>
      <c r="CT282" s="51"/>
      <c r="CU282" s="51"/>
      <c r="CV282" s="144"/>
      <c r="CW282" s="51"/>
      <c r="CX282" s="51"/>
      <c r="CY282" s="51"/>
      <c r="CZ282" s="51"/>
      <c r="DA282" s="144"/>
      <c r="DB282" s="51"/>
      <c r="DC282" s="51"/>
      <c r="DD282" s="51"/>
      <c r="DE282" s="51"/>
      <c r="DF282" s="144"/>
      <c r="DG282" s="51"/>
      <c r="DH282" s="51"/>
      <c r="DI282" s="51"/>
      <c r="DJ282" s="51"/>
      <c r="DK282" s="144"/>
      <c r="DL282" s="51"/>
      <c r="DM282" s="51"/>
      <c r="DN282" s="51"/>
      <c r="DO282" s="51"/>
      <c r="DP282" s="144"/>
      <c r="DQ282" s="51"/>
      <c r="DR282" s="51"/>
      <c r="DS282" s="51"/>
      <c r="DT282" s="51"/>
      <c r="DU282" s="144"/>
      <c r="DV282" s="51"/>
      <c r="DW282" s="51"/>
      <c r="DX282" s="51"/>
      <c r="DY282" s="51"/>
      <c r="DZ282" s="144"/>
      <c r="EA282" s="51"/>
      <c r="EB282" s="51"/>
      <c r="EC282" s="51"/>
      <c r="ED282" s="51"/>
      <c r="EE282" s="144"/>
      <c r="EF282" s="51"/>
      <c r="EG282" s="51"/>
      <c r="EH282" s="51"/>
      <c r="EI282" s="51"/>
      <c r="EJ282" s="144"/>
      <c r="EK282" s="51"/>
      <c r="EL282" s="51"/>
      <c r="EM282" s="51"/>
      <c r="EN282" s="51"/>
      <c r="EO282" s="340"/>
      <c r="ER282" s="39"/>
      <c r="ES282" s="39"/>
    </row>
    <row r="283" spans="1:149" ht="12.75" customHeight="1" x14ac:dyDescent="0.2">
      <c r="A283" s="317"/>
      <c r="B283" s="317"/>
      <c r="D283" s="340" t="s">
        <v>206</v>
      </c>
      <c r="F283" s="317"/>
      <c r="G283" s="51">
        <f>SUM(G284:G286)</f>
        <v>0</v>
      </c>
      <c r="H283" s="51"/>
      <c r="I283" s="51"/>
      <c r="J283" s="144"/>
      <c r="K283" s="51"/>
      <c r="L283" s="51">
        <f>SUM(L284:L286)</f>
        <v>0</v>
      </c>
      <c r="M283" s="51"/>
      <c r="N283" s="51"/>
      <c r="O283" s="144"/>
      <c r="P283" s="51"/>
      <c r="Q283" s="51">
        <f>SUM(Q284:Q286)</f>
        <v>0</v>
      </c>
      <c r="R283" s="51"/>
      <c r="S283" s="51"/>
      <c r="T283" s="144"/>
      <c r="U283" s="51"/>
      <c r="V283" s="51">
        <f>SUM(V284:V286)</f>
        <v>0</v>
      </c>
      <c r="W283" s="51"/>
      <c r="X283" s="51"/>
      <c r="Y283" s="144"/>
      <c r="Z283" s="51"/>
      <c r="AA283" s="51">
        <f>SUM(AA284:AA286)</f>
        <v>0</v>
      </c>
      <c r="AB283" s="51"/>
      <c r="AC283" s="51"/>
      <c r="AD283" s="144"/>
      <c r="AE283" s="51"/>
      <c r="AF283" s="51">
        <f>SUM(AF284:AF286)</f>
        <v>0</v>
      </c>
      <c r="AG283" s="51"/>
      <c r="AH283" s="51"/>
      <c r="AI283" s="144"/>
      <c r="AJ283" s="51"/>
      <c r="AK283" s="51">
        <f>SUM(AK284:AK286)</f>
        <v>0</v>
      </c>
      <c r="AL283" s="51"/>
      <c r="AM283" s="51"/>
      <c r="AN283" s="144"/>
      <c r="AO283" s="51"/>
      <c r="AP283" s="51">
        <f>SUM(AP284:AP286)</f>
        <v>0</v>
      </c>
      <c r="AQ283" s="51"/>
      <c r="AR283" s="51"/>
      <c r="AS283" s="144"/>
      <c r="AT283" s="51"/>
      <c r="AU283" s="51">
        <f>SUM(AU284:AU286)</f>
        <v>0</v>
      </c>
      <c r="AV283" s="51"/>
      <c r="AW283" s="51"/>
      <c r="AX283" s="144"/>
      <c r="AY283" s="51"/>
      <c r="AZ283" s="51">
        <f>SUM(AZ284:AZ286)</f>
        <v>0</v>
      </c>
      <c r="BA283" s="51"/>
      <c r="BB283" s="51"/>
      <c r="BC283" s="144"/>
      <c r="BD283" s="51"/>
      <c r="BE283" s="51">
        <f>SUM(BE284:BE286)</f>
        <v>0</v>
      </c>
      <c r="BF283" s="51"/>
      <c r="BG283" s="51"/>
      <c r="BH283" s="144"/>
      <c r="BI283" s="51"/>
      <c r="BJ283" s="51">
        <f>SUM(BJ284:BJ286)</f>
        <v>0</v>
      </c>
      <c r="BK283" s="51"/>
      <c r="BL283" s="51"/>
      <c r="BM283" s="144"/>
      <c r="BN283" s="51"/>
      <c r="BO283" s="51">
        <f>SUM(BO284:BO286)</f>
        <v>0</v>
      </c>
      <c r="BP283" s="51"/>
      <c r="BQ283" s="51"/>
      <c r="BR283" s="144"/>
      <c r="BS283" s="51"/>
      <c r="BT283" s="51">
        <f>SUM(BT284:BT286)</f>
        <v>0</v>
      </c>
      <c r="BU283" s="51"/>
      <c r="BV283" s="51"/>
      <c r="BW283" s="144"/>
      <c r="BX283" s="51"/>
      <c r="BY283" s="51">
        <f>SUM(BY284:BY286)</f>
        <v>8793365</v>
      </c>
      <c r="BZ283" s="51"/>
      <c r="CA283" s="51"/>
      <c r="CB283" s="144"/>
      <c r="CC283" s="51"/>
      <c r="CD283" s="51">
        <f>SUM(CD284:CD286)</f>
        <v>1626641</v>
      </c>
      <c r="CE283" s="51"/>
      <c r="CF283" s="51"/>
      <c r="CG283" s="144"/>
      <c r="CH283" s="51"/>
      <c r="CI283" s="51">
        <f>SUM(CI284:CI286)</f>
        <v>501290</v>
      </c>
      <c r="CJ283" s="51"/>
      <c r="CK283" s="51"/>
      <c r="CL283" s="144"/>
      <c r="CM283" s="51"/>
      <c r="CN283" s="51">
        <f>SUM(CN284:CN286)</f>
        <v>0</v>
      </c>
      <c r="CO283" s="51"/>
      <c r="CP283" s="51"/>
      <c r="CQ283" s="144"/>
      <c r="CR283" s="51"/>
      <c r="CS283" s="51">
        <f>SUM(CS284:CS286)</f>
        <v>0</v>
      </c>
      <c r="CT283" s="51"/>
      <c r="CU283" s="51"/>
      <c r="CV283" s="144"/>
      <c r="CW283" s="51"/>
      <c r="CX283" s="51">
        <f>SUM(CX284:CX286)</f>
        <v>0</v>
      </c>
      <c r="CY283" s="51"/>
      <c r="CZ283" s="51"/>
      <c r="DA283" s="144"/>
      <c r="DB283" s="51"/>
      <c r="DC283" s="51">
        <f>SUM(DC284:DC286)</f>
        <v>238560</v>
      </c>
      <c r="DD283" s="51"/>
      <c r="DE283" s="51"/>
      <c r="DF283" s="144"/>
      <c r="DG283" s="51"/>
      <c r="DH283" s="51">
        <f>SUM(DH284:DH286)</f>
        <v>2550803</v>
      </c>
      <c r="DI283" s="51"/>
      <c r="DJ283" s="51"/>
      <c r="DK283" s="144"/>
      <c r="DL283" s="51"/>
      <c r="DM283" s="51">
        <f>SUM(DM284:DM286)</f>
        <v>1890152</v>
      </c>
      <c r="DN283" s="51"/>
      <c r="DO283" s="51"/>
      <c r="DP283" s="144"/>
      <c r="DQ283" s="51"/>
      <c r="DR283" s="51">
        <f>SUM(DR284:DR286)</f>
        <v>0</v>
      </c>
      <c r="DS283" s="51"/>
      <c r="DT283" s="51"/>
      <c r="DU283" s="144"/>
      <c r="DV283" s="51"/>
      <c r="DW283" s="51">
        <f>SUM(DW284:DW286)</f>
        <v>1095441</v>
      </c>
      <c r="DX283" s="51"/>
      <c r="DY283" s="51"/>
      <c r="DZ283" s="144"/>
      <c r="EA283" s="51"/>
      <c r="EB283" s="51">
        <f>SUM(EB284:EB286)</f>
        <v>800741</v>
      </c>
      <c r="EC283" s="51"/>
      <c r="ED283" s="51"/>
      <c r="EE283" s="144"/>
      <c r="EF283" s="51"/>
      <c r="EG283" s="51">
        <f>SUM(EG284:EG286)</f>
        <v>89737</v>
      </c>
      <c r="EH283" s="51"/>
      <c r="EI283" s="51"/>
      <c r="EJ283" s="144"/>
      <c r="EK283" s="51"/>
      <c r="EL283" s="51">
        <f>SUM(EL284:EL286)</f>
        <v>4917294</v>
      </c>
      <c r="EM283" s="51"/>
      <c r="EN283" s="51"/>
      <c r="EO283" s="340"/>
      <c r="ER283" s="39"/>
      <c r="ES283" s="39"/>
    </row>
    <row r="284" spans="1:149" ht="12.75" customHeight="1" x14ac:dyDescent="0.2">
      <c r="A284" s="317"/>
      <c r="B284" s="317"/>
      <c r="D284" s="340" t="s">
        <v>183</v>
      </c>
      <c r="F284" s="354"/>
      <c r="G284" s="430">
        <v>0</v>
      </c>
      <c r="H284" s="431"/>
      <c r="I284" s="51"/>
      <c r="J284" s="144"/>
      <c r="K284" s="432"/>
      <c r="L284" s="430">
        <v>0</v>
      </c>
      <c r="M284" s="431"/>
      <c r="N284" s="51"/>
      <c r="O284" s="144"/>
      <c r="P284" s="432"/>
      <c r="Q284" s="430">
        <v>0</v>
      </c>
      <c r="R284" s="431"/>
      <c r="S284" s="51"/>
      <c r="T284" s="144"/>
      <c r="U284" s="432"/>
      <c r="V284" s="430">
        <v>0</v>
      </c>
      <c r="W284" s="431"/>
      <c r="X284" s="51"/>
      <c r="Y284" s="144"/>
      <c r="Z284" s="432"/>
      <c r="AA284" s="430">
        <v>0</v>
      </c>
      <c r="AB284" s="431"/>
      <c r="AC284" s="51"/>
      <c r="AD284" s="144"/>
      <c r="AE284" s="432"/>
      <c r="AF284" s="430">
        <v>0</v>
      </c>
      <c r="AG284" s="431"/>
      <c r="AH284" s="51"/>
      <c r="AI284" s="144"/>
      <c r="AJ284" s="432"/>
      <c r="AK284" s="430">
        <v>0</v>
      </c>
      <c r="AL284" s="431"/>
      <c r="AM284" s="51"/>
      <c r="AN284" s="144"/>
      <c r="AO284" s="432"/>
      <c r="AP284" s="430">
        <v>0</v>
      </c>
      <c r="AQ284" s="431"/>
      <c r="AR284" s="51"/>
      <c r="AS284" s="144"/>
      <c r="AT284" s="432"/>
      <c r="AU284" s="430">
        <v>0</v>
      </c>
      <c r="AV284" s="431"/>
      <c r="AW284" s="51"/>
      <c r="AX284" s="144"/>
      <c r="AY284" s="432"/>
      <c r="AZ284" s="430">
        <v>0</v>
      </c>
      <c r="BA284" s="431"/>
      <c r="BB284" s="51"/>
      <c r="BC284" s="144"/>
      <c r="BD284" s="432"/>
      <c r="BE284" s="430">
        <v>0</v>
      </c>
      <c r="BF284" s="431"/>
      <c r="BG284" s="51"/>
      <c r="BH284" s="144"/>
      <c r="BI284" s="432"/>
      <c r="BJ284" s="430">
        <v>0</v>
      </c>
      <c r="BK284" s="431"/>
      <c r="BL284" s="51"/>
      <c r="BM284" s="144"/>
      <c r="BN284" s="432"/>
      <c r="BO284" s="430">
        <v>0</v>
      </c>
      <c r="BP284" s="431"/>
      <c r="BQ284" s="51"/>
      <c r="BR284" s="144"/>
      <c r="BS284" s="432"/>
      <c r="BT284" s="430">
        <f>SUM(L284:BO284)</f>
        <v>0</v>
      </c>
      <c r="BU284" s="431"/>
      <c r="BV284" s="51"/>
      <c r="BW284" s="144"/>
      <c r="BX284" s="432"/>
      <c r="BY284" s="430">
        <v>7326236</v>
      </c>
      <c r="BZ284" s="431"/>
      <c r="CA284" s="51"/>
      <c r="CB284" s="144"/>
      <c r="CC284" s="432"/>
      <c r="CD284" s="430">
        <f>1626641-319465</f>
        <v>1307176</v>
      </c>
      <c r="CE284" s="431"/>
      <c r="CF284" s="51"/>
      <c r="CG284" s="144"/>
      <c r="CH284" s="432"/>
      <c r="CI284" s="430">
        <f>501290-85723</f>
        <v>415567</v>
      </c>
      <c r="CJ284" s="431"/>
      <c r="CK284" s="51"/>
      <c r="CL284" s="144"/>
      <c r="CM284" s="432"/>
      <c r="CN284" s="430">
        <v>0</v>
      </c>
      <c r="CO284" s="431"/>
      <c r="CP284" s="51"/>
      <c r="CQ284" s="144"/>
      <c r="CR284" s="432"/>
      <c r="CS284" s="430">
        <v>0</v>
      </c>
      <c r="CT284" s="431"/>
      <c r="CU284" s="51"/>
      <c r="CV284" s="144"/>
      <c r="CW284" s="432"/>
      <c r="CX284" s="430">
        <v>0</v>
      </c>
      <c r="CY284" s="431"/>
      <c r="CZ284" s="51"/>
      <c r="DA284" s="144"/>
      <c r="DB284" s="432"/>
      <c r="DC284" s="430">
        <f>238560-32213</f>
        <v>206347</v>
      </c>
      <c r="DD284" s="431"/>
      <c r="DE284" s="51"/>
      <c r="DF284" s="144"/>
      <c r="DG284" s="432"/>
      <c r="DH284" s="430">
        <f>2550803-419072</f>
        <v>2131731</v>
      </c>
      <c r="DI284" s="431"/>
      <c r="DJ284" s="51"/>
      <c r="DK284" s="144"/>
      <c r="DL284" s="432"/>
      <c r="DM284" s="430">
        <f>1890152-317389</f>
        <v>1572763</v>
      </c>
      <c r="DN284" s="431"/>
      <c r="DO284" s="51"/>
      <c r="DP284" s="144"/>
      <c r="DQ284" s="432"/>
      <c r="DR284" s="430">
        <v>0</v>
      </c>
      <c r="DS284" s="431"/>
      <c r="DT284" s="51"/>
      <c r="DU284" s="144"/>
      <c r="DV284" s="432"/>
      <c r="DW284" s="430">
        <f>1095441-176185</f>
        <v>919256</v>
      </c>
      <c r="DX284" s="431"/>
      <c r="DY284" s="51"/>
      <c r="DZ284" s="144"/>
      <c r="EA284" s="432"/>
      <c r="EB284" s="430">
        <f>800741-103404</f>
        <v>697337</v>
      </c>
      <c r="EC284" s="431"/>
      <c r="ED284" s="51"/>
      <c r="EE284" s="144"/>
      <c r="EF284" s="432"/>
      <c r="EG284" s="430">
        <f>89737-13678</f>
        <v>76059</v>
      </c>
      <c r="EH284" s="431"/>
      <c r="EI284" s="51"/>
      <c r="EJ284" s="144"/>
      <c r="EK284" s="432"/>
      <c r="EL284" s="430">
        <f t="shared" ref="EL284:EL286" si="23">SUM(CD284:DH284)</f>
        <v>4060821</v>
      </c>
      <c r="EM284" s="431"/>
      <c r="EN284" s="51"/>
      <c r="EO284" s="340"/>
      <c r="ER284" s="39"/>
      <c r="ES284" s="39"/>
    </row>
    <row r="285" spans="1:149" ht="12.75" customHeight="1" x14ac:dyDescent="0.2">
      <c r="A285" s="317"/>
      <c r="B285" s="317"/>
      <c r="D285" s="340" t="s">
        <v>186</v>
      </c>
      <c r="F285" s="347"/>
      <c r="G285" s="51">
        <v>0</v>
      </c>
      <c r="H285" s="50"/>
      <c r="I285" s="51"/>
      <c r="J285" s="144"/>
      <c r="K285" s="144"/>
      <c r="L285" s="51">
        <v>0</v>
      </c>
      <c r="M285" s="50"/>
      <c r="N285" s="51"/>
      <c r="O285" s="144"/>
      <c r="P285" s="144"/>
      <c r="Q285" s="51">
        <v>0</v>
      </c>
      <c r="R285" s="50"/>
      <c r="S285" s="51"/>
      <c r="T285" s="144"/>
      <c r="U285" s="144"/>
      <c r="V285" s="51">
        <v>0</v>
      </c>
      <c r="W285" s="50"/>
      <c r="X285" s="51"/>
      <c r="Y285" s="144"/>
      <c r="Z285" s="144"/>
      <c r="AA285" s="51">
        <v>0</v>
      </c>
      <c r="AB285" s="50"/>
      <c r="AC285" s="51"/>
      <c r="AD285" s="144"/>
      <c r="AE285" s="144"/>
      <c r="AF285" s="51">
        <v>0</v>
      </c>
      <c r="AG285" s="50"/>
      <c r="AH285" s="51"/>
      <c r="AI285" s="144"/>
      <c r="AJ285" s="144"/>
      <c r="AK285" s="51">
        <v>0</v>
      </c>
      <c r="AL285" s="50"/>
      <c r="AM285" s="51"/>
      <c r="AN285" s="144"/>
      <c r="AO285" s="144"/>
      <c r="AP285" s="51">
        <v>0</v>
      </c>
      <c r="AQ285" s="50"/>
      <c r="AR285" s="51"/>
      <c r="AS285" s="144"/>
      <c r="AT285" s="144"/>
      <c r="AU285" s="51">
        <v>0</v>
      </c>
      <c r="AV285" s="50"/>
      <c r="AW285" s="51"/>
      <c r="AX285" s="144"/>
      <c r="AY285" s="144"/>
      <c r="AZ285" s="51">
        <v>0</v>
      </c>
      <c r="BA285" s="50"/>
      <c r="BB285" s="51"/>
      <c r="BC285" s="144"/>
      <c r="BD285" s="144"/>
      <c r="BE285" s="51">
        <v>0</v>
      </c>
      <c r="BF285" s="50"/>
      <c r="BG285" s="51"/>
      <c r="BH285" s="144"/>
      <c r="BI285" s="144"/>
      <c r="BJ285" s="51">
        <v>0</v>
      </c>
      <c r="BK285" s="50"/>
      <c r="BL285" s="51"/>
      <c r="BM285" s="144"/>
      <c r="BN285" s="144"/>
      <c r="BO285" s="51">
        <v>0</v>
      </c>
      <c r="BP285" s="50"/>
      <c r="BQ285" s="51"/>
      <c r="BR285" s="144"/>
      <c r="BS285" s="144"/>
      <c r="BT285" s="51">
        <f>SUM(L285:BO285)</f>
        <v>0</v>
      </c>
      <c r="BU285" s="50"/>
      <c r="BV285" s="51"/>
      <c r="BW285" s="144"/>
      <c r="BX285" s="144"/>
      <c r="BY285" s="51">
        <v>1467129</v>
      </c>
      <c r="BZ285" s="50"/>
      <c r="CA285" s="51"/>
      <c r="CB285" s="144"/>
      <c r="CC285" s="144"/>
      <c r="CD285" s="51">
        <v>319465</v>
      </c>
      <c r="CE285" s="50"/>
      <c r="CF285" s="51"/>
      <c r="CG285" s="144"/>
      <c r="CH285" s="144"/>
      <c r="CI285" s="51">
        <v>85723</v>
      </c>
      <c r="CJ285" s="50"/>
      <c r="CK285" s="51"/>
      <c r="CL285" s="144"/>
      <c r="CM285" s="144"/>
      <c r="CN285" s="51">
        <v>0</v>
      </c>
      <c r="CO285" s="50"/>
      <c r="CP285" s="51"/>
      <c r="CQ285" s="144"/>
      <c r="CR285" s="144"/>
      <c r="CS285" s="51">
        <v>0</v>
      </c>
      <c r="CT285" s="50"/>
      <c r="CU285" s="51"/>
      <c r="CV285" s="144"/>
      <c r="CW285" s="144"/>
      <c r="CX285" s="51">
        <v>0</v>
      </c>
      <c r="CY285" s="50"/>
      <c r="CZ285" s="51"/>
      <c r="DA285" s="144"/>
      <c r="DB285" s="144"/>
      <c r="DC285" s="51">
        <v>32213</v>
      </c>
      <c r="DD285" s="50"/>
      <c r="DE285" s="51"/>
      <c r="DF285" s="144"/>
      <c r="DG285" s="144"/>
      <c r="DH285" s="51">
        <v>419072</v>
      </c>
      <c r="DI285" s="50"/>
      <c r="DJ285" s="51"/>
      <c r="DK285" s="144"/>
      <c r="DL285" s="144"/>
      <c r="DM285" s="51">
        <v>317389</v>
      </c>
      <c r="DN285" s="50"/>
      <c r="DO285" s="51"/>
      <c r="DP285" s="144"/>
      <c r="DQ285" s="144"/>
      <c r="DR285" s="51">
        <v>0</v>
      </c>
      <c r="DS285" s="50"/>
      <c r="DT285" s="51"/>
      <c r="DU285" s="144"/>
      <c r="DV285" s="144"/>
      <c r="DW285" s="51">
        <v>176185</v>
      </c>
      <c r="DX285" s="50"/>
      <c r="DY285" s="51"/>
      <c r="DZ285" s="144"/>
      <c r="EA285" s="144"/>
      <c r="EB285" s="51">
        <v>103404</v>
      </c>
      <c r="EC285" s="50"/>
      <c r="ED285" s="51"/>
      <c r="EE285" s="144"/>
      <c r="EF285" s="144"/>
      <c r="EG285" s="51">
        <v>13678</v>
      </c>
      <c r="EH285" s="50"/>
      <c r="EI285" s="51"/>
      <c r="EJ285" s="144"/>
      <c r="EK285" s="144"/>
      <c r="EL285" s="51">
        <f t="shared" si="23"/>
        <v>856473</v>
      </c>
      <c r="EM285" s="50"/>
      <c r="EN285" s="51"/>
      <c r="EO285" s="340"/>
      <c r="ER285" s="39"/>
      <c r="ES285" s="39"/>
    </row>
    <row r="286" spans="1:149" ht="12.75" customHeight="1" x14ac:dyDescent="0.2">
      <c r="A286" s="317"/>
      <c r="B286" s="317"/>
      <c r="D286" s="340" t="s">
        <v>200</v>
      </c>
      <c r="F286" s="371"/>
      <c r="G286" s="95">
        <v>0</v>
      </c>
      <c r="H286" s="94"/>
      <c r="I286" s="51"/>
      <c r="J286" s="144"/>
      <c r="K286" s="187"/>
      <c r="L286" s="95">
        <v>0</v>
      </c>
      <c r="M286" s="94"/>
      <c r="N286" s="51"/>
      <c r="O286" s="144"/>
      <c r="P286" s="187"/>
      <c r="Q286" s="95">
        <v>0</v>
      </c>
      <c r="R286" s="94"/>
      <c r="S286" s="51"/>
      <c r="T286" s="144"/>
      <c r="U286" s="187"/>
      <c r="V286" s="95">
        <v>0</v>
      </c>
      <c r="W286" s="94"/>
      <c r="X286" s="51"/>
      <c r="Y286" s="144"/>
      <c r="Z286" s="187"/>
      <c r="AA286" s="95">
        <v>0</v>
      </c>
      <c r="AB286" s="94"/>
      <c r="AC286" s="51"/>
      <c r="AD286" s="144"/>
      <c r="AE286" s="187"/>
      <c r="AF286" s="95">
        <v>0</v>
      </c>
      <c r="AG286" s="94"/>
      <c r="AH286" s="51"/>
      <c r="AI286" s="144"/>
      <c r="AJ286" s="187"/>
      <c r="AK286" s="95">
        <v>0</v>
      </c>
      <c r="AL286" s="94"/>
      <c r="AM286" s="51"/>
      <c r="AN286" s="144"/>
      <c r="AO286" s="187"/>
      <c r="AP286" s="95">
        <v>0</v>
      </c>
      <c r="AQ286" s="94"/>
      <c r="AR286" s="51"/>
      <c r="AS286" s="144"/>
      <c r="AT286" s="187"/>
      <c r="AU286" s="95">
        <v>0</v>
      </c>
      <c r="AV286" s="94"/>
      <c r="AW286" s="51"/>
      <c r="AX286" s="144"/>
      <c r="AY286" s="187"/>
      <c r="AZ286" s="95">
        <v>0</v>
      </c>
      <c r="BA286" s="94"/>
      <c r="BB286" s="51"/>
      <c r="BC286" s="144"/>
      <c r="BD286" s="187"/>
      <c r="BE286" s="95">
        <v>0</v>
      </c>
      <c r="BF286" s="94"/>
      <c r="BG286" s="51"/>
      <c r="BH286" s="144"/>
      <c r="BI286" s="187"/>
      <c r="BJ286" s="95">
        <v>0</v>
      </c>
      <c r="BK286" s="94"/>
      <c r="BL286" s="51"/>
      <c r="BM286" s="144"/>
      <c r="BN286" s="187"/>
      <c r="BO286" s="95">
        <v>0</v>
      </c>
      <c r="BP286" s="94"/>
      <c r="BQ286" s="51"/>
      <c r="BR286" s="144"/>
      <c r="BS286" s="187"/>
      <c r="BT286" s="95">
        <f>SUM(L286:BO286)</f>
        <v>0</v>
      </c>
      <c r="BU286" s="94"/>
      <c r="BV286" s="51"/>
      <c r="BW286" s="144"/>
      <c r="BX286" s="187"/>
      <c r="BY286" s="95">
        <v>0</v>
      </c>
      <c r="BZ286" s="94"/>
      <c r="CA286" s="51"/>
      <c r="CB286" s="144"/>
      <c r="CC286" s="187"/>
      <c r="CD286" s="95">
        <v>0</v>
      </c>
      <c r="CE286" s="94"/>
      <c r="CF286" s="51"/>
      <c r="CG286" s="144"/>
      <c r="CH286" s="187"/>
      <c r="CI286" s="95">
        <v>0</v>
      </c>
      <c r="CJ286" s="94"/>
      <c r="CK286" s="51"/>
      <c r="CL286" s="144"/>
      <c r="CM286" s="187"/>
      <c r="CN286" s="95">
        <v>0</v>
      </c>
      <c r="CO286" s="94"/>
      <c r="CP286" s="51"/>
      <c r="CQ286" s="144"/>
      <c r="CR286" s="187"/>
      <c r="CS286" s="95">
        <v>0</v>
      </c>
      <c r="CT286" s="94"/>
      <c r="CU286" s="51"/>
      <c r="CV286" s="144"/>
      <c r="CW286" s="187"/>
      <c r="CX286" s="95">
        <v>0</v>
      </c>
      <c r="CY286" s="94"/>
      <c r="CZ286" s="51"/>
      <c r="DA286" s="144"/>
      <c r="DB286" s="187"/>
      <c r="DC286" s="95">
        <v>0</v>
      </c>
      <c r="DD286" s="94"/>
      <c r="DE286" s="51"/>
      <c r="DF286" s="144"/>
      <c r="DG286" s="187"/>
      <c r="DH286" s="95">
        <v>0</v>
      </c>
      <c r="DI286" s="94"/>
      <c r="DJ286" s="51"/>
      <c r="DK286" s="144"/>
      <c r="DL286" s="187"/>
      <c r="DM286" s="95">
        <v>0</v>
      </c>
      <c r="DN286" s="94"/>
      <c r="DO286" s="51"/>
      <c r="DP286" s="144"/>
      <c r="DQ286" s="187"/>
      <c r="DR286" s="95">
        <v>0</v>
      </c>
      <c r="DS286" s="94"/>
      <c r="DT286" s="51"/>
      <c r="DU286" s="144"/>
      <c r="DV286" s="187"/>
      <c r="DW286" s="95">
        <v>0</v>
      </c>
      <c r="DX286" s="94"/>
      <c r="DY286" s="51"/>
      <c r="DZ286" s="144"/>
      <c r="EA286" s="187"/>
      <c r="EB286" s="95">
        <v>0</v>
      </c>
      <c r="EC286" s="94"/>
      <c r="ED286" s="51"/>
      <c r="EE286" s="144"/>
      <c r="EF286" s="187"/>
      <c r="EG286" s="95">
        <v>0</v>
      </c>
      <c r="EH286" s="94"/>
      <c r="EI286" s="51"/>
      <c r="EJ286" s="144"/>
      <c r="EK286" s="187"/>
      <c r="EL286" s="95">
        <f t="shared" si="23"/>
        <v>0</v>
      </c>
      <c r="EM286" s="94"/>
      <c r="EN286" s="51"/>
      <c r="EO286" s="340"/>
      <c r="ER286" s="39"/>
      <c r="ES286" s="39"/>
    </row>
    <row r="287" spans="1:149" ht="12.75" customHeight="1" x14ac:dyDescent="0.2">
      <c r="A287" s="317"/>
      <c r="B287" s="317"/>
      <c r="D287" s="340"/>
      <c r="F287" s="317"/>
      <c r="G287" s="51"/>
      <c r="H287" s="51"/>
      <c r="I287" s="51"/>
      <c r="J287" s="144"/>
      <c r="K287" s="51"/>
      <c r="L287" s="51"/>
      <c r="M287" s="51"/>
      <c r="N287" s="51"/>
      <c r="O287" s="144"/>
      <c r="P287" s="51"/>
      <c r="Q287" s="51"/>
      <c r="R287" s="51"/>
      <c r="S287" s="51"/>
      <c r="T287" s="144"/>
      <c r="U287" s="51"/>
      <c r="V287" s="51"/>
      <c r="W287" s="51"/>
      <c r="X287" s="51"/>
      <c r="Y287" s="144"/>
      <c r="Z287" s="51"/>
      <c r="AA287" s="51"/>
      <c r="AB287" s="51"/>
      <c r="AC287" s="51"/>
      <c r="AD287" s="144"/>
      <c r="AE287" s="51"/>
      <c r="AF287" s="51"/>
      <c r="AG287" s="51"/>
      <c r="AH287" s="51"/>
      <c r="AI287" s="144"/>
      <c r="AJ287" s="51"/>
      <c r="AK287" s="51"/>
      <c r="AL287" s="51"/>
      <c r="AM287" s="51"/>
      <c r="AN287" s="144"/>
      <c r="AO287" s="51"/>
      <c r="AP287" s="51"/>
      <c r="AQ287" s="51"/>
      <c r="AR287" s="51"/>
      <c r="AS287" s="144"/>
      <c r="AT287" s="51"/>
      <c r="AU287" s="51"/>
      <c r="AV287" s="51"/>
      <c r="AW287" s="51"/>
      <c r="AX287" s="144"/>
      <c r="AY287" s="51"/>
      <c r="AZ287" s="51"/>
      <c r="BA287" s="51"/>
      <c r="BB287" s="51"/>
      <c r="BC287" s="144"/>
      <c r="BD287" s="51"/>
      <c r="BE287" s="51"/>
      <c r="BF287" s="51"/>
      <c r="BG287" s="51"/>
      <c r="BH287" s="144"/>
      <c r="BI287" s="51"/>
      <c r="BJ287" s="51"/>
      <c r="BK287" s="51"/>
      <c r="BL287" s="51"/>
      <c r="BM287" s="144"/>
      <c r="BN287" s="51"/>
      <c r="BO287" s="51"/>
      <c r="BP287" s="51"/>
      <c r="BQ287" s="51"/>
      <c r="BR287" s="144"/>
      <c r="BS287" s="51"/>
      <c r="BT287" s="51"/>
      <c r="BU287" s="51"/>
      <c r="BV287" s="51"/>
      <c r="BW287" s="144"/>
      <c r="BX287" s="51"/>
      <c r="BY287" s="51"/>
      <c r="BZ287" s="51"/>
      <c r="CA287" s="51"/>
      <c r="CB287" s="144"/>
      <c r="CC287" s="51"/>
      <c r="CD287" s="51"/>
      <c r="CE287" s="51"/>
      <c r="CF287" s="51"/>
      <c r="CG287" s="144"/>
      <c r="CH287" s="51"/>
      <c r="CI287" s="51"/>
      <c r="CJ287" s="51"/>
      <c r="CK287" s="51"/>
      <c r="CL287" s="144"/>
      <c r="CM287" s="51"/>
      <c r="CN287" s="51"/>
      <c r="CO287" s="51"/>
      <c r="CP287" s="51"/>
      <c r="CQ287" s="144"/>
      <c r="CR287" s="51"/>
      <c r="CS287" s="51"/>
      <c r="CT287" s="51"/>
      <c r="CU287" s="51"/>
      <c r="CV287" s="144"/>
      <c r="CW287" s="51"/>
      <c r="CX287" s="51"/>
      <c r="CY287" s="51"/>
      <c r="CZ287" s="51"/>
      <c r="DA287" s="144"/>
      <c r="DB287" s="51"/>
      <c r="DC287" s="51"/>
      <c r="DD287" s="51"/>
      <c r="DE287" s="51"/>
      <c r="DF287" s="144"/>
      <c r="DG287" s="51"/>
      <c r="DH287" s="51"/>
      <c r="DI287" s="51"/>
      <c r="DJ287" s="51"/>
      <c r="DK287" s="144"/>
      <c r="DL287" s="51"/>
      <c r="DM287" s="51"/>
      <c r="DN287" s="51"/>
      <c r="DO287" s="51"/>
      <c r="DP287" s="144"/>
      <c r="DQ287" s="51"/>
      <c r="DR287" s="51"/>
      <c r="DS287" s="51"/>
      <c r="DT287" s="51"/>
      <c r="DU287" s="144"/>
      <c r="DV287" s="51"/>
      <c r="DW287" s="51"/>
      <c r="DX287" s="51"/>
      <c r="DY287" s="51"/>
      <c r="DZ287" s="144"/>
      <c r="EA287" s="51"/>
      <c r="EB287" s="51"/>
      <c r="EC287" s="51"/>
      <c r="ED287" s="51"/>
      <c r="EE287" s="144"/>
      <c r="EF287" s="51"/>
      <c r="EG287" s="51"/>
      <c r="EH287" s="51"/>
      <c r="EI287" s="51"/>
      <c r="EJ287" s="144"/>
      <c r="EK287" s="51"/>
      <c r="EL287" s="51"/>
      <c r="EM287" s="51"/>
      <c r="EN287" s="51"/>
      <c r="EO287" s="340"/>
      <c r="ER287" s="39"/>
      <c r="ES287" s="39"/>
    </row>
    <row r="288" spans="1:149" ht="12.75" customHeight="1" x14ac:dyDescent="0.2">
      <c r="A288" s="317"/>
      <c r="B288" s="317"/>
      <c r="D288" s="340" t="s">
        <v>207</v>
      </c>
      <c r="F288" s="317"/>
      <c r="G288" s="51">
        <f>SUM(G289:G291)</f>
        <v>703120</v>
      </c>
      <c r="H288" s="51"/>
      <c r="I288" s="51"/>
      <c r="J288" s="144"/>
      <c r="K288" s="51"/>
      <c r="L288" s="51">
        <f>SUM(L289:L291)</f>
        <v>114954</v>
      </c>
      <c r="M288" s="51"/>
      <c r="N288" s="51"/>
      <c r="O288" s="144"/>
      <c r="P288" s="51"/>
      <c r="Q288" s="51">
        <f>SUM(Q289:Q291)</f>
        <v>588166</v>
      </c>
      <c r="R288" s="51"/>
      <c r="S288" s="51"/>
      <c r="T288" s="144"/>
      <c r="U288" s="51"/>
      <c r="V288" s="51">
        <f>SUM(V289:V291)</f>
        <v>0</v>
      </c>
      <c r="W288" s="51"/>
      <c r="X288" s="51"/>
      <c r="Y288" s="144"/>
      <c r="Z288" s="51"/>
      <c r="AA288" s="51">
        <f>SUM(AA289:AA291)</f>
        <v>0</v>
      </c>
      <c r="AB288" s="51"/>
      <c r="AC288" s="51"/>
      <c r="AD288" s="144"/>
      <c r="AE288" s="51"/>
      <c r="AF288" s="51">
        <f>SUM(AF289:AF291)</f>
        <v>0</v>
      </c>
      <c r="AG288" s="51"/>
      <c r="AH288" s="51"/>
      <c r="AI288" s="144"/>
      <c r="AJ288" s="51"/>
      <c r="AK288" s="51">
        <f>SUM(AK289:AK291)</f>
        <v>0</v>
      </c>
      <c r="AL288" s="51"/>
      <c r="AM288" s="51"/>
      <c r="AN288" s="144"/>
      <c r="AO288" s="51"/>
      <c r="AP288" s="51">
        <f>SUM(AP289:AP291)</f>
        <v>0</v>
      </c>
      <c r="AQ288" s="51"/>
      <c r="AR288" s="51"/>
      <c r="AS288" s="144"/>
      <c r="AT288" s="51"/>
      <c r="AU288" s="51">
        <f>SUM(AU289:AU291)</f>
        <v>0</v>
      </c>
      <c r="AV288" s="51"/>
      <c r="AW288" s="51"/>
      <c r="AX288" s="144"/>
      <c r="AY288" s="51"/>
      <c r="AZ288" s="51">
        <f>SUM(AZ289:AZ291)</f>
        <v>0</v>
      </c>
      <c r="BA288" s="51"/>
      <c r="BB288" s="51"/>
      <c r="BC288" s="144"/>
      <c r="BD288" s="51"/>
      <c r="BE288" s="51">
        <f>SUM(BE289:BE291)</f>
        <v>0</v>
      </c>
      <c r="BF288" s="51"/>
      <c r="BG288" s="51"/>
      <c r="BH288" s="144"/>
      <c r="BI288" s="51"/>
      <c r="BJ288" s="51">
        <f>SUM(BJ289:BJ291)</f>
        <v>0</v>
      </c>
      <c r="BK288" s="51"/>
      <c r="BL288" s="51"/>
      <c r="BM288" s="144"/>
      <c r="BN288" s="51"/>
      <c r="BO288" s="51">
        <f>SUM(BO289:BO291)</f>
        <v>0</v>
      </c>
      <c r="BP288" s="51"/>
      <c r="BQ288" s="51"/>
      <c r="BR288" s="144"/>
      <c r="BS288" s="51"/>
      <c r="BT288" s="51">
        <f>SUM(BT289:BT291)</f>
        <v>703120</v>
      </c>
      <c r="BU288" s="51"/>
      <c r="BV288" s="51"/>
      <c r="BW288" s="144"/>
      <c r="BX288" s="51"/>
      <c r="BY288" s="51">
        <f>SUM(BY289:BY291)</f>
        <v>2584125</v>
      </c>
      <c r="BZ288" s="51"/>
      <c r="CA288" s="51"/>
      <c r="CB288" s="144"/>
      <c r="CC288" s="51"/>
      <c r="CD288" s="51">
        <f>SUM(CD289:CD291)</f>
        <v>347167</v>
      </c>
      <c r="CE288" s="51"/>
      <c r="CF288" s="51"/>
      <c r="CG288" s="144"/>
      <c r="CH288" s="51"/>
      <c r="CI288" s="51">
        <f>SUM(CI289:CI291)</f>
        <v>0</v>
      </c>
      <c r="CJ288" s="51"/>
      <c r="CK288" s="51"/>
      <c r="CL288" s="144"/>
      <c r="CM288" s="51"/>
      <c r="CN288" s="51">
        <f>SUM(CN289:CN291)</f>
        <v>0</v>
      </c>
      <c r="CO288" s="51"/>
      <c r="CP288" s="51"/>
      <c r="CQ288" s="144"/>
      <c r="CR288" s="51"/>
      <c r="CS288" s="51">
        <f>SUM(CS289:CS291)</f>
        <v>0</v>
      </c>
      <c r="CT288" s="51"/>
      <c r="CU288" s="51"/>
      <c r="CV288" s="144"/>
      <c r="CW288" s="51"/>
      <c r="CX288" s="51">
        <f>SUM(CX289:CX291)</f>
        <v>0</v>
      </c>
      <c r="CY288" s="51"/>
      <c r="CZ288" s="51"/>
      <c r="DA288" s="144"/>
      <c r="DB288" s="51"/>
      <c r="DC288" s="51">
        <f>SUM(DC289:DC291)</f>
        <v>0</v>
      </c>
      <c r="DD288" s="51"/>
      <c r="DE288" s="51"/>
      <c r="DF288" s="144"/>
      <c r="DG288" s="51"/>
      <c r="DH288" s="51">
        <f>SUM(DH289:DH291)</f>
        <v>1224685</v>
      </c>
      <c r="DI288" s="51"/>
      <c r="DJ288" s="51"/>
      <c r="DK288" s="144"/>
      <c r="DL288" s="51"/>
      <c r="DM288" s="51">
        <f>SUM(DM289:DM291)</f>
        <v>0</v>
      </c>
      <c r="DN288" s="51"/>
      <c r="DO288" s="51"/>
      <c r="DP288" s="144"/>
      <c r="DQ288" s="51"/>
      <c r="DR288" s="51">
        <f>SUM(DR289:DR291)</f>
        <v>0</v>
      </c>
      <c r="DS288" s="51"/>
      <c r="DT288" s="51"/>
      <c r="DU288" s="144"/>
      <c r="DV288" s="51"/>
      <c r="DW288" s="51">
        <f>SUM(DW289:DW291)</f>
        <v>0</v>
      </c>
      <c r="DX288" s="51"/>
      <c r="DY288" s="51"/>
      <c r="DZ288" s="144"/>
      <c r="EA288" s="51"/>
      <c r="EB288" s="51">
        <f>SUM(EB289:EB291)</f>
        <v>895441</v>
      </c>
      <c r="EC288" s="51"/>
      <c r="ED288" s="51"/>
      <c r="EE288" s="144"/>
      <c r="EF288" s="51"/>
      <c r="EG288" s="51">
        <f>SUM(EG289:EG291)</f>
        <v>116832</v>
      </c>
      <c r="EH288" s="51"/>
      <c r="EI288" s="51"/>
      <c r="EJ288" s="144"/>
      <c r="EK288" s="51"/>
      <c r="EL288" s="51">
        <f>SUM(EL289:EL291)</f>
        <v>1571852</v>
      </c>
      <c r="EM288" s="51"/>
      <c r="EN288" s="51"/>
      <c r="EO288" s="340"/>
      <c r="ER288" s="39"/>
      <c r="ES288" s="39"/>
    </row>
    <row r="289" spans="1:149" ht="12.75" customHeight="1" x14ac:dyDescent="0.2">
      <c r="A289" s="317"/>
      <c r="B289" s="317"/>
      <c r="D289" s="340" t="s">
        <v>183</v>
      </c>
      <c r="F289" s="354"/>
      <c r="G289" s="430">
        <v>602860</v>
      </c>
      <c r="H289" s="431"/>
      <c r="I289" s="51"/>
      <c r="J289" s="144"/>
      <c r="K289" s="432"/>
      <c r="L289" s="430">
        <f>114954-14113</f>
        <v>100841</v>
      </c>
      <c r="M289" s="431"/>
      <c r="N289" s="51"/>
      <c r="O289" s="144"/>
      <c r="P289" s="432"/>
      <c r="Q289" s="430">
        <f>588166-86147</f>
        <v>502019</v>
      </c>
      <c r="R289" s="431"/>
      <c r="S289" s="51"/>
      <c r="T289" s="144"/>
      <c r="U289" s="432"/>
      <c r="V289" s="430">
        <v>0</v>
      </c>
      <c r="W289" s="431"/>
      <c r="X289" s="51"/>
      <c r="Y289" s="144"/>
      <c r="Z289" s="432"/>
      <c r="AA289" s="430">
        <v>0</v>
      </c>
      <c r="AB289" s="431"/>
      <c r="AC289" s="51"/>
      <c r="AD289" s="144"/>
      <c r="AE289" s="432"/>
      <c r="AF289" s="430">
        <v>0</v>
      </c>
      <c r="AG289" s="431"/>
      <c r="AH289" s="51"/>
      <c r="AI289" s="144"/>
      <c r="AJ289" s="432"/>
      <c r="AK289" s="430">
        <v>0</v>
      </c>
      <c r="AL289" s="431"/>
      <c r="AM289" s="51"/>
      <c r="AN289" s="144"/>
      <c r="AO289" s="432"/>
      <c r="AP289" s="430">
        <v>0</v>
      </c>
      <c r="AQ289" s="431"/>
      <c r="AR289" s="51"/>
      <c r="AS289" s="144"/>
      <c r="AT289" s="432"/>
      <c r="AU289" s="430">
        <v>0</v>
      </c>
      <c r="AV289" s="431"/>
      <c r="AW289" s="51"/>
      <c r="AX289" s="144"/>
      <c r="AY289" s="432"/>
      <c r="AZ289" s="430">
        <v>0</v>
      </c>
      <c r="BA289" s="431"/>
      <c r="BB289" s="51"/>
      <c r="BC289" s="144"/>
      <c r="BD289" s="432"/>
      <c r="BE289" s="430">
        <v>0</v>
      </c>
      <c r="BF289" s="431"/>
      <c r="BG289" s="51"/>
      <c r="BH289" s="144"/>
      <c r="BI289" s="432"/>
      <c r="BJ289" s="430">
        <v>0</v>
      </c>
      <c r="BK289" s="431"/>
      <c r="BL289" s="51"/>
      <c r="BM289" s="144"/>
      <c r="BN289" s="432"/>
      <c r="BO289" s="430">
        <v>0</v>
      </c>
      <c r="BP289" s="431"/>
      <c r="BQ289" s="51"/>
      <c r="BR289" s="144"/>
      <c r="BS289" s="432"/>
      <c r="BT289" s="430">
        <f>SUM(L289:BO289)</f>
        <v>602860</v>
      </c>
      <c r="BU289" s="431"/>
      <c r="BV289" s="51"/>
      <c r="BW289" s="144"/>
      <c r="BX289" s="432"/>
      <c r="BY289" s="430">
        <v>2229832</v>
      </c>
      <c r="BZ289" s="431"/>
      <c r="CA289" s="51"/>
      <c r="CB289" s="144"/>
      <c r="CC289" s="432"/>
      <c r="CD289" s="430">
        <f>347167-63610</f>
        <v>283557</v>
      </c>
      <c r="CE289" s="431"/>
      <c r="CF289" s="51"/>
      <c r="CG289" s="144"/>
      <c r="CH289" s="432"/>
      <c r="CI289" s="430">
        <v>0</v>
      </c>
      <c r="CJ289" s="431"/>
      <c r="CK289" s="51"/>
      <c r="CL289" s="144"/>
      <c r="CM289" s="432"/>
      <c r="CN289" s="430">
        <v>0</v>
      </c>
      <c r="CO289" s="431"/>
      <c r="CP289" s="51"/>
      <c r="CQ289" s="144"/>
      <c r="CR289" s="432"/>
      <c r="CS289" s="430">
        <v>0</v>
      </c>
      <c r="CT289" s="431"/>
      <c r="CU289" s="51"/>
      <c r="CV289" s="144"/>
      <c r="CW289" s="432"/>
      <c r="CX289" s="430">
        <v>0</v>
      </c>
      <c r="CY289" s="431"/>
      <c r="CZ289" s="51"/>
      <c r="DA289" s="144"/>
      <c r="DB289" s="432"/>
      <c r="DC289" s="430">
        <v>0</v>
      </c>
      <c r="DD289" s="431"/>
      <c r="DE289" s="51"/>
      <c r="DF289" s="144"/>
      <c r="DG289" s="432"/>
      <c r="DH289" s="430">
        <f>1224685-177439</f>
        <v>1047246</v>
      </c>
      <c r="DI289" s="431"/>
      <c r="DJ289" s="51"/>
      <c r="DK289" s="144"/>
      <c r="DL289" s="432"/>
      <c r="DM289" s="430">
        <v>0</v>
      </c>
      <c r="DN289" s="431"/>
      <c r="DO289" s="51"/>
      <c r="DP289" s="144"/>
      <c r="DQ289" s="432"/>
      <c r="DR289" s="430">
        <v>0</v>
      </c>
      <c r="DS289" s="431"/>
      <c r="DT289" s="51"/>
      <c r="DU289" s="144"/>
      <c r="DV289" s="432"/>
      <c r="DW289" s="430">
        <v>0</v>
      </c>
      <c r="DX289" s="431"/>
      <c r="DY289" s="51"/>
      <c r="DZ289" s="144"/>
      <c r="EA289" s="432"/>
      <c r="EB289" s="430">
        <f>895441-97790</f>
        <v>797651</v>
      </c>
      <c r="EC289" s="431"/>
      <c r="ED289" s="51"/>
      <c r="EE289" s="144"/>
      <c r="EF289" s="432"/>
      <c r="EG289" s="430">
        <f>116832-15454</f>
        <v>101378</v>
      </c>
      <c r="EH289" s="431"/>
      <c r="EI289" s="51"/>
      <c r="EJ289" s="144"/>
      <c r="EK289" s="432"/>
      <c r="EL289" s="430">
        <f t="shared" ref="EL289:EL291" si="24">SUM(CD289:DH289)</f>
        <v>1330803</v>
      </c>
      <c r="EM289" s="431"/>
      <c r="EN289" s="51"/>
      <c r="EO289" s="340"/>
      <c r="ER289" s="39"/>
      <c r="ES289" s="39"/>
    </row>
    <row r="290" spans="1:149" ht="12.75" customHeight="1" x14ac:dyDescent="0.2">
      <c r="A290" s="317"/>
      <c r="B290" s="317"/>
      <c r="D290" s="340" t="s">
        <v>186</v>
      </c>
      <c r="F290" s="347"/>
      <c r="G290" s="51">
        <v>100260</v>
      </c>
      <c r="H290" s="50"/>
      <c r="I290" s="51"/>
      <c r="J290" s="144"/>
      <c r="K290" s="144"/>
      <c r="L290" s="51">
        <v>14113</v>
      </c>
      <c r="M290" s="50"/>
      <c r="N290" s="51"/>
      <c r="O290" s="144"/>
      <c r="P290" s="144"/>
      <c r="Q290" s="51">
        <v>86147</v>
      </c>
      <c r="R290" s="50"/>
      <c r="S290" s="51"/>
      <c r="T290" s="144"/>
      <c r="U290" s="144"/>
      <c r="V290" s="51">
        <v>0</v>
      </c>
      <c r="W290" s="50"/>
      <c r="X290" s="51"/>
      <c r="Y290" s="144"/>
      <c r="Z290" s="144"/>
      <c r="AA290" s="51">
        <v>0</v>
      </c>
      <c r="AB290" s="50"/>
      <c r="AC290" s="51"/>
      <c r="AD290" s="144"/>
      <c r="AE290" s="144"/>
      <c r="AF290" s="51">
        <v>0</v>
      </c>
      <c r="AG290" s="50"/>
      <c r="AH290" s="51"/>
      <c r="AI290" s="144"/>
      <c r="AJ290" s="144"/>
      <c r="AK290" s="51">
        <v>0</v>
      </c>
      <c r="AL290" s="50"/>
      <c r="AM290" s="51"/>
      <c r="AN290" s="144"/>
      <c r="AO290" s="144"/>
      <c r="AP290" s="51">
        <v>0</v>
      </c>
      <c r="AQ290" s="50"/>
      <c r="AR290" s="51"/>
      <c r="AS290" s="144"/>
      <c r="AT290" s="144"/>
      <c r="AU290" s="51">
        <v>0</v>
      </c>
      <c r="AV290" s="50"/>
      <c r="AW290" s="51"/>
      <c r="AX290" s="144"/>
      <c r="AY290" s="144"/>
      <c r="AZ290" s="51">
        <v>0</v>
      </c>
      <c r="BA290" s="50"/>
      <c r="BB290" s="51"/>
      <c r="BC290" s="144"/>
      <c r="BD290" s="144"/>
      <c r="BE290" s="51">
        <v>0</v>
      </c>
      <c r="BF290" s="50"/>
      <c r="BG290" s="51"/>
      <c r="BH290" s="144"/>
      <c r="BI290" s="144"/>
      <c r="BJ290" s="51">
        <v>0</v>
      </c>
      <c r="BK290" s="50"/>
      <c r="BL290" s="51"/>
      <c r="BM290" s="144"/>
      <c r="BN290" s="144"/>
      <c r="BO290" s="51">
        <v>0</v>
      </c>
      <c r="BP290" s="50"/>
      <c r="BQ290" s="51"/>
      <c r="BR290" s="144"/>
      <c r="BS290" s="144"/>
      <c r="BT290" s="51">
        <f>SUM(L290:BO290)</f>
        <v>100260</v>
      </c>
      <c r="BU290" s="50"/>
      <c r="BV290" s="51"/>
      <c r="BW290" s="144"/>
      <c r="BX290" s="144"/>
      <c r="BY290" s="51">
        <v>354293</v>
      </c>
      <c r="BZ290" s="50"/>
      <c r="CA290" s="51"/>
      <c r="CB290" s="144"/>
      <c r="CC290" s="144"/>
      <c r="CD290" s="51">
        <v>63610</v>
      </c>
      <c r="CE290" s="50"/>
      <c r="CF290" s="51"/>
      <c r="CG290" s="144"/>
      <c r="CH290" s="144"/>
      <c r="CI290" s="51">
        <v>0</v>
      </c>
      <c r="CJ290" s="50"/>
      <c r="CK290" s="51"/>
      <c r="CL290" s="144"/>
      <c r="CM290" s="144"/>
      <c r="CN290" s="51">
        <v>0</v>
      </c>
      <c r="CO290" s="50"/>
      <c r="CP290" s="51"/>
      <c r="CQ290" s="144"/>
      <c r="CR290" s="144"/>
      <c r="CS290" s="51">
        <v>0</v>
      </c>
      <c r="CT290" s="50"/>
      <c r="CU290" s="51"/>
      <c r="CV290" s="144"/>
      <c r="CW290" s="144"/>
      <c r="CX290" s="51">
        <v>0</v>
      </c>
      <c r="CY290" s="50"/>
      <c r="CZ290" s="51"/>
      <c r="DA290" s="144"/>
      <c r="DB290" s="144"/>
      <c r="DC290" s="51">
        <v>0</v>
      </c>
      <c r="DD290" s="50"/>
      <c r="DE290" s="51"/>
      <c r="DF290" s="144"/>
      <c r="DG290" s="144"/>
      <c r="DH290" s="51">
        <v>177439</v>
      </c>
      <c r="DI290" s="50"/>
      <c r="DJ290" s="51"/>
      <c r="DK290" s="144"/>
      <c r="DL290" s="144"/>
      <c r="DM290" s="51">
        <v>0</v>
      </c>
      <c r="DN290" s="50"/>
      <c r="DO290" s="51"/>
      <c r="DP290" s="144"/>
      <c r="DQ290" s="144"/>
      <c r="DR290" s="51">
        <v>0</v>
      </c>
      <c r="DS290" s="50"/>
      <c r="DT290" s="51"/>
      <c r="DU290" s="144"/>
      <c r="DV290" s="144"/>
      <c r="DW290" s="51">
        <v>0</v>
      </c>
      <c r="DX290" s="50"/>
      <c r="DY290" s="51"/>
      <c r="DZ290" s="144"/>
      <c r="EA290" s="144"/>
      <c r="EB290" s="51">
        <v>97790</v>
      </c>
      <c r="EC290" s="50"/>
      <c r="ED290" s="51"/>
      <c r="EE290" s="144"/>
      <c r="EF290" s="144"/>
      <c r="EG290" s="51">
        <v>15454</v>
      </c>
      <c r="EH290" s="50"/>
      <c r="EI290" s="51"/>
      <c r="EJ290" s="144"/>
      <c r="EK290" s="144"/>
      <c r="EL290" s="51">
        <f t="shared" si="24"/>
        <v>241049</v>
      </c>
      <c r="EM290" s="50"/>
      <c r="EN290" s="51"/>
      <c r="EO290" s="340"/>
      <c r="ER290" s="39"/>
      <c r="ES290" s="39"/>
    </row>
    <row r="291" spans="1:149" ht="12.75" customHeight="1" x14ac:dyDescent="0.2">
      <c r="A291" s="317"/>
      <c r="B291" s="317"/>
      <c r="D291" s="340" t="s">
        <v>188</v>
      </c>
      <c r="F291" s="371"/>
      <c r="G291" s="95">
        <v>0</v>
      </c>
      <c r="H291" s="94"/>
      <c r="I291" s="51"/>
      <c r="J291" s="144"/>
      <c r="K291" s="187"/>
      <c r="L291" s="95">
        <v>0</v>
      </c>
      <c r="M291" s="94"/>
      <c r="N291" s="51"/>
      <c r="O291" s="144"/>
      <c r="P291" s="187"/>
      <c r="Q291" s="95">
        <v>0</v>
      </c>
      <c r="R291" s="94"/>
      <c r="S291" s="51"/>
      <c r="T291" s="144"/>
      <c r="U291" s="187"/>
      <c r="V291" s="95">
        <v>0</v>
      </c>
      <c r="W291" s="94"/>
      <c r="X291" s="51"/>
      <c r="Y291" s="144"/>
      <c r="Z291" s="187"/>
      <c r="AA291" s="95">
        <v>0</v>
      </c>
      <c r="AB291" s="94"/>
      <c r="AC291" s="51"/>
      <c r="AD291" s="144"/>
      <c r="AE291" s="187"/>
      <c r="AF291" s="95">
        <v>0</v>
      </c>
      <c r="AG291" s="94"/>
      <c r="AH291" s="51"/>
      <c r="AI291" s="144"/>
      <c r="AJ291" s="187"/>
      <c r="AK291" s="95">
        <v>0</v>
      </c>
      <c r="AL291" s="94"/>
      <c r="AM291" s="51"/>
      <c r="AN291" s="144"/>
      <c r="AO291" s="187"/>
      <c r="AP291" s="95">
        <v>0</v>
      </c>
      <c r="AQ291" s="94"/>
      <c r="AR291" s="51"/>
      <c r="AS291" s="144"/>
      <c r="AT291" s="187"/>
      <c r="AU291" s="95">
        <v>0</v>
      </c>
      <c r="AV291" s="94"/>
      <c r="AW291" s="51"/>
      <c r="AX291" s="144"/>
      <c r="AY291" s="187"/>
      <c r="AZ291" s="95">
        <v>0</v>
      </c>
      <c r="BA291" s="94"/>
      <c r="BB291" s="51"/>
      <c r="BC291" s="144"/>
      <c r="BD291" s="187"/>
      <c r="BE291" s="95">
        <v>0</v>
      </c>
      <c r="BF291" s="94"/>
      <c r="BG291" s="51"/>
      <c r="BH291" s="144"/>
      <c r="BI291" s="187"/>
      <c r="BJ291" s="95">
        <v>0</v>
      </c>
      <c r="BK291" s="94"/>
      <c r="BL291" s="51"/>
      <c r="BM291" s="144"/>
      <c r="BN291" s="187"/>
      <c r="BO291" s="95">
        <v>0</v>
      </c>
      <c r="BP291" s="94"/>
      <c r="BQ291" s="51"/>
      <c r="BR291" s="144"/>
      <c r="BS291" s="187"/>
      <c r="BT291" s="95">
        <f>SUM(L291:BO291)</f>
        <v>0</v>
      </c>
      <c r="BU291" s="94"/>
      <c r="BV291" s="51"/>
      <c r="BW291" s="144"/>
      <c r="BX291" s="187"/>
      <c r="BY291" s="95">
        <v>0</v>
      </c>
      <c r="BZ291" s="94"/>
      <c r="CA291" s="51"/>
      <c r="CB291" s="144"/>
      <c r="CC291" s="187"/>
      <c r="CD291" s="95">
        <v>0</v>
      </c>
      <c r="CE291" s="94"/>
      <c r="CF291" s="51"/>
      <c r="CG291" s="144"/>
      <c r="CH291" s="187"/>
      <c r="CI291" s="95">
        <v>0</v>
      </c>
      <c r="CJ291" s="94"/>
      <c r="CK291" s="51"/>
      <c r="CL291" s="144"/>
      <c r="CM291" s="187"/>
      <c r="CN291" s="95">
        <v>0</v>
      </c>
      <c r="CO291" s="94"/>
      <c r="CP291" s="51"/>
      <c r="CQ291" s="144"/>
      <c r="CR291" s="187"/>
      <c r="CS291" s="95">
        <v>0</v>
      </c>
      <c r="CT291" s="94"/>
      <c r="CU291" s="51"/>
      <c r="CV291" s="144"/>
      <c r="CW291" s="187"/>
      <c r="CX291" s="95">
        <v>0</v>
      </c>
      <c r="CY291" s="94"/>
      <c r="CZ291" s="51"/>
      <c r="DA291" s="144"/>
      <c r="DB291" s="187"/>
      <c r="DC291" s="95">
        <v>0</v>
      </c>
      <c r="DD291" s="94"/>
      <c r="DE291" s="51"/>
      <c r="DF291" s="144"/>
      <c r="DG291" s="187"/>
      <c r="DH291" s="95">
        <v>0</v>
      </c>
      <c r="DI291" s="94"/>
      <c r="DJ291" s="51"/>
      <c r="DK291" s="144"/>
      <c r="DL291" s="187"/>
      <c r="DM291" s="95">
        <v>0</v>
      </c>
      <c r="DN291" s="94"/>
      <c r="DO291" s="51"/>
      <c r="DP291" s="144"/>
      <c r="DQ291" s="187"/>
      <c r="DR291" s="95">
        <v>0</v>
      </c>
      <c r="DS291" s="94"/>
      <c r="DT291" s="51"/>
      <c r="DU291" s="144"/>
      <c r="DV291" s="187"/>
      <c r="DW291" s="95">
        <v>0</v>
      </c>
      <c r="DX291" s="94"/>
      <c r="DY291" s="51"/>
      <c r="DZ291" s="144"/>
      <c r="EA291" s="187"/>
      <c r="EB291" s="95">
        <v>0</v>
      </c>
      <c r="EC291" s="94"/>
      <c r="ED291" s="51"/>
      <c r="EE291" s="144"/>
      <c r="EF291" s="187"/>
      <c r="EG291" s="95">
        <v>0</v>
      </c>
      <c r="EH291" s="94"/>
      <c r="EI291" s="51"/>
      <c r="EJ291" s="144"/>
      <c r="EK291" s="187"/>
      <c r="EL291" s="95">
        <f t="shared" si="24"/>
        <v>0</v>
      </c>
      <c r="EM291" s="94"/>
      <c r="EN291" s="51"/>
      <c r="EO291" s="340"/>
      <c r="ER291" s="39"/>
      <c r="ES291" s="39"/>
    </row>
    <row r="292" spans="1:149" ht="12.75" customHeight="1" x14ac:dyDescent="0.2">
      <c r="A292" s="317"/>
      <c r="B292" s="317"/>
      <c r="D292" s="340"/>
      <c r="F292" s="317"/>
      <c r="G292" s="51"/>
      <c r="H292" s="51"/>
      <c r="I292" s="51"/>
      <c r="J292" s="144"/>
      <c r="K292" s="51"/>
      <c r="L292" s="51"/>
      <c r="M292" s="51"/>
      <c r="N292" s="51"/>
      <c r="O292" s="144"/>
      <c r="P292" s="51"/>
      <c r="Q292" s="51"/>
      <c r="R292" s="51"/>
      <c r="S292" s="51"/>
      <c r="T292" s="144"/>
      <c r="U292" s="51"/>
      <c r="V292" s="51"/>
      <c r="W292" s="51"/>
      <c r="X292" s="51"/>
      <c r="Y292" s="144"/>
      <c r="Z292" s="51"/>
      <c r="AA292" s="51"/>
      <c r="AB292" s="51"/>
      <c r="AC292" s="51"/>
      <c r="AD292" s="144"/>
      <c r="AE292" s="51"/>
      <c r="AF292" s="51"/>
      <c r="AG292" s="51"/>
      <c r="AH292" s="51"/>
      <c r="AI292" s="144"/>
      <c r="AJ292" s="51"/>
      <c r="AK292" s="51"/>
      <c r="AL292" s="51"/>
      <c r="AM292" s="51"/>
      <c r="AN292" s="144"/>
      <c r="AO292" s="51"/>
      <c r="AP292" s="51"/>
      <c r="AQ292" s="51"/>
      <c r="AR292" s="51"/>
      <c r="AS292" s="144"/>
      <c r="AT292" s="51"/>
      <c r="AU292" s="51"/>
      <c r="AV292" s="51"/>
      <c r="AW292" s="51"/>
      <c r="AX292" s="144"/>
      <c r="AY292" s="51"/>
      <c r="AZ292" s="51"/>
      <c r="BA292" s="51"/>
      <c r="BB292" s="51"/>
      <c r="BC292" s="144"/>
      <c r="BD292" s="51"/>
      <c r="BE292" s="51"/>
      <c r="BF292" s="51"/>
      <c r="BG292" s="51"/>
      <c r="BH292" s="144"/>
      <c r="BI292" s="51"/>
      <c r="BJ292" s="51"/>
      <c r="BK292" s="51"/>
      <c r="BL292" s="51"/>
      <c r="BM292" s="144"/>
      <c r="BN292" s="51"/>
      <c r="BO292" s="51"/>
      <c r="BP292" s="51"/>
      <c r="BQ292" s="51"/>
      <c r="BR292" s="144"/>
      <c r="BS292" s="51"/>
      <c r="BT292" s="51"/>
      <c r="BU292" s="51"/>
      <c r="BV292" s="51"/>
      <c r="BW292" s="144"/>
      <c r="BX292" s="51"/>
      <c r="BY292" s="51"/>
      <c r="BZ292" s="51"/>
      <c r="CA292" s="51"/>
      <c r="CB292" s="144"/>
      <c r="CC292" s="51"/>
      <c r="CD292" s="51"/>
      <c r="CE292" s="51"/>
      <c r="CF292" s="51"/>
      <c r="CG292" s="144"/>
      <c r="CH292" s="51"/>
      <c r="CI292" s="51"/>
      <c r="CJ292" s="51"/>
      <c r="CK292" s="51"/>
      <c r="CL292" s="144"/>
      <c r="CM292" s="51"/>
      <c r="CN292" s="51"/>
      <c r="CO292" s="51"/>
      <c r="CP292" s="51"/>
      <c r="CQ292" s="144"/>
      <c r="CR292" s="51"/>
      <c r="CS292" s="51"/>
      <c r="CT292" s="51"/>
      <c r="CU292" s="51"/>
      <c r="CV292" s="144"/>
      <c r="CW292" s="51"/>
      <c r="CX292" s="51"/>
      <c r="CY292" s="51"/>
      <c r="CZ292" s="51"/>
      <c r="DA292" s="144"/>
      <c r="DB292" s="51"/>
      <c r="DC292" s="51"/>
      <c r="DD292" s="51"/>
      <c r="DE292" s="51"/>
      <c r="DF292" s="144"/>
      <c r="DG292" s="51"/>
      <c r="DH292" s="51"/>
      <c r="DI292" s="51"/>
      <c r="DJ292" s="51"/>
      <c r="DK292" s="144"/>
      <c r="DL292" s="51"/>
      <c r="DM292" s="51"/>
      <c r="DN292" s="51"/>
      <c r="DO292" s="51"/>
      <c r="DP292" s="144"/>
      <c r="DQ292" s="51"/>
      <c r="DR292" s="51"/>
      <c r="DS292" s="51"/>
      <c r="DT292" s="51"/>
      <c r="DU292" s="144"/>
      <c r="DV292" s="51"/>
      <c r="DW292" s="51"/>
      <c r="DX292" s="51"/>
      <c r="DY292" s="51"/>
      <c r="DZ292" s="144"/>
      <c r="EA292" s="51"/>
      <c r="EB292" s="51"/>
      <c r="EC292" s="51"/>
      <c r="ED292" s="51"/>
      <c r="EE292" s="144"/>
      <c r="EF292" s="51"/>
      <c r="EG292" s="51"/>
      <c r="EH292" s="51"/>
      <c r="EI292" s="51"/>
      <c r="EJ292" s="144"/>
      <c r="EK292" s="51"/>
      <c r="EL292" s="51"/>
      <c r="EM292" s="51"/>
      <c r="EN292" s="51"/>
      <c r="EO292" s="340"/>
      <c r="ER292" s="39"/>
      <c r="ES292" s="39"/>
    </row>
    <row r="293" spans="1:149" ht="12.75" hidden="1" customHeight="1" x14ac:dyDescent="0.2">
      <c r="A293" s="317"/>
      <c r="B293" s="317"/>
      <c r="D293" s="340" t="s">
        <v>208</v>
      </c>
      <c r="F293" s="317"/>
      <c r="G293" s="51">
        <f>SUM(G294:G296)</f>
        <v>0</v>
      </c>
      <c r="H293" s="51"/>
      <c r="I293" s="51"/>
      <c r="J293" s="144"/>
      <c r="K293" s="51"/>
      <c r="L293" s="51">
        <f>SUM(L294:L296)</f>
        <v>0</v>
      </c>
      <c r="M293" s="51"/>
      <c r="N293" s="51"/>
      <c r="O293" s="144"/>
      <c r="P293" s="51"/>
      <c r="Q293" s="51">
        <f>SUM(Q294:Q296)</f>
        <v>0</v>
      </c>
      <c r="R293" s="51"/>
      <c r="S293" s="51"/>
      <c r="T293" s="144"/>
      <c r="U293" s="51"/>
      <c r="V293" s="51">
        <f>SUM(V294:V296)</f>
        <v>0</v>
      </c>
      <c r="W293" s="51"/>
      <c r="X293" s="51"/>
      <c r="Y293" s="144"/>
      <c r="Z293" s="51"/>
      <c r="AA293" s="51">
        <f>SUM(AA294:AA296)</f>
        <v>0</v>
      </c>
      <c r="AB293" s="51"/>
      <c r="AC293" s="51"/>
      <c r="AD293" s="144"/>
      <c r="AE293" s="51"/>
      <c r="AF293" s="51">
        <f>SUM(AF294:AF296)</f>
        <v>0</v>
      </c>
      <c r="AG293" s="51"/>
      <c r="AH293" s="51"/>
      <c r="AI293" s="144"/>
      <c r="AJ293" s="51"/>
      <c r="AK293" s="51">
        <f>SUM(AK294:AK296)</f>
        <v>0</v>
      </c>
      <c r="AL293" s="51"/>
      <c r="AM293" s="51"/>
      <c r="AN293" s="144"/>
      <c r="AO293" s="51"/>
      <c r="AP293" s="51">
        <f>SUM(AP294:AP296)</f>
        <v>0</v>
      </c>
      <c r="AQ293" s="51"/>
      <c r="AR293" s="51"/>
      <c r="AS293" s="144"/>
      <c r="AT293" s="51"/>
      <c r="AU293" s="51">
        <f>SUM(AU294:AU296)</f>
        <v>0</v>
      </c>
      <c r="AV293" s="51"/>
      <c r="AW293" s="51"/>
      <c r="AX293" s="144"/>
      <c r="AY293" s="51"/>
      <c r="AZ293" s="51">
        <f>SUM(AZ294:AZ296)</f>
        <v>0</v>
      </c>
      <c r="BA293" s="51"/>
      <c r="BB293" s="51"/>
      <c r="BC293" s="144"/>
      <c r="BD293" s="51"/>
      <c r="BE293" s="51">
        <f>SUM(BE294:BE296)</f>
        <v>0</v>
      </c>
      <c r="BF293" s="51"/>
      <c r="BG293" s="51"/>
      <c r="BH293" s="144"/>
      <c r="BI293" s="51"/>
      <c r="BJ293" s="51">
        <f>SUM(BJ294:BJ296)</f>
        <v>0</v>
      </c>
      <c r="BK293" s="51"/>
      <c r="BL293" s="51"/>
      <c r="BM293" s="144"/>
      <c r="BN293" s="51"/>
      <c r="BO293" s="51">
        <f>SUM(BO294:BO296)</f>
        <v>0</v>
      </c>
      <c r="BP293" s="51"/>
      <c r="BQ293" s="51"/>
      <c r="BR293" s="144"/>
      <c r="BS293" s="51"/>
      <c r="BT293" s="51">
        <f>SUM(BT294:BT296)</f>
        <v>0</v>
      </c>
      <c r="BU293" s="51"/>
      <c r="BV293" s="51"/>
      <c r="BW293" s="144"/>
      <c r="BX293" s="51"/>
      <c r="BY293" s="51">
        <f>SUM(BY294:BY296)</f>
        <v>0</v>
      </c>
      <c r="BZ293" s="51"/>
      <c r="CA293" s="51"/>
      <c r="CB293" s="144"/>
      <c r="CC293" s="51"/>
      <c r="CD293" s="51">
        <f>SUM(CD294:CD296)</f>
        <v>0</v>
      </c>
      <c r="CE293" s="51"/>
      <c r="CF293" s="51"/>
      <c r="CG293" s="144"/>
      <c r="CH293" s="51"/>
      <c r="CI293" s="51">
        <f>SUM(CI294:CI296)</f>
        <v>0</v>
      </c>
      <c r="CJ293" s="51"/>
      <c r="CK293" s="51"/>
      <c r="CL293" s="144"/>
      <c r="CM293" s="51"/>
      <c r="CN293" s="51">
        <f>SUM(CN294:CN296)</f>
        <v>0</v>
      </c>
      <c r="CO293" s="51"/>
      <c r="CP293" s="51"/>
      <c r="CQ293" s="144"/>
      <c r="CR293" s="51"/>
      <c r="CS293" s="51">
        <f>SUM(CS294:CS296)</f>
        <v>0</v>
      </c>
      <c r="CT293" s="51"/>
      <c r="CU293" s="51"/>
      <c r="CV293" s="144"/>
      <c r="CW293" s="51"/>
      <c r="CX293" s="51">
        <f>SUM(CX294:CX296)</f>
        <v>0</v>
      </c>
      <c r="CY293" s="51"/>
      <c r="CZ293" s="51"/>
      <c r="DA293" s="144"/>
      <c r="DB293" s="51"/>
      <c r="DC293" s="51">
        <f>SUM(DC294:DC296)</f>
        <v>0</v>
      </c>
      <c r="DD293" s="51"/>
      <c r="DE293" s="51"/>
      <c r="DF293" s="144"/>
      <c r="DG293" s="51"/>
      <c r="DH293" s="51">
        <f>SUM(DH294:DH296)</f>
        <v>0</v>
      </c>
      <c r="DI293" s="51"/>
      <c r="DJ293" s="51"/>
      <c r="DK293" s="144"/>
      <c r="DL293" s="51"/>
      <c r="DM293" s="51">
        <f>SUM(DM294:DM296)</f>
        <v>0</v>
      </c>
      <c r="DN293" s="51"/>
      <c r="DO293" s="51"/>
      <c r="DP293" s="144"/>
      <c r="DQ293" s="51"/>
      <c r="DR293" s="51">
        <f>SUM(DR294:DR296)</f>
        <v>0</v>
      </c>
      <c r="DS293" s="51"/>
      <c r="DT293" s="51"/>
      <c r="DU293" s="144"/>
      <c r="DV293" s="51"/>
      <c r="DW293" s="51">
        <f>SUM(DW294:DW296)</f>
        <v>0</v>
      </c>
      <c r="DX293" s="51"/>
      <c r="DY293" s="51"/>
      <c r="DZ293" s="144"/>
      <c r="EA293" s="51"/>
      <c r="EB293" s="51">
        <f>SUM(EB294:EB296)</f>
        <v>0</v>
      </c>
      <c r="EC293" s="51"/>
      <c r="ED293" s="51"/>
      <c r="EE293" s="144"/>
      <c r="EF293" s="51"/>
      <c r="EG293" s="51">
        <f>SUM(EG294:EG296)</f>
        <v>0</v>
      </c>
      <c r="EH293" s="51"/>
      <c r="EI293" s="51"/>
      <c r="EJ293" s="144"/>
      <c r="EK293" s="51"/>
      <c r="EL293" s="51">
        <f>SUM(EL294:EL296)</f>
        <v>0</v>
      </c>
      <c r="EM293" s="51"/>
      <c r="EN293" s="51"/>
      <c r="EO293" s="340"/>
      <c r="ER293" s="39"/>
      <c r="ES293" s="39"/>
    </row>
    <row r="294" spans="1:149" ht="12.75" hidden="1" customHeight="1" x14ac:dyDescent="0.2">
      <c r="A294" s="317"/>
      <c r="B294" s="317"/>
      <c r="D294" s="340" t="s">
        <v>183</v>
      </c>
      <c r="F294" s="354"/>
      <c r="G294" s="430">
        <v>0</v>
      </c>
      <c r="H294" s="431"/>
      <c r="I294" s="51"/>
      <c r="J294" s="144"/>
      <c r="K294" s="432"/>
      <c r="L294" s="430">
        <v>0</v>
      </c>
      <c r="M294" s="431"/>
      <c r="N294" s="51"/>
      <c r="O294" s="144"/>
      <c r="P294" s="432"/>
      <c r="Q294" s="430">
        <v>0</v>
      </c>
      <c r="R294" s="431"/>
      <c r="S294" s="51"/>
      <c r="T294" s="144"/>
      <c r="U294" s="432"/>
      <c r="V294" s="430">
        <v>0</v>
      </c>
      <c r="W294" s="431"/>
      <c r="X294" s="51"/>
      <c r="Y294" s="144"/>
      <c r="Z294" s="432"/>
      <c r="AA294" s="430">
        <v>0</v>
      </c>
      <c r="AB294" s="431"/>
      <c r="AC294" s="51"/>
      <c r="AD294" s="144"/>
      <c r="AE294" s="432"/>
      <c r="AF294" s="430">
        <v>0</v>
      </c>
      <c r="AG294" s="431"/>
      <c r="AH294" s="51"/>
      <c r="AI294" s="144"/>
      <c r="AJ294" s="432"/>
      <c r="AK294" s="430">
        <v>0</v>
      </c>
      <c r="AL294" s="431"/>
      <c r="AM294" s="51"/>
      <c r="AN294" s="144"/>
      <c r="AO294" s="432"/>
      <c r="AP294" s="430">
        <v>0</v>
      </c>
      <c r="AQ294" s="431"/>
      <c r="AR294" s="51"/>
      <c r="AS294" s="144"/>
      <c r="AT294" s="432"/>
      <c r="AU294" s="430">
        <v>0</v>
      </c>
      <c r="AV294" s="431"/>
      <c r="AW294" s="51"/>
      <c r="AX294" s="144"/>
      <c r="AY294" s="432"/>
      <c r="AZ294" s="430">
        <v>0</v>
      </c>
      <c r="BA294" s="431"/>
      <c r="BB294" s="51"/>
      <c r="BC294" s="144"/>
      <c r="BD294" s="432"/>
      <c r="BE294" s="430">
        <v>0</v>
      </c>
      <c r="BF294" s="431"/>
      <c r="BG294" s="51"/>
      <c r="BH294" s="144"/>
      <c r="BI294" s="432"/>
      <c r="BJ294" s="430">
        <v>0</v>
      </c>
      <c r="BK294" s="431"/>
      <c r="BL294" s="51"/>
      <c r="BM294" s="144"/>
      <c r="BN294" s="432"/>
      <c r="BO294" s="430">
        <v>0</v>
      </c>
      <c r="BP294" s="431"/>
      <c r="BQ294" s="51"/>
      <c r="BR294" s="144"/>
      <c r="BS294" s="432"/>
      <c r="BT294" s="430">
        <f>SUM(L294:BO294)</f>
        <v>0</v>
      </c>
      <c r="BU294" s="431"/>
      <c r="BV294" s="51"/>
      <c r="BW294" s="144"/>
      <c r="BX294" s="432"/>
      <c r="BY294" s="430">
        <v>0</v>
      </c>
      <c r="BZ294" s="431"/>
      <c r="CA294" s="51"/>
      <c r="CB294" s="144"/>
      <c r="CC294" s="432"/>
      <c r="CD294" s="430">
        <v>0</v>
      </c>
      <c r="CE294" s="431"/>
      <c r="CF294" s="51"/>
      <c r="CG294" s="144"/>
      <c r="CH294" s="432"/>
      <c r="CI294" s="430">
        <v>0</v>
      </c>
      <c r="CJ294" s="431"/>
      <c r="CK294" s="51"/>
      <c r="CL294" s="144"/>
      <c r="CM294" s="432"/>
      <c r="CN294" s="430">
        <v>0</v>
      </c>
      <c r="CO294" s="431"/>
      <c r="CP294" s="51"/>
      <c r="CQ294" s="144"/>
      <c r="CR294" s="432"/>
      <c r="CS294" s="430">
        <v>0</v>
      </c>
      <c r="CT294" s="431"/>
      <c r="CU294" s="51"/>
      <c r="CV294" s="144"/>
      <c r="CW294" s="432"/>
      <c r="CX294" s="430">
        <v>0</v>
      </c>
      <c r="CY294" s="431"/>
      <c r="CZ294" s="51"/>
      <c r="DA294" s="144"/>
      <c r="DB294" s="432"/>
      <c r="DC294" s="430">
        <v>0</v>
      </c>
      <c r="DD294" s="431"/>
      <c r="DE294" s="51"/>
      <c r="DF294" s="144"/>
      <c r="DG294" s="432"/>
      <c r="DH294" s="430">
        <v>0</v>
      </c>
      <c r="DI294" s="431"/>
      <c r="DJ294" s="51"/>
      <c r="DK294" s="144"/>
      <c r="DL294" s="432"/>
      <c r="DM294" s="430">
        <v>0</v>
      </c>
      <c r="DN294" s="431"/>
      <c r="DO294" s="51"/>
      <c r="DP294" s="144"/>
      <c r="DQ294" s="432"/>
      <c r="DR294" s="430">
        <v>0</v>
      </c>
      <c r="DS294" s="431"/>
      <c r="DT294" s="51"/>
      <c r="DU294" s="144"/>
      <c r="DV294" s="432"/>
      <c r="DW294" s="430">
        <v>0</v>
      </c>
      <c r="DX294" s="431"/>
      <c r="DY294" s="51"/>
      <c r="DZ294" s="144"/>
      <c r="EA294" s="432"/>
      <c r="EB294" s="430">
        <v>0</v>
      </c>
      <c r="EC294" s="431"/>
      <c r="ED294" s="51"/>
      <c r="EE294" s="144"/>
      <c r="EF294" s="432"/>
      <c r="EG294" s="430">
        <v>0</v>
      </c>
      <c r="EH294" s="431"/>
      <c r="EI294" s="51"/>
      <c r="EJ294" s="144"/>
      <c r="EK294" s="432"/>
      <c r="EL294" s="430">
        <f>SUM(CD294:CD294)</f>
        <v>0</v>
      </c>
      <c r="EM294" s="431"/>
      <c r="EN294" s="51"/>
      <c r="EO294" s="340"/>
      <c r="ER294" s="39"/>
      <c r="ES294" s="39"/>
    </row>
    <row r="295" spans="1:149" ht="12.75" hidden="1" customHeight="1" x14ac:dyDescent="0.2">
      <c r="A295" s="317"/>
      <c r="B295" s="317"/>
      <c r="D295" s="340" t="s">
        <v>186</v>
      </c>
      <c r="F295" s="347"/>
      <c r="G295" s="51">
        <v>0</v>
      </c>
      <c r="H295" s="50"/>
      <c r="I295" s="51"/>
      <c r="J295" s="144"/>
      <c r="K295" s="144"/>
      <c r="L295" s="51">
        <v>0</v>
      </c>
      <c r="M295" s="50"/>
      <c r="N295" s="51"/>
      <c r="O295" s="144"/>
      <c r="P295" s="144"/>
      <c r="Q295" s="51">
        <v>0</v>
      </c>
      <c r="R295" s="50"/>
      <c r="S295" s="51"/>
      <c r="T295" s="144"/>
      <c r="U295" s="144"/>
      <c r="V295" s="51">
        <v>0</v>
      </c>
      <c r="W295" s="50"/>
      <c r="X295" s="51"/>
      <c r="Y295" s="144"/>
      <c r="Z295" s="144"/>
      <c r="AA295" s="51">
        <v>0</v>
      </c>
      <c r="AB295" s="50"/>
      <c r="AC295" s="51"/>
      <c r="AD295" s="144"/>
      <c r="AE295" s="144"/>
      <c r="AF295" s="51">
        <v>0</v>
      </c>
      <c r="AG295" s="50"/>
      <c r="AH295" s="51"/>
      <c r="AI295" s="144"/>
      <c r="AJ295" s="144"/>
      <c r="AK295" s="51">
        <v>0</v>
      </c>
      <c r="AL295" s="50"/>
      <c r="AM295" s="51"/>
      <c r="AN295" s="144"/>
      <c r="AO295" s="144"/>
      <c r="AP295" s="51">
        <v>0</v>
      </c>
      <c r="AQ295" s="50"/>
      <c r="AR295" s="51"/>
      <c r="AS295" s="144"/>
      <c r="AT295" s="144"/>
      <c r="AU295" s="51">
        <v>0</v>
      </c>
      <c r="AV295" s="50"/>
      <c r="AW295" s="51"/>
      <c r="AX295" s="144"/>
      <c r="AY295" s="144"/>
      <c r="AZ295" s="51">
        <v>0</v>
      </c>
      <c r="BA295" s="50"/>
      <c r="BB295" s="51"/>
      <c r="BC295" s="144"/>
      <c r="BD295" s="144"/>
      <c r="BE295" s="51">
        <v>0</v>
      </c>
      <c r="BF295" s="50"/>
      <c r="BG295" s="51"/>
      <c r="BH295" s="144"/>
      <c r="BI295" s="144"/>
      <c r="BJ295" s="51">
        <v>0</v>
      </c>
      <c r="BK295" s="50"/>
      <c r="BL295" s="51"/>
      <c r="BM295" s="144"/>
      <c r="BN295" s="144"/>
      <c r="BO295" s="51">
        <v>0</v>
      </c>
      <c r="BP295" s="50"/>
      <c r="BQ295" s="51"/>
      <c r="BR295" s="144"/>
      <c r="BS295" s="144"/>
      <c r="BT295" s="51">
        <f>SUM(L295:BO295)</f>
        <v>0</v>
      </c>
      <c r="BU295" s="50"/>
      <c r="BV295" s="51"/>
      <c r="BW295" s="144"/>
      <c r="BX295" s="144"/>
      <c r="BY295" s="51">
        <v>0</v>
      </c>
      <c r="BZ295" s="50"/>
      <c r="CA295" s="51"/>
      <c r="CB295" s="144"/>
      <c r="CC295" s="144"/>
      <c r="CD295" s="51">
        <v>0</v>
      </c>
      <c r="CE295" s="50"/>
      <c r="CF295" s="51"/>
      <c r="CG295" s="144"/>
      <c r="CH295" s="144"/>
      <c r="CI295" s="51">
        <v>0</v>
      </c>
      <c r="CJ295" s="50"/>
      <c r="CK295" s="51"/>
      <c r="CL295" s="144"/>
      <c r="CM295" s="144"/>
      <c r="CN295" s="51">
        <v>0</v>
      </c>
      <c r="CO295" s="50"/>
      <c r="CP295" s="51"/>
      <c r="CQ295" s="144"/>
      <c r="CR295" s="144"/>
      <c r="CS295" s="51">
        <v>0</v>
      </c>
      <c r="CT295" s="50"/>
      <c r="CU295" s="51"/>
      <c r="CV295" s="144"/>
      <c r="CW295" s="144"/>
      <c r="CX295" s="51">
        <v>0</v>
      </c>
      <c r="CY295" s="50"/>
      <c r="CZ295" s="51"/>
      <c r="DA295" s="144"/>
      <c r="DB295" s="144"/>
      <c r="DC295" s="51">
        <v>0</v>
      </c>
      <c r="DD295" s="50"/>
      <c r="DE295" s="51"/>
      <c r="DF295" s="144"/>
      <c r="DG295" s="144"/>
      <c r="DH295" s="51">
        <v>0</v>
      </c>
      <c r="DI295" s="50"/>
      <c r="DJ295" s="51"/>
      <c r="DK295" s="144"/>
      <c r="DL295" s="144"/>
      <c r="DM295" s="51">
        <v>0</v>
      </c>
      <c r="DN295" s="50"/>
      <c r="DO295" s="51"/>
      <c r="DP295" s="144"/>
      <c r="DQ295" s="144"/>
      <c r="DR295" s="51">
        <v>0</v>
      </c>
      <c r="DS295" s="50"/>
      <c r="DT295" s="51"/>
      <c r="DU295" s="144"/>
      <c r="DV295" s="144"/>
      <c r="DW295" s="51">
        <v>0</v>
      </c>
      <c r="DX295" s="50"/>
      <c r="DY295" s="51"/>
      <c r="DZ295" s="144"/>
      <c r="EA295" s="144"/>
      <c r="EB295" s="51">
        <v>0</v>
      </c>
      <c r="EC295" s="50"/>
      <c r="ED295" s="51"/>
      <c r="EE295" s="144"/>
      <c r="EF295" s="144"/>
      <c r="EG295" s="51">
        <v>0</v>
      </c>
      <c r="EH295" s="50"/>
      <c r="EI295" s="51"/>
      <c r="EJ295" s="144"/>
      <c r="EK295" s="144"/>
      <c r="EL295" s="51">
        <f>SUM(CD295:CD295)</f>
        <v>0</v>
      </c>
      <c r="EM295" s="50"/>
      <c r="EN295" s="51"/>
      <c r="EO295" s="340"/>
      <c r="ER295" s="39"/>
      <c r="ES295" s="39"/>
    </row>
    <row r="296" spans="1:149" ht="12.75" hidden="1" customHeight="1" x14ac:dyDescent="0.2">
      <c r="A296" s="317"/>
      <c r="B296" s="317"/>
      <c r="D296" s="340" t="s">
        <v>187</v>
      </c>
      <c r="F296" s="371"/>
      <c r="G296" s="95">
        <v>0</v>
      </c>
      <c r="H296" s="94"/>
      <c r="I296" s="51"/>
      <c r="J296" s="144"/>
      <c r="K296" s="187"/>
      <c r="L296" s="95">
        <v>0</v>
      </c>
      <c r="M296" s="94"/>
      <c r="N296" s="51"/>
      <c r="O296" s="144"/>
      <c r="P296" s="187"/>
      <c r="Q296" s="95">
        <v>0</v>
      </c>
      <c r="R296" s="94"/>
      <c r="S296" s="51"/>
      <c r="T296" s="144"/>
      <c r="U296" s="187"/>
      <c r="V296" s="95">
        <v>0</v>
      </c>
      <c r="W296" s="94"/>
      <c r="X296" s="51"/>
      <c r="Y296" s="144"/>
      <c r="Z296" s="187"/>
      <c r="AA296" s="95">
        <v>0</v>
      </c>
      <c r="AB296" s="94"/>
      <c r="AC296" s="51"/>
      <c r="AD296" s="144"/>
      <c r="AE296" s="187"/>
      <c r="AF296" s="95">
        <v>0</v>
      </c>
      <c r="AG296" s="94"/>
      <c r="AH296" s="51"/>
      <c r="AI296" s="144"/>
      <c r="AJ296" s="187"/>
      <c r="AK296" s="95">
        <v>0</v>
      </c>
      <c r="AL296" s="94"/>
      <c r="AM296" s="51"/>
      <c r="AN296" s="144"/>
      <c r="AO296" s="187"/>
      <c r="AP296" s="95">
        <v>0</v>
      </c>
      <c r="AQ296" s="94"/>
      <c r="AR296" s="51"/>
      <c r="AS296" s="144"/>
      <c r="AT296" s="187"/>
      <c r="AU296" s="95">
        <v>0</v>
      </c>
      <c r="AV296" s="94"/>
      <c r="AW296" s="51"/>
      <c r="AX296" s="144"/>
      <c r="AY296" s="187"/>
      <c r="AZ296" s="95">
        <v>0</v>
      </c>
      <c r="BA296" s="94"/>
      <c r="BB296" s="51"/>
      <c r="BC296" s="144"/>
      <c r="BD296" s="187"/>
      <c r="BE296" s="95">
        <v>0</v>
      </c>
      <c r="BF296" s="94"/>
      <c r="BG296" s="51"/>
      <c r="BH296" s="144"/>
      <c r="BI296" s="187"/>
      <c r="BJ296" s="95">
        <v>0</v>
      </c>
      <c r="BK296" s="94"/>
      <c r="BL296" s="51"/>
      <c r="BM296" s="144"/>
      <c r="BN296" s="187"/>
      <c r="BO296" s="95">
        <v>0</v>
      </c>
      <c r="BP296" s="94"/>
      <c r="BQ296" s="51"/>
      <c r="BR296" s="144"/>
      <c r="BS296" s="187"/>
      <c r="BT296" s="95">
        <f>SUM(L296:BO296)</f>
        <v>0</v>
      </c>
      <c r="BU296" s="94"/>
      <c r="BV296" s="51"/>
      <c r="BW296" s="144"/>
      <c r="BX296" s="187"/>
      <c r="BY296" s="95">
        <v>0</v>
      </c>
      <c r="BZ296" s="94"/>
      <c r="CA296" s="51"/>
      <c r="CB296" s="144"/>
      <c r="CC296" s="187"/>
      <c r="CD296" s="95">
        <v>0</v>
      </c>
      <c r="CE296" s="94"/>
      <c r="CF296" s="51"/>
      <c r="CG296" s="144"/>
      <c r="CH296" s="187"/>
      <c r="CI296" s="95">
        <v>0</v>
      </c>
      <c r="CJ296" s="94"/>
      <c r="CK296" s="51"/>
      <c r="CL296" s="144"/>
      <c r="CM296" s="187"/>
      <c r="CN296" s="95">
        <v>0</v>
      </c>
      <c r="CO296" s="94"/>
      <c r="CP296" s="51"/>
      <c r="CQ296" s="144"/>
      <c r="CR296" s="187"/>
      <c r="CS296" s="95">
        <v>0</v>
      </c>
      <c r="CT296" s="94"/>
      <c r="CU296" s="51"/>
      <c r="CV296" s="144"/>
      <c r="CW296" s="187"/>
      <c r="CX296" s="95">
        <v>0</v>
      </c>
      <c r="CY296" s="94"/>
      <c r="CZ296" s="51"/>
      <c r="DA296" s="144"/>
      <c r="DB296" s="187"/>
      <c r="DC296" s="95">
        <v>0</v>
      </c>
      <c r="DD296" s="94"/>
      <c r="DE296" s="51"/>
      <c r="DF296" s="144"/>
      <c r="DG296" s="187"/>
      <c r="DH296" s="95">
        <v>0</v>
      </c>
      <c r="DI296" s="94"/>
      <c r="DJ296" s="51"/>
      <c r="DK296" s="144"/>
      <c r="DL296" s="187"/>
      <c r="DM296" s="95">
        <v>0</v>
      </c>
      <c r="DN296" s="94"/>
      <c r="DO296" s="51"/>
      <c r="DP296" s="144"/>
      <c r="DQ296" s="187"/>
      <c r="DR296" s="95">
        <v>0</v>
      </c>
      <c r="DS296" s="94"/>
      <c r="DT296" s="51"/>
      <c r="DU296" s="144"/>
      <c r="DV296" s="187"/>
      <c r="DW296" s="95">
        <v>0</v>
      </c>
      <c r="DX296" s="94"/>
      <c r="DY296" s="51"/>
      <c r="DZ296" s="144"/>
      <c r="EA296" s="187"/>
      <c r="EB296" s="95">
        <v>0</v>
      </c>
      <c r="EC296" s="94"/>
      <c r="ED296" s="51"/>
      <c r="EE296" s="144"/>
      <c r="EF296" s="187"/>
      <c r="EG296" s="95">
        <v>0</v>
      </c>
      <c r="EH296" s="94"/>
      <c r="EI296" s="51"/>
      <c r="EJ296" s="144"/>
      <c r="EK296" s="187"/>
      <c r="EL296" s="95">
        <f>SUM(CD296:CD296)</f>
        <v>0</v>
      </c>
      <c r="EM296" s="94"/>
      <c r="EN296" s="51"/>
      <c r="EO296" s="340"/>
      <c r="ER296" s="39"/>
      <c r="ES296" s="39"/>
    </row>
    <row r="297" spans="1:149" ht="12.75" hidden="1" customHeight="1" x14ac:dyDescent="0.2">
      <c r="A297" s="317"/>
      <c r="B297" s="317"/>
      <c r="D297" s="340"/>
      <c r="F297" s="317"/>
      <c r="G297" s="51"/>
      <c r="H297" s="51"/>
      <c r="I297" s="51"/>
      <c r="J297" s="144"/>
      <c r="K297" s="51"/>
      <c r="L297" s="51"/>
      <c r="M297" s="51"/>
      <c r="N297" s="51"/>
      <c r="O297" s="144"/>
      <c r="P297" s="51"/>
      <c r="Q297" s="51"/>
      <c r="R297" s="51"/>
      <c r="S297" s="51"/>
      <c r="T297" s="144"/>
      <c r="U297" s="51"/>
      <c r="V297" s="51"/>
      <c r="W297" s="51"/>
      <c r="X297" s="51"/>
      <c r="Y297" s="144"/>
      <c r="Z297" s="51"/>
      <c r="AA297" s="51"/>
      <c r="AB297" s="51"/>
      <c r="AC297" s="51"/>
      <c r="AD297" s="144"/>
      <c r="AE297" s="51"/>
      <c r="AF297" s="51"/>
      <c r="AG297" s="51"/>
      <c r="AH297" s="51"/>
      <c r="AI297" s="144"/>
      <c r="AJ297" s="51"/>
      <c r="AK297" s="51"/>
      <c r="AL297" s="51"/>
      <c r="AM297" s="51"/>
      <c r="AN297" s="144"/>
      <c r="AO297" s="51"/>
      <c r="AP297" s="51"/>
      <c r="AQ297" s="51"/>
      <c r="AR297" s="51"/>
      <c r="AS297" s="144"/>
      <c r="AT297" s="51"/>
      <c r="AU297" s="51"/>
      <c r="AV297" s="51"/>
      <c r="AW297" s="51"/>
      <c r="AX297" s="144"/>
      <c r="AY297" s="51"/>
      <c r="AZ297" s="51"/>
      <c r="BA297" s="51"/>
      <c r="BB297" s="51"/>
      <c r="BC297" s="144"/>
      <c r="BD297" s="51"/>
      <c r="BE297" s="51"/>
      <c r="BF297" s="51"/>
      <c r="BG297" s="51"/>
      <c r="BH297" s="144"/>
      <c r="BI297" s="51"/>
      <c r="BJ297" s="51"/>
      <c r="BK297" s="51"/>
      <c r="BL297" s="51"/>
      <c r="BM297" s="144"/>
      <c r="BN297" s="51"/>
      <c r="BO297" s="51"/>
      <c r="BP297" s="51"/>
      <c r="BQ297" s="51"/>
      <c r="BR297" s="144"/>
      <c r="BS297" s="51"/>
      <c r="BT297" s="51"/>
      <c r="BU297" s="51"/>
      <c r="BV297" s="51"/>
      <c r="BW297" s="144"/>
      <c r="BX297" s="51"/>
      <c r="BY297" s="51"/>
      <c r="BZ297" s="51"/>
      <c r="CA297" s="51"/>
      <c r="CB297" s="144"/>
      <c r="CC297" s="51"/>
      <c r="CD297" s="51"/>
      <c r="CE297" s="51"/>
      <c r="CF297" s="51"/>
      <c r="CG297" s="144"/>
      <c r="CH297" s="51"/>
      <c r="CI297" s="51"/>
      <c r="CJ297" s="51"/>
      <c r="CK297" s="51"/>
      <c r="CL297" s="144"/>
      <c r="CM297" s="51"/>
      <c r="CN297" s="51"/>
      <c r="CO297" s="51"/>
      <c r="CP297" s="51"/>
      <c r="CQ297" s="144"/>
      <c r="CR297" s="51"/>
      <c r="CS297" s="51"/>
      <c r="CT297" s="51"/>
      <c r="CU297" s="51"/>
      <c r="CV297" s="144"/>
      <c r="CW297" s="51"/>
      <c r="CX297" s="51"/>
      <c r="CY297" s="51"/>
      <c r="CZ297" s="51"/>
      <c r="DA297" s="144"/>
      <c r="DB297" s="51"/>
      <c r="DC297" s="51"/>
      <c r="DD297" s="51"/>
      <c r="DE297" s="51"/>
      <c r="DF297" s="144"/>
      <c r="DG297" s="51"/>
      <c r="DH297" s="51"/>
      <c r="DI297" s="51"/>
      <c r="DJ297" s="51"/>
      <c r="DK297" s="144"/>
      <c r="DL297" s="51"/>
      <c r="DM297" s="51"/>
      <c r="DN297" s="51"/>
      <c r="DO297" s="51"/>
      <c r="DP297" s="144"/>
      <c r="DQ297" s="51"/>
      <c r="DR297" s="51"/>
      <c r="DS297" s="51"/>
      <c r="DT297" s="51"/>
      <c r="DU297" s="144"/>
      <c r="DV297" s="51"/>
      <c r="DW297" s="51"/>
      <c r="DX297" s="51"/>
      <c r="DY297" s="51"/>
      <c r="DZ297" s="144"/>
      <c r="EA297" s="51"/>
      <c r="EB297" s="51"/>
      <c r="EC297" s="51"/>
      <c r="ED297" s="51"/>
      <c r="EE297" s="144"/>
      <c r="EF297" s="51"/>
      <c r="EG297" s="51"/>
      <c r="EH297" s="51"/>
      <c r="EI297" s="51"/>
      <c r="EJ297" s="144"/>
      <c r="EK297" s="51"/>
      <c r="EL297" s="51"/>
      <c r="EM297" s="51"/>
      <c r="EN297" s="51"/>
      <c r="EO297" s="340"/>
      <c r="ER297" s="39"/>
      <c r="ES297" s="39"/>
    </row>
    <row r="298" spans="1:149" ht="12.75" customHeight="1" x14ac:dyDescent="0.2">
      <c r="A298" s="317"/>
      <c r="B298" s="317"/>
      <c r="D298" s="340" t="s">
        <v>209</v>
      </c>
      <c r="F298" s="317"/>
      <c r="G298" s="51">
        <f>SUM(G299:G301)</f>
        <v>1844694</v>
      </c>
      <c r="H298" s="51"/>
      <c r="I298" s="51"/>
      <c r="J298" s="144"/>
      <c r="K298" s="51"/>
      <c r="L298" s="51">
        <f>SUM(L299:L301)</f>
        <v>178480</v>
      </c>
      <c r="M298" s="51"/>
      <c r="N298" s="51"/>
      <c r="O298" s="144"/>
      <c r="P298" s="51"/>
      <c r="Q298" s="51">
        <f>SUM(Q299:Q301)</f>
        <v>1666214</v>
      </c>
      <c r="R298" s="51"/>
      <c r="S298" s="51"/>
      <c r="T298" s="144"/>
      <c r="U298" s="51"/>
      <c r="V298" s="51">
        <f>SUM(V299:V301)</f>
        <v>0</v>
      </c>
      <c r="W298" s="51"/>
      <c r="X298" s="51"/>
      <c r="Y298" s="144"/>
      <c r="Z298" s="51"/>
      <c r="AA298" s="51">
        <f>SUM(AA299:AA301)</f>
        <v>0</v>
      </c>
      <c r="AB298" s="51"/>
      <c r="AC298" s="51"/>
      <c r="AD298" s="144"/>
      <c r="AE298" s="51"/>
      <c r="AF298" s="51">
        <f>SUM(AF299:AF301)</f>
        <v>0</v>
      </c>
      <c r="AG298" s="51"/>
      <c r="AH298" s="51"/>
      <c r="AI298" s="144"/>
      <c r="AJ298" s="51"/>
      <c r="AK298" s="51">
        <f>SUM(AK299:AK301)</f>
        <v>0</v>
      </c>
      <c r="AL298" s="51"/>
      <c r="AM298" s="51"/>
      <c r="AN298" s="144"/>
      <c r="AO298" s="51"/>
      <c r="AP298" s="51">
        <f>SUM(AP299:AP301)</f>
        <v>0</v>
      </c>
      <c r="AQ298" s="51"/>
      <c r="AR298" s="51"/>
      <c r="AS298" s="144"/>
      <c r="AT298" s="51"/>
      <c r="AU298" s="51">
        <f>SUM(AU299:AU301)</f>
        <v>0</v>
      </c>
      <c r="AV298" s="51"/>
      <c r="AW298" s="51"/>
      <c r="AX298" s="144"/>
      <c r="AY298" s="51"/>
      <c r="AZ298" s="51">
        <f>SUM(AZ299:AZ301)</f>
        <v>0</v>
      </c>
      <c r="BA298" s="51"/>
      <c r="BB298" s="51"/>
      <c r="BC298" s="144"/>
      <c r="BD298" s="51"/>
      <c r="BE298" s="51">
        <f>SUM(BE299:BE301)</f>
        <v>0</v>
      </c>
      <c r="BF298" s="51"/>
      <c r="BG298" s="51"/>
      <c r="BH298" s="144"/>
      <c r="BI298" s="51"/>
      <c r="BJ298" s="51">
        <f>SUM(BJ299:BJ301)</f>
        <v>0</v>
      </c>
      <c r="BK298" s="51"/>
      <c r="BL298" s="51"/>
      <c r="BM298" s="144"/>
      <c r="BN298" s="51"/>
      <c r="BO298" s="51">
        <f>SUM(BO299:BO301)</f>
        <v>0</v>
      </c>
      <c r="BP298" s="51"/>
      <c r="BQ298" s="51"/>
      <c r="BR298" s="144"/>
      <c r="BS298" s="51"/>
      <c r="BT298" s="51">
        <f>SUM(BT299:BT301)</f>
        <v>1844694</v>
      </c>
      <c r="BU298" s="51"/>
      <c r="BV298" s="51"/>
      <c r="BW298" s="144"/>
      <c r="BX298" s="51"/>
      <c r="BY298" s="51">
        <f>SUM(BY299:BY301)</f>
        <v>1503095</v>
      </c>
      <c r="BZ298" s="51"/>
      <c r="CA298" s="51"/>
      <c r="CB298" s="144"/>
      <c r="CC298" s="51"/>
      <c r="CD298" s="51">
        <f>SUM(CD299:CD301)</f>
        <v>0</v>
      </c>
      <c r="CE298" s="51"/>
      <c r="CF298" s="51"/>
      <c r="CG298" s="144"/>
      <c r="CH298" s="51"/>
      <c r="CI298" s="51">
        <f>SUM(CI299:CI301)</f>
        <v>0</v>
      </c>
      <c r="CJ298" s="51"/>
      <c r="CK298" s="51"/>
      <c r="CL298" s="144"/>
      <c r="CM298" s="51"/>
      <c r="CN298" s="51">
        <f>SUM(CN299:CN301)</f>
        <v>0</v>
      </c>
      <c r="CO298" s="51"/>
      <c r="CP298" s="51"/>
      <c r="CQ298" s="144"/>
      <c r="CR298" s="51"/>
      <c r="CS298" s="51">
        <f>SUM(CS299:CS301)</f>
        <v>0</v>
      </c>
      <c r="CT298" s="51"/>
      <c r="CU298" s="51"/>
      <c r="CV298" s="144"/>
      <c r="CW298" s="51"/>
      <c r="CX298" s="51">
        <f>SUM(CX299:CX301)</f>
        <v>0</v>
      </c>
      <c r="CY298" s="51"/>
      <c r="CZ298" s="51"/>
      <c r="DA298" s="144"/>
      <c r="DB298" s="51"/>
      <c r="DC298" s="51">
        <f>SUM(DC299:DC301)</f>
        <v>0</v>
      </c>
      <c r="DD298" s="51"/>
      <c r="DE298" s="51"/>
      <c r="DF298" s="144"/>
      <c r="DG298" s="51"/>
      <c r="DH298" s="51">
        <f>SUM(DH299:DH301)</f>
        <v>0</v>
      </c>
      <c r="DI298" s="51"/>
      <c r="DJ298" s="51"/>
      <c r="DK298" s="144"/>
      <c r="DL298" s="51"/>
      <c r="DM298" s="51">
        <f>SUM(DM299:DM301)</f>
        <v>1232510</v>
      </c>
      <c r="DN298" s="51"/>
      <c r="DO298" s="51"/>
      <c r="DP298" s="144"/>
      <c r="DQ298" s="51"/>
      <c r="DR298" s="51">
        <f>SUM(DR299:DR301)</f>
        <v>270585</v>
      </c>
      <c r="DS298" s="51"/>
      <c r="DT298" s="51"/>
      <c r="DU298" s="144"/>
      <c r="DV298" s="51"/>
      <c r="DW298" s="51">
        <f>SUM(DW299:DW301)</f>
        <v>0</v>
      </c>
      <c r="DX298" s="51"/>
      <c r="DY298" s="51"/>
      <c r="DZ298" s="144"/>
      <c r="EA298" s="51"/>
      <c r="EB298" s="51">
        <f>SUM(EB299:EB301)</f>
        <v>0</v>
      </c>
      <c r="EC298" s="51"/>
      <c r="ED298" s="51"/>
      <c r="EE298" s="144"/>
      <c r="EF298" s="51"/>
      <c r="EG298" s="51">
        <f>SUM(EG299:EG301)</f>
        <v>0</v>
      </c>
      <c r="EH298" s="51"/>
      <c r="EI298" s="51"/>
      <c r="EJ298" s="144"/>
      <c r="EK298" s="51"/>
      <c r="EL298" s="51">
        <f>SUM(EL299:EL301)</f>
        <v>0</v>
      </c>
      <c r="EM298" s="51"/>
      <c r="EN298" s="51"/>
      <c r="EO298" s="340"/>
      <c r="ER298" s="39"/>
      <c r="ES298" s="39"/>
    </row>
    <row r="299" spans="1:149" ht="12.75" customHeight="1" x14ac:dyDescent="0.2">
      <c r="A299" s="317"/>
      <c r="B299" s="317"/>
      <c r="D299" s="340" t="s">
        <v>183</v>
      </c>
      <c r="F299" s="354"/>
      <c r="G299" s="430">
        <v>1521404</v>
      </c>
      <c r="H299" s="431"/>
      <c r="I299" s="51"/>
      <c r="J299" s="144"/>
      <c r="K299" s="432"/>
      <c r="L299" s="430">
        <f>178480-27238</f>
        <v>151242</v>
      </c>
      <c r="M299" s="431"/>
      <c r="N299" s="51"/>
      <c r="O299" s="144"/>
      <c r="P299" s="432"/>
      <c r="Q299" s="430">
        <f>1666214-296052</f>
        <v>1370162</v>
      </c>
      <c r="R299" s="431"/>
      <c r="S299" s="51"/>
      <c r="T299" s="144"/>
      <c r="U299" s="432"/>
      <c r="V299" s="430">
        <v>0</v>
      </c>
      <c r="W299" s="431"/>
      <c r="X299" s="51"/>
      <c r="Y299" s="144"/>
      <c r="Z299" s="432"/>
      <c r="AA299" s="430">
        <v>0</v>
      </c>
      <c r="AB299" s="431"/>
      <c r="AC299" s="51"/>
      <c r="AD299" s="144"/>
      <c r="AE299" s="432"/>
      <c r="AF299" s="430">
        <v>0</v>
      </c>
      <c r="AG299" s="431"/>
      <c r="AH299" s="51"/>
      <c r="AI299" s="144"/>
      <c r="AJ299" s="432"/>
      <c r="AK299" s="430">
        <v>0</v>
      </c>
      <c r="AL299" s="431"/>
      <c r="AM299" s="51"/>
      <c r="AN299" s="144"/>
      <c r="AO299" s="432"/>
      <c r="AP299" s="430">
        <v>0</v>
      </c>
      <c r="AQ299" s="431"/>
      <c r="AR299" s="51"/>
      <c r="AS299" s="144"/>
      <c r="AT299" s="432"/>
      <c r="AU299" s="430">
        <v>0</v>
      </c>
      <c r="AV299" s="431"/>
      <c r="AW299" s="51"/>
      <c r="AX299" s="144"/>
      <c r="AY299" s="432"/>
      <c r="AZ299" s="430">
        <v>0</v>
      </c>
      <c r="BA299" s="431"/>
      <c r="BB299" s="51"/>
      <c r="BC299" s="144"/>
      <c r="BD299" s="432"/>
      <c r="BE299" s="430">
        <v>0</v>
      </c>
      <c r="BF299" s="431"/>
      <c r="BG299" s="51"/>
      <c r="BH299" s="144"/>
      <c r="BI299" s="432"/>
      <c r="BJ299" s="430">
        <v>0</v>
      </c>
      <c r="BK299" s="431"/>
      <c r="BL299" s="51"/>
      <c r="BM299" s="144"/>
      <c r="BN299" s="432"/>
      <c r="BO299" s="430">
        <v>0</v>
      </c>
      <c r="BP299" s="431"/>
      <c r="BQ299" s="51"/>
      <c r="BR299" s="144"/>
      <c r="BS299" s="432"/>
      <c r="BT299" s="430">
        <f>SUM(L299:BO299)</f>
        <v>1521404</v>
      </c>
      <c r="BU299" s="431"/>
      <c r="BV299" s="51"/>
      <c r="BW299" s="144"/>
      <c r="BX299" s="432"/>
      <c r="BY299" s="430">
        <v>1237035</v>
      </c>
      <c r="BZ299" s="431"/>
      <c r="CA299" s="51"/>
      <c r="CB299" s="144"/>
      <c r="CC299" s="432"/>
      <c r="CD299" s="430">
        <v>0</v>
      </c>
      <c r="CE299" s="431"/>
      <c r="CF299" s="51"/>
      <c r="CG299" s="144"/>
      <c r="CH299" s="432"/>
      <c r="CI299" s="430">
        <v>0</v>
      </c>
      <c r="CJ299" s="431"/>
      <c r="CK299" s="51"/>
      <c r="CL299" s="144"/>
      <c r="CM299" s="432"/>
      <c r="CN299" s="430">
        <v>0</v>
      </c>
      <c r="CO299" s="431"/>
      <c r="CP299" s="51"/>
      <c r="CQ299" s="144"/>
      <c r="CR299" s="432"/>
      <c r="CS299" s="430">
        <v>0</v>
      </c>
      <c r="CT299" s="431"/>
      <c r="CU299" s="51"/>
      <c r="CV299" s="144"/>
      <c r="CW299" s="432"/>
      <c r="CX299" s="430">
        <v>0</v>
      </c>
      <c r="CY299" s="431"/>
      <c r="CZ299" s="51"/>
      <c r="DA299" s="144"/>
      <c r="DB299" s="432"/>
      <c r="DC299" s="430">
        <v>0</v>
      </c>
      <c r="DD299" s="431"/>
      <c r="DE299" s="51"/>
      <c r="DF299" s="144"/>
      <c r="DG299" s="432"/>
      <c r="DH299" s="430">
        <v>0</v>
      </c>
      <c r="DI299" s="431"/>
      <c r="DJ299" s="51"/>
      <c r="DK299" s="144"/>
      <c r="DL299" s="432"/>
      <c r="DM299" s="430">
        <f>1232510-218983</f>
        <v>1013527</v>
      </c>
      <c r="DN299" s="431"/>
      <c r="DO299" s="51"/>
      <c r="DP299" s="144"/>
      <c r="DQ299" s="432"/>
      <c r="DR299" s="430">
        <f>270585-47077</f>
        <v>223508</v>
      </c>
      <c r="DS299" s="431"/>
      <c r="DT299" s="51"/>
      <c r="DU299" s="144"/>
      <c r="DV299" s="432"/>
      <c r="DW299" s="430">
        <v>0</v>
      </c>
      <c r="DX299" s="431"/>
      <c r="DY299" s="51"/>
      <c r="DZ299" s="144"/>
      <c r="EA299" s="432"/>
      <c r="EB299" s="430">
        <v>0</v>
      </c>
      <c r="EC299" s="431"/>
      <c r="ED299" s="51"/>
      <c r="EE299" s="144"/>
      <c r="EF299" s="432"/>
      <c r="EG299" s="430">
        <v>0</v>
      </c>
      <c r="EH299" s="431"/>
      <c r="EI299" s="51"/>
      <c r="EJ299" s="144"/>
      <c r="EK299" s="432"/>
      <c r="EL299" s="430">
        <f t="shared" ref="EL299:EL301" si="25">SUM(CD299:DH299)</f>
        <v>0</v>
      </c>
      <c r="EM299" s="431"/>
      <c r="EN299" s="51"/>
      <c r="EO299" s="340"/>
      <c r="ER299" s="39"/>
      <c r="ES299" s="39"/>
    </row>
    <row r="300" spans="1:149" ht="12.75" customHeight="1" x14ac:dyDescent="0.2">
      <c r="A300" s="317"/>
      <c r="B300" s="317"/>
      <c r="D300" s="340" t="s">
        <v>186</v>
      </c>
      <c r="F300" s="347"/>
      <c r="G300" s="51">
        <v>323290</v>
      </c>
      <c r="H300" s="50"/>
      <c r="I300" s="51"/>
      <c r="J300" s="144"/>
      <c r="K300" s="144"/>
      <c r="L300" s="51">
        <v>27238</v>
      </c>
      <c r="M300" s="50"/>
      <c r="N300" s="51"/>
      <c r="O300" s="144"/>
      <c r="P300" s="144"/>
      <c r="Q300" s="51">
        <v>296052</v>
      </c>
      <c r="R300" s="50"/>
      <c r="S300" s="51"/>
      <c r="T300" s="144"/>
      <c r="U300" s="144"/>
      <c r="V300" s="51">
        <v>0</v>
      </c>
      <c r="W300" s="50"/>
      <c r="X300" s="51"/>
      <c r="Y300" s="144"/>
      <c r="Z300" s="144"/>
      <c r="AA300" s="51">
        <v>0</v>
      </c>
      <c r="AB300" s="50"/>
      <c r="AC300" s="51"/>
      <c r="AD300" s="144"/>
      <c r="AE300" s="144"/>
      <c r="AF300" s="51">
        <v>0</v>
      </c>
      <c r="AG300" s="50"/>
      <c r="AH300" s="51"/>
      <c r="AI300" s="144"/>
      <c r="AJ300" s="144"/>
      <c r="AK300" s="51">
        <v>0</v>
      </c>
      <c r="AL300" s="50"/>
      <c r="AM300" s="51"/>
      <c r="AN300" s="144"/>
      <c r="AO300" s="144"/>
      <c r="AP300" s="51">
        <v>0</v>
      </c>
      <c r="AQ300" s="50"/>
      <c r="AR300" s="51"/>
      <c r="AS300" s="144"/>
      <c r="AT300" s="144"/>
      <c r="AU300" s="51">
        <v>0</v>
      </c>
      <c r="AV300" s="50"/>
      <c r="AW300" s="51"/>
      <c r="AX300" s="144"/>
      <c r="AY300" s="144"/>
      <c r="AZ300" s="51">
        <v>0</v>
      </c>
      <c r="BA300" s="50"/>
      <c r="BB300" s="51"/>
      <c r="BC300" s="144"/>
      <c r="BD300" s="144"/>
      <c r="BE300" s="51">
        <v>0</v>
      </c>
      <c r="BF300" s="50"/>
      <c r="BG300" s="51"/>
      <c r="BH300" s="144"/>
      <c r="BI300" s="144"/>
      <c r="BJ300" s="51">
        <v>0</v>
      </c>
      <c r="BK300" s="50"/>
      <c r="BL300" s="51"/>
      <c r="BM300" s="144"/>
      <c r="BN300" s="144"/>
      <c r="BO300" s="51">
        <v>0</v>
      </c>
      <c r="BP300" s="50"/>
      <c r="BQ300" s="51"/>
      <c r="BR300" s="144"/>
      <c r="BS300" s="144"/>
      <c r="BT300" s="51">
        <f>SUM(L300:BO300)</f>
        <v>323290</v>
      </c>
      <c r="BU300" s="50"/>
      <c r="BV300" s="51"/>
      <c r="BW300" s="144"/>
      <c r="BX300" s="144"/>
      <c r="BY300" s="51">
        <v>266060</v>
      </c>
      <c r="BZ300" s="50"/>
      <c r="CA300" s="51"/>
      <c r="CB300" s="144"/>
      <c r="CC300" s="144"/>
      <c r="CD300" s="51">
        <v>0</v>
      </c>
      <c r="CE300" s="50"/>
      <c r="CF300" s="51"/>
      <c r="CG300" s="144"/>
      <c r="CH300" s="144"/>
      <c r="CI300" s="51">
        <v>0</v>
      </c>
      <c r="CJ300" s="50"/>
      <c r="CK300" s="51"/>
      <c r="CL300" s="144"/>
      <c r="CM300" s="144"/>
      <c r="CN300" s="51">
        <v>0</v>
      </c>
      <c r="CO300" s="50"/>
      <c r="CP300" s="51"/>
      <c r="CQ300" s="144"/>
      <c r="CR300" s="144"/>
      <c r="CS300" s="51">
        <v>0</v>
      </c>
      <c r="CT300" s="50"/>
      <c r="CU300" s="51"/>
      <c r="CV300" s="144"/>
      <c r="CW300" s="144"/>
      <c r="CX300" s="51">
        <v>0</v>
      </c>
      <c r="CY300" s="50"/>
      <c r="CZ300" s="51"/>
      <c r="DA300" s="144"/>
      <c r="DB300" s="144"/>
      <c r="DC300" s="51">
        <v>0</v>
      </c>
      <c r="DD300" s="50"/>
      <c r="DE300" s="51"/>
      <c r="DF300" s="144"/>
      <c r="DG300" s="144"/>
      <c r="DH300" s="51">
        <v>0</v>
      </c>
      <c r="DI300" s="50"/>
      <c r="DJ300" s="51"/>
      <c r="DK300" s="144"/>
      <c r="DL300" s="144"/>
      <c r="DM300" s="51">
        <v>218983</v>
      </c>
      <c r="DN300" s="50"/>
      <c r="DO300" s="51"/>
      <c r="DP300" s="144"/>
      <c r="DQ300" s="144"/>
      <c r="DR300" s="51">
        <v>47077</v>
      </c>
      <c r="DS300" s="50"/>
      <c r="DT300" s="51"/>
      <c r="DU300" s="144"/>
      <c r="DV300" s="144"/>
      <c r="DW300" s="51">
        <v>0</v>
      </c>
      <c r="DX300" s="50"/>
      <c r="DY300" s="51"/>
      <c r="DZ300" s="144"/>
      <c r="EA300" s="144"/>
      <c r="EB300" s="51">
        <v>0</v>
      </c>
      <c r="EC300" s="50"/>
      <c r="ED300" s="51"/>
      <c r="EE300" s="144"/>
      <c r="EF300" s="144"/>
      <c r="EG300" s="51">
        <v>0</v>
      </c>
      <c r="EH300" s="50"/>
      <c r="EI300" s="51"/>
      <c r="EJ300" s="144"/>
      <c r="EK300" s="144"/>
      <c r="EL300" s="51">
        <f t="shared" si="25"/>
        <v>0</v>
      </c>
      <c r="EM300" s="50"/>
      <c r="EN300" s="51"/>
      <c r="EO300" s="340"/>
      <c r="ER300" s="39"/>
      <c r="ES300" s="39"/>
    </row>
    <row r="301" spans="1:149" ht="12.75" customHeight="1" x14ac:dyDescent="0.2">
      <c r="A301" s="317"/>
      <c r="B301" s="317"/>
      <c r="D301" s="340" t="s">
        <v>187</v>
      </c>
      <c r="F301" s="371"/>
      <c r="G301" s="95">
        <v>0</v>
      </c>
      <c r="H301" s="94"/>
      <c r="I301" s="51"/>
      <c r="J301" s="144"/>
      <c r="K301" s="187"/>
      <c r="L301" s="95">
        <v>0</v>
      </c>
      <c r="M301" s="94"/>
      <c r="N301" s="51"/>
      <c r="O301" s="144"/>
      <c r="P301" s="187"/>
      <c r="Q301" s="95">
        <v>0</v>
      </c>
      <c r="R301" s="94"/>
      <c r="S301" s="51"/>
      <c r="T301" s="144"/>
      <c r="U301" s="187"/>
      <c r="V301" s="95">
        <v>0</v>
      </c>
      <c r="W301" s="94"/>
      <c r="X301" s="51"/>
      <c r="Y301" s="144"/>
      <c r="Z301" s="187"/>
      <c r="AA301" s="95">
        <v>0</v>
      </c>
      <c r="AB301" s="94"/>
      <c r="AC301" s="51"/>
      <c r="AD301" s="144"/>
      <c r="AE301" s="187"/>
      <c r="AF301" s="95">
        <v>0</v>
      </c>
      <c r="AG301" s="94"/>
      <c r="AH301" s="51"/>
      <c r="AI301" s="144"/>
      <c r="AJ301" s="187"/>
      <c r="AK301" s="95">
        <v>0</v>
      </c>
      <c r="AL301" s="94"/>
      <c r="AM301" s="51"/>
      <c r="AN301" s="144"/>
      <c r="AO301" s="187"/>
      <c r="AP301" s="95">
        <v>0</v>
      </c>
      <c r="AQ301" s="94"/>
      <c r="AR301" s="51"/>
      <c r="AS301" s="144"/>
      <c r="AT301" s="187"/>
      <c r="AU301" s="95">
        <v>0</v>
      </c>
      <c r="AV301" s="94"/>
      <c r="AW301" s="51"/>
      <c r="AX301" s="144"/>
      <c r="AY301" s="187"/>
      <c r="AZ301" s="95">
        <v>0</v>
      </c>
      <c r="BA301" s="94"/>
      <c r="BB301" s="51"/>
      <c r="BC301" s="144"/>
      <c r="BD301" s="187"/>
      <c r="BE301" s="95">
        <v>0</v>
      </c>
      <c r="BF301" s="94"/>
      <c r="BG301" s="51"/>
      <c r="BH301" s="144"/>
      <c r="BI301" s="187"/>
      <c r="BJ301" s="95">
        <v>0</v>
      </c>
      <c r="BK301" s="94"/>
      <c r="BL301" s="51"/>
      <c r="BM301" s="144"/>
      <c r="BN301" s="187"/>
      <c r="BO301" s="95">
        <v>0</v>
      </c>
      <c r="BP301" s="94"/>
      <c r="BQ301" s="51"/>
      <c r="BR301" s="144"/>
      <c r="BS301" s="187"/>
      <c r="BT301" s="95">
        <f>SUM(L301:BO301)</f>
        <v>0</v>
      </c>
      <c r="BU301" s="94"/>
      <c r="BV301" s="51"/>
      <c r="BW301" s="144"/>
      <c r="BX301" s="187"/>
      <c r="BY301" s="95">
        <v>0</v>
      </c>
      <c r="BZ301" s="94"/>
      <c r="CA301" s="51"/>
      <c r="CB301" s="144"/>
      <c r="CC301" s="187"/>
      <c r="CD301" s="95">
        <v>0</v>
      </c>
      <c r="CE301" s="94"/>
      <c r="CF301" s="51"/>
      <c r="CG301" s="144"/>
      <c r="CH301" s="187"/>
      <c r="CI301" s="95">
        <v>0</v>
      </c>
      <c r="CJ301" s="94"/>
      <c r="CK301" s="51"/>
      <c r="CL301" s="144"/>
      <c r="CM301" s="187"/>
      <c r="CN301" s="95">
        <v>0</v>
      </c>
      <c r="CO301" s="94"/>
      <c r="CP301" s="51"/>
      <c r="CQ301" s="144"/>
      <c r="CR301" s="187"/>
      <c r="CS301" s="95">
        <v>0</v>
      </c>
      <c r="CT301" s="94"/>
      <c r="CU301" s="51"/>
      <c r="CV301" s="144"/>
      <c r="CW301" s="187"/>
      <c r="CX301" s="95">
        <v>0</v>
      </c>
      <c r="CY301" s="94"/>
      <c r="CZ301" s="51"/>
      <c r="DA301" s="144"/>
      <c r="DB301" s="187"/>
      <c r="DC301" s="95">
        <v>0</v>
      </c>
      <c r="DD301" s="94"/>
      <c r="DE301" s="51"/>
      <c r="DF301" s="144"/>
      <c r="DG301" s="187"/>
      <c r="DH301" s="95">
        <v>0</v>
      </c>
      <c r="DI301" s="94"/>
      <c r="DJ301" s="51"/>
      <c r="DK301" s="144"/>
      <c r="DL301" s="187"/>
      <c r="DM301" s="95">
        <v>0</v>
      </c>
      <c r="DN301" s="94"/>
      <c r="DO301" s="51"/>
      <c r="DP301" s="144"/>
      <c r="DQ301" s="187"/>
      <c r="DR301" s="95">
        <v>0</v>
      </c>
      <c r="DS301" s="94"/>
      <c r="DT301" s="51"/>
      <c r="DU301" s="144"/>
      <c r="DV301" s="187"/>
      <c r="DW301" s="95">
        <v>0</v>
      </c>
      <c r="DX301" s="94"/>
      <c r="DY301" s="51"/>
      <c r="DZ301" s="144"/>
      <c r="EA301" s="187"/>
      <c r="EB301" s="95">
        <v>0</v>
      </c>
      <c r="EC301" s="94"/>
      <c r="ED301" s="51"/>
      <c r="EE301" s="144"/>
      <c r="EF301" s="187"/>
      <c r="EG301" s="95">
        <v>0</v>
      </c>
      <c r="EH301" s="94"/>
      <c r="EI301" s="51"/>
      <c r="EJ301" s="144"/>
      <c r="EK301" s="187"/>
      <c r="EL301" s="95">
        <f t="shared" si="25"/>
        <v>0</v>
      </c>
      <c r="EM301" s="94"/>
      <c r="EN301" s="51"/>
      <c r="EO301" s="340"/>
      <c r="ER301" s="39"/>
      <c r="ES301" s="39"/>
    </row>
    <row r="302" spans="1:149" ht="12.75" customHeight="1" x14ac:dyDescent="0.2">
      <c r="A302" s="317"/>
      <c r="B302" s="317"/>
      <c r="D302" s="340"/>
      <c r="F302" s="317"/>
      <c r="G302" s="51"/>
      <c r="H302" s="51"/>
      <c r="I302" s="51"/>
      <c r="J302" s="144"/>
      <c r="K302" s="51"/>
      <c r="L302" s="51"/>
      <c r="M302" s="51"/>
      <c r="N302" s="51"/>
      <c r="O302" s="144"/>
      <c r="P302" s="51"/>
      <c r="Q302" s="51"/>
      <c r="R302" s="51"/>
      <c r="S302" s="51"/>
      <c r="T302" s="144"/>
      <c r="U302" s="51"/>
      <c r="V302" s="51"/>
      <c r="W302" s="51"/>
      <c r="X302" s="51"/>
      <c r="Y302" s="144"/>
      <c r="Z302" s="51"/>
      <c r="AA302" s="51"/>
      <c r="AB302" s="51"/>
      <c r="AC302" s="51"/>
      <c r="AD302" s="144"/>
      <c r="AE302" s="51"/>
      <c r="AF302" s="51"/>
      <c r="AG302" s="51"/>
      <c r="AH302" s="51"/>
      <c r="AI302" s="144"/>
      <c r="AJ302" s="51"/>
      <c r="AK302" s="51"/>
      <c r="AL302" s="51"/>
      <c r="AM302" s="51"/>
      <c r="AN302" s="144"/>
      <c r="AO302" s="51"/>
      <c r="AP302" s="51"/>
      <c r="AQ302" s="51"/>
      <c r="AR302" s="51"/>
      <c r="AS302" s="144"/>
      <c r="AT302" s="51"/>
      <c r="AU302" s="51"/>
      <c r="AV302" s="51"/>
      <c r="AW302" s="51"/>
      <c r="AX302" s="144"/>
      <c r="AY302" s="51"/>
      <c r="AZ302" s="51"/>
      <c r="BA302" s="51"/>
      <c r="BB302" s="51"/>
      <c r="BC302" s="144"/>
      <c r="BD302" s="51"/>
      <c r="BE302" s="51"/>
      <c r="BF302" s="51"/>
      <c r="BG302" s="51"/>
      <c r="BH302" s="144"/>
      <c r="BI302" s="51"/>
      <c r="BJ302" s="51"/>
      <c r="BK302" s="51"/>
      <c r="BL302" s="51"/>
      <c r="BM302" s="144"/>
      <c r="BN302" s="51"/>
      <c r="BO302" s="51"/>
      <c r="BP302" s="51"/>
      <c r="BQ302" s="51"/>
      <c r="BR302" s="144"/>
      <c r="BS302" s="51"/>
      <c r="BT302" s="51"/>
      <c r="BU302" s="51"/>
      <c r="BV302" s="51"/>
      <c r="BW302" s="144"/>
      <c r="BX302" s="51"/>
      <c r="BY302" s="51"/>
      <c r="BZ302" s="51"/>
      <c r="CA302" s="51"/>
      <c r="CB302" s="144"/>
      <c r="CC302" s="51"/>
      <c r="CD302" s="51"/>
      <c r="CE302" s="51"/>
      <c r="CF302" s="51"/>
      <c r="CG302" s="144"/>
      <c r="CH302" s="51"/>
      <c r="CI302" s="51"/>
      <c r="CJ302" s="51"/>
      <c r="CK302" s="51"/>
      <c r="CL302" s="144"/>
      <c r="CM302" s="51"/>
      <c r="CN302" s="51"/>
      <c r="CO302" s="51"/>
      <c r="CP302" s="51"/>
      <c r="CQ302" s="144"/>
      <c r="CR302" s="51"/>
      <c r="CS302" s="51"/>
      <c r="CT302" s="51"/>
      <c r="CU302" s="51"/>
      <c r="CV302" s="144"/>
      <c r="CW302" s="51"/>
      <c r="CX302" s="51"/>
      <c r="CY302" s="51"/>
      <c r="CZ302" s="51"/>
      <c r="DA302" s="144"/>
      <c r="DB302" s="51"/>
      <c r="DC302" s="51"/>
      <c r="DD302" s="51"/>
      <c r="DE302" s="51"/>
      <c r="DF302" s="144"/>
      <c r="DG302" s="51"/>
      <c r="DH302" s="51"/>
      <c r="DI302" s="51"/>
      <c r="DJ302" s="51"/>
      <c r="DK302" s="144"/>
      <c r="DL302" s="51"/>
      <c r="DM302" s="51"/>
      <c r="DN302" s="51"/>
      <c r="DO302" s="51"/>
      <c r="DP302" s="144"/>
      <c r="DQ302" s="51"/>
      <c r="DR302" s="51"/>
      <c r="DS302" s="51"/>
      <c r="DT302" s="51"/>
      <c r="DU302" s="144"/>
      <c r="DV302" s="51"/>
      <c r="DW302" s="51"/>
      <c r="DX302" s="51"/>
      <c r="DY302" s="51"/>
      <c r="DZ302" s="144"/>
      <c r="EA302" s="51"/>
      <c r="EB302" s="51"/>
      <c r="EC302" s="51"/>
      <c r="ED302" s="51"/>
      <c r="EE302" s="144"/>
      <c r="EF302" s="51"/>
      <c r="EG302" s="51"/>
      <c r="EH302" s="51"/>
      <c r="EI302" s="51"/>
      <c r="EJ302" s="144"/>
      <c r="EK302" s="51"/>
      <c r="EL302" s="51"/>
      <c r="EM302" s="51"/>
      <c r="EN302" s="51"/>
      <c r="EO302" s="340"/>
      <c r="ER302" s="39"/>
      <c r="ES302" s="39"/>
    </row>
    <row r="303" spans="1:149" ht="12.75" customHeight="1" x14ac:dyDescent="0.2">
      <c r="A303" s="317"/>
      <c r="B303" s="317"/>
      <c r="D303" s="340" t="s">
        <v>210</v>
      </c>
      <c r="F303" s="317"/>
      <c r="G303" s="51">
        <f>SUM(G304:G306)</f>
        <v>426979</v>
      </c>
      <c r="H303" s="51"/>
      <c r="I303" s="51"/>
      <c r="J303" s="144"/>
      <c r="K303" s="51"/>
      <c r="L303" s="51">
        <f>SUM(L304:L306)</f>
        <v>426979</v>
      </c>
      <c r="M303" s="51"/>
      <c r="N303" s="51"/>
      <c r="O303" s="144"/>
      <c r="P303" s="51"/>
      <c r="Q303" s="51">
        <f>SUM(Q304:Q306)</f>
        <v>0</v>
      </c>
      <c r="R303" s="51"/>
      <c r="S303" s="51"/>
      <c r="T303" s="144"/>
      <c r="U303" s="51"/>
      <c r="V303" s="51">
        <f>SUM(V304:V306)</f>
        <v>0</v>
      </c>
      <c r="W303" s="51"/>
      <c r="X303" s="51"/>
      <c r="Y303" s="144"/>
      <c r="Z303" s="51"/>
      <c r="AA303" s="51">
        <f>SUM(AA304:AA306)</f>
        <v>0</v>
      </c>
      <c r="AB303" s="51"/>
      <c r="AC303" s="51"/>
      <c r="AD303" s="144"/>
      <c r="AE303" s="51"/>
      <c r="AF303" s="51">
        <f>SUM(AF304:AF306)</f>
        <v>0</v>
      </c>
      <c r="AG303" s="51"/>
      <c r="AH303" s="51"/>
      <c r="AI303" s="144"/>
      <c r="AJ303" s="51"/>
      <c r="AK303" s="51">
        <f>SUM(AK304:AK306)</f>
        <v>0</v>
      </c>
      <c r="AL303" s="51"/>
      <c r="AM303" s="51"/>
      <c r="AN303" s="144"/>
      <c r="AO303" s="51"/>
      <c r="AP303" s="51">
        <f>SUM(AP304:AP306)</f>
        <v>0</v>
      </c>
      <c r="AQ303" s="51"/>
      <c r="AR303" s="51"/>
      <c r="AS303" s="144"/>
      <c r="AT303" s="51"/>
      <c r="AU303" s="51">
        <f>SUM(AU304:AU306)</f>
        <v>0</v>
      </c>
      <c r="AV303" s="51"/>
      <c r="AW303" s="51"/>
      <c r="AX303" s="144"/>
      <c r="AY303" s="51"/>
      <c r="AZ303" s="51">
        <f>SUM(AZ304:AZ306)</f>
        <v>0</v>
      </c>
      <c r="BA303" s="51"/>
      <c r="BB303" s="51"/>
      <c r="BC303" s="144"/>
      <c r="BD303" s="51"/>
      <c r="BE303" s="51">
        <f>SUM(BE304:BE306)</f>
        <v>0</v>
      </c>
      <c r="BF303" s="51"/>
      <c r="BG303" s="51"/>
      <c r="BH303" s="144"/>
      <c r="BI303" s="51"/>
      <c r="BJ303" s="51">
        <f>SUM(BJ304:BJ306)</f>
        <v>0</v>
      </c>
      <c r="BK303" s="51"/>
      <c r="BL303" s="51"/>
      <c r="BM303" s="144"/>
      <c r="BN303" s="51"/>
      <c r="BO303" s="51">
        <f>SUM(BO304:BO306)</f>
        <v>0</v>
      </c>
      <c r="BP303" s="51"/>
      <c r="BQ303" s="51"/>
      <c r="BR303" s="144"/>
      <c r="BS303" s="51"/>
      <c r="BT303" s="51">
        <f>SUM(BT304:BT306)</f>
        <v>426979</v>
      </c>
      <c r="BU303" s="51"/>
      <c r="BV303" s="51"/>
      <c r="BW303" s="144"/>
      <c r="BX303" s="51"/>
      <c r="BY303" s="51">
        <f>SUM(BY304:BY306)</f>
        <v>7484573</v>
      </c>
      <c r="BZ303" s="51"/>
      <c r="CA303" s="51"/>
      <c r="CB303" s="144"/>
      <c r="CC303" s="51"/>
      <c r="CD303" s="51">
        <f>SUM(CD304:CD306)</f>
        <v>1235834</v>
      </c>
      <c r="CE303" s="51"/>
      <c r="CF303" s="51"/>
      <c r="CG303" s="144"/>
      <c r="CH303" s="51"/>
      <c r="CI303" s="51">
        <f>SUM(CI304:CI306)</f>
        <v>1743651</v>
      </c>
      <c r="CJ303" s="51"/>
      <c r="CK303" s="51"/>
      <c r="CL303" s="144"/>
      <c r="CM303" s="51"/>
      <c r="CN303" s="51">
        <f>SUM(CN304:CN306)</f>
        <v>2445720</v>
      </c>
      <c r="CO303" s="51"/>
      <c r="CP303" s="51"/>
      <c r="CQ303" s="144"/>
      <c r="CR303" s="51"/>
      <c r="CS303" s="51">
        <f>SUM(CS304:CS306)</f>
        <v>499864</v>
      </c>
      <c r="CT303" s="51"/>
      <c r="CU303" s="51"/>
      <c r="CV303" s="144"/>
      <c r="CW303" s="51"/>
      <c r="CX303" s="51">
        <f>SUM(CX304:CX306)</f>
        <v>736888</v>
      </c>
      <c r="CY303" s="51"/>
      <c r="CZ303" s="51"/>
      <c r="DA303" s="144"/>
      <c r="DB303" s="51"/>
      <c r="DC303" s="51">
        <f>SUM(DC304:DC306)</f>
        <v>182775</v>
      </c>
      <c r="DD303" s="51"/>
      <c r="DE303" s="51"/>
      <c r="DF303" s="144"/>
      <c r="DG303" s="51"/>
      <c r="DH303" s="51">
        <f>SUM(DH304:DH306)</f>
        <v>0</v>
      </c>
      <c r="DI303" s="51"/>
      <c r="DJ303" s="51"/>
      <c r="DK303" s="144"/>
      <c r="DL303" s="51"/>
      <c r="DM303" s="51">
        <f>SUM(DM304:DM306)</f>
        <v>0</v>
      </c>
      <c r="DN303" s="51"/>
      <c r="DO303" s="51"/>
      <c r="DP303" s="144"/>
      <c r="DQ303" s="51"/>
      <c r="DR303" s="51">
        <f>SUM(DR304:DR306)</f>
        <v>31106</v>
      </c>
      <c r="DS303" s="51"/>
      <c r="DT303" s="51"/>
      <c r="DU303" s="144"/>
      <c r="DV303" s="51"/>
      <c r="DW303" s="51">
        <f>SUM(DW304:DW306)</f>
        <v>608735</v>
      </c>
      <c r="DX303" s="51"/>
      <c r="DY303" s="51"/>
      <c r="DZ303" s="144"/>
      <c r="EA303" s="51"/>
      <c r="EB303" s="51">
        <f>SUM(EB304:EB306)</f>
        <v>0</v>
      </c>
      <c r="EC303" s="51"/>
      <c r="ED303" s="51"/>
      <c r="EE303" s="144"/>
      <c r="EF303" s="51"/>
      <c r="EG303" s="51">
        <f>SUM(EG304:EG306)</f>
        <v>0</v>
      </c>
      <c r="EH303" s="51"/>
      <c r="EI303" s="51"/>
      <c r="EJ303" s="144"/>
      <c r="EK303" s="51"/>
      <c r="EL303" s="51">
        <f>SUM(EL304:EL306)</f>
        <v>6844732</v>
      </c>
      <c r="EM303" s="51"/>
      <c r="EN303" s="51"/>
      <c r="EO303" s="340"/>
      <c r="ER303" s="39"/>
      <c r="ES303" s="39"/>
    </row>
    <row r="304" spans="1:149" ht="12.75" customHeight="1" x14ac:dyDescent="0.2">
      <c r="A304" s="317"/>
      <c r="B304" s="317"/>
      <c r="D304" s="340" t="s">
        <v>183</v>
      </c>
      <c r="F304" s="354"/>
      <c r="G304" s="430">
        <v>360729</v>
      </c>
      <c r="H304" s="431"/>
      <c r="I304" s="51"/>
      <c r="J304" s="144"/>
      <c r="K304" s="432"/>
      <c r="L304" s="430">
        <f>426979-66250</f>
        <v>360729</v>
      </c>
      <c r="M304" s="431"/>
      <c r="N304" s="51"/>
      <c r="O304" s="144"/>
      <c r="P304" s="432"/>
      <c r="Q304" s="430">
        <v>0</v>
      </c>
      <c r="R304" s="431"/>
      <c r="S304" s="51"/>
      <c r="T304" s="144"/>
      <c r="U304" s="432"/>
      <c r="V304" s="430">
        <v>0</v>
      </c>
      <c r="W304" s="431"/>
      <c r="X304" s="51"/>
      <c r="Y304" s="144"/>
      <c r="Z304" s="432"/>
      <c r="AA304" s="430">
        <v>0</v>
      </c>
      <c r="AB304" s="431"/>
      <c r="AC304" s="51"/>
      <c r="AD304" s="144"/>
      <c r="AE304" s="432"/>
      <c r="AF304" s="430">
        <v>0</v>
      </c>
      <c r="AG304" s="431"/>
      <c r="AH304" s="51"/>
      <c r="AI304" s="144"/>
      <c r="AJ304" s="432"/>
      <c r="AK304" s="430">
        <v>0</v>
      </c>
      <c r="AL304" s="431"/>
      <c r="AM304" s="51"/>
      <c r="AN304" s="144"/>
      <c r="AO304" s="432"/>
      <c r="AP304" s="430">
        <v>0</v>
      </c>
      <c r="AQ304" s="431"/>
      <c r="AR304" s="51"/>
      <c r="AS304" s="144"/>
      <c r="AT304" s="432"/>
      <c r="AU304" s="430">
        <v>0</v>
      </c>
      <c r="AV304" s="431"/>
      <c r="AW304" s="51"/>
      <c r="AX304" s="144"/>
      <c r="AY304" s="432"/>
      <c r="AZ304" s="430">
        <v>0</v>
      </c>
      <c r="BA304" s="431"/>
      <c r="BB304" s="51"/>
      <c r="BC304" s="144"/>
      <c r="BD304" s="432"/>
      <c r="BE304" s="430">
        <v>0</v>
      </c>
      <c r="BF304" s="431"/>
      <c r="BG304" s="51"/>
      <c r="BH304" s="144"/>
      <c r="BI304" s="432"/>
      <c r="BJ304" s="430">
        <v>0</v>
      </c>
      <c r="BK304" s="431"/>
      <c r="BL304" s="51"/>
      <c r="BM304" s="144"/>
      <c r="BN304" s="432"/>
      <c r="BO304" s="430">
        <v>0</v>
      </c>
      <c r="BP304" s="431"/>
      <c r="BQ304" s="51"/>
      <c r="BR304" s="144"/>
      <c r="BS304" s="432"/>
      <c r="BT304" s="430">
        <f>SUM(L304:BO304)</f>
        <v>360729</v>
      </c>
      <c r="BU304" s="431"/>
      <c r="BV304" s="51"/>
      <c r="BW304" s="144"/>
      <c r="BX304" s="432"/>
      <c r="BY304" s="430">
        <v>6225448</v>
      </c>
      <c r="BZ304" s="431"/>
      <c r="CA304" s="51"/>
      <c r="CB304" s="144"/>
      <c r="CC304" s="432"/>
      <c r="CD304" s="430">
        <f>1235834-226513</f>
        <v>1009321</v>
      </c>
      <c r="CE304" s="431"/>
      <c r="CF304" s="51"/>
      <c r="CG304" s="144"/>
      <c r="CH304" s="432"/>
      <c r="CI304" s="430">
        <f>1743651-315786</f>
        <v>1427865</v>
      </c>
      <c r="CJ304" s="431"/>
      <c r="CK304" s="51"/>
      <c r="CL304" s="144"/>
      <c r="CM304" s="432"/>
      <c r="CN304" s="430">
        <f>2445720-380449</f>
        <v>2065271</v>
      </c>
      <c r="CO304" s="431"/>
      <c r="CP304" s="51"/>
      <c r="CQ304" s="144"/>
      <c r="CR304" s="432"/>
      <c r="CS304" s="430">
        <f>499864-78107</f>
        <v>421757</v>
      </c>
      <c r="CT304" s="431"/>
      <c r="CU304" s="51"/>
      <c r="CV304" s="144"/>
      <c r="CW304" s="432"/>
      <c r="CX304" s="430">
        <f>736888-120643</f>
        <v>616245</v>
      </c>
      <c r="CY304" s="431"/>
      <c r="CZ304" s="51"/>
      <c r="DA304" s="144"/>
      <c r="DB304" s="432"/>
      <c r="DC304" s="430">
        <f>182775-26738</f>
        <v>156037</v>
      </c>
      <c r="DD304" s="431"/>
      <c r="DE304" s="51"/>
      <c r="DF304" s="144"/>
      <c r="DG304" s="432"/>
      <c r="DH304" s="430">
        <v>0</v>
      </c>
      <c r="DI304" s="431"/>
      <c r="DJ304" s="51"/>
      <c r="DK304" s="144"/>
      <c r="DL304" s="432"/>
      <c r="DM304" s="430">
        <v>0</v>
      </c>
      <c r="DN304" s="431"/>
      <c r="DO304" s="51"/>
      <c r="DP304" s="144"/>
      <c r="DQ304" s="432"/>
      <c r="DR304" s="430">
        <f>31106-5487</f>
        <v>25619</v>
      </c>
      <c r="DS304" s="431"/>
      <c r="DT304" s="51"/>
      <c r="DU304" s="144"/>
      <c r="DV304" s="432"/>
      <c r="DW304" s="430">
        <f>608735-105402</f>
        <v>503333</v>
      </c>
      <c r="DX304" s="431"/>
      <c r="DY304" s="51"/>
      <c r="DZ304" s="144"/>
      <c r="EA304" s="432"/>
      <c r="EB304" s="430">
        <v>0</v>
      </c>
      <c r="EC304" s="431"/>
      <c r="ED304" s="51"/>
      <c r="EE304" s="144"/>
      <c r="EF304" s="432"/>
      <c r="EG304" s="430">
        <v>0</v>
      </c>
      <c r="EH304" s="431"/>
      <c r="EI304" s="51"/>
      <c r="EJ304" s="144"/>
      <c r="EK304" s="432"/>
      <c r="EL304" s="430">
        <f t="shared" ref="EL304:EL306" si="26">SUM(CD304:DH304)</f>
        <v>5696496</v>
      </c>
      <c r="EM304" s="431"/>
      <c r="EN304" s="51"/>
      <c r="EO304" s="340"/>
      <c r="ER304" s="39"/>
      <c r="ES304" s="39"/>
    </row>
    <row r="305" spans="1:149" ht="12.75" customHeight="1" x14ac:dyDescent="0.2">
      <c r="A305" s="317"/>
      <c r="B305" s="317"/>
      <c r="D305" s="340" t="s">
        <v>186</v>
      </c>
      <c r="F305" s="347"/>
      <c r="G305" s="51">
        <v>66250</v>
      </c>
      <c r="H305" s="50"/>
      <c r="I305" s="51"/>
      <c r="J305" s="144"/>
      <c r="K305" s="144"/>
      <c r="L305" s="51">
        <v>66250</v>
      </c>
      <c r="M305" s="50"/>
      <c r="N305" s="51"/>
      <c r="O305" s="144"/>
      <c r="P305" s="144"/>
      <c r="Q305" s="51">
        <v>0</v>
      </c>
      <c r="R305" s="50"/>
      <c r="S305" s="51"/>
      <c r="T305" s="144"/>
      <c r="U305" s="144"/>
      <c r="V305" s="51">
        <v>0</v>
      </c>
      <c r="W305" s="50"/>
      <c r="X305" s="51"/>
      <c r="Y305" s="144"/>
      <c r="Z305" s="144"/>
      <c r="AA305" s="51">
        <v>0</v>
      </c>
      <c r="AB305" s="50"/>
      <c r="AC305" s="51"/>
      <c r="AD305" s="144"/>
      <c r="AE305" s="144"/>
      <c r="AF305" s="51">
        <v>0</v>
      </c>
      <c r="AG305" s="50"/>
      <c r="AH305" s="51"/>
      <c r="AI305" s="144"/>
      <c r="AJ305" s="144"/>
      <c r="AK305" s="51">
        <v>0</v>
      </c>
      <c r="AL305" s="50"/>
      <c r="AM305" s="51"/>
      <c r="AN305" s="144"/>
      <c r="AO305" s="144"/>
      <c r="AP305" s="51">
        <v>0</v>
      </c>
      <c r="AQ305" s="50"/>
      <c r="AR305" s="51"/>
      <c r="AS305" s="144"/>
      <c r="AT305" s="144"/>
      <c r="AU305" s="51">
        <v>0</v>
      </c>
      <c r="AV305" s="50"/>
      <c r="AW305" s="51"/>
      <c r="AX305" s="144"/>
      <c r="AY305" s="144"/>
      <c r="AZ305" s="51">
        <v>0</v>
      </c>
      <c r="BA305" s="50"/>
      <c r="BB305" s="51"/>
      <c r="BC305" s="144"/>
      <c r="BD305" s="144"/>
      <c r="BE305" s="51">
        <v>0</v>
      </c>
      <c r="BF305" s="50"/>
      <c r="BG305" s="51"/>
      <c r="BH305" s="144"/>
      <c r="BI305" s="144"/>
      <c r="BJ305" s="51">
        <v>0</v>
      </c>
      <c r="BK305" s="50"/>
      <c r="BL305" s="51"/>
      <c r="BM305" s="144"/>
      <c r="BN305" s="144"/>
      <c r="BO305" s="51">
        <v>0</v>
      </c>
      <c r="BP305" s="50"/>
      <c r="BQ305" s="51"/>
      <c r="BR305" s="144"/>
      <c r="BS305" s="144"/>
      <c r="BT305" s="51">
        <f>SUM(L305:BO305)</f>
        <v>66250</v>
      </c>
      <c r="BU305" s="50"/>
      <c r="BV305" s="51"/>
      <c r="BW305" s="144"/>
      <c r="BX305" s="144"/>
      <c r="BY305" s="51">
        <v>1259125</v>
      </c>
      <c r="BZ305" s="50"/>
      <c r="CA305" s="51"/>
      <c r="CB305" s="144"/>
      <c r="CC305" s="144"/>
      <c r="CD305" s="51">
        <v>226513</v>
      </c>
      <c r="CE305" s="50"/>
      <c r="CF305" s="51"/>
      <c r="CG305" s="144"/>
      <c r="CH305" s="144"/>
      <c r="CI305" s="51">
        <v>315786</v>
      </c>
      <c r="CJ305" s="50"/>
      <c r="CK305" s="51"/>
      <c r="CL305" s="144"/>
      <c r="CM305" s="144"/>
      <c r="CN305" s="51">
        <v>380449</v>
      </c>
      <c r="CO305" s="50"/>
      <c r="CP305" s="51"/>
      <c r="CQ305" s="144"/>
      <c r="CR305" s="144"/>
      <c r="CS305" s="51">
        <v>78107</v>
      </c>
      <c r="CT305" s="50"/>
      <c r="CU305" s="51"/>
      <c r="CV305" s="144"/>
      <c r="CW305" s="144"/>
      <c r="CX305" s="51">
        <v>120643</v>
      </c>
      <c r="CY305" s="50"/>
      <c r="CZ305" s="51"/>
      <c r="DA305" s="144"/>
      <c r="DB305" s="144"/>
      <c r="DC305" s="51">
        <v>26738</v>
      </c>
      <c r="DD305" s="50"/>
      <c r="DE305" s="51"/>
      <c r="DF305" s="144"/>
      <c r="DG305" s="144"/>
      <c r="DH305" s="51">
        <v>0</v>
      </c>
      <c r="DI305" s="50"/>
      <c r="DJ305" s="51"/>
      <c r="DK305" s="144"/>
      <c r="DL305" s="144"/>
      <c r="DM305" s="51">
        <v>0</v>
      </c>
      <c r="DN305" s="50"/>
      <c r="DO305" s="51"/>
      <c r="DP305" s="144"/>
      <c r="DQ305" s="144"/>
      <c r="DR305" s="51">
        <v>5487</v>
      </c>
      <c r="DS305" s="50"/>
      <c r="DT305" s="51"/>
      <c r="DU305" s="144"/>
      <c r="DV305" s="144"/>
      <c r="DW305" s="51">
        <v>105402</v>
      </c>
      <c r="DX305" s="50"/>
      <c r="DY305" s="51"/>
      <c r="DZ305" s="144"/>
      <c r="EA305" s="144"/>
      <c r="EB305" s="51">
        <v>0</v>
      </c>
      <c r="EC305" s="50"/>
      <c r="ED305" s="51"/>
      <c r="EE305" s="144"/>
      <c r="EF305" s="144"/>
      <c r="EG305" s="51">
        <v>0</v>
      </c>
      <c r="EH305" s="50"/>
      <c r="EI305" s="51"/>
      <c r="EJ305" s="144"/>
      <c r="EK305" s="144"/>
      <c r="EL305" s="51">
        <f t="shared" si="26"/>
        <v>1148236</v>
      </c>
      <c r="EM305" s="50"/>
      <c r="EN305" s="51"/>
      <c r="EO305" s="340"/>
      <c r="ER305" s="39"/>
      <c r="ES305" s="39"/>
    </row>
    <row r="306" spans="1:149" ht="12.75" customHeight="1" x14ac:dyDescent="0.2">
      <c r="A306" s="317"/>
      <c r="B306" s="317"/>
      <c r="D306" s="340" t="s">
        <v>187</v>
      </c>
      <c r="F306" s="371"/>
      <c r="G306" s="95">
        <v>0</v>
      </c>
      <c r="H306" s="94"/>
      <c r="I306" s="51"/>
      <c r="J306" s="144"/>
      <c r="K306" s="187"/>
      <c r="L306" s="95">
        <v>0</v>
      </c>
      <c r="M306" s="94"/>
      <c r="N306" s="51"/>
      <c r="O306" s="144"/>
      <c r="P306" s="187"/>
      <c r="Q306" s="95">
        <v>0</v>
      </c>
      <c r="R306" s="94"/>
      <c r="S306" s="51"/>
      <c r="T306" s="144"/>
      <c r="U306" s="187"/>
      <c r="V306" s="95">
        <v>0</v>
      </c>
      <c r="W306" s="94"/>
      <c r="X306" s="51"/>
      <c r="Y306" s="144"/>
      <c r="Z306" s="187"/>
      <c r="AA306" s="95">
        <v>0</v>
      </c>
      <c r="AB306" s="94"/>
      <c r="AC306" s="51"/>
      <c r="AD306" s="144"/>
      <c r="AE306" s="187"/>
      <c r="AF306" s="95">
        <v>0</v>
      </c>
      <c r="AG306" s="94"/>
      <c r="AH306" s="51"/>
      <c r="AI306" s="144"/>
      <c r="AJ306" s="187"/>
      <c r="AK306" s="95">
        <v>0</v>
      </c>
      <c r="AL306" s="94"/>
      <c r="AM306" s="51"/>
      <c r="AN306" s="144"/>
      <c r="AO306" s="187"/>
      <c r="AP306" s="95">
        <v>0</v>
      </c>
      <c r="AQ306" s="94"/>
      <c r="AR306" s="51"/>
      <c r="AS306" s="144"/>
      <c r="AT306" s="187"/>
      <c r="AU306" s="95">
        <v>0</v>
      </c>
      <c r="AV306" s="94"/>
      <c r="AW306" s="51"/>
      <c r="AX306" s="144"/>
      <c r="AY306" s="187"/>
      <c r="AZ306" s="95">
        <v>0</v>
      </c>
      <c r="BA306" s="94"/>
      <c r="BB306" s="51"/>
      <c r="BC306" s="144"/>
      <c r="BD306" s="187"/>
      <c r="BE306" s="95">
        <v>0</v>
      </c>
      <c r="BF306" s="94"/>
      <c r="BG306" s="51"/>
      <c r="BH306" s="144"/>
      <c r="BI306" s="187"/>
      <c r="BJ306" s="95">
        <v>0</v>
      </c>
      <c r="BK306" s="94"/>
      <c r="BL306" s="51"/>
      <c r="BM306" s="144"/>
      <c r="BN306" s="187"/>
      <c r="BO306" s="95">
        <v>0</v>
      </c>
      <c r="BP306" s="94"/>
      <c r="BQ306" s="51"/>
      <c r="BR306" s="144"/>
      <c r="BS306" s="187"/>
      <c r="BT306" s="95">
        <f>SUM(L306:BO306)</f>
        <v>0</v>
      </c>
      <c r="BU306" s="94"/>
      <c r="BV306" s="51"/>
      <c r="BW306" s="144"/>
      <c r="BX306" s="187"/>
      <c r="BY306" s="95">
        <v>0</v>
      </c>
      <c r="BZ306" s="94"/>
      <c r="CA306" s="51"/>
      <c r="CB306" s="144"/>
      <c r="CC306" s="187"/>
      <c r="CD306" s="95">
        <v>0</v>
      </c>
      <c r="CE306" s="94"/>
      <c r="CF306" s="51"/>
      <c r="CG306" s="144"/>
      <c r="CH306" s="187"/>
      <c r="CI306" s="95">
        <v>0</v>
      </c>
      <c r="CJ306" s="94"/>
      <c r="CK306" s="51"/>
      <c r="CL306" s="144"/>
      <c r="CM306" s="187"/>
      <c r="CN306" s="95">
        <v>0</v>
      </c>
      <c r="CO306" s="94"/>
      <c r="CP306" s="51"/>
      <c r="CQ306" s="144"/>
      <c r="CR306" s="187"/>
      <c r="CS306" s="95">
        <v>0</v>
      </c>
      <c r="CT306" s="94"/>
      <c r="CU306" s="51"/>
      <c r="CV306" s="144"/>
      <c r="CW306" s="187"/>
      <c r="CX306" s="95">
        <v>0</v>
      </c>
      <c r="CY306" s="94"/>
      <c r="CZ306" s="51"/>
      <c r="DA306" s="144"/>
      <c r="DB306" s="187"/>
      <c r="DC306" s="95">
        <v>0</v>
      </c>
      <c r="DD306" s="94"/>
      <c r="DE306" s="51"/>
      <c r="DF306" s="144"/>
      <c r="DG306" s="187"/>
      <c r="DH306" s="95">
        <v>0</v>
      </c>
      <c r="DI306" s="94"/>
      <c r="DJ306" s="51"/>
      <c r="DK306" s="144"/>
      <c r="DL306" s="187"/>
      <c r="DM306" s="95">
        <v>0</v>
      </c>
      <c r="DN306" s="94"/>
      <c r="DO306" s="51"/>
      <c r="DP306" s="144"/>
      <c r="DQ306" s="187"/>
      <c r="DR306" s="95">
        <v>0</v>
      </c>
      <c r="DS306" s="94"/>
      <c r="DT306" s="51"/>
      <c r="DU306" s="144"/>
      <c r="DV306" s="187"/>
      <c r="DW306" s="95">
        <v>0</v>
      </c>
      <c r="DX306" s="94"/>
      <c r="DY306" s="51"/>
      <c r="DZ306" s="144"/>
      <c r="EA306" s="187"/>
      <c r="EB306" s="95">
        <v>0</v>
      </c>
      <c r="EC306" s="94"/>
      <c r="ED306" s="51"/>
      <c r="EE306" s="144"/>
      <c r="EF306" s="187"/>
      <c r="EG306" s="95">
        <v>0</v>
      </c>
      <c r="EH306" s="94"/>
      <c r="EI306" s="51"/>
      <c r="EJ306" s="144"/>
      <c r="EK306" s="187"/>
      <c r="EL306" s="95">
        <f t="shared" si="26"/>
        <v>0</v>
      </c>
      <c r="EM306" s="94"/>
      <c r="EN306" s="51"/>
      <c r="EO306" s="340"/>
      <c r="ER306" s="39"/>
      <c r="ES306" s="39"/>
    </row>
    <row r="307" spans="1:149" ht="12.75" hidden="1" customHeight="1" x14ac:dyDescent="0.2">
      <c r="A307" s="317"/>
      <c r="B307" s="317"/>
      <c r="D307" s="340"/>
      <c r="F307" s="317"/>
      <c r="G307" s="51"/>
      <c r="H307" s="51"/>
      <c r="I307" s="51"/>
      <c r="J307" s="144"/>
      <c r="K307" s="51"/>
      <c r="L307" s="51"/>
      <c r="M307" s="51"/>
      <c r="N307" s="51"/>
      <c r="O307" s="144"/>
      <c r="P307" s="51"/>
      <c r="Q307" s="51"/>
      <c r="R307" s="51"/>
      <c r="S307" s="51"/>
      <c r="T307" s="144"/>
      <c r="U307" s="51"/>
      <c r="V307" s="51"/>
      <c r="W307" s="51"/>
      <c r="X307" s="51"/>
      <c r="Y307" s="144"/>
      <c r="Z307" s="51"/>
      <c r="AA307" s="51"/>
      <c r="AB307" s="51"/>
      <c r="AC307" s="51"/>
      <c r="AD307" s="144"/>
      <c r="AE307" s="51"/>
      <c r="AF307" s="51"/>
      <c r="AG307" s="51"/>
      <c r="AH307" s="51"/>
      <c r="AI307" s="144"/>
      <c r="AJ307" s="51"/>
      <c r="AK307" s="51"/>
      <c r="AL307" s="51"/>
      <c r="AM307" s="51"/>
      <c r="AN307" s="144"/>
      <c r="AO307" s="51"/>
      <c r="AP307" s="51"/>
      <c r="AQ307" s="51"/>
      <c r="AR307" s="51"/>
      <c r="AS307" s="144"/>
      <c r="AT307" s="51"/>
      <c r="AU307" s="51"/>
      <c r="AV307" s="51"/>
      <c r="AW307" s="51"/>
      <c r="AX307" s="144"/>
      <c r="AY307" s="51"/>
      <c r="AZ307" s="51"/>
      <c r="BA307" s="51"/>
      <c r="BB307" s="51"/>
      <c r="BC307" s="144"/>
      <c r="BD307" s="51"/>
      <c r="BE307" s="51"/>
      <c r="BF307" s="51"/>
      <c r="BG307" s="51"/>
      <c r="BH307" s="144"/>
      <c r="BI307" s="51"/>
      <c r="BJ307" s="51"/>
      <c r="BK307" s="51"/>
      <c r="BL307" s="51"/>
      <c r="BM307" s="144"/>
      <c r="BN307" s="51"/>
      <c r="BO307" s="51"/>
      <c r="BP307" s="51"/>
      <c r="BQ307" s="51"/>
      <c r="BR307" s="144"/>
      <c r="BS307" s="51"/>
      <c r="BT307" s="51"/>
      <c r="BU307" s="51"/>
      <c r="BV307" s="51"/>
      <c r="BW307" s="144"/>
      <c r="BX307" s="51"/>
      <c r="BY307" s="51"/>
      <c r="BZ307" s="51"/>
      <c r="CA307" s="51"/>
      <c r="CB307" s="144"/>
      <c r="CC307" s="51"/>
      <c r="CD307" s="51"/>
      <c r="CE307" s="51"/>
      <c r="CF307" s="51"/>
      <c r="CG307" s="144"/>
      <c r="CH307" s="51"/>
      <c r="CI307" s="51"/>
      <c r="CJ307" s="51"/>
      <c r="CK307" s="51"/>
      <c r="CL307" s="144"/>
      <c r="CM307" s="51"/>
      <c r="CN307" s="51"/>
      <c r="CO307" s="51"/>
      <c r="CP307" s="51"/>
      <c r="CQ307" s="144"/>
      <c r="CR307" s="51"/>
      <c r="CS307" s="51"/>
      <c r="CT307" s="51"/>
      <c r="CU307" s="51"/>
      <c r="CV307" s="144"/>
      <c r="CW307" s="51"/>
      <c r="CX307" s="51"/>
      <c r="CY307" s="51"/>
      <c r="CZ307" s="51"/>
      <c r="DA307" s="144"/>
      <c r="DB307" s="51"/>
      <c r="DC307" s="51"/>
      <c r="DD307" s="51"/>
      <c r="DE307" s="51"/>
      <c r="DF307" s="144"/>
      <c r="DG307" s="51"/>
      <c r="DH307" s="51"/>
      <c r="DI307" s="51"/>
      <c r="DJ307" s="51"/>
      <c r="DK307" s="144"/>
      <c r="DL307" s="51"/>
      <c r="DM307" s="51"/>
      <c r="DN307" s="51"/>
      <c r="DO307" s="51"/>
      <c r="DP307" s="144"/>
      <c r="DQ307" s="51"/>
      <c r="DR307" s="51"/>
      <c r="DS307" s="51"/>
      <c r="DT307" s="51"/>
      <c r="DU307" s="144"/>
      <c r="DV307" s="51"/>
      <c r="DW307" s="51"/>
      <c r="DX307" s="51"/>
      <c r="DY307" s="51"/>
      <c r="DZ307" s="144"/>
      <c r="EA307" s="51"/>
      <c r="EB307" s="51"/>
      <c r="EC307" s="51"/>
      <c r="ED307" s="51"/>
      <c r="EE307" s="144"/>
      <c r="EF307" s="51"/>
      <c r="EG307" s="51"/>
      <c r="EH307" s="51"/>
      <c r="EI307" s="51"/>
      <c r="EJ307" s="144"/>
      <c r="EK307" s="51"/>
      <c r="EL307" s="51"/>
      <c r="EM307" s="51"/>
      <c r="EN307" s="51"/>
      <c r="EO307" s="340"/>
      <c r="ER307" s="39"/>
      <c r="ES307" s="39"/>
    </row>
    <row r="308" spans="1:149" ht="12.75" hidden="1" customHeight="1" x14ac:dyDescent="0.2">
      <c r="A308" s="317"/>
      <c r="B308" s="317"/>
      <c r="D308" s="340" t="s">
        <v>212</v>
      </c>
      <c r="F308" s="317"/>
      <c r="G308" s="51">
        <f>SUM(G309:G311)</f>
        <v>0</v>
      </c>
      <c r="H308" s="51"/>
      <c r="I308" s="51"/>
      <c r="J308" s="144"/>
      <c r="K308" s="51"/>
      <c r="L308" s="51">
        <f>SUM(L309:L311)</f>
        <v>0</v>
      </c>
      <c r="M308" s="51"/>
      <c r="N308" s="51"/>
      <c r="O308" s="144"/>
      <c r="P308" s="51"/>
      <c r="Q308" s="51">
        <f>SUM(Q309:Q311)</f>
        <v>0</v>
      </c>
      <c r="R308" s="51"/>
      <c r="S308" s="51"/>
      <c r="T308" s="144"/>
      <c r="U308" s="51"/>
      <c r="V308" s="51">
        <f>SUM(V309:V311)</f>
        <v>0</v>
      </c>
      <c r="W308" s="51"/>
      <c r="X308" s="51"/>
      <c r="Y308" s="144"/>
      <c r="Z308" s="51"/>
      <c r="AA308" s="51">
        <f>SUM(AA309:AA311)</f>
        <v>0</v>
      </c>
      <c r="AB308" s="51"/>
      <c r="AC308" s="51"/>
      <c r="AD308" s="144"/>
      <c r="AE308" s="51"/>
      <c r="AF308" s="51">
        <f>SUM(AF309:AF311)</f>
        <v>0</v>
      </c>
      <c r="AG308" s="51"/>
      <c r="AH308" s="51"/>
      <c r="AI308" s="144"/>
      <c r="AJ308" s="51"/>
      <c r="AK308" s="51">
        <f>SUM(AK309:AK311)</f>
        <v>0</v>
      </c>
      <c r="AL308" s="51"/>
      <c r="AM308" s="51"/>
      <c r="AN308" s="144"/>
      <c r="AO308" s="51"/>
      <c r="AP308" s="51">
        <f>SUM(AP309:AP311)</f>
        <v>0</v>
      </c>
      <c r="AQ308" s="51"/>
      <c r="AR308" s="51"/>
      <c r="AS308" s="144"/>
      <c r="AT308" s="51"/>
      <c r="AU308" s="51">
        <f>SUM(AU309:AU311)</f>
        <v>0</v>
      </c>
      <c r="AV308" s="51"/>
      <c r="AW308" s="51"/>
      <c r="AX308" s="144"/>
      <c r="AY308" s="51"/>
      <c r="AZ308" s="51">
        <f>SUM(AZ309:AZ311)</f>
        <v>0</v>
      </c>
      <c r="BA308" s="51"/>
      <c r="BB308" s="51"/>
      <c r="BC308" s="144"/>
      <c r="BD308" s="51"/>
      <c r="BE308" s="51">
        <f>SUM(BE309:BE311)</f>
        <v>0</v>
      </c>
      <c r="BF308" s="51"/>
      <c r="BG308" s="51"/>
      <c r="BH308" s="144"/>
      <c r="BI308" s="51"/>
      <c r="BJ308" s="51">
        <f>SUM(BJ309:BJ311)</f>
        <v>0</v>
      </c>
      <c r="BK308" s="51"/>
      <c r="BL308" s="51"/>
      <c r="BM308" s="144"/>
      <c r="BN308" s="51"/>
      <c r="BO308" s="51">
        <f>SUM(BO309:BO311)</f>
        <v>0</v>
      </c>
      <c r="BP308" s="51"/>
      <c r="BQ308" s="51"/>
      <c r="BR308" s="144"/>
      <c r="BS308" s="51"/>
      <c r="BT308" s="51">
        <f>SUM(BT309:BT311)</f>
        <v>0</v>
      </c>
      <c r="BU308" s="51"/>
      <c r="BV308" s="51"/>
      <c r="BW308" s="144"/>
      <c r="BX308" s="51"/>
      <c r="BY308" s="51">
        <f>SUM(BY309:BY311)</f>
        <v>0</v>
      </c>
      <c r="BZ308" s="51"/>
      <c r="CA308" s="51"/>
      <c r="CB308" s="144"/>
      <c r="CC308" s="51"/>
      <c r="CD308" s="51">
        <f>SUM(CD309:CD311)</f>
        <v>0</v>
      </c>
      <c r="CE308" s="51"/>
      <c r="CF308" s="51"/>
      <c r="CG308" s="144"/>
      <c r="CH308" s="51"/>
      <c r="CI308" s="51">
        <f>SUM(CI309:CI311)</f>
        <v>0</v>
      </c>
      <c r="CJ308" s="51"/>
      <c r="CK308" s="51"/>
      <c r="CL308" s="144"/>
      <c r="CM308" s="51"/>
      <c r="CN308" s="51">
        <f>SUM(CN309:CN311)</f>
        <v>0</v>
      </c>
      <c r="CO308" s="51"/>
      <c r="CP308" s="51"/>
      <c r="CQ308" s="144"/>
      <c r="CR308" s="51"/>
      <c r="CS308" s="51">
        <f>SUM(CS309:CS311)</f>
        <v>0</v>
      </c>
      <c r="CT308" s="51"/>
      <c r="CU308" s="51"/>
      <c r="CV308" s="144"/>
      <c r="CW308" s="51"/>
      <c r="CX308" s="51">
        <f>SUM(CX309:CX311)</f>
        <v>0</v>
      </c>
      <c r="CY308" s="51"/>
      <c r="CZ308" s="51"/>
      <c r="DA308" s="144"/>
      <c r="DB308" s="51"/>
      <c r="DC308" s="51">
        <f>SUM(DC309:DC311)</f>
        <v>0</v>
      </c>
      <c r="DD308" s="51"/>
      <c r="DE308" s="51"/>
      <c r="DF308" s="144"/>
      <c r="DG308" s="51"/>
      <c r="DH308" s="51">
        <f>SUM(DH309:DH311)</f>
        <v>0</v>
      </c>
      <c r="DI308" s="51"/>
      <c r="DJ308" s="51"/>
      <c r="DK308" s="144"/>
      <c r="DL308" s="51"/>
      <c r="DM308" s="51">
        <f>SUM(DM309:DM311)</f>
        <v>0</v>
      </c>
      <c r="DN308" s="51"/>
      <c r="DO308" s="51"/>
      <c r="DP308" s="144"/>
      <c r="DQ308" s="51"/>
      <c r="DR308" s="51">
        <f>SUM(DR309:DR311)</f>
        <v>0</v>
      </c>
      <c r="DS308" s="51"/>
      <c r="DT308" s="51"/>
      <c r="DU308" s="144"/>
      <c r="DV308" s="51"/>
      <c r="DW308" s="51">
        <f>SUM(DW309:DW311)</f>
        <v>0</v>
      </c>
      <c r="DX308" s="51"/>
      <c r="DY308" s="51"/>
      <c r="DZ308" s="144"/>
      <c r="EA308" s="51"/>
      <c r="EB308" s="51">
        <f>SUM(EB309:EB311)</f>
        <v>0</v>
      </c>
      <c r="EC308" s="51"/>
      <c r="ED308" s="51"/>
      <c r="EE308" s="144"/>
      <c r="EF308" s="51"/>
      <c r="EG308" s="51">
        <f>SUM(EG309:EG311)</f>
        <v>0</v>
      </c>
      <c r="EH308" s="51"/>
      <c r="EI308" s="51"/>
      <c r="EJ308" s="144"/>
      <c r="EK308" s="51"/>
      <c r="EL308" s="51">
        <f>SUM(EL309:EL311)</f>
        <v>0</v>
      </c>
      <c r="EM308" s="51"/>
      <c r="EN308" s="51"/>
      <c r="EO308" s="340"/>
      <c r="ER308" s="39"/>
      <c r="ES308" s="39"/>
    </row>
    <row r="309" spans="1:149" ht="12.75" hidden="1" customHeight="1" x14ac:dyDescent="0.2">
      <c r="A309" s="317"/>
      <c r="B309" s="317"/>
      <c r="D309" s="340" t="s">
        <v>183</v>
      </c>
      <c r="F309" s="354"/>
      <c r="G309" s="430">
        <v>0</v>
      </c>
      <c r="H309" s="431"/>
      <c r="I309" s="51"/>
      <c r="J309" s="144"/>
      <c r="K309" s="432"/>
      <c r="L309" s="430">
        <v>0</v>
      </c>
      <c r="M309" s="431"/>
      <c r="N309" s="51"/>
      <c r="O309" s="144"/>
      <c r="P309" s="432"/>
      <c r="Q309" s="430">
        <v>0</v>
      </c>
      <c r="R309" s="431"/>
      <c r="S309" s="51"/>
      <c r="T309" s="144"/>
      <c r="U309" s="432"/>
      <c r="V309" s="430">
        <v>0</v>
      </c>
      <c r="W309" s="431"/>
      <c r="X309" s="51"/>
      <c r="Y309" s="144"/>
      <c r="Z309" s="432"/>
      <c r="AA309" s="430">
        <v>0</v>
      </c>
      <c r="AB309" s="431"/>
      <c r="AC309" s="51"/>
      <c r="AD309" s="144"/>
      <c r="AE309" s="432"/>
      <c r="AF309" s="430">
        <v>0</v>
      </c>
      <c r="AG309" s="431"/>
      <c r="AH309" s="51"/>
      <c r="AI309" s="144"/>
      <c r="AJ309" s="432"/>
      <c r="AK309" s="430">
        <v>0</v>
      </c>
      <c r="AL309" s="431"/>
      <c r="AM309" s="51"/>
      <c r="AN309" s="144"/>
      <c r="AO309" s="432"/>
      <c r="AP309" s="430">
        <v>0</v>
      </c>
      <c r="AQ309" s="431"/>
      <c r="AR309" s="51"/>
      <c r="AS309" s="144"/>
      <c r="AT309" s="432"/>
      <c r="AU309" s="430">
        <v>0</v>
      </c>
      <c r="AV309" s="431"/>
      <c r="AW309" s="51"/>
      <c r="AX309" s="144"/>
      <c r="AY309" s="432"/>
      <c r="AZ309" s="430">
        <v>0</v>
      </c>
      <c r="BA309" s="431"/>
      <c r="BB309" s="51"/>
      <c r="BC309" s="144"/>
      <c r="BD309" s="432"/>
      <c r="BE309" s="430">
        <v>0</v>
      </c>
      <c r="BF309" s="431"/>
      <c r="BG309" s="51"/>
      <c r="BH309" s="144"/>
      <c r="BI309" s="432"/>
      <c r="BJ309" s="430">
        <v>0</v>
      </c>
      <c r="BK309" s="431"/>
      <c r="BL309" s="51"/>
      <c r="BM309" s="144"/>
      <c r="BN309" s="432"/>
      <c r="BO309" s="430">
        <v>0</v>
      </c>
      <c r="BP309" s="431"/>
      <c r="BQ309" s="51"/>
      <c r="BR309" s="144"/>
      <c r="BS309" s="432"/>
      <c r="BT309" s="430">
        <f>SUM(L309:BO309)</f>
        <v>0</v>
      </c>
      <c r="BU309" s="431"/>
      <c r="BV309" s="51"/>
      <c r="BW309" s="144"/>
      <c r="BX309" s="432"/>
      <c r="BY309" s="430">
        <v>0</v>
      </c>
      <c r="BZ309" s="431"/>
      <c r="CA309" s="51"/>
      <c r="CB309" s="144"/>
      <c r="CC309" s="432"/>
      <c r="CD309" s="430">
        <v>0</v>
      </c>
      <c r="CE309" s="431"/>
      <c r="CF309" s="51"/>
      <c r="CG309" s="144"/>
      <c r="CH309" s="432"/>
      <c r="CI309" s="430">
        <v>0</v>
      </c>
      <c r="CJ309" s="431"/>
      <c r="CK309" s="51"/>
      <c r="CL309" s="144"/>
      <c r="CM309" s="432"/>
      <c r="CN309" s="430">
        <v>0</v>
      </c>
      <c r="CO309" s="431"/>
      <c r="CP309" s="51"/>
      <c r="CQ309" s="144"/>
      <c r="CR309" s="432"/>
      <c r="CS309" s="430">
        <v>0</v>
      </c>
      <c r="CT309" s="431"/>
      <c r="CU309" s="51"/>
      <c r="CV309" s="144"/>
      <c r="CW309" s="432"/>
      <c r="CX309" s="430">
        <v>0</v>
      </c>
      <c r="CY309" s="431"/>
      <c r="CZ309" s="51"/>
      <c r="DA309" s="144"/>
      <c r="DB309" s="432"/>
      <c r="DC309" s="430">
        <v>0</v>
      </c>
      <c r="DD309" s="431"/>
      <c r="DE309" s="51"/>
      <c r="DF309" s="144"/>
      <c r="DG309" s="432"/>
      <c r="DH309" s="430">
        <v>0</v>
      </c>
      <c r="DI309" s="431"/>
      <c r="DJ309" s="51"/>
      <c r="DK309" s="144"/>
      <c r="DL309" s="432"/>
      <c r="DM309" s="430">
        <v>0</v>
      </c>
      <c r="DN309" s="431"/>
      <c r="DO309" s="51"/>
      <c r="DP309" s="144"/>
      <c r="DQ309" s="432"/>
      <c r="DR309" s="430">
        <v>0</v>
      </c>
      <c r="DS309" s="431"/>
      <c r="DT309" s="51"/>
      <c r="DU309" s="144"/>
      <c r="DV309" s="432"/>
      <c r="DW309" s="430">
        <v>0</v>
      </c>
      <c r="DX309" s="431"/>
      <c r="DY309" s="51"/>
      <c r="DZ309" s="144"/>
      <c r="EA309" s="432"/>
      <c r="EB309" s="430">
        <v>0</v>
      </c>
      <c r="EC309" s="431"/>
      <c r="ED309" s="51"/>
      <c r="EE309" s="144"/>
      <c r="EF309" s="432"/>
      <c r="EG309" s="430">
        <v>0</v>
      </c>
      <c r="EH309" s="431"/>
      <c r="EI309" s="51"/>
      <c r="EJ309" s="144"/>
      <c r="EK309" s="432"/>
      <c r="EL309" s="430">
        <f>SUM(CD309:EG309)</f>
        <v>0</v>
      </c>
      <c r="EM309" s="431"/>
      <c r="EN309" s="51"/>
      <c r="EO309" s="340"/>
      <c r="ER309" s="39"/>
      <c r="ES309" s="39"/>
    </row>
    <row r="310" spans="1:149" ht="12.75" hidden="1" customHeight="1" x14ac:dyDescent="0.2">
      <c r="A310" s="317"/>
      <c r="B310" s="317"/>
      <c r="D310" s="340" t="s">
        <v>186</v>
      </c>
      <c r="F310" s="347"/>
      <c r="G310" s="51">
        <v>0</v>
      </c>
      <c r="H310" s="50"/>
      <c r="I310" s="51"/>
      <c r="J310" s="144"/>
      <c r="K310" s="144"/>
      <c r="L310" s="51">
        <v>0</v>
      </c>
      <c r="M310" s="50"/>
      <c r="N310" s="51"/>
      <c r="O310" s="144"/>
      <c r="P310" s="144"/>
      <c r="Q310" s="51">
        <v>0</v>
      </c>
      <c r="R310" s="50"/>
      <c r="S310" s="51"/>
      <c r="T310" s="144"/>
      <c r="U310" s="144"/>
      <c r="V310" s="51">
        <v>0</v>
      </c>
      <c r="W310" s="50"/>
      <c r="X310" s="51"/>
      <c r="Y310" s="144"/>
      <c r="Z310" s="144"/>
      <c r="AA310" s="51">
        <v>0</v>
      </c>
      <c r="AB310" s="50"/>
      <c r="AC310" s="51"/>
      <c r="AD310" s="144"/>
      <c r="AE310" s="144"/>
      <c r="AF310" s="51">
        <v>0</v>
      </c>
      <c r="AG310" s="50"/>
      <c r="AH310" s="51"/>
      <c r="AI310" s="144"/>
      <c r="AJ310" s="144"/>
      <c r="AK310" s="51">
        <v>0</v>
      </c>
      <c r="AL310" s="50"/>
      <c r="AM310" s="51"/>
      <c r="AN310" s="144"/>
      <c r="AO310" s="144"/>
      <c r="AP310" s="51">
        <v>0</v>
      </c>
      <c r="AQ310" s="50"/>
      <c r="AR310" s="51"/>
      <c r="AS310" s="144"/>
      <c r="AT310" s="144"/>
      <c r="AU310" s="51">
        <v>0</v>
      </c>
      <c r="AV310" s="50"/>
      <c r="AW310" s="51"/>
      <c r="AX310" s="144"/>
      <c r="AY310" s="144"/>
      <c r="AZ310" s="51">
        <v>0</v>
      </c>
      <c r="BA310" s="50"/>
      <c r="BB310" s="51"/>
      <c r="BC310" s="144"/>
      <c r="BD310" s="144"/>
      <c r="BE310" s="51">
        <v>0</v>
      </c>
      <c r="BF310" s="50"/>
      <c r="BG310" s="51"/>
      <c r="BH310" s="144"/>
      <c r="BI310" s="144"/>
      <c r="BJ310" s="51">
        <v>0</v>
      </c>
      <c r="BK310" s="50"/>
      <c r="BL310" s="51"/>
      <c r="BM310" s="144"/>
      <c r="BN310" s="144"/>
      <c r="BO310" s="51">
        <v>0</v>
      </c>
      <c r="BP310" s="50"/>
      <c r="BQ310" s="51"/>
      <c r="BR310" s="144"/>
      <c r="BS310" s="144"/>
      <c r="BT310" s="51">
        <f>SUM(L310:BO310)</f>
        <v>0</v>
      </c>
      <c r="BU310" s="50"/>
      <c r="BV310" s="51"/>
      <c r="BW310" s="144"/>
      <c r="BX310" s="144"/>
      <c r="BY310" s="51">
        <v>0</v>
      </c>
      <c r="BZ310" s="50"/>
      <c r="CA310" s="51"/>
      <c r="CB310" s="144"/>
      <c r="CC310" s="144"/>
      <c r="CD310" s="51">
        <v>0</v>
      </c>
      <c r="CE310" s="50"/>
      <c r="CF310" s="51"/>
      <c r="CG310" s="144"/>
      <c r="CH310" s="144"/>
      <c r="CI310" s="51">
        <v>0</v>
      </c>
      <c r="CJ310" s="50"/>
      <c r="CK310" s="51"/>
      <c r="CL310" s="144"/>
      <c r="CM310" s="144"/>
      <c r="CN310" s="51">
        <v>0</v>
      </c>
      <c r="CO310" s="50"/>
      <c r="CP310" s="51"/>
      <c r="CQ310" s="144"/>
      <c r="CR310" s="144"/>
      <c r="CS310" s="51">
        <v>0</v>
      </c>
      <c r="CT310" s="50"/>
      <c r="CU310" s="51"/>
      <c r="CV310" s="144"/>
      <c r="CW310" s="144"/>
      <c r="CX310" s="51">
        <v>0</v>
      </c>
      <c r="CY310" s="50"/>
      <c r="CZ310" s="51"/>
      <c r="DA310" s="144"/>
      <c r="DB310" s="144"/>
      <c r="DC310" s="51">
        <v>0</v>
      </c>
      <c r="DD310" s="50"/>
      <c r="DE310" s="51"/>
      <c r="DF310" s="144"/>
      <c r="DG310" s="144"/>
      <c r="DH310" s="51">
        <v>0</v>
      </c>
      <c r="DI310" s="50"/>
      <c r="DJ310" s="51"/>
      <c r="DK310" s="144"/>
      <c r="DL310" s="144"/>
      <c r="DM310" s="51">
        <v>0</v>
      </c>
      <c r="DN310" s="50"/>
      <c r="DO310" s="51"/>
      <c r="DP310" s="144"/>
      <c r="DQ310" s="144"/>
      <c r="DR310" s="51">
        <v>0</v>
      </c>
      <c r="DS310" s="50"/>
      <c r="DT310" s="51"/>
      <c r="DU310" s="144"/>
      <c r="DV310" s="144"/>
      <c r="DW310" s="51">
        <v>0</v>
      </c>
      <c r="DX310" s="50"/>
      <c r="DY310" s="51"/>
      <c r="DZ310" s="144"/>
      <c r="EA310" s="144"/>
      <c r="EB310" s="51">
        <v>0</v>
      </c>
      <c r="EC310" s="50"/>
      <c r="ED310" s="51"/>
      <c r="EE310" s="144"/>
      <c r="EF310" s="144"/>
      <c r="EG310" s="51">
        <v>0</v>
      </c>
      <c r="EH310" s="50"/>
      <c r="EI310" s="51"/>
      <c r="EJ310" s="144"/>
      <c r="EK310" s="144"/>
      <c r="EL310" s="51">
        <f>SUM(CD310:EG310)</f>
        <v>0</v>
      </c>
      <c r="EM310" s="50"/>
      <c r="EN310" s="51"/>
      <c r="EO310" s="340"/>
      <c r="ER310" s="39"/>
      <c r="ES310" s="39"/>
    </row>
    <row r="311" spans="1:149" ht="12.75" hidden="1" customHeight="1" x14ac:dyDescent="0.2">
      <c r="A311" s="317"/>
      <c r="B311" s="317"/>
      <c r="D311" s="340" t="s">
        <v>187</v>
      </c>
      <c r="F311" s="371"/>
      <c r="G311" s="95">
        <v>0</v>
      </c>
      <c r="H311" s="94"/>
      <c r="I311" s="51"/>
      <c r="J311" s="144"/>
      <c r="K311" s="187"/>
      <c r="L311" s="95">
        <v>0</v>
      </c>
      <c r="M311" s="94"/>
      <c r="N311" s="51"/>
      <c r="O311" s="144"/>
      <c r="P311" s="187"/>
      <c r="Q311" s="95">
        <v>0</v>
      </c>
      <c r="R311" s="94"/>
      <c r="S311" s="51"/>
      <c r="T311" s="144"/>
      <c r="U311" s="187"/>
      <c r="V311" s="95">
        <v>0</v>
      </c>
      <c r="W311" s="94"/>
      <c r="X311" s="51"/>
      <c r="Y311" s="144"/>
      <c r="Z311" s="187"/>
      <c r="AA311" s="95">
        <v>0</v>
      </c>
      <c r="AB311" s="94"/>
      <c r="AC311" s="51"/>
      <c r="AD311" s="144"/>
      <c r="AE311" s="187"/>
      <c r="AF311" s="95">
        <v>0</v>
      </c>
      <c r="AG311" s="94"/>
      <c r="AH311" s="51"/>
      <c r="AI311" s="144"/>
      <c r="AJ311" s="187"/>
      <c r="AK311" s="95">
        <v>0</v>
      </c>
      <c r="AL311" s="94"/>
      <c r="AM311" s="51"/>
      <c r="AN311" s="144"/>
      <c r="AO311" s="187"/>
      <c r="AP311" s="95">
        <v>0</v>
      </c>
      <c r="AQ311" s="94"/>
      <c r="AR311" s="51"/>
      <c r="AS311" s="144"/>
      <c r="AT311" s="187"/>
      <c r="AU311" s="95">
        <v>0</v>
      </c>
      <c r="AV311" s="94"/>
      <c r="AW311" s="51"/>
      <c r="AX311" s="144"/>
      <c r="AY311" s="187"/>
      <c r="AZ311" s="95">
        <v>0</v>
      </c>
      <c r="BA311" s="94"/>
      <c r="BB311" s="51"/>
      <c r="BC311" s="144"/>
      <c r="BD311" s="187"/>
      <c r="BE311" s="95">
        <v>0</v>
      </c>
      <c r="BF311" s="94"/>
      <c r="BG311" s="51"/>
      <c r="BH311" s="144"/>
      <c r="BI311" s="187"/>
      <c r="BJ311" s="95">
        <v>0</v>
      </c>
      <c r="BK311" s="94"/>
      <c r="BL311" s="51"/>
      <c r="BM311" s="144"/>
      <c r="BN311" s="187"/>
      <c r="BO311" s="95">
        <v>0</v>
      </c>
      <c r="BP311" s="94"/>
      <c r="BQ311" s="51"/>
      <c r="BR311" s="144"/>
      <c r="BS311" s="187"/>
      <c r="BT311" s="95">
        <f>SUM(L311:BO311)</f>
        <v>0</v>
      </c>
      <c r="BU311" s="94"/>
      <c r="BV311" s="51"/>
      <c r="BW311" s="144"/>
      <c r="BX311" s="187"/>
      <c r="BY311" s="95">
        <v>0</v>
      </c>
      <c r="BZ311" s="94"/>
      <c r="CA311" s="51"/>
      <c r="CB311" s="144"/>
      <c r="CC311" s="187"/>
      <c r="CD311" s="95">
        <v>0</v>
      </c>
      <c r="CE311" s="94"/>
      <c r="CF311" s="51"/>
      <c r="CG311" s="144"/>
      <c r="CH311" s="187"/>
      <c r="CI311" s="95">
        <v>0</v>
      </c>
      <c r="CJ311" s="94"/>
      <c r="CK311" s="51"/>
      <c r="CL311" s="144"/>
      <c r="CM311" s="187"/>
      <c r="CN311" s="95">
        <v>0</v>
      </c>
      <c r="CO311" s="94"/>
      <c r="CP311" s="51"/>
      <c r="CQ311" s="144"/>
      <c r="CR311" s="187"/>
      <c r="CS311" s="95">
        <v>0</v>
      </c>
      <c r="CT311" s="94"/>
      <c r="CU311" s="51"/>
      <c r="CV311" s="144"/>
      <c r="CW311" s="187"/>
      <c r="CX311" s="95">
        <v>0</v>
      </c>
      <c r="CY311" s="94"/>
      <c r="CZ311" s="51"/>
      <c r="DA311" s="144"/>
      <c r="DB311" s="187"/>
      <c r="DC311" s="95">
        <v>0</v>
      </c>
      <c r="DD311" s="94"/>
      <c r="DE311" s="51"/>
      <c r="DF311" s="144"/>
      <c r="DG311" s="187"/>
      <c r="DH311" s="95">
        <v>0</v>
      </c>
      <c r="DI311" s="94"/>
      <c r="DJ311" s="51"/>
      <c r="DK311" s="144"/>
      <c r="DL311" s="187"/>
      <c r="DM311" s="95">
        <v>0</v>
      </c>
      <c r="DN311" s="94"/>
      <c r="DO311" s="51"/>
      <c r="DP311" s="144"/>
      <c r="DQ311" s="187"/>
      <c r="DR311" s="95">
        <v>0</v>
      </c>
      <c r="DS311" s="94"/>
      <c r="DT311" s="51"/>
      <c r="DU311" s="144"/>
      <c r="DV311" s="187"/>
      <c r="DW311" s="95">
        <v>0</v>
      </c>
      <c r="DX311" s="94"/>
      <c r="DY311" s="51"/>
      <c r="DZ311" s="144"/>
      <c r="EA311" s="187"/>
      <c r="EB311" s="95">
        <v>0</v>
      </c>
      <c r="EC311" s="94"/>
      <c r="ED311" s="51"/>
      <c r="EE311" s="144"/>
      <c r="EF311" s="187"/>
      <c r="EG311" s="95">
        <v>0</v>
      </c>
      <c r="EH311" s="94"/>
      <c r="EI311" s="51"/>
      <c r="EJ311" s="144"/>
      <c r="EK311" s="187"/>
      <c r="EL311" s="95">
        <f>SUM(CD311:EG311)</f>
        <v>0</v>
      </c>
      <c r="EM311" s="94"/>
      <c r="EN311" s="51"/>
      <c r="EO311" s="340"/>
      <c r="ER311" s="39"/>
      <c r="ES311" s="39"/>
    </row>
    <row r="312" spans="1:149" ht="12.75" hidden="1" customHeight="1" x14ac:dyDescent="0.2">
      <c r="A312" s="317"/>
      <c r="B312" s="317"/>
      <c r="D312" s="340"/>
      <c r="F312" s="317"/>
      <c r="G312" s="51"/>
      <c r="H312" s="51"/>
      <c r="I312" s="51"/>
      <c r="J312" s="144"/>
      <c r="K312" s="51"/>
      <c r="L312" s="51"/>
      <c r="M312" s="51"/>
      <c r="N312" s="51"/>
      <c r="O312" s="144"/>
      <c r="P312" s="51"/>
      <c r="Q312" s="51"/>
      <c r="R312" s="51"/>
      <c r="S312" s="51"/>
      <c r="T312" s="144"/>
      <c r="U312" s="51"/>
      <c r="V312" s="51"/>
      <c r="W312" s="51"/>
      <c r="X312" s="51"/>
      <c r="Y312" s="144"/>
      <c r="Z312" s="51"/>
      <c r="AA312" s="51"/>
      <c r="AB312" s="51"/>
      <c r="AC312" s="51"/>
      <c r="AD312" s="144"/>
      <c r="AE312" s="51"/>
      <c r="AF312" s="51"/>
      <c r="AG312" s="51"/>
      <c r="AH312" s="51"/>
      <c r="AI312" s="144"/>
      <c r="AJ312" s="51"/>
      <c r="AK312" s="51"/>
      <c r="AL312" s="51"/>
      <c r="AM312" s="51"/>
      <c r="AN312" s="144"/>
      <c r="AO312" s="51"/>
      <c r="AP312" s="51"/>
      <c r="AQ312" s="51"/>
      <c r="AR312" s="51"/>
      <c r="AS312" s="144"/>
      <c r="AT312" s="51"/>
      <c r="AU312" s="51"/>
      <c r="AV312" s="51"/>
      <c r="AW312" s="51"/>
      <c r="AX312" s="144"/>
      <c r="AY312" s="51"/>
      <c r="AZ312" s="51"/>
      <c r="BA312" s="51"/>
      <c r="BB312" s="51"/>
      <c r="BC312" s="144"/>
      <c r="BD312" s="51"/>
      <c r="BE312" s="51"/>
      <c r="BF312" s="51"/>
      <c r="BG312" s="51"/>
      <c r="BH312" s="144"/>
      <c r="BI312" s="51"/>
      <c r="BJ312" s="51"/>
      <c r="BK312" s="51"/>
      <c r="BL312" s="51"/>
      <c r="BM312" s="144"/>
      <c r="BN312" s="51"/>
      <c r="BO312" s="51"/>
      <c r="BP312" s="51"/>
      <c r="BQ312" s="51"/>
      <c r="BR312" s="144"/>
      <c r="BS312" s="51"/>
      <c r="BT312" s="51"/>
      <c r="BU312" s="51"/>
      <c r="BV312" s="51"/>
      <c r="BW312" s="144"/>
      <c r="BX312" s="51"/>
      <c r="BY312" s="51"/>
      <c r="BZ312" s="51"/>
      <c r="CA312" s="51"/>
      <c r="CB312" s="144"/>
      <c r="CC312" s="51"/>
      <c r="CD312" s="51"/>
      <c r="CE312" s="51"/>
      <c r="CF312" s="51"/>
      <c r="CG312" s="144"/>
      <c r="CH312" s="51"/>
      <c r="CI312" s="51"/>
      <c r="CJ312" s="51"/>
      <c r="CK312" s="51"/>
      <c r="CL312" s="144"/>
      <c r="CM312" s="51"/>
      <c r="CN312" s="51"/>
      <c r="CO312" s="51"/>
      <c r="CP312" s="51"/>
      <c r="CQ312" s="144"/>
      <c r="CR312" s="51"/>
      <c r="CS312" s="51"/>
      <c r="CT312" s="51"/>
      <c r="CU312" s="51"/>
      <c r="CV312" s="144"/>
      <c r="CW312" s="51"/>
      <c r="CX312" s="51"/>
      <c r="CY312" s="51"/>
      <c r="CZ312" s="51"/>
      <c r="DA312" s="144"/>
      <c r="DB312" s="51"/>
      <c r="DC312" s="51"/>
      <c r="DD312" s="51"/>
      <c r="DE312" s="51"/>
      <c r="DF312" s="144"/>
      <c r="DG312" s="51"/>
      <c r="DH312" s="51"/>
      <c r="DI312" s="51"/>
      <c r="DJ312" s="51"/>
      <c r="DK312" s="144"/>
      <c r="DL312" s="51"/>
      <c r="DM312" s="51"/>
      <c r="DN312" s="51"/>
      <c r="DO312" s="51"/>
      <c r="DP312" s="144"/>
      <c r="DQ312" s="51"/>
      <c r="DR312" s="51"/>
      <c r="DS312" s="51"/>
      <c r="DT312" s="51"/>
      <c r="DU312" s="144"/>
      <c r="DV312" s="51"/>
      <c r="DW312" s="51"/>
      <c r="DX312" s="51"/>
      <c r="DY312" s="51"/>
      <c r="DZ312" s="144"/>
      <c r="EA312" s="51"/>
      <c r="EB312" s="51"/>
      <c r="EC312" s="51"/>
      <c r="ED312" s="51"/>
      <c r="EE312" s="144"/>
      <c r="EF312" s="51"/>
      <c r="EG312" s="51"/>
      <c r="EH312" s="51"/>
      <c r="EI312" s="51"/>
      <c r="EJ312" s="144"/>
      <c r="EK312" s="51"/>
      <c r="EL312" s="51"/>
      <c r="EM312" s="51"/>
      <c r="EN312" s="51"/>
      <c r="EO312" s="340"/>
      <c r="ER312" s="39"/>
      <c r="ES312" s="39"/>
    </row>
    <row r="313" spans="1:149" ht="12.75" hidden="1" customHeight="1" x14ac:dyDescent="0.2">
      <c r="A313" s="317"/>
      <c r="B313" s="317"/>
      <c r="D313" s="340" t="s">
        <v>212</v>
      </c>
      <c r="F313" s="317"/>
      <c r="G313" s="51">
        <f>SUM(G314:G316)</f>
        <v>0</v>
      </c>
      <c r="H313" s="51"/>
      <c r="I313" s="51"/>
      <c r="J313" s="144"/>
      <c r="K313" s="51"/>
      <c r="L313" s="51">
        <f>SUM(L314:L316)</f>
        <v>0</v>
      </c>
      <c r="M313" s="51"/>
      <c r="N313" s="51"/>
      <c r="O313" s="144"/>
      <c r="P313" s="51"/>
      <c r="Q313" s="51">
        <f>SUM(Q314:Q316)</f>
        <v>0</v>
      </c>
      <c r="R313" s="51"/>
      <c r="S313" s="51"/>
      <c r="T313" s="144"/>
      <c r="U313" s="51"/>
      <c r="V313" s="51">
        <f>SUM(V314:V316)</f>
        <v>0</v>
      </c>
      <c r="W313" s="51"/>
      <c r="X313" s="51"/>
      <c r="Y313" s="144"/>
      <c r="Z313" s="51"/>
      <c r="AA313" s="51">
        <f>SUM(AA314:AA316)</f>
        <v>0</v>
      </c>
      <c r="AB313" s="51"/>
      <c r="AC313" s="51"/>
      <c r="AD313" s="144"/>
      <c r="AE313" s="51"/>
      <c r="AF313" s="51">
        <f>SUM(AF314:AF316)</f>
        <v>0</v>
      </c>
      <c r="AG313" s="51"/>
      <c r="AH313" s="51"/>
      <c r="AI313" s="144"/>
      <c r="AJ313" s="51"/>
      <c r="AK313" s="51">
        <f>SUM(AK314:AK316)</f>
        <v>0</v>
      </c>
      <c r="AL313" s="51"/>
      <c r="AM313" s="51"/>
      <c r="AN313" s="144"/>
      <c r="AO313" s="51"/>
      <c r="AP313" s="51">
        <f>SUM(AP314:AP316)</f>
        <v>0</v>
      </c>
      <c r="AQ313" s="51"/>
      <c r="AR313" s="51"/>
      <c r="AS313" s="144"/>
      <c r="AT313" s="51"/>
      <c r="AU313" s="51">
        <f>SUM(AU314:AU316)</f>
        <v>0</v>
      </c>
      <c r="AV313" s="51"/>
      <c r="AW313" s="51"/>
      <c r="AX313" s="144"/>
      <c r="AY313" s="51"/>
      <c r="AZ313" s="51">
        <f>SUM(AZ314:AZ316)</f>
        <v>0</v>
      </c>
      <c r="BA313" s="51"/>
      <c r="BB313" s="51"/>
      <c r="BC313" s="144"/>
      <c r="BD313" s="51"/>
      <c r="BE313" s="51">
        <f>SUM(BE314:BE316)</f>
        <v>0</v>
      </c>
      <c r="BF313" s="51"/>
      <c r="BG313" s="51"/>
      <c r="BH313" s="144"/>
      <c r="BI313" s="51"/>
      <c r="BJ313" s="51">
        <f>SUM(BJ314:BJ316)</f>
        <v>0</v>
      </c>
      <c r="BK313" s="51"/>
      <c r="BL313" s="51"/>
      <c r="BM313" s="144"/>
      <c r="BN313" s="51"/>
      <c r="BO313" s="51">
        <f>SUM(BO314:BO316)</f>
        <v>0</v>
      </c>
      <c r="BP313" s="51"/>
      <c r="BQ313" s="51"/>
      <c r="BR313" s="144"/>
      <c r="BS313" s="51"/>
      <c r="BT313" s="51">
        <f>SUM(BT314:BT316)</f>
        <v>0</v>
      </c>
      <c r="BU313" s="51"/>
      <c r="BV313" s="51"/>
      <c r="BW313" s="144"/>
      <c r="BX313" s="51"/>
      <c r="BY313" s="51">
        <f>SUM(BY314:BY316)</f>
        <v>0</v>
      </c>
      <c r="BZ313" s="51"/>
      <c r="CA313" s="51"/>
      <c r="CB313" s="144"/>
      <c r="CC313" s="51"/>
      <c r="CD313" s="51">
        <f>SUM(CD314:CD316)</f>
        <v>0</v>
      </c>
      <c r="CE313" s="51"/>
      <c r="CF313" s="51"/>
      <c r="CG313" s="144"/>
      <c r="CH313" s="51"/>
      <c r="CI313" s="51">
        <f>SUM(CI314:CI316)</f>
        <v>0</v>
      </c>
      <c r="CJ313" s="51"/>
      <c r="CK313" s="51"/>
      <c r="CL313" s="144"/>
      <c r="CM313" s="51"/>
      <c r="CN313" s="51">
        <f>SUM(CN314:CN316)</f>
        <v>0</v>
      </c>
      <c r="CO313" s="51"/>
      <c r="CP313" s="51"/>
      <c r="CQ313" s="144"/>
      <c r="CR313" s="51"/>
      <c r="CS313" s="51">
        <f>SUM(CS314:CS316)</f>
        <v>0</v>
      </c>
      <c r="CT313" s="51"/>
      <c r="CU313" s="51"/>
      <c r="CV313" s="144"/>
      <c r="CW313" s="51"/>
      <c r="CX313" s="51">
        <f>SUM(CX314:CX316)</f>
        <v>0</v>
      </c>
      <c r="CY313" s="51"/>
      <c r="CZ313" s="51"/>
      <c r="DA313" s="144"/>
      <c r="DB313" s="51"/>
      <c r="DC313" s="51">
        <f>SUM(DC314:DC316)</f>
        <v>0</v>
      </c>
      <c r="DD313" s="51"/>
      <c r="DE313" s="51"/>
      <c r="DF313" s="144"/>
      <c r="DG313" s="51"/>
      <c r="DH313" s="51">
        <f>SUM(DH314:DH316)</f>
        <v>0</v>
      </c>
      <c r="DI313" s="51"/>
      <c r="DJ313" s="51"/>
      <c r="DK313" s="144"/>
      <c r="DL313" s="51"/>
      <c r="DM313" s="51">
        <f>SUM(DM314:DM316)</f>
        <v>0</v>
      </c>
      <c r="DN313" s="51"/>
      <c r="DO313" s="51"/>
      <c r="DP313" s="144"/>
      <c r="DQ313" s="51"/>
      <c r="DR313" s="51">
        <f>SUM(DR314:DR316)</f>
        <v>0</v>
      </c>
      <c r="DS313" s="51"/>
      <c r="DT313" s="51"/>
      <c r="DU313" s="144"/>
      <c r="DV313" s="51"/>
      <c r="DW313" s="51">
        <f>SUM(DW314:DW316)</f>
        <v>0</v>
      </c>
      <c r="DX313" s="51"/>
      <c r="DY313" s="51"/>
      <c r="DZ313" s="144"/>
      <c r="EA313" s="51"/>
      <c r="EB313" s="51">
        <f>SUM(EB314:EB316)</f>
        <v>0</v>
      </c>
      <c r="EC313" s="51"/>
      <c r="ED313" s="51"/>
      <c r="EE313" s="144"/>
      <c r="EF313" s="51"/>
      <c r="EG313" s="51">
        <f>SUM(EG314:EG316)</f>
        <v>0</v>
      </c>
      <c r="EH313" s="51"/>
      <c r="EI313" s="51"/>
      <c r="EJ313" s="144"/>
      <c r="EK313" s="51"/>
      <c r="EL313" s="51">
        <f>SUM(EL314:EL316)</f>
        <v>0</v>
      </c>
      <c r="EM313" s="51"/>
      <c r="EN313" s="51"/>
      <c r="EO313" s="340"/>
      <c r="ER313" s="39"/>
      <c r="ES313" s="39"/>
    </row>
    <row r="314" spans="1:149" ht="12.75" hidden="1" customHeight="1" x14ac:dyDescent="0.2">
      <c r="A314" s="317"/>
      <c r="B314" s="317"/>
      <c r="D314" s="340" t="s">
        <v>183</v>
      </c>
      <c r="F314" s="354"/>
      <c r="G314" s="430">
        <v>0</v>
      </c>
      <c r="H314" s="431"/>
      <c r="I314" s="51"/>
      <c r="J314" s="144"/>
      <c r="K314" s="432"/>
      <c r="L314" s="430">
        <v>0</v>
      </c>
      <c r="M314" s="431"/>
      <c r="N314" s="51"/>
      <c r="O314" s="144"/>
      <c r="P314" s="432"/>
      <c r="Q314" s="430">
        <v>0</v>
      </c>
      <c r="R314" s="431"/>
      <c r="S314" s="51"/>
      <c r="T314" s="144"/>
      <c r="U314" s="432"/>
      <c r="V314" s="430">
        <v>0</v>
      </c>
      <c r="W314" s="431"/>
      <c r="X314" s="51"/>
      <c r="Y314" s="144"/>
      <c r="Z314" s="432"/>
      <c r="AA314" s="430">
        <v>0</v>
      </c>
      <c r="AB314" s="431"/>
      <c r="AC314" s="51"/>
      <c r="AD314" s="144"/>
      <c r="AE314" s="432"/>
      <c r="AF314" s="430">
        <v>0</v>
      </c>
      <c r="AG314" s="431"/>
      <c r="AH314" s="51"/>
      <c r="AI314" s="144"/>
      <c r="AJ314" s="432"/>
      <c r="AK314" s="430">
        <v>0</v>
      </c>
      <c r="AL314" s="431"/>
      <c r="AM314" s="51"/>
      <c r="AN314" s="144"/>
      <c r="AO314" s="432"/>
      <c r="AP314" s="430">
        <v>0</v>
      </c>
      <c r="AQ314" s="431"/>
      <c r="AR314" s="51"/>
      <c r="AS314" s="144"/>
      <c r="AT314" s="432"/>
      <c r="AU314" s="430">
        <v>0</v>
      </c>
      <c r="AV314" s="431"/>
      <c r="AW314" s="51"/>
      <c r="AX314" s="144"/>
      <c r="AY314" s="432"/>
      <c r="AZ314" s="430">
        <v>0</v>
      </c>
      <c r="BA314" s="431"/>
      <c r="BB314" s="51"/>
      <c r="BC314" s="144"/>
      <c r="BD314" s="432"/>
      <c r="BE314" s="430">
        <v>0</v>
      </c>
      <c r="BF314" s="431"/>
      <c r="BG314" s="51"/>
      <c r="BH314" s="144"/>
      <c r="BI314" s="432"/>
      <c r="BJ314" s="430">
        <v>0</v>
      </c>
      <c r="BK314" s="431"/>
      <c r="BL314" s="51"/>
      <c r="BM314" s="144"/>
      <c r="BN314" s="432"/>
      <c r="BO314" s="430">
        <v>0</v>
      </c>
      <c r="BP314" s="431"/>
      <c r="BQ314" s="51"/>
      <c r="BR314" s="144"/>
      <c r="BS314" s="432"/>
      <c r="BT314" s="430">
        <f>SUM(L314:BO314)</f>
        <v>0</v>
      </c>
      <c r="BU314" s="431"/>
      <c r="BV314" s="51"/>
      <c r="BW314" s="144"/>
      <c r="BX314" s="432"/>
      <c r="BY314" s="430">
        <v>0</v>
      </c>
      <c r="BZ314" s="431"/>
      <c r="CA314" s="51"/>
      <c r="CB314" s="144"/>
      <c r="CC314" s="432"/>
      <c r="CD314" s="430">
        <v>0</v>
      </c>
      <c r="CE314" s="431"/>
      <c r="CF314" s="51"/>
      <c r="CG314" s="144"/>
      <c r="CH314" s="432"/>
      <c r="CI314" s="430">
        <v>0</v>
      </c>
      <c r="CJ314" s="431"/>
      <c r="CK314" s="51"/>
      <c r="CL314" s="144"/>
      <c r="CM314" s="432"/>
      <c r="CN314" s="430">
        <v>0</v>
      </c>
      <c r="CO314" s="431"/>
      <c r="CP314" s="51"/>
      <c r="CQ314" s="144"/>
      <c r="CR314" s="432"/>
      <c r="CS314" s="430">
        <v>0</v>
      </c>
      <c r="CT314" s="431"/>
      <c r="CU314" s="51"/>
      <c r="CV314" s="144"/>
      <c r="CW314" s="432"/>
      <c r="CX314" s="430">
        <v>0</v>
      </c>
      <c r="CY314" s="431"/>
      <c r="CZ314" s="51"/>
      <c r="DA314" s="144"/>
      <c r="DB314" s="432"/>
      <c r="DC314" s="430">
        <v>0</v>
      </c>
      <c r="DD314" s="431"/>
      <c r="DE314" s="51"/>
      <c r="DF314" s="144"/>
      <c r="DG314" s="432"/>
      <c r="DH314" s="430">
        <v>0</v>
      </c>
      <c r="DI314" s="431"/>
      <c r="DJ314" s="51"/>
      <c r="DK314" s="144"/>
      <c r="DL314" s="432"/>
      <c r="DM314" s="430">
        <v>0</v>
      </c>
      <c r="DN314" s="431"/>
      <c r="DO314" s="51"/>
      <c r="DP314" s="144"/>
      <c r="DQ314" s="432"/>
      <c r="DR314" s="430">
        <v>0</v>
      </c>
      <c r="DS314" s="431"/>
      <c r="DT314" s="51"/>
      <c r="DU314" s="144"/>
      <c r="DV314" s="432"/>
      <c r="DW314" s="430">
        <v>0</v>
      </c>
      <c r="DX314" s="431"/>
      <c r="DY314" s="51"/>
      <c r="DZ314" s="144"/>
      <c r="EA314" s="432"/>
      <c r="EB314" s="430">
        <v>0</v>
      </c>
      <c r="EC314" s="431"/>
      <c r="ED314" s="51"/>
      <c r="EE314" s="144"/>
      <c r="EF314" s="432"/>
      <c r="EG314" s="430">
        <v>0</v>
      </c>
      <c r="EH314" s="431"/>
      <c r="EI314" s="51"/>
      <c r="EJ314" s="144"/>
      <c r="EK314" s="432"/>
      <c r="EL314" s="430">
        <f>SUM(CD314:EG314)</f>
        <v>0</v>
      </c>
      <c r="EM314" s="431"/>
      <c r="EN314" s="51"/>
      <c r="EO314" s="340"/>
      <c r="ER314" s="39"/>
      <c r="ES314" s="39"/>
    </row>
    <row r="315" spans="1:149" ht="12.75" hidden="1" customHeight="1" x14ac:dyDescent="0.2">
      <c r="A315" s="317"/>
      <c r="B315" s="317"/>
      <c r="D315" s="340" t="s">
        <v>186</v>
      </c>
      <c r="F315" s="347"/>
      <c r="G315" s="51">
        <v>0</v>
      </c>
      <c r="H315" s="50"/>
      <c r="I315" s="51"/>
      <c r="J315" s="144"/>
      <c r="K315" s="144"/>
      <c r="L315" s="51">
        <v>0</v>
      </c>
      <c r="M315" s="50"/>
      <c r="N315" s="51"/>
      <c r="O315" s="144"/>
      <c r="P315" s="144"/>
      <c r="Q315" s="51">
        <v>0</v>
      </c>
      <c r="R315" s="50"/>
      <c r="S315" s="51"/>
      <c r="T315" s="144"/>
      <c r="U315" s="144"/>
      <c r="V315" s="51">
        <v>0</v>
      </c>
      <c r="W315" s="50"/>
      <c r="X315" s="51"/>
      <c r="Y315" s="144"/>
      <c r="Z315" s="144"/>
      <c r="AA315" s="51">
        <v>0</v>
      </c>
      <c r="AB315" s="50"/>
      <c r="AC315" s="51"/>
      <c r="AD315" s="144"/>
      <c r="AE315" s="144"/>
      <c r="AF315" s="51">
        <v>0</v>
      </c>
      <c r="AG315" s="50"/>
      <c r="AH315" s="51"/>
      <c r="AI315" s="144"/>
      <c r="AJ315" s="144"/>
      <c r="AK315" s="51">
        <v>0</v>
      </c>
      <c r="AL315" s="50"/>
      <c r="AM315" s="51"/>
      <c r="AN315" s="144"/>
      <c r="AO315" s="144"/>
      <c r="AP315" s="51">
        <v>0</v>
      </c>
      <c r="AQ315" s="50"/>
      <c r="AR315" s="51"/>
      <c r="AS315" s="144"/>
      <c r="AT315" s="144"/>
      <c r="AU315" s="51">
        <v>0</v>
      </c>
      <c r="AV315" s="50"/>
      <c r="AW315" s="51"/>
      <c r="AX315" s="144"/>
      <c r="AY315" s="144"/>
      <c r="AZ315" s="51">
        <v>0</v>
      </c>
      <c r="BA315" s="50"/>
      <c r="BB315" s="51"/>
      <c r="BC315" s="144"/>
      <c r="BD315" s="144"/>
      <c r="BE315" s="51">
        <v>0</v>
      </c>
      <c r="BF315" s="50"/>
      <c r="BG315" s="51"/>
      <c r="BH315" s="144"/>
      <c r="BI315" s="144"/>
      <c r="BJ315" s="51">
        <v>0</v>
      </c>
      <c r="BK315" s="50"/>
      <c r="BL315" s="51"/>
      <c r="BM315" s="144"/>
      <c r="BN315" s="144"/>
      <c r="BO315" s="51">
        <v>0</v>
      </c>
      <c r="BP315" s="50"/>
      <c r="BQ315" s="51"/>
      <c r="BR315" s="144"/>
      <c r="BS315" s="144"/>
      <c r="BT315" s="51">
        <f>SUM(L315:BO315)</f>
        <v>0</v>
      </c>
      <c r="BU315" s="50"/>
      <c r="BV315" s="51"/>
      <c r="BW315" s="144"/>
      <c r="BX315" s="144"/>
      <c r="BY315" s="51">
        <v>0</v>
      </c>
      <c r="BZ315" s="50"/>
      <c r="CA315" s="51"/>
      <c r="CB315" s="144"/>
      <c r="CC315" s="144"/>
      <c r="CD315" s="51">
        <v>0</v>
      </c>
      <c r="CE315" s="50"/>
      <c r="CF315" s="51"/>
      <c r="CG315" s="144"/>
      <c r="CH315" s="144"/>
      <c r="CI315" s="51">
        <v>0</v>
      </c>
      <c r="CJ315" s="50"/>
      <c r="CK315" s="51"/>
      <c r="CL315" s="144"/>
      <c r="CM315" s="144"/>
      <c r="CN315" s="51">
        <v>0</v>
      </c>
      <c r="CO315" s="50"/>
      <c r="CP315" s="51"/>
      <c r="CQ315" s="144"/>
      <c r="CR315" s="144"/>
      <c r="CS315" s="51">
        <v>0</v>
      </c>
      <c r="CT315" s="50"/>
      <c r="CU315" s="51"/>
      <c r="CV315" s="144"/>
      <c r="CW315" s="144"/>
      <c r="CX315" s="51">
        <v>0</v>
      </c>
      <c r="CY315" s="50"/>
      <c r="CZ315" s="51"/>
      <c r="DA315" s="144"/>
      <c r="DB315" s="144"/>
      <c r="DC315" s="51">
        <v>0</v>
      </c>
      <c r="DD315" s="50"/>
      <c r="DE315" s="51"/>
      <c r="DF315" s="144"/>
      <c r="DG315" s="144"/>
      <c r="DH315" s="51">
        <v>0</v>
      </c>
      <c r="DI315" s="50"/>
      <c r="DJ315" s="51"/>
      <c r="DK315" s="144"/>
      <c r="DL315" s="144"/>
      <c r="DM315" s="51">
        <v>0</v>
      </c>
      <c r="DN315" s="50"/>
      <c r="DO315" s="51"/>
      <c r="DP315" s="144"/>
      <c r="DQ315" s="144"/>
      <c r="DR315" s="51">
        <v>0</v>
      </c>
      <c r="DS315" s="50"/>
      <c r="DT315" s="51"/>
      <c r="DU315" s="144"/>
      <c r="DV315" s="144"/>
      <c r="DW315" s="51">
        <v>0</v>
      </c>
      <c r="DX315" s="50"/>
      <c r="DY315" s="51"/>
      <c r="DZ315" s="144"/>
      <c r="EA315" s="144"/>
      <c r="EB315" s="51">
        <v>0</v>
      </c>
      <c r="EC315" s="50"/>
      <c r="ED315" s="51"/>
      <c r="EE315" s="144"/>
      <c r="EF315" s="144"/>
      <c r="EG315" s="51">
        <v>0</v>
      </c>
      <c r="EH315" s="50"/>
      <c r="EI315" s="51"/>
      <c r="EJ315" s="144"/>
      <c r="EK315" s="144"/>
      <c r="EL315" s="51">
        <f>SUM(CD315:EG315)</f>
        <v>0</v>
      </c>
      <c r="EM315" s="50"/>
      <c r="EN315" s="51"/>
      <c r="EO315" s="340"/>
      <c r="ER315" s="39"/>
      <c r="ES315" s="39"/>
    </row>
    <row r="316" spans="1:149" ht="12.75" hidden="1" customHeight="1" x14ac:dyDescent="0.2">
      <c r="A316" s="317"/>
      <c r="B316" s="317"/>
      <c r="D316" s="340" t="s">
        <v>187</v>
      </c>
      <c r="F316" s="371"/>
      <c r="G316" s="95">
        <v>0</v>
      </c>
      <c r="H316" s="94"/>
      <c r="I316" s="51"/>
      <c r="J316" s="144"/>
      <c r="K316" s="187"/>
      <c r="L316" s="95">
        <v>0</v>
      </c>
      <c r="M316" s="94"/>
      <c r="N316" s="51"/>
      <c r="O316" s="144"/>
      <c r="P316" s="187"/>
      <c r="Q316" s="95">
        <v>0</v>
      </c>
      <c r="R316" s="94"/>
      <c r="S316" s="51"/>
      <c r="T316" s="144"/>
      <c r="U316" s="187"/>
      <c r="V316" s="95">
        <v>0</v>
      </c>
      <c r="W316" s="94"/>
      <c r="X316" s="51"/>
      <c r="Y316" s="144"/>
      <c r="Z316" s="187"/>
      <c r="AA316" s="95">
        <v>0</v>
      </c>
      <c r="AB316" s="94"/>
      <c r="AC316" s="51"/>
      <c r="AD316" s="144"/>
      <c r="AE316" s="187"/>
      <c r="AF316" s="95">
        <v>0</v>
      </c>
      <c r="AG316" s="94"/>
      <c r="AH316" s="51"/>
      <c r="AI316" s="144"/>
      <c r="AJ316" s="187"/>
      <c r="AK316" s="95">
        <v>0</v>
      </c>
      <c r="AL316" s="94"/>
      <c r="AM316" s="51"/>
      <c r="AN316" s="144"/>
      <c r="AO316" s="187"/>
      <c r="AP316" s="95">
        <v>0</v>
      </c>
      <c r="AQ316" s="94"/>
      <c r="AR316" s="51"/>
      <c r="AS316" s="144"/>
      <c r="AT316" s="187"/>
      <c r="AU316" s="95">
        <v>0</v>
      </c>
      <c r="AV316" s="94"/>
      <c r="AW316" s="51"/>
      <c r="AX316" s="144"/>
      <c r="AY316" s="187"/>
      <c r="AZ316" s="95">
        <v>0</v>
      </c>
      <c r="BA316" s="94"/>
      <c r="BB316" s="51"/>
      <c r="BC316" s="144"/>
      <c r="BD316" s="187"/>
      <c r="BE316" s="95">
        <v>0</v>
      </c>
      <c r="BF316" s="94"/>
      <c r="BG316" s="51"/>
      <c r="BH316" s="144"/>
      <c r="BI316" s="187"/>
      <c r="BJ316" s="95">
        <v>0</v>
      </c>
      <c r="BK316" s="94"/>
      <c r="BL316" s="51"/>
      <c r="BM316" s="144"/>
      <c r="BN316" s="187"/>
      <c r="BO316" s="95">
        <v>0</v>
      </c>
      <c r="BP316" s="94"/>
      <c r="BQ316" s="51"/>
      <c r="BR316" s="144"/>
      <c r="BS316" s="187"/>
      <c r="BT316" s="95">
        <f>SUM(L316:BO316)</f>
        <v>0</v>
      </c>
      <c r="BU316" s="94"/>
      <c r="BV316" s="51"/>
      <c r="BW316" s="144"/>
      <c r="BX316" s="187"/>
      <c r="BY316" s="95">
        <v>0</v>
      </c>
      <c r="BZ316" s="94"/>
      <c r="CA316" s="51"/>
      <c r="CB316" s="144"/>
      <c r="CC316" s="187"/>
      <c r="CD316" s="95">
        <v>0</v>
      </c>
      <c r="CE316" s="94"/>
      <c r="CF316" s="51"/>
      <c r="CG316" s="144"/>
      <c r="CH316" s="187"/>
      <c r="CI316" s="95">
        <v>0</v>
      </c>
      <c r="CJ316" s="94"/>
      <c r="CK316" s="51"/>
      <c r="CL316" s="144"/>
      <c r="CM316" s="187"/>
      <c r="CN316" s="95">
        <v>0</v>
      </c>
      <c r="CO316" s="94"/>
      <c r="CP316" s="51"/>
      <c r="CQ316" s="144"/>
      <c r="CR316" s="187"/>
      <c r="CS316" s="95">
        <v>0</v>
      </c>
      <c r="CT316" s="94"/>
      <c r="CU316" s="51"/>
      <c r="CV316" s="144"/>
      <c r="CW316" s="187"/>
      <c r="CX316" s="95">
        <v>0</v>
      </c>
      <c r="CY316" s="94"/>
      <c r="CZ316" s="51"/>
      <c r="DA316" s="144"/>
      <c r="DB316" s="187"/>
      <c r="DC316" s="95">
        <v>0</v>
      </c>
      <c r="DD316" s="94"/>
      <c r="DE316" s="51"/>
      <c r="DF316" s="144"/>
      <c r="DG316" s="187"/>
      <c r="DH316" s="95">
        <v>0</v>
      </c>
      <c r="DI316" s="94"/>
      <c r="DJ316" s="51"/>
      <c r="DK316" s="144"/>
      <c r="DL316" s="187"/>
      <c r="DM316" s="95">
        <v>0</v>
      </c>
      <c r="DN316" s="94"/>
      <c r="DO316" s="51"/>
      <c r="DP316" s="144"/>
      <c r="DQ316" s="187"/>
      <c r="DR316" s="95">
        <v>0</v>
      </c>
      <c r="DS316" s="94"/>
      <c r="DT316" s="51"/>
      <c r="DU316" s="144"/>
      <c r="DV316" s="187"/>
      <c r="DW316" s="95">
        <v>0</v>
      </c>
      <c r="DX316" s="94"/>
      <c r="DY316" s="51"/>
      <c r="DZ316" s="144"/>
      <c r="EA316" s="187"/>
      <c r="EB316" s="95">
        <v>0</v>
      </c>
      <c r="EC316" s="94"/>
      <c r="ED316" s="51"/>
      <c r="EE316" s="144"/>
      <c r="EF316" s="187"/>
      <c r="EG316" s="95">
        <v>0</v>
      </c>
      <c r="EH316" s="94"/>
      <c r="EI316" s="51"/>
      <c r="EJ316" s="144"/>
      <c r="EK316" s="187"/>
      <c r="EL316" s="95">
        <f>SUM(CD316:EG316)</f>
        <v>0</v>
      </c>
      <c r="EM316" s="94"/>
      <c r="EN316" s="51"/>
      <c r="EO316" s="340"/>
      <c r="ER316" s="39"/>
      <c r="ES316" s="39"/>
    </row>
    <row r="317" spans="1:149" ht="12.75" customHeight="1" x14ac:dyDescent="0.2">
      <c r="A317" s="317"/>
      <c r="B317" s="317"/>
      <c r="D317" s="340"/>
      <c r="F317" s="317"/>
      <c r="G317" s="51"/>
      <c r="H317" s="51"/>
      <c r="I317" s="51"/>
      <c r="J317" s="144"/>
      <c r="K317" s="51"/>
      <c r="L317" s="51"/>
      <c r="M317" s="51"/>
      <c r="N317" s="51"/>
      <c r="O317" s="144"/>
      <c r="P317" s="51"/>
      <c r="Q317" s="51"/>
      <c r="R317" s="51"/>
      <c r="S317" s="51"/>
      <c r="T317" s="144"/>
      <c r="U317" s="51"/>
      <c r="V317" s="51"/>
      <c r="W317" s="51"/>
      <c r="X317" s="51"/>
      <c r="Y317" s="144"/>
      <c r="Z317" s="51"/>
      <c r="AA317" s="51"/>
      <c r="AB317" s="51"/>
      <c r="AC317" s="51"/>
      <c r="AD317" s="144"/>
      <c r="AE317" s="51"/>
      <c r="AF317" s="51"/>
      <c r="AG317" s="51"/>
      <c r="AH317" s="51"/>
      <c r="AI317" s="144"/>
      <c r="AJ317" s="51"/>
      <c r="AK317" s="51"/>
      <c r="AL317" s="51"/>
      <c r="AM317" s="51"/>
      <c r="AN317" s="144"/>
      <c r="AO317" s="51"/>
      <c r="AP317" s="51"/>
      <c r="AQ317" s="51"/>
      <c r="AR317" s="51"/>
      <c r="AS317" s="144"/>
      <c r="AT317" s="51"/>
      <c r="AU317" s="51"/>
      <c r="AV317" s="51"/>
      <c r="AW317" s="51"/>
      <c r="AX317" s="144"/>
      <c r="AY317" s="51"/>
      <c r="AZ317" s="51"/>
      <c r="BA317" s="51"/>
      <c r="BB317" s="51"/>
      <c r="BC317" s="144"/>
      <c r="BD317" s="51"/>
      <c r="BE317" s="51"/>
      <c r="BF317" s="51"/>
      <c r="BG317" s="51"/>
      <c r="BH317" s="144"/>
      <c r="BI317" s="51"/>
      <c r="BJ317" s="51"/>
      <c r="BK317" s="51"/>
      <c r="BL317" s="51"/>
      <c r="BM317" s="144"/>
      <c r="BN317" s="51"/>
      <c r="BO317" s="51"/>
      <c r="BP317" s="51"/>
      <c r="BQ317" s="51"/>
      <c r="BR317" s="144"/>
      <c r="BS317" s="51"/>
      <c r="BT317" s="51"/>
      <c r="BU317" s="51"/>
      <c r="BV317" s="51"/>
      <c r="BW317" s="144"/>
      <c r="BX317" s="51"/>
      <c r="BY317" s="51"/>
      <c r="BZ317" s="51"/>
      <c r="CA317" s="51"/>
      <c r="CB317" s="144"/>
      <c r="CC317" s="51"/>
      <c r="CD317" s="51"/>
      <c r="CE317" s="51"/>
      <c r="CF317" s="51"/>
      <c r="CG317" s="144"/>
      <c r="CH317" s="51"/>
      <c r="CI317" s="51"/>
      <c r="CJ317" s="51"/>
      <c r="CK317" s="51"/>
      <c r="CL317" s="144"/>
      <c r="CM317" s="51"/>
      <c r="CN317" s="51"/>
      <c r="CO317" s="51"/>
      <c r="CP317" s="51"/>
      <c r="CQ317" s="144"/>
      <c r="CR317" s="51"/>
      <c r="CS317" s="51"/>
      <c r="CT317" s="51"/>
      <c r="CU317" s="51"/>
      <c r="CV317" s="144"/>
      <c r="CW317" s="51"/>
      <c r="CX317" s="51"/>
      <c r="CY317" s="51"/>
      <c r="CZ317" s="51"/>
      <c r="DA317" s="144"/>
      <c r="DB317" s="51"/>
      <c r="DC317" s="51"/>
      <c r="DD317" s="51"/>
      <c r="DE317" s="51"/>
      <c r="DF317" s="144"/>
      <c r="DG317" s="51"/>
      <c r="DH317" s="51"/>
      <c r="DI317" s="51"/>
      <c r="DJ317" s="51"/>
      <c r="DK317" s="144"/>
      <c r="DL317" s="51"/>
      <c r="DM317" s="51"/>
      <c r="DN317" s="51"/>
      <c r="DO317" s="51"/>
      <c r="DP317" s="144"/>
      <c r="DQ317" s="51"/>
      <c r="DR317" s="51"/>
      <c r="DS317" s="51"/>
      <c r="DT317" s="51"/>
      <c r="DU317" s="144"/>
      <c r="DV317" s="51"/>
      <c r="DW317" s="51"/>
      <c r="DX317" s="51"/>
      <c r="DY317" s="51"/>
      <c r="DZ317" s="144"/>
      <c r="EA317" s="51"/>
      <c r="EB317" s="51"/>
      <c r="EC317" s="51"/>
      <c r="ED317" s="51"/>
      <c r="EE317" s="144"/>
      <c r="EF317" s="51"/>
      <c r="EG317" s="51"/>
      <c r="EH317" s="51"/>
      <c r="EI317" s="51"/>
      <c r="EJ317" s="144"/>
      <c r="EK317" s="51"/>
      <c r="EL317" s="51"/>
      <c r="EM317" s="51"/>
      <c r="EN317" s="51"/>
      <c r="EO317" s="340"/>
      <c r="ER317" s="39"/>
      <c r="ES317" s="39"/>
    </row>
    <row r="318" spans="1:149" s="39" customFormat="1" x14ac:dyDescent="0.2">
      <c r="A318" s="329"/>
      <c r="B318" s="329"/>
      <c r="D318" s="458" t="s">
        <v>177</v>
      </c>
      <c r="E318" s="461"/>
      <c r="F318" s="666"/>
      <c r="G318" s="41">
        <f>SUM(G319:G319)</f>
        <v>8349673</v>
      </c>
      <c r="H318" s="41"/>
      <c r="I318" s="41"/>
      <c r="J318" s="428"/>
      <c r="K318" s="41"/>
      <c r="L318" s="41">
        <f>SUM(L319:L319)</f>
        <v>827198</v>
      </c>
      <c r="M318" s="41"/>
      <c r="N318" s="41"/>
      <c r="O318" s="428"/>
      <c r="P318" s="41"/>
      <c r="Q318" s="41">
        <f>SUM(Q319:Q319)</f>
        <v>3114442</v>
      </c>
      <c r="R318" s="41"/>
      <c r="S318" s="41"/>
      <c r="T318" s="428"/>
      <c r="U318" s="41"/>
      <c r="V318" s="41">
        <f>SUM(V319:V319)</f>
        <v>860933</v>
      </c>
      <c r="W318" s="41"/>
      <c r="X318" s="41"/>
      <c r="Y318" s="428"/>
      <c r="Z318" s="41"/>
      <c r="AA318" s="41">
        <f>SUM(AA319:AA319)</f>
        <v>95339</v>
      </c>
      <c r="AB318" s="41"/>
      <c r="AC318" s="41"/>
      <c r="AD318" s="428"/>
      <c r="AE318" s="41"/>
      <c r="AF318" s="41">
        <f>SUM(AF319:AF319)</f>
        <v>2945441</v>
      </c>
      <c r="AG318" s="41"/>
      <c r="AH318" s="41"/>
      <c r="AI318" s="428"/>
      <c r="AJ318" s="41"/>
      <c r="AK318" s="41">
        <f>SUM(AK319:AK319)</f>
        <v>506320</v>
      </c>
      <c r="AL318" s="41"/>
      <c r="AM318" s="41"/>
      <c r="AN318" s="428"/>
      <c r="AO318" s="663"/>
      <c r="AP318" s="41">
        <f>SUM(AP319:AP319)</f>
        <v>513226</v>
      </c>
      <c r="AQ318" s="51"/>
      <c r="AR318" s="41"/>
      <c r="AS318" s="428"/>
      <c r="AT318" s="41"/>
      <c r="AU318" s="41">
        <f>SUM(AU319:AU319)</f>
        <v>0</v>
      </c>
      <c r="AV318" s="41"/>
      <c r="AW318" s="41"/>
      <c r="AX318" s="428"/>
      <c r="AY318" s="41"/>
      <c r="AZ318" s="41">
        <f>SUM(AZ319:AZ319)</f>
        <v>0</v>
      </c>
      <c r="BA318" s="41"/>
      <c r="BB318" s="41"/>
      <c r="BC318" s="428"/>
      <c r="BD318" s="41"/>
      <c r="BE318" s="41">
        <f>SUM(BE319:BE319)</f>
        <v>0</v>
      </c>
      <c r="BF318" s="41"/>
      <c r="BG318" s="41"/>
      <c r="BH318" s="428"/>
      <c r="BI318" s="41"/>
      <c r="BJ318" s="41">
        <f>SUM(BJ319:BJ319)</f>
        <v>0</v>
      </c>
      <c r="BK318" s="41"/>
      <c r="BL318" s="41"/>
      <c r="BM318" s="428"/>
      <c r="BN318" s="41"/>
      <c r="BO318" s="41">
        <f>SUM(BO319:BO319)</f>
        <v>0</v>
      </c>
      <c r="BP318" s="41"/>
      <c r="BQ318" s="41"/>
      <c r="BR318" s="428"/>
      <c r="BS318" s="41"/>
      <c r="BT318" s="41">
        <f>SUM(BT319:BT319)</f>
        <v>8862899</v>
      </c>
      <c r="BU318" s="41"/>
      <c r="BV318" s="41"/>
      <c r="BW318" s="428"/>
      <c r="BX318" s="41"/>
      <c r="BY318" s="41">
        <f>SUM(BY319:BY319)</f>
        <v>7476976</v>
      </c>
      <c r="BZ318" s="41"/>
      <c r="CA318" s="41"/>
      <c r="CB318" s="428"/>
      <c r="CC318" s="41"/>
      <c r="CD318" s="41">
        <f>SUM(CD319:CD319)</f>
        <v>195061</v>
      </c>
      <c r="CE318" s="41"/>
      <c r="CF318" s="41"/>
      <c r="CG318" s="428"/>
      <c r="CH318" s="41"/>
      <c r="CI318" s="41">
        <f>SUM(CI319:CI319)</f>
        <v>0</v>
      </c>
      <c r="CJ318" s="41"/>
      <c r="CK318" s="41"/>
      <c r="CL318" s="428"/>
      <c r="CM318" s="41"/>
      <c r="CN318" s="41">
        <f>SUM(CN319:CN319)</f>
        <v>956108</v>
      </c>
      <c r="CO318" s="41"/>
      <c r="CP318" s="41"/>
      <c r="CQ318" s="428"/>
      <c r="CR318" s="41"/>
      <c r="CS318" s="41">
        <f>SUM(CS319:CS319)</f>
        <v>380371</v>
      </c>
      <c r="CT318" s="41"/>
      <c r="CU318" s="41"/>
      <c r="CV318" s="428"/>
      <c r="CW318" s="41"/>
      <c r="CX318" s="41">
        <f>SUM(CX319:CX319)</f>
        <v>83879</v>
      </c>
      <c r="CY318" s="41"/>
      <c r="CZ318" s="41"/>
      <c r="DA318" s="428"/>
      <c r="DB318" s="41"/>
      <c r="DC318" s="41">
        <f>SUM(DC319:DC319)</f>
        <v>27624</v>
      </c>
      <c r="DD318" s="41"/>
      <c r="DE318" s="41"/>
      <c r="DF318" s="428"/>
      <c r="DG318" s="663"/>
      <c r="DH318" s="41">
        <f>SUM(DH319:DH319)</f>
        <v>481602</v>
      </c>
      <c r="DI318" s="51"/>
      <c r="DJ318" s="41"/>
      <c r="DK318" s="428"/>
      <c r="DL318" s="41"/>
      <c r="DM318" s="41">
        <f>SUM(DM319:DM319)</f>
        <v>1204105</v>
      </c>
      <c r="DN318" s="41"/>
      <c r="DO318" s="41"/>
      <c r="DP318" s="428"/>
      <c r="DQ318" s="41"/>
      <c r="DR318" s="41">
        <f>SUM(DR319:DR319)</f>
        <v>342784</v>
      </c>
      <c r="DS318" s="41"/>
      <c r="DT318" s="41"/>
      <c r="DU318" s="428"/>
      <c r="DV318" s="41"/>
      <c r="DW318" s="41">
        <f>SUM(DW319:DW319)</f>
        <v>0</v>
      </c>
      <c r="DX318" s="41"/>
      <c r="DY318" s="41"/>
      <c r="DZ318" s="428"/>
      <c r="EA318" s="41"/>
      <c r="EB318" s="41">
        <f>SUM(EB319:EB319)</f>
        <v>772365</v>
      </c>
      <c r="EC318" s="41"/>
      <c r="ED318" s="41"/>
      <c r="EE318" s="428"/>
      <c r="EF318" s="41"/>
      <c r="EG318" s="41">
        <f>SUM(EG319:EG319)</f>
        <v>3033077</v>
      </c>
      <c r="EH318" s="41"/>
      <c r="EI318" s="41"/>
      <c r="EJ318" s="428"/>
      <c r="EK318" s="41"/>
      <c r="EL318" s="41">
        <f>SUM(EL319:EL319)</f>
        <v>2124645</v>
      </c>
      <c r="EM318" s="41"/>
      <c r="EN318" s="41"/>
      <c r="EO318" s="348"/>
      <c r="EQ318" s="315"/>
    </row>
    <row r="319" spans="1:149" x14ac:dyDescent="0.2">
      <c r="A319" s="317"/>
      <c r="B319" s="317"/>
      <c r="D319" s="340" t="s">
        <v>183</v>
      </c>
      <c r="E319" s="453"/>
      <c r="F319" s="463"/>
      <c r="G319" s="438">
        <f>G322+G325+G328+G331+G334+G337+G340+G343+G346+G349+G352+G355+G358+G361+G364+G367+G370+G373+G376+G379+G382+G385+G388+G391+G394+G397</f>
        <v>8349673</v>
      </c>
      <c r="H319" s="436"/>
      <c r="I319" s="51"/>
      <c r="J319" s="144"/>
      <c r="K319" s="437"/>
      <c r="L319" s="438">
        <f>L322+L325+L328+L331+L334+L337+L340+L343+L346+L349+L352+L355+L358+L361+L364+L367+L370+L373+L376+L379+L382+L385+L388+L391+L394+L397</f>
        <v>827198</v>
      </c>
      <c r="M319" s="436"/>
      <c r="N319" s="51"/>
      <c r="O319" s="144"/>
      <c r="P319" s="437"/>
      <c r="Q319" s="438">
        <f>Q322+Q325+Q328+Q331+Q334+Q337+Q340+Q343+Q346+Q349+Q352+Q355+Q358+Q361+Q364+Q367+Q370+Q373+Q376+Q379+Q382+Q385+Q388+Q391+Q394+Q397</f>
        <v>3114442</v>
      </c>
      <c r="R319" s="436"/>
      <c r="S319" s="51"/>
      <c r="T319" s="144"/>
      <c r="U319" s="437"/>
      <c r="V319" s="438">
        <f>V322+V325+V328+V331+V334+V337+V340+V343+V346+V349+V352+V355+V358+V361+V364+V367+V370+V373+V376+V379+V382+V385+V388+V391+V394+V397</f>
        <v>860933</v>
      </c>
      <c r="W319" s="436"/>
      <c r="X319" s="51"/>
      <c r="Y319" s="144"/>
      <c r="Z319" s="437"/>
      <c r="AA319" s="438">
        <f>AA322+AA325+AA328+AA331+AA334+AA337+AA340+AA343+AA346+AA349+AA352+AA355+AA358+AA361+AA364+AA367+AA370+AA373+AA376+AA379+AA382+AA385+AA388+AA391+AA394+AA397</f>
        <v>95339</v>
      </c>
      <c r="AB319" s="436"/>
      <c r="AC319" s="51"/>
      <c r="AD319" s="144"/>
      <c r="AE319" s="437"/>
      <c r="AF319" s="438">
        <f>AF322+AF325+AF328+AF331+AF334+AF337+AF340+AF343+AF346+AF349+AF352+AF355+AF358+AF361+AF364+AF367+AF370+AF373+AF376+AF379+AF382+AF385+AF388+AF391+AF394+AF397</f>
        <v>2945441</v>
      </c>
      <c r="AG319" s="436"/>
      <c r="AH319" s="51"/>
      <c r="AI319" s="144"/>
      <c r="AJ319" s="437"/>
      <c r="AK319" s="438">
        <f>AK322+AK325+AK328+AK331+AK334+AK337+AK340+AK343+AK346+AK349+AK352+AK355+AK358+AK361+AK364+AK367+AK370+AK373+AK376+AK379+AK382+AK385+AK388+AK391+AK394+AK397</f>
        <v>506320</v>
      </c>
      <c r="AL319" s="436"/>
      <c r="AM319" s="51"/>
      <c r="AN319" s="144"/>
      <c r="AO319" s="437"/>
      <c r="AP319" s="438">
        <f>AP322+AP325+AP328+AP331+AP334+AP337+AP340+AP343+AP346+AP349+AP352+AP355+AP358+AP361+AP364+AP367+AP370+AP373+AP376+AP379+AP382+AP385+AP388+AP391+AP394+AP397</f>
        <v>513226</v>
      </c>
      <c r="AQ319" s="436"/>
      <c r="AR319" s="51"/>
      <c r="AS319" s="144"/>
      <c r="AT319" s="437"/>
      <c r="AU319" s="438">
        <f>AU322+AU325+AU328+AU331+AU334+AU337+AU340+AU343+AU346+AU349+AU352+AU355+AU358+AU361+AU364+AU367+AU370+AU373+AU376+AU379+AU382+AU385+AU388+AU391+AU394+AU397</f>
        <v>0</v>
      </c>
      <c r="AV319" s="436"/>
      <c r="AW319" s="51"/>
      <c r="AX319" s="144"/>
      <c r="AY319" s="437"/>
      <c r="AZ319" s="438">
        <f>AZ322+AZ325+AZ328+AZ331+AZ334+AZ337+AZ340+AZ343+AZ346+AZ349+AZ352+AZ355+AZ358+AZ361+AZ364+AZ367+AZ370+AZ373+AZ376+AZ379+AZ382+AZ385+AZ388+AZ391+AZ394+AZ397</f>
        <v>0</v>
      </c>
      <c r="BA319" s="436"/>
      <c r="BB319" s="51"/>
      <c r="BC319" s="144"/>
      <c r="BD319" s="437"/>
      <c r="BE319" s="438">
        <f>BE322+BE325+BE328+BE331+BE334+BE337+BE340+BE343+BE346+BE349+BE352+BE355+BE358+BE361+BE364+BE367+BE370+BE373+BE376+BE379+BE382+BE385+BE388+BE391+BE394+BE397</f>
        <v>0</v>
      </c>
      <c r="BF319" s="436"/>
      <c r="BG319" s="51"/>
      <c r="BH319" s="144"/>
      <c r="BI319" s="437"/>
      <c r="BJ319" s="438">
        <f>BJ322+BJ325+BJ328+BJ331+BJ334+BJ337+BJ340+BJ343+BJ346+BJ349+BJ352+BJ355+BJ358+BJ361+BJ364+BJ367+BJ370+BJ373+BJ376+BJ379+BJ382+BJ385+BJ388+BJ391+BJ394+BJ397</f>
        <v>0</v>
      </c>
      <c r="BK319" s="436"/>
      <c r="BL319" s="51"/>
      <c r="BM319" s="144"/>
      <c r="BN319" s="437"/>
      <c r="BO319" s="438">
        <f>BO322+BO325+BO328+BO331+BO334+BO337+BO340+BO343+BO346+BO349+BO352+BO355+BO358+BO361+BO364+BO367+BO370+BO373+BO376+BO379+BO382+BO385+BO388+BO391+BO394+BO397</f>
        <v>0</v>
      </c>
      <c r="BP319" s="436"/>
      <c r="BQ319" s="51"/>
      <c r="BR319" s="144"/>
      <c r="BS319" s="437"/>
      <c r="BT319" s="464">
        <f>BT322+BT325+BT328+BT331+BT334+BT337+BT340+BT343+BT346+BT349+BT352+BT355+BT358+BT361+BT364+BT367+BT370+BT373+BT376+BT379+BT382+BT385+BT388+BT391+BT394+BT397</f>
        <v>8862899</v>
      </c>
      <c r="BU319" s="436"/>
      <c r="BV319" s="51"/>
      <c r="BW319" s="144"/>
      <c r="BX319" s="437"/>
      <c r="BY319" s="438">
        <f>BY322+BY325+BY328+BY331+BY334+BY337+BY340+BY343+BY346+BY349+BY352+BY355+BY358+BY361+BY364+BY367+BY370+BY373+BY376+BY379+BY382+BY385+BY388+BY391+BY394+BY397</f>
        <v>7476976</v>
      </c>
      <c r="BZ319" s="436"/>
      <c r="CA319" s="51"/>
      <c r="CB319" s="144"/>
      <c r="CC319" s="437"/>
      <c r="CD319" s="438">
        <f>CD322+CD325+CD328+CD331+CD334+CD337+CD340+CD343+CD346+CD349+CD352+CD355+CD358+CD361+CD364+CD367+CD370+CD373+CD376+CD379+CD382+CD385+CD388+CD391+CD394+CD397</f>
        <v>195061</v>
      </c>
      <c r="CE319" s="436"/>
      <c r="CF319" s="51"/>
      <c r="CG319" s="144"/>
      <c r="CH319" s="437"/>
      <c r="CI319" s="438">
        <f>CI322+CI325+CI328+CI331+CI334+CI337+CI340+CI343+CI346+CI349+CI352+CI355+CI358+CI361+CI364+CI367+CI370+CI373+CI376+CI379+CI382+CI385+CI388+CI391+CI394+CI397</f>
        <v>0</v>
      </c>
      <c r="CJ319" s="436"/>
      <c r="CK319" s="51"/>
      <c r="CL319" s="144"/>
      <c r="CM319" s="437"/>
      <c r="CN319" s="438">
        <f>CN322+CN325+CN328+CN331+CN334+CN337+CN340+CN343+CN346+CN349+CN352+CN355+CN358+CN361+CN364+CN367+CN370+CN373+CN376+CN379+CN382+CN385+CN388+CN391+CN394+CN397</f>
        <v>956108</v>
      </c>
      <c r="CO319" s="436"/>
      <c r="CP319" s="51"/>
      <c r="CQ319" s="144"/>
      <c r="CR319" s="437"/>
      <c r="CS319" s="438">
        <f>CS322+CS325+CS328+CS331+CS334+CS337+CS340+CS343+CS346+CS349+CS352+CS355+CS358+CS361+CS364+CS367+CS370+CS373+CS376+CS379+CS382+CS385+CS388+CS391+CS394+CS397</f>
        <v>380371</v>
      </c>
      <c r="CT319" s="436"/>
      <c r="CU319" s="51"/>
      <c r="CV319" s="144"/>
      <c r="CW319" s="437"/>
      <c r="CX319" s="438">
        <f>CX322+CX325+CX328+CX331+CX334+CX337+CX340+CX343+CX346+CX349+CX352+CX355+CX358+CX361+CX364+CX367+CX370+CX373+CX376+CX379+CX382+CX385+CX388+CX391+CX394+CX397</f>
        <v>83879</v>
      </c>
      <c r="CY319" s="436"/>
      <c r="CZ319" s="51"/>
      <c r="DA319" s="144"/>
      <c r="DB319" s="437"/>
      <c r="DC319" s="438">
        <f>DC322+DC325+DC328+DC331+DC334+DC337+DC340+DC343+DC346+DC349+DC352+DC355+DC358+DC361+DC364+DC367+DC370+DC373+DC376+DC379+DC382+DC385+DC388+DC391+DC394+DC397</f>
        <v>27624</v>
      </c>
      <c r="DD319" s="436"/>
      <c r="DE319" s="51"/>
      <c r="DF319" s="144"/>
      <c r="DG319" s="437"/>
      <c r="DH319" s="438">
        <f>DH322+DH325+DH328+DH331+DH334+DH337+DH340+DH343+DH346+DH349+DH352+DH355+DH358+DH361+DH364+DH367+DH370+DH373+DH376+DH379+DH382+DH385+DH388+DH391+DH394+DH397</f>
        <v>481602</v>
      </c>
      <c r="DI319" s="436"/>
      <c r="DJ319" s="51"/>
      <c r="DK319" s="144"/>
      <c r="DL319" s="437"/>
      <c r="DM319" s="438">
        <f>DM322+DM325+DM328+DM331+DM334+DM337+DM340+DM343+DM346+DM349+DM352+DM355+DM358+DM361+DM364+DM367+DM370+DM373+DM376+DM379+DM382+DM385+DM388+DM391+DM394+DM397</f>
        <v>1204105</v>
      </c>
      <c r="DN319" s="436"/>
      <c r="DO319" s="51"/>
      <c r="DP319" s="144"/>
      <c r="DQ319" s="437"/>
      <c r="DR319" s="438">
        <f>DR322+DR325+DR328+DR331+DR334+DR337+DR340+DR343+DR346+DR349+DR352+DR355+DR358+DR361+DR364+DR367+DR370+DR373+DR376+DR379+DR382+DR385+DR388+DR391+DR394+DR397</f>
        <v>342784</v>
      </c>
      <c r="DS319" s="436"/>
      <c r="DT319" s="51"/>
      <c r="DU319" s="144"/>
      <c r="DV319" s="437"/>
      <c r="DW319" s="438">
        <f>DW322+DW325+DW328+DW331+DW334+DW337+DW340+DW343+DW346+DW349+DW352+DW355+DW358+DW361+DW364+DW367+DW370+DW373+DW376+DW379+DW382+DW385+DW388+DW391+DW394+DW397</f>
        <v>0</v>
      </c>
      <c r="DX319" s="436"/>
      <c r="DY319" s="51"/>
      <c r="DZ319" s="144"/>
      <c r="EA319" s="437"/>
      <c r="EB319" s="438">
        <f>EB322+EB325+EB328+EB331+EB334+EB337+EB340+EB343+EB346+EB349+EB352+EB355+EB358+EB361+EB364+EB367+EB370+EB373+EB376+EB379+EB382+EB385+EB388+EB391+EB394+EB397</f>
        <v>772365</v>
      </c>
      <c r="EC319" s="436"/>
      <c r="ED319" s="51"/>
      <c r="EE319" s="144"/>
      <c r="EF319" s="437"/>
      <c r="EG319" s="438">
        <f>EG322+EG325+EG328+EG331+EG334+EG337+EG340+EG343+EG346+EG349+EG352+EG355+EG358+EG361+EG364+EG367+EG370+EG373+EG376+EG379+EG382+EG385+EG388+EG391+EG394+EG397</f>
        <v>3033077</v>
      </c>
      <c r="EH319" s="436"/>
      <c r="EI319" s="51"/>
      <c r="EJ319" s="144"/>
      <c r="EK319" s="437"/>
      <c r="EL319" s="464">
        <f>EL322+EL325+EL328+EL331+EL334+EL337+EL340+EL343+EL346+EL349+EL352+EL355+EL358+EL361+EL364+EL367+EL370+EL373+EL376+EL379+EL382+EL385+EL388+EL391+EL394+EL397</f>
        <v>2124645</v>
      </c>
      <c r="EM319" s="436"/>
      <c r="EN319" s="51"/>
      <c r="EO319" s="340"/>
      <c r="ER319" s="39"/>
      <c r="ES319" s="39"/>
    </row>
    <row r="320" spans="1:149" x14ac:dyDescent="0.2">
      <c r="A320" s="317"/>
      <c r="B320" s="317"/>
      <c r="D320" s="340"/>
      <c r="E320" s="453"/>
      <c r="F320" s="663"/>
      <c r="G320" s="51"/>
      <c r="H320" s="51"/>
      <c r="I320" s="51"/>
      <c r="J320" s="144"/>
      <c r="K320" s="51"/>
      <c r="L320" s="51"/>
      <c r="M320" s="51"/>
      <c r="N320" s="51"/>
      <c r="O320" s="144"/>
      <c r="P320" s="51"/>
      <c r="Q320" s="51"/>
      <c r="R320" s="51"/>
      <c r="S320" s="51"/>
      <c r="T320" s="144"/>
      <c r="U320" s="51"/>
      <c r="V320" s="51"/>
      <c r="W320" s="51"/>
      <c r="X320" s="51"/>
      <c r="Y320" s="144"/>
      <c r="Z320" s="51"/>
      <c r="AA320" s="51"/>
      <c r="AB320" s="51"/>
      <c r="AC320" s="51"/>
      <c r="AD320" s="144"/>
      <c r="AE320" s="51"/>
      <c r="AF320" s="51"/>
      <c r="AG320" s="51"/>
      <c r="AH320" s="51"/>
      <c r="AI320" s="144"/>
      <c r="AJ320" s="51"/>
      <c r="AK320" s="51"/>
      <c r="AL320" s="51"/>
      <c r="AM320" s="51"/>
      <c r="AN320" s="144"/>
      <c r="AO320" s="51"/>
      <c r="AP320" s="51"/>
      <c r="AQ320" s="51"/>
      <c r="AR320" s="51"/>
      <c r="AS320" s="144"/>
      <c r="AT320" s="51"/>
      <c r="AU320" s="51"/>
      <c r="AV320" s="51"/>
      <c r="AW320" s="51"/>
      <c r="AX320" s="144"/>
      <c r="AY320" s="51"/>
      <c r="AZ320" s="51"/>
      <c r="BA320" s="51"/>
      <c r="BB320" s="51"/>
      <c r="BC320" s="144"/>
      <c r="BD320" s="51"/>
      <c r="BE320" s="51"/>
      <c r="BF320" s="51"/>
      <c r="BG320" s="51"/>
      <c r="BH320" s="144"/>
      <c r="BI320" s="51"/>
      <c r="BJ320" s="51"/>
      <c r="BK320" s="51"/>
      <c r="BL320" s="51"/>
      <c r="BM320" s="144"/>
      <c r="BN320" s="51"/>
      <c r="BO320" s="51"/>
      <c r="BP320" s="51"/>
      <c r="BQ320" s="51"/>
      <c r="BR320" s="144"/>
      <c r="BS320" s="51"/>
      <c r="BT320" s="51"/>
      <c r="BU320" s="51"/>
      <c r="BV320" s="51"/>
      <c r="BW320" s="144"/>
      <c r="BX320" s="51"/>
      <c r="BY320" s="51"/>
      <c r="BZ320" s="51"/>
      <c r="CA320" s="51"/>
      <c r="CB320" s="144"/>
      <c r="CC320" s="51"/>
      <c r="CD320" s="51"/>
      <c r="CE320" s="51"/>
      <c r="CF320" s="51"/>
      <c r="CG320" s="144"/>
      <c r="CH320" s="51"/>
      <c r="CI320" s="51"/>
      <c r="CJ320" s="51"/>
      <c r="CK320" s="51"/>
      <c r="CL320" s="144"/>
      <c r="CM320" s="51"/>
      <c r="CN320" s="51"/>
      <c r="CO320" s="51"/>
      <c r="CP320" s="51"/>
      <c r="CQ320" s="144"/>
      <c r="CR320" s="51"/>
      <c r="CS320" s="51"/>
      <c r="CT320" s="51"/>
      <c r="CU320" s="51"/>
      <c r="CV320" s="144"/>
      <c r="CW320" s="51"/>
      <c r="CX320" s="51"/>
      <c r="CY320" s="51"/>
      <c r="CZ320" s="51"/>
      <c r="DA320" s="144"/>
      <c r="DB320" s="51"/>
      <c r="DC320" s="51"/>
      <c r="DD320" s="51"/>
      <c r="DE320" s="51"/>
      <c r="DF320" s="144"/>
      <c r="DG320" s="51"/>
      <c r="DH320" s="51"/>
      <c r="DI320" s="51"/>
      <c r="DJ320" s="51"/>
      <c r="DK320" s="144"/>
      <c r="DL320" s="51"/>
      <c r="DM320" s="51"/>
      <c r="DN320" s="51"/>
      <c r="DO320" s="51"/>
      <c r="DP320" s="144"/>
      <c r="DQ320" s="51"/>
      <c r="DR320" s="51"/>
      <c r="DS320" s="51"/>
      <c r="DT320" s="51"/>
      <c r="DU320" s="144"/>
      <c r="DV320" s="51"/>
      <c r="DW320" s="51"/>
      <c r="DX320" s="51"/>
      <c r="DY320" s="51"/>
      <c r="DZ320" s="144"/>
      <c r="EA320" s="51"/>
      <c r="EB320" s="51"/>
      <c r="EC320" s="51"/>
      <c r="ED320" s="51"/>
      <c r="EE320" s="144"/>
      <c r="EF320" s="51"/>
      <c r="EG320" s="51"/>
      <c r="EH320" s="51"/>
      <c r="EI320" s="51"/>
      <c r="EJ320" s="144"/>
      <c r="EK320" s="51"/>
      <c r="EL320" s="51"/>
      <c r="EM320" s="51"/>
      <c r="EN320" s="51"/>
      <c r="EO320" s="340"/>
      <c r="ER320" s="39"/>
      <c r="ES320" s="39"/>
    </row>
    <row r="321" spans="1:149" ht="12.75" hidden="1" customHeight="1" x14ac:dyDescent="0.2">
      <c r="A321" s="317"/>
      <c r="B321" s="317"/>
      <c r="D321" s="340" t="s">
        <v>226</v>
      </c>
      <c r="F321" s="317"/>
      <c r="G321" s="51">
        <f>SUM(G322:G322)</f>
        <v>0</v>
      </c>
      <c r="H321" s="51"/>
      <c r="I321" s="51"/>
      <c r="J321" s="144"/>
      <c r="K321" s="51"/>
      <c r="L321" s="51">
        <f>SUM(L322:L322)</f>
        <v>0</v>
      </c>
      <c r="M321" s="51"/>
      <c r="N321" s="51"/>
      <c r="O321" s="144"/>
      <c r="P321" s="51"/>
      <c r="Q321" s="51">
        <f>SUM(Q322:Q322)</f>
        <v>0</v>
      </c>
      <c r="R321" s="51"/>
      <c r="S321" s="51"/>
      <c r="T321" s="144"/>
      <c r="U321" s="51"/>
      <c r="V321" s="51">
        <f>SUM(V322:V322)</f>
        <v>0</v>
      </c>
      <c r="W321" s="51"/>
      <c r="X321" s="51"/>
      <c r="Y321" s="144"/>
      <c r="Z321" s="51"/>
      <c r="AA321" s="51">
        <f>SUM(AA322:AA322)</f>
        <v>0</v>
      </c>
      <c r="AB321" s="51"/>
      <c r="AC321" s="51"/>
      <c r="AD321" s="144"/>
      <c r="AE321" s="51"/>
      <c r="AF321" s="51">
        <f>SUM(AF322:AF322)</f>
        <v>0</v>
      </c>
      <c r="AG321" s="51"/>
      <c r="AH321" s="51"/>
      <c r="AI321" s="144"/>
      <c r="AJ321" s="51"/>
      <c r="AK321" s="51">
        <f>SUM(AK322:AK322)</f>
        <v>0</v>
      </c>
      <c r="AL321" s="51"/>
      <c r="AM321" s="51"/>
      <c r="AN321" s="144"/>
      <c r="AO321" s="51"/>
      <c r="AP321" s="51">
        <f>SUM(AP322:AP322)</f>
        <v>0</v>
      </c>
      <c r="AQ321" s="51"/>
      <c r="AR321" s="51"/>
      <c r="AS321" s="144"/>
      <c r="AT321" s="51"/>
      <c r="AU321" s="51">
        <f>SUM(AU322:AU322)</f>
        <v>0</v>
      </c>
      <c r="AV321" s="51"/>
      <c r="AW321" s="51"/>
      <c r="AX321" s="144"/>
      <c r="AY321" s="51"/>
      <c r="AZ321" s="51">
        <f>SUM(AZ322:AZ322)</f>
        <v>0</v>
      </c>
      <c r="BA321" s="51"/>
      <c r="BB321" s="51"/>
      <c r="BC321" s="144"/>
      <c r="BD321" s="51"/>
      <c r="BE321" s="51">
        <f>SUM(BE322:BE322)</f>
        <v>0</v>
      </c>
      <c r="BF321" s="51"/>
      <c r="BG321" s="51"/>
      <c r="BH321" s="144"/>
      <c r="BI321" s="51"/>
      <c r="BJ321" s="51">
        <f>SUM(BJ322:BJ322)</f>
        <v>0</v>
      </c>
      <c r="BK321" s="51"/>
      <c r="BL321" s="51"/>
      <c r="BM321" s="144"/>
      <c r="BN321" s="51"/>
      <c r="BO321" s="51">
        <f>SUM(BO322:BO322)</f>
        <v>0</v>
      </c>
      <c r="BP321" s="51"/>
      <c r="BQ321" s="51"/>
      <c r="BR321" s="144"/>
      <c r="BS321" s="51"/>
      <c r="BT321" s="51">
        <f>SUM(BT322:BT322)</f>
        <v>0</v>
      </c>
      <c r="BU321" s="51"/>
      <c r="BV321" s="51"/>
      <c r="BW321" s="144"/>
      <c r="BX321" s="51"/>
      <c r="BY321" s="51">
        <f>SUM(BY322:BY322)</f>
        <v>0</v>
      </c>
      <c r="BZ321" s="51"/>
      <c r="CA321" s="51"/>
      <c r="CB321" s="144"/>
      <c r="CC321" s="51"/>
      <c r="CD321" s="51">
        <f>SUM(CD322:CD322)</f>
        <v>0</v>
      </c>
      <c r="CE321" s="51"/>
      <c r="CF321" s="51"/>
      <c r="CG321" s="144"/>
      <c r="CH321" s="51"/>
      <c r="CI321" s="51">
        <f>SUM(CI322:CI322)</f>
        <v>0</v>
      </c>
      <c r="CJ321" s="51"/>
      <c r="CK321" s="51"/>
      <c r="CL321" s="144"/>
      <c r="CM321" s="51"/>
      <c r="CN321" s="51">
        <f>SUM(CN322:CN322)</f>
        <v>0</v>
      </c>
      <c r="CO321" s="51"/>
      <c r="CP321" s="51"/>
      <c r="CQ321" s="144"/>
      <c r="CR321" s="51"/>
      <c r="CS321" s="51">
        <f>SUM(CS322:CS322)</f>
        <v>0</v>
      </c>
      <c r="CT321" s="51"/>
      <c r="CU321" s="51"/>
      <c r="CV321" s="144"/>
      <c r="CW321" s="51"/>
      <c r="CX321" s="51">
        <f>SUM(CX322:CX322)</f>
        <v>0</v>
      </c>
      <c r="CY321" s="51"/>
      <c r="CZ321" s="51"/>
      <c r="DA321" s="144"/>
      <c r="DB321" s="51"/>
      <c r="DC321" s="51">
        <f>SUM(DC322:DC322)</f>
        <v>0</v>
      </c>
      <c r="DD321" s="51"/>
      <c r="DE321" s="51"/>
      <c r="DF321" s="144"/>
      <c r="DG321" s="51"/>
      <c r="DH321" s="51">
        <f>SUM(DH322:DH322)</f>
        <v>0</v>
      </c>
      <c r="DI321" s="51"/>
      <c r="DJ321" s="51"/>
      <c r="DK321" s="144"/>
      <c r="DL321" s="51"/>
      <c r="DM321" s="51">
        <f>SUM(DM322:DM322)</f>
        <v>0</v>
      </c>
      <c r="DN321" s="51"/>
      <c r="DO321" s="51"/>
      <c r="DP321" s="144"/>
      <c r="DQ321" s="51"/>
      <c r="DR321" s="51">
        <f>SUM(DR322:DR322)</f>
        <v>0</v>
      </c>
      <c r="DS321" s="51"/>
      <c r="DT321" s="51"/>
      <c r="DU321" s="144"/>
      <c r="DV321" s="51"/>
      <c r="DW321" s="51">
        <f>SUM(DW322:DW322)</f>
        <v>0</v>
      </c>
      <c r="DX321" s="51"/>
      <c r="DY321" s="51"/>
      <c r="DZ321" s="144"/>
      <c r="EA321" s="51"/>
      <c r="EB321" s="51">
        <f>SUM(EB322:EB322)</f>
        <v>0</v>
      </c>
      <c r="EC321" s="51"/>
      <c r="ED321" s="51"/>
      <c r="EE321" s="144"/>
      <c r="EF321" s="51"/>
      <c r="EG321" s="51">
        <f>SUM(EG322:EG322)</f>
        <v>0</v>
      </c>
      <c r="EH321" s="51"/>
      <c r="EI321" s="51"/>
      <c r="EJ321" s="144"/>
      <c r="EK321" s="51"/>
      <c r="EL321" s="51">
        <f>SUM(EL322:EL322)</f>
        <v>0</v>
      </c>
      <c r="EM321" s="51"/>
      <c r="EN321" s="51"/>
      <c r="EO321" s="340"/>
      <c r="ER321" s="39"/>
      <c r="ES321" s="39"/>
    </row>
    <row r="322" spans="1:149" ht="12.75" hidden="1" customHeight="1" x14ac:dyDescent="0.2">
      <c r="A322" s="317"/>
      <c r="B322" s="317"/>
      <c r="D322" s="340" t="s">
        <v>183</v>
      </c>
      <c r="F322" s="434"/>
      <c r="G322" s="438">
        <v>0</v>
      </c>
      <c r="H322" s="436"/>
      <c r="I322" s="51"/>
      <c r="J322" s="144"/>
      <c r="K322" s="437"/>
      <c r="L322" s="438">
        <v>0</v>
      </c>
      <c r="M322" s="436"/>
      <c r="N322" s="51"/>
      <c r="O322" s="144"/>
      <c r="P322" s="437"/>
      <c r="Q322" s="438">
        <v>0</v>
      </c>
      <c r="R322" s="436"/>
      <c r="S322" s="51"/>
      <c r="T322" s="144"/>
      <c r="U322" s="437"/>
      <c r="V322" s="438">
        <v>0</v>
      </c>
      <c r="W322" s="436"/>
      <c r="X322" s="51"/>
      <c r="Y322" s="144"/>
      <c r="Z322" s="437"/>
      <c r="AA322" s="438">
        <v>0</v>
      </c>
      <c r="AB322" s="436"/>
      <c r="AC322" s="51"/>
      <c r="AD322" s="144"/>
      <c r="AE322" s="437"/>
      <c r="AF322" s="438">
        <v>0</v>
      </c>
      <c r="AG322" s="436"/>
      <c r="AH322" s="51"/>
      <c r="AI322" s="144"/>
      <c r="AJ322" s="437"/>
      <c r="AK322" s="438">
        <v>0</v>
      </c>
      <c r="AL322" s="436"/>
      <c r="AM322" s="51"/>
      <c r="AN322" s="144"/>
      <c r="AO322" s="437"/>
      <c r="AP322" s="438">
        <v>0</v>
      </c>
      <c r="AQ322" s="436"/>
      <c r="AR322" s="51"/>
      <c r="AS322" s="144"/>
      <c r="AT322" s="437"/>
      <c r="AU322" s="438">
        <v>0</v>
      </c>
      <c r="AV322" s="436"/>
      <c r="AW322" s="51"/>
      <c r="AX322" s="144"/>
      <c r="AY322" s="437"/>
      <c r="AZ322" s="438">
        <v>0</v>
      </c>
      <c r="BA322" s="436"/>
      <c r="BB322" s="51"/>
      <c r="BC322" s="144"/>
      <c r="BD322" s="437"/>
      <c r="BE322" s="438">
        <v>0</v>
      </c>
      <c r="BF322" s="436"/>
      <c r="BG322" s="51"/>
      <c r="BH322" s="144"/>
      <c r="BI322" s="437"/>
      <c r="BJ322" s="438">
        <v>0</v>
      </c>
      <c r="BK322" s="436"/>
      <c r="BL322" s="51"/>
      <c r="BM322" s="144"/>
      <c r="BN322" s="437"/>
      <c r="BO322" s="438">
        <v>0</v>
      </c>
      <c r="BP322" s="436"/>
      <c r="BQ322" s="51"/>
      <c r="BR322" s="144"/>
      <c r="BS322" s="437"/>
      <c r="BT322" s="438">
        <f>SUM(L322:BO322)</f>
        <v>0</v>
      </c>
      <c r="BU322" s="436"/>
      <c r="BV322" s="51"/>
      <c r="BW322" s="144"/>
      <c r="BX322" s="437"/>
      <c r="BY322" s="438">
        <v>0</v>
      </c>
      <c r="BZ322" s="436"/>
      <c r="CA322" s="51"/>
      <c r="CB322" s="144"/>
      <c r="CC322" s="437"/>
      <c r="CD322" s="438">
        <v>0</v>
      </c>
      <c r="CE322" s="436"/>
      <c r="CF322" s="51"/>
      <c r="CG322" s="144"/>
      <c r="CH322" s="437"/>
      <c r="CI322" s="438">
        <v>0</v>
      </c>
      <c r="CJ322" s="436"/>
      <c r="CK322" s="51"/>
      <c r="CL322" s="144"/>
      <c r="CM322" s="437"/>
      <c r="CN322" s="438">
        <v>0</v>
      </c>
      <c r="CO322" s="436"/>
      <c r="CP322" s="51"/>
      <c r="CQ322" s="144"/>
      <c r="CR322" s="437"/>
      <c r="CS322" s="438">
        <v>0</v>
      </c>
      <c r="CT322" s="436"/>
      <c r="CU322" s="51"/>
      <c r="CV322" s="144"/>
      <c r="CW322" s="437"/>
      <c r="CX322" s="438">
        <v>0</v>
      </c>
      <c r="CY322" s="436"/>
      <c r="CZ322" s="51"/>
      <c r="DA322" s="144"/>
      <c r="DB322" s="437"/>
      <c r="DC322" s="438">
        <v>0</v>
      </c>
      <c r="DD322" s="436"/>
      <c r="DE322" s="51"/>
      <c r="DF322" s="144"/>
      <c r="DG322" s="437"/>
      <c r="DH322" s="438">
        <v>0</v>
      </c>
      <c r="DI322" s="436"/>
      <c r="DJ322" s="51"/>
      <c r="DK322" s="144"/>
      <c r="DL322" s="437"/>
      <c r="DM322" s="438">
        <v>0</v>
      </c>
      <c r="DN322" s="436"/>
      <c r="DO322" s="51"/>
      <c r="DP322" s="144"/>
      <c r="DQ322" s="437"/>
      <c r="DR322" s="438">
        <v>0</v>
      </c>
      <c r="DS322" s="436"/>
      <c r="DT322" s="51"/>
      <c r="DU322" s="144"/>
      <c r="DV322" s="437"/>
      <c r="DW322" s="438">
        <v>0</v>
      </c>
      <c r="DX322" s="436"/>
      <c r="DY322" s="51"/>
      <c r="DZ322" s="144"/>
      <c r="EA322" s="437"/>
      <c r="EB322" s="438">
        <v>0</v>
      </c>
      <c r="EC322" s="436"/>
      <c r="ED322" s="51"/>
      <c r="EE322" s="144"/>
      <c r="EF322" s="437"/>
      <c r="EG322" s="438">
        <v>0</v>
      </c>
      <c r="EH322" s="436"/>
      <c r="EI322" s="51"/>
      <c r="EJ322" s="144"/>
      <c r="EK322" s="437"/>
      <c r="EL322" s="438">
        <f>SUM(CD322:CD322)</f>
        <v>0</v>
      </c>
      <c r="EM322" s="436"/>
      <c r="EN322" s="51"/>
      <c r="EO322" s="340"/>
      <c r="ER322" s="39"/>
      <c r="ES322" s="39"/>
    </row>
    <row r="323" spans="1:149" ht="12.75" customHeight="1" x14ac:dyDescent="0.2">
      <c r="A323" s="317"/>
      <c r="B323" s="317"/>
      <c r="D323" s="340"/>
      <c r="E323" s="453"/>
      <c r="F323" s="663"/>
      <c r="G323" s="51"/>
      <c r="H323" s="51"/>
      <c r="I323" s="51"/>
      <c r="J323" s="144"/>
      <c r="K323" s="51"/>
      <c r="L323" s="51"/>
      <c r="M323" s="51"/>
      <c r="N323" s="51"/>
      <c r="O323" s="144"/>
      <c r="P323" s="51"/>
      <c r="Q323" s="51"/>
      <c r="R323" s="51"/>
      <c r="S323" s="51"/>
      <c r="T323" s="144"/>
      <c r="U323" s="51"/>
      <c r="V323" s="51"/>
      <c r="W323" s="51"/>
      <c r="X323" s="51"/>
      <c r="Y323" s="144"/>
      <c r="Z323" s="51"/>
      <c r="AA323" s="51"/>
      <c r="AB323" s="51"/>
      <c r="AC323" s="51"/>
      <c r="AD323" s="144"/>
      <c r="AE323" s="51"/>
      <c r="AF323" s="51"/>
      <c r="AG323" s="51"/>
      <c r="AH323" s="51"/>
      <c r="AI323" s="144"/>
      <c r="AJ323" s="51"/>
      <c r="AK323" s="51"/>
      <c r="AL323" s="51"/>
      <c r="AM323" s="51"/>
      <c r="AN323" s="144"/>
      <c r="AO323" s="51"/>
      <c r="AP323" s="51"/>
      <c r="AQ323" s="51"/>
      <c r="AR323" s="51"/>
      <c r="AS323" s="144"/>
      <c r="AT323" s="51"/>
      <c r="AU323" s="51"/>
      <c r="AV323" s="51"/>
      <c r="AW323" s="51"/>
      <c r="AX323" s="144"/>
      <c r="AY323" s="51"/>
      <c r="AZ323" s="51"/>
      <c r="BA323" s="51"/>
      <c r="BB323" s="51"/>
      <c r="BC323" s="144"/>
      <c r="BD323" s="51"/>
      <c r="BE323" s="51"/>
      <c r="BF323" s="51"/>
      <c r="BG323" s="51"/>
      <c r="BH323" s="144"/>
      <c r="BI323" s="51"/>
      <c r="BJ323" s="51"/>
      <c r="BK323" s="51"/>
      <c r="BL323" s="51"/>
      <c r="BM323" s="144"/>
      <c r="BN323" s="51"/>
      <c r="BO323" s="51"/>
      <c r="BP323" s="51"/>
      <c r="BQ323" s="51"/>
      <c r="BR323" s="144"/>
      <c r="BS323" s="51"/>
      <c r="BT323" s="51"/>
      <c r="BU323" s="51"/>
      <c r="BV323" s="51"/>
      <c r="BW323" s="144"/>
      <c r="BX323" s="51"/>
      <c r="BY323" s="51"/>
      <c r="BZ323" s="51"/>
      <c r="CA323" s="51"/>
      <c r="CB323" s="144"/>
      <c r="CC323" s="51"/>
      <c r="CD323" s="51"/>
      <c r="CE323" s="51"/>
      <c r="CF323" s="51"/>
      <c r="CG323" s="144"/>
      <c r="CH323" s="51"/>
      <c r="CI323" s="51"/>
      <c r="CJ323" s="51"/>
      <c r="CK323" s="51"/>
      <c r="CL323" s="144"/>
      <c r="CM323" s="51"/>
      <c r="CN323" s="51"/>
      <c r="CO323" s="51"/>
      <c r="CP323" s="51"/>
      <c r="CQ323" s="144"/>
      <c r="CR323" s="51"/>
      <c r="CS323" s="51"/>
      <c r="CT323" s="51"/>
      <c r="CU323" s="51"/>
      <c r="CV323" s="144"/>
      <c r="CW323" s="51"/>
      <c r="CX323" s="51"/>
      <c r="CY323" s="51"/>
      <c r="CZ323" s="51"/>
      <c r="DA323" s="144"/>
      <c r="DB323" s="51"/>
      <c r="DC323" s="51"/>
      <c r="DD323" s="51"/>
      <c r="DE323" s="51"/>
      <c r="DF323" s="144"/>
      <c r="DG323" s="51"/>
      <c r="DH323" s="51"/>
      <c r="DI323" s="51"/>
      <c r="DJ323" s="51"/>
      <c r="DK323" s="144"/>
      <c r="DL323" s="51"/>
      <c r="DM323" s="51"/>
      <c r="DN323" s="51"/>
      <c r="DO323" s="51"/>
      <c r="DP323" s="144"/>
      <c r="DQ323" s="51"/>
      <c r="DR323" s="51"/>
      <c r="DS323" s="51"/>
      <c r="DT323" s="51"/>
      <c r="DU323" s="144"/>
      <c r="DV323" s="51"/>
      <c r="DW323" s="51"/>
      <c r="DX323" s="51"/>
      <c r="DY323" s="51"/>
      <c r="DZ323" s="144"/>
      <c r="EA323" s="51"/>
      <c r="EB323" s="51"/>
      <c r="EC323" s="51"/>
      <c r="ED323" s="51"/>
      <c r="EE323" s="144"/>
      <c r="EF323" s="51"/>
      <c r="EG323" s="51"/>
      <c r="EH323" s="51"/>
      <c r="EI323" s="51"/>
      <c r="EJ323" s="144"/>
      <c r="EK323" s="51"/>
      <c r="EL323" s="51"/>
      <c r="EM323" s="51"/>
      <c r="EN323" s="51"/>
      <c r="EO323" s="340"/>
      <c r="ER323" s="39"/>
      <c r="ES323" s="39"/>
    </row>
    <row r="324" spans="1:149" x14ac:dyDescent="0.2">
      <c r="A324" s="317"/>
      <c r="B324" s="317"/>
      <c r="D324" s="340" t="s">
        <v>185</v>
      </c>
      <c r="F324" s="317"/>
      <c r="G324" s="51">
        <f>SUM(G325:G325)</f>
        <v>0</v>
      </c>
      <c r="H324" s="51"/>
      <c r="I324" s="51"/>
      <c r="J324" s="144"/>
      <c r="K324" s="51"/>
      <c r="L324" s="51">
        <f>SUM(L325:L325)</f>
        <v>0</v>
      </c>
      <c r="M324" s="51"/>
      <c r="N324" s="51"/>
      <c r="O324" s="144"/>
      <c r="P324" s="51"/>
      <c r="Q324" s="51">
        <f>SUM(Q325:Q325)</f>
        <v>0</v>
      </c>
      <c r="R324" s="51"/>
      <c r="S324" s="51"/>
      <c r="T324" s="144"/>
      <c r="U324" s="51"/>
      <c r="V324" s="51">
        <f>SUM(V325:V325)</f>
        <v>0</v>
      </c>
      <c r="W324" s="51"/>
      <c r="X324" s="51"/>
      <c r="Y324" s="144"/>
      <c r="Z324" s="51"/>
      <c r="AA324" s="51">
        <f>SUM(AA325:AA325)</f>
        <v>0</v>
      </c>
      <c r="AB324" s="51"/>
      <c r="AC324" s="51"/>
      <c r="AD324" s="144"/>
      <c r="AE324" s="51"/>
      <c r="AF324" s="51">
        <f>SUM(AF325:AF325)</f>
        <v>0</v>
      </c>
      <c r="AG324" s="51"/>
      <c r="AH324" s="51"/>
      <c r="AI324" s="144"/>
      <c r="AJ324" s="51"/>
      <c r="AK324" s="51">
        <f>SUM(AK325:AK325)</f>
        <v>0</v>
      </c>
      <c r="AL324" s="51"/>
      <c r="AM324" s="51"/>
      <c r="AN324" s="144"/>
      <c r="AO324" s="51"/>
      <c r="AP324" s="51">
        <f>SUM(AP325:AP325)</f>
        <v>0</v>
      </c>
      <c r="AQ324" s="51"/>
      <c r="AR324" s="51"/>
      <c r="AS324" s="144"/>
      <c r="AT324" s="51"/>
      <c r="AU324" s="51">
        <f>SUM(AU325:AU325)</f>
        <v>0</v>
      </c>
      <c r="AV324" s="51"/>
      <c r="AW324" s="51"/>
      <c r="AX324" s="144"/>
      <c r="AY324" s="51"/>
      <c r="AZ324" s="51">
        <f>SUM(AZ325:AZ325)</f>
        <v>0</v>
      </c>
      <c r="BA324" s="51"/>
      <c r="BB324" s="51"/>
      <c r="BC324" s="144"/>
      <c r="BD324" s="51"/>
      <c r="BE324" s="51">
        <f>SUM(BE325:BE325)</f>
        <v>0</v>
      </c>
      <c r="BF324" s="51"/>
      <c r="BG324" s="51"/>
      <c r="BH324" s="144"/>
      <c r="BI324" s="51"/>
      <c r="BJ324" s="51">
        <f>SUM(BJ325:BJ325)</f>
        <v>0</v>
      </c>
      <c r="BK324" s="51"/>
      <c r="BL324" s="51"/>
      <c r="BM324" s="144"/>
      <c r="BN324" s="51"/>
      <c r="BO324" s="51">
        <f>SUM(BO325:BO325)</f>
        <v>0</v>
      </c>
      <c r="BP324" s="51"/>
      <c r="BQ324" s="51"/>
      <c r="BR324" s="144"/>
      <c r="BS324" s="51"/>
      <c r="BT324" s="51">
        <f>SUM(BT325:BT325)</f>
        <v>0</v>
      </c>
      <c r="BU324" s="51"/>
      <c r="BV324" s="51"/>
      <c r="BW324" s="144"/>
      <c r="BX324" s="51"/>
      <c r="BY324" s="51">
        <f>SUM(BY325:BY325)</f>
        <v>42458</v>
      </c>
      <c r="BZ324" s="51"/>
      <c r="CA324" s="51"/>
      <c r="CB324" s="144"/>
      <c r="CC324" s="51"/>
      <c r="CD324" s="51">
        <f>SUM(CD325:CD325)</f>
        <v>0</v>
      </c>
      <c r="CE324" s="51"/>
      <c r="CF324" s="51"/>
      <c r="CG324" s="144"/>
      <c r="CH324" s="51"/>
      <c r="CI324" s="51">
        <f>SUM(CI325:CI325)</f>
        <v>0</v>
      </c>
      <c r="CJ324" s="51"/>
      <c r="CK324" s="51"/>
      <c r="CL324" s="144"/>
      <c r="CM324" s="51"/>
      <c r="CN324" s="51">
        <f>SUM(CN325:CN325)</f>
        <v>0</v>
      </c>
      <c r="CO324" s="51"/>
      <c r="CP324" s="51"/>
      <c r="CQ324" s="144"/>
      <c r="CR324" s="51"/>
      <c r="CS324" s="51">
        <f>SUM(CS325:CS325)</f>
        <v>0</v>
      </c>
      <c r="CT324" s="51"/>
      <c r="CU324" s="51"/>
      <c r="CV324" s="144"/>
      <c r="CW324" s="51"/>
      <c r="CX324" s="51">
        <f>SUM(CX325:CX325)</f>
        <v>0</v>
      </c>
      <c r="CY324" s="51"/>
      <c r="CZ324" s="51"/>
      <c r="DA324" s="144"/>
      <c r="DB324" s="51"/>
      <c r="DC324" s="51">
        <f>SUM(DC325:DC325)</f>
        <v>0</v>
      </c>
      <c r="DD324" s="51"/>
      <c r="DE324" s="51"/>
      <c r="DF324" s="144"/>
      <c r="DG324" s="51"/>
      <c r="DH324" s="51">
        <f>SUM(DH325:DH325)</f>
        <v>0</v>
      </c>
      <c r="DI324" s="51"/>
      <c r="DJ324" s="51"/>
      <c r="DK324" s="144"/>
      <c r="DL324" s="51"/>
      <c r="DM324" s="51">
        <f>SUM(DM325:DM325)</f>
        <v>0</v>
      </c>
      <c r="DN324" s="51"/>
      <c r="DO324" s="51"/>
      <c r="DP324" s="144"/>
      <c r="DQ324" s="51"/>
      <c r="DR324" s="51">
        <f>SUM(DR325:DR325)</f>
        <v>0</v>
      </c>
      <c r="DS324" s="51"/>
      <c r="DT324" s="51"/>
      <c r="DU324" s="144"/>
      <c r="DV324" s="51"/>
      <c r="DW324" s="51">
        <f>SUM(DW325:DW325)</f>
        <v>0</v>
      </c>
      <c r="DX324" s="51"/>
      <c r="DY324" s="51"/>
      <c r="DZ324" s="144"/>
      <c r="EA324" s="51"/>
      <c r="EB324" s="51">
        <f>SUM(EB325:EB325)</f>
        <v>0</v>
      </c>
      <c r="EC324" s="51"/>
      <c r="ED324" s="51"/>
      <c r="EE324" s="144"/>
      <c r="EF324" s="51"/>
      <c r="EG324" s="51">
        <f>SUM(EG325:EG325)</f>
        <v>42458</v>
      </c>
      <c r="EH324" s="51"/>
      <c r="EI324" s="51"/>
      <c r="EJ324" s="144"/>
      <c r="EK324" s="51"/>
      <c r="EL324" s="51">
        <f>SUM(EL325:EL325)</f>
        <v>0</v>
      </c>
      <c r="EM324" s="51"/>
      <c r="EN324" s="51"/>
      <c r="EO324" s="340"/>
      <c r="ER324" s="39"/>
      <c r="ES324" s="39"/>
    </row>
    <row r="325" spans="1:149" x14ac:dyDescent="0.2">
      <c r="A325" s="317"/>
      <c r="B325" s="317"/>
      <c r="D325" s="340" t="s">
        <v>183</v>
      </c>
      <c r="F325" s="434"/>
      <c r="G325" s="438">
        <v>0</v>
      </c>
      <c r="H325" s="436"/>
      <c r="I325" s="51"/>
      <c r="J325" s="144"/>
      <c r="K325" s="437"/>
      <c r="L325" s="438">
        <v>0</v>
      </c>
      <c r="M325" s="436"/>
      <c r="N325" s="51"/>
      <c r="O325" s="144"/>
      <c r="P325" s="437"/>
      <c r="Q325" s="438">
        <v>0</v>
      </c>
      <c r="R325" s="436"/>
      <c r="S325" s="51"/>
      <c r="T325" s="144"/>
      <c r="U325" s="437"/>
      <c r="V325" s="438">
        <v>0</v>
      </c>
      <c r="W325" s="436"/>
      <c r="X325" s="51"/>
      <c r="Y325" s="144"/>
      <c r="Z325" s="437"/>
      <c r="AA325" s="438">
        <v>0</v>
      </c>
      <c r="AB325" s="436"/>
      <c r="AC325" s="51"/>
      <c r="AD325" s="144"/>
      <c r="AE325" s="437"/>
      <c r="AF325" s="438">
        <v>0</v>
      </c>
      <c r="AG325" s="436"/>
      <c r="AH325" s="51"/>
      <c r="AI325" s="144"/>
      <c r="AJ325" s="437"/>
      <c r="AK325" s="438">
        <v>0</v>
      </c>
      <c r="AL325" s="436"/>
      <c r="AM325" s="51"/>
      <c r="AN325" s="144"/>
      <c r="AO325" s="437"/>
      <c r="AP325" s="438">
        <v>0</v>
      </c>
      <c r="AQ325" s="436"/>
      <c r="AR325" s="51"/>
      <c r="AS325" s="144"/>
      <c r="AT325" s="437"/>
      <c r="AU325" s="438">
        <v>0</v>
      </c>
      <c r="AV325" s="436"/>
      <c r="AW325" s="51"/>
      <c r="AX325" s="144"/>
      <c r="AY325" s="437"/>
      <c r="AZ325" s="438">
        <v>0</v>
      </c>
      <c r="BA325" s="436"/>
      <c r="BB325" s="51"/>
      <c r="BC325" s="144"/>
      <c r="BD325" s="437"/>
      <c r="BE325" s="438">
        <v>0</v>
      </c>
      <c r="BF325" s="436"/>
      <c r="BG325" s="51"/>
      <c r="BH325" s="144"/>
      <c r="BI325" s="437"/>
      <c r="BJ325" s="438">
        <v>0</v>
      </c>
      <c r="BK325" s="436"/>
      <c r="BL325" s="51"/>
      <c r="BM325" s="144"/>
      <c r="BN325" s="437"/>
      <c r="BO325" s="438">
        <v>0</v>
      </c>
      <c r="BP325" s="436"/>
      <c r="BQ325" s="51"/>
      <c r="BR325" s="144"/>
      <c r="BS325" s="437"/>
      <c r="BT325" s="438">
        <f>SUM(L325:BO325)</f>
        <v>0</v>
      </c>
      <c r="BU325" s="436"/>
      <c r="BV325" s="51"/>
      <c r="BW325" s="144"/>
      <c r="BX325" s="437"/>
      <c r="BY325" s="438">
        <v>42458</v>
      </c>
      <c r="BZ325" s="436"/>
      <c r="CA325" s="51"/>
      <c r="CB325" s="144"/>
      <c r="CC325" s="437"/>
      <c r="CD325" s="438">
        <v>0</v>
      </c>
      <c r="CE325" s="436"/>
      <c r="CF325" s="51"/>
      <c r="CG325" s="144"/>
      <c r="CH325" s="437"/>
      <c r="CI325" s="438">
        <v>0</v>
      </c>
      <c r="CJ325" s="436"/>
      <c r="CK325" s="51"/>
      <c r="CL325" s="144"/>
      <c r="CM325" s="437"/>
      <c r="CN325" s="438">
        <v>0</v>
      </c>
      <c r="CO325" s="436"/>
      <c r="CP325" s="51"/>
      <c r="CQ325" s="144"/>
      <c r="CR325" s="437"/>
      <c r="CS325" s="438">
        <v>0</v>
      </c>
      <c r="CT325" s="436"/>
      <c r="CU325" s="51"/>
      <c r="CV325" s="144"/>
      <c r="CW325" s="437"/>
      <c r="CX325" s="438">
        <v>0</v>
      </c>
      <c r="CY325" s="436"/>
      <c r="CZ325" s="51"/>
      <c r="DA325" s="144"/>
      <c r="DB325" s="437"/>
      <c r="DC325" s="438">
        <v>0</v>
      </c>
      <c r="DD325" s="436"/>
      <c r="DE325" s="51"/>
      <c r="DF325" s="144"/>
      <c r="DG325" s="437"/>
      <c r="DH325" s="438">
        <v>0</v>
      </c>
      <c r="DI325" s="436"/>
      <c r="DJ325" s="51"/>
      <c r="DK325" s="144"/>
      <c r="DL325" s="437"/>
      <c r="DM325" s="438">
        <v>0</v>
      </c>
      <c r="DN325" s="436"/>
      <c r="DO325" s="51"/>
      <c r="DP325" s="144"/>
      <c r="DQ325" s="437"/>
      <c r="DR325" s="438">
        <v>0</v>
      </c>
      <c r="DS325" s="436"/>
      <c r="DT325" s="51"/>
      <c r="DU325" s="144"/>
      <c r="DV325" s="437"/>
      <c r="DW325" s="438">
        <v>0</v>
      </c>
      <c r="DX325" s="436"/>
      <c r="DY325" s="51"/>
      <c r="DZ325" s="144"/>
      <c r="EA325" s="437"/>
      <c r="EB325" s="438">
        <v>0</v>
      </c>
      <c r="EC325" s="436"/>
      <c r="ED325" s="51"/>
      <c r="EE325" s="144"/>
      <c r="EF325" s="437"/>
      <c r="EG325" s="438">
        <v>42458</v>
      </c>
      <c r="EH325" s="436"/>
      <c r="EI325" s="51"/>
      <c r="EJ325" s="144"/>
      <c r="EK325" s="437"/>
      <c r="EL325" s="438">
        <f>SUM(CD325:DH325)</f>
        <v>0</v>
      </c>
      <c r="EM325" s="436"/>
      <c r="EN325" s="51"/>
      <c r="EO325" s="340"/>
      <c r="ER325" s="39"/>
      <c r="ES325" s="39"/>
    </row>
    <row r="326" spans="1:149" hidden="1" x14ac:dyDescent="0.2">
      <c r="A326" s="317"/>
      <c r="B326" s="317"/>
      <c r="D326" s="340"/>
      <c r="F326" s="317"/>
      <c r="G326" s="51"/>
      <c r="H326" s="51"/>
      <c r="I326" s="51"/>
      <c r="J326" s="144"/>
      <c r="K326" s="51"/>
      <c r="L326" s="51"/>
      <c r="M326" s="51"/>
      <c r="N326" s="51"/>
      <c r="O326" s="144"/>
      <c r="P326" s="51"/>
      <c r="Q326" s="51"/>
      <c r="R326" s="51"/>
      <c r="S326" s="51"/>
      <c r="T326" s="144"/>
      <c r="U326" s="51"/>
      <c r="V326" s="51"/>
      <c r="W326" s="51"/>
      <c r="X326" s="51"/>
      <c r="Y326" s="144"/>
      <c r="Z326" s="51"/>
      <c r="AA326" s="51"/>
      <c r="AB326" s="51"/>
      <c r="AC326" s="51"/>
      <c r="AD326" s="144"/>
      <c r="AE326" s="51"/>
      <c r="AF326" s="51"/>
      <c r="AG326" s="51"/>
      <c r="AH326" s="51"/>
      <c r="AI326" s="144"/>
      <c r="AJ326" s="51"/>
      <c r="AK326" s="51"/>
      <c r="AL326" s="51"/>
      <c r="AM326" s="51"/>
      <c r="AN326" s="144"/>
      <c r="AO326" s="51"/>
      <c r="AP326" s="51"/>
      <c r="AQ326" s="51"/>
      <c r="AR326" s="51"/>
      <c r="AS326" s="144"/>
      <c r="AT326" s="51"/>
      <c r="AU326" s="51"/>
      <c r="AV326" s="51"/>
      <c r="AW326" s="51"/>
      <c r="AX326" s="144"/>
      <c r="AY326" s="51"/>
      <c r="AZ326" s="51"/>
      <c r="BA326" s="51"/>
      <c r="BB326" s="51"/>
      <c r="BC326" s="144"/>
      <c r="BD326" s="51"/>
      <c r="BE326" s="51"/>
      <c r="BF326" s="51"/>
      <c r="BG326" s="51"/>
      <c r="BH326" s="144"/>
      <c r="BI326" s="51"/>
      <c r="BJ326" s="51"/>
      <c r="BK326" s="51"/>
      <c r="BL326" s="51"/>
      <c r="BM326" s="144"/>
      <c r="BN326" s="51"/>
      <c r="BO326" s="51"/>
      <c r="BP326" s="51"/>
      <c r="BQ326" s="51"/>
      <c r="BR326" s="144"/>
      <c r="BS326" s="51"/>
      <c r="BT326" s="51"/>
      <c r="BU326" s="51"/>
      <c r="BV326" s="51"/>
      <c r="BW326" s="144"/>
      <c r="BX326" s="51"/>
      <c r="BY326" s="51"/>
      <c r="BZ326" s="51"/>
      <c r="CA326" s="51"/>
      <c r="CB326" s="144"/>
      <c r="CC326" s="51"/>
      <c r="CD326" s="51"/>
      <c r="CE326" s="51"/>
      <c r="CF326" s="51"/>
      <c r="CG326" s="144"/>
      <c r="CH326" s="51"/>
      <c r="CI326" s="51"/>
      <c r="CJ326" s="51"/>
      <c r="CK326" s="51"/>
      <c r="CL326" s="144"/>
      <c r="CM326" s="51"/>
      <c r="CN326" s="51"/>
      <c r="CO326" s="51"/>
      <c r="CP326" s="51"/>
      <c r="CQ326" s="144"/>
      <c r="CR326" s="51"/>
      <c r="CS326" s="51"/>
      <c r="CT326" s="51"/>
      <c r="CU326" s="51"/>
      <c r="CV326" s="144"/>
      <c r="CW326" s="51"/>
      <c r="CX326" s="51"/>
      <c r="CY326" s="51"/>
      <c r="CZ326" s="51"/>
      <c r="DA326" s="144"/>
      <c r="DB326" s="51"/>
      <c r="DC326" s="51"/>
      <c r="DD326" s="51"/>
      <c r="DE326" s="51"/>
      <c r="DF326" s="144"/>
      <c r="DG326" s="51"/>
      <c r="DH326" s="51"/>
      <c r="DI326" s="51"/>
      <c r="DJ326" s="51"/>
      <c r="DK326" s="144"/>
      <c r="DL326" s="51"/>
      <c r="DM326" s="51"/>
      <c r="DN326" s="51"/>
      <c r="DO326" s="51"/>
      <c r="DP326" s="144"/>
      <c r="DQ326" s="51"/>
      <c r="DR326" s="51"/>
      <c r="DS326" s="51"/>
      <c r="DT326" s="51"/>
      <c r="DU326" s="144"/>
      <c r="DV326" s="51"/>
      <c r="DW326" s="51"/>
      <c r="DX326" s="51"/>
      <c r="DY326" s="51"/>
      <c r="DZ326" s="144"/>
      <c r="EA326" s="51"/>
      <c r="EB326" s="51"/>
      <c r="EC326" s="51"/>
      <c r="ED326" s="51"/>
      <c r="EE326" s="144"/>
      <c r="EF326" s="51"/>
      <c r="EG326" s="51"/>
      <c r="EH326" s="51"/>
      <c r="EI326" s="51"/>
      <c r="EJ326" s="144"/>
      <c r="EK326" s="51"/>
      <c r="EL326" s="51">
        <f t="shared" ref="EL326:EL327" si="27">SUM(CD326:DH326)</f>
        <v>0</v>
      </c>
      <c r="EM326" s="51"/>
      <c r="EN326" s="51"/>
      <c r="EO326" s="340"/>
      <c r="ER326" s="39"/>
      <c r="ES326" s="39"/>
    </row>
    <row r="327" spans="1:149" ht="12.75" hidden="1" customHeight="1" x14ac:dyDescent="0.2">
      <c r="A327" s="317"/>
      <c r="B327" s="317"/>
      <c r="D327" s="340" t="s">
        <v>189</v>
      </c>
      <c r="F327" s="317"/>
      <c r="G327" s="51">
        <f>SUM(G328:G328)</f>
        <v>0</v>
      </c>
      <c r="H327" s="51"/>
      <c r="I327" s="51"/>
      <c r="J327" s="144"/>
      <c r="K327" s="51"/>
      <c r="L327" s="51">
        <f>SUM(L328:L328)</f>
        <v>0</v>
      </c>
      <c r="M327" s="51"/>
      <c r="N327" s="51"/>
      <c r="O327" s="144"/>
      <c r="P327" s="51"/>
      <c r="Q327" s="51">
        <f>SUM(Q328:Q328)</f>
        <v>0</v>
      </c>
      <c r="R327" s="51"/>
      <c r="S327" s="51"/>
      <c r="T327" s="144"/>
      <c r="U327" s="51"/>
      <c r="V327" s="51">
        <f>SUM(V328:V328)</f>
        <v>0</v>
      </c>
      <c r="W327" s="51"/>
      <c r="X327" s="51"/>
      <c r="Y327" s="144"/>
      <c r="Z327" s="51"/>
      <c r="AA327" s="51">
        <f>SUM(AA328:AA328)</f>
        <v>0</v>
      </c>
      <c r="AB327" s="51"/>
      <c r="AC327" s="51"/>
      <c r="AD327" s="144"/>
      <c r="AE327" s="51"/>
      <c r="AF327" s="51">
        <f>SUM(AF328:AF328)</f>
        <v>0</v>
      </c>
      <c r="AG327" s="51"/>
      <c r="AH327" s="51"/>
      <c r="AI327" s="144"/>
      <c r="AJ327" s="51"/>
      <c r="AK327" s="51">
        <f>SUM(AK328:AK328)</f>
        <v>0</v>
      </c>
      <c r="AL327" s="51"/>
      <c r="AM327" s="51"/>
      <c r="AN327" s="144"/>
      <c r="AO327" s="51"/>
      <c r="AP327" s="51">
        <f>SUM(AP328:AP328)</f>
        <v>0</v>
      </c>
      <c r="AQ327" s="51"/>
      <c r="AR327" s="51"/>
      <c r="AS327" s="144"/>
      <c r="AT327" s="51"/>
      <c r="AU327" s="51">
        <f>SUM(AU328:AU328)</f>
        <v>0</v>
      </c>
      <c r="AV327" s="51"/>
      <c r="AW327" s="51"/>
      <c r="AX327" s="144"/>
      <c r="AY327" s="51"/>
      <c r="AZ327" s="51">
        <f>SUM(AZ328:AZ328)</f>
        <v>0</v>
      </c>
      <c r="BA327" s="51"/>
      <c r="BB327" s="51"/>
      <c r="BC327" s="144"/>
      <c r="BD327" s="51"/>
      <c r="BE327" s="51">
        <f>SUM(BE328:BE328)</f>
        <v>0</v>
      </c>
      <c r="BF327" s="51"/>
      <c r="BG327" s="51"/>
      <c r="BH327" s="144"/>
      <c r="BI327" s="51"/>
      <c r="BJ327" s="51">
        <f>SUM(BJ328:BJ328)</f>
        <v>0</v>
      </c>
      <c r="BK327" s="51"/>
      <c r="BL327" s="51"/>
      <c r="BM327" s="144"/>
      <c r="BN327" s="51"/>
      <c r="BO327" s="51">
        <f>SUM(BO328:BO328)</f>
        <v>0</v>
      </c>
      <c r="BP327" s="51"/>
      <c r="BQ327" s="51"/>
      <c r="BR327" s="144"/>
      <c r="BS327" s="51"/>
      <c r="BT327" s="51">
        <f>SUM(BT328:BT328)</f>
        <v>0</v>
      </c>
      <c r="BU327" s="51"/>
      <c r="BV327" s="51"/>
      <c r="BW327" s="144"/>
      <c r="BX327" s="51"/>
      <c r="BY327" s="51">
        <f>SUM(BY328:BY328)</f>
        <v>0</v>
      </c>
      <c r="BZ327" s="51"/>
      <c r="CA327" s="51"/>
      <c r="CB327" s="144"/>
      <c r="CC327" s="51"/>
      <c r="CD327" s="51">
        <f>SUM(CD328:CD328)</f>
        <v>0</v>
      </c>
      <c r="CE327" s="51"/>
      <c r="CF327" s="51"/>
      <c r="CG327" s="144"/>
      <c r="CH327" s="51"/>
      <c r="CI327" s="51">
        <f>SUM(CI328:CI328)</f>
        <v>0</v>
      </c>
      <c r="CJ327" s="51"/>
      <c r="CK327" s="51"/>
      <c r="CL327" s="144"/>
      <c r="CM327" s="51"/>
      <c r="CN327" s="51">
        <f>SUM(CN328:CN328)</f>
        <v>0</v>
      </c>
      <c r="CO327" s="51"/>
      <c r="CP327" s="51"/>
      <c r="CQ327" s="144"/>
      <c r="CR327" s="51"/>
      <c r="CS327" s="51">
        <f>SUM(CS328:CS328)</f>
        <v>0</v>
      </c>
      <c r="CT327" s="51"/>
      <c r="CU327" s="51"/>
      <c r="CV327" s="144"/>
      <c r="CW327" s="51"/>
      <c r="CX327" s="51">
        <f>SUM(CX328:CX328)</f>
        <v>0</v>
      </c>
      <c r="CY327" s="51"/>
      <c r="CZ327" s="51"/>
      <c r="DA327" s="144"/>
      <c r="DB327" s="51"/>
      <c r="DC327" s="51">
        <f>SUM(DC328:DC328)</f>
        <v>0</v>
      </c>
      <c r="DD327" s="51"/>
      <c r="DE327" s="51"/>
      <c r="DF327" s="144"/>
      <c r="DG327" s="51"/>
      <c r="DH327" s="51">
        <f>SUM(DH328:DH328)</f>
        <v>0</v>
      </c>
      <c r="DI327" s="51"/>
      <c r="DJ327" s="51"/>
      <c r="DK327" s="144"/>
      <c r="DL327" s="51"/>
      <c r="DM327" s="51">
        <f>SUM(DM328:DM328)</f>
        <v>0</v>
      </c>
      <c r="DN327" s="51"/>
      <c r="DO327" s="51"/>
      <c r="DP327" s="144"/>
      <c r="DQ327" s="51"/>
      <c r="DR327" s="51">
        <f>SUM(DR328:DR328)</f>
        <v>0</v>
      </c>
      <c r="DS327" s="51"/>
      <c r="DT327" s="51"/>
      <c r="DU327" s="144"/>
      <c r="DV327" s="51"/>
      <c r="DW327" s="51">
        <f>SUM(DW328:DW328)</f>
        <v>0</v>
      </c>
      <c r="DX327" s="51"/>
      <c r="DY327" s="51"/>
      <c r="DZ327" s="144"/>
      <c r="EA327" s="51"/>
      <c r="EB327" s="51">
        <f>SUM(EB328:EB328)</f>
        <v>0</v>
      </c>
      <c r="EC327" s="51"/>
      <c r="ED327" s="51"/>
      <c r="EE327" s="144"/>
      <c r="EF327" s="51"/>
      <c r="EG327" s="51">
        <f>SUM(EG328:EG328)</f>
        <v>0</v>
      </c>
      <c r="EH327" s="51"/>
      <c r="EI327" s="51"/>
      <c r="EJ327" s="144"/>
      <c r="EK327" s="51"/>
      <c r="EL327" s="51">
        <f t="shared" si="27"/>
        <v>0</v>
      </c>
      <c r="EM327" s="51"/>
      <c r="EN327" s="51"/>
      <c r="EO327" s="340"/>
      <c r="ER327" s="39"/>
      <c r="ES327" s="39"/>
    </row>
    <row r="328" spans="1:149" ht="12.75" hidden="1" customHeight="1" x14ac:dyDescent="0.2">
      <c r="A328" s="317"/>
      <c r="B328" s="317"/>
      <c r="D328" s="340" t="s">
        <v>183</v>
      </c>
      <c r="F328" s="434"/>
      <c r="G328" s="438">
        <v>0</v>
      </c>
      <c r="H328" s="436"/>
      <c r="I328" s="51"/>
      <c r="J328" s="144"/>
      <c r="K328" s="437"/>
      <c r="L328" s="438">
        <v>0</v>
      </c>
      <c r="M328" s="436"/>
      <c r="N328" s="51"/>
      <c r="O328" s="144"/>
      <c r="P328" s="437"/>
      <c r="Q328" s="438">
        <v>0</v>
      </c>
      <c r="R328" s="436"/>
      <c r="S328" s="51"/>
      <c r="T328" s="144"/>
      <c r="U328" s="437"/>
      <c r="V328" s="438">
        <v>0</v>
      </c>
      <c r="W328" s="436"/>
      <c r="X328" s="51"/>
      <c r="Y328" s="144"/>
      <c r="Z328" s="437"/>
      <c r="AA328" s="438">
        <v>0</v>
      </c>
      <c r="AB328" s="436"/>
      <c r="AC328" s="51"/>
      <c r="AD328" s="144"/>
      <c r="AE328" s="437"/>
      <c r="AF328" s="438">
        <v>0</v>
      </c>
      <c r="AG328" s="436"/>
      <c r="AH328" s="51"/>
      <c r="AI328" s="144"/>
      <c r="AJ328" s="437"/>
      <c r="AK328" s="438">
        <v>0</v>
      </c>
      <c r="AL328" s="436"/>
      <c r="AM328" s="51"/>
      <c r="AN328" s="144"/>
      <c r="AO328" s="437"/>
      <c r="AP328" s="438">
        <v>0</v>
      </c>
      <c r="AQ328" s="436"/>
      <c r="AR328" s="51"/>
      <c r="AS328" s="144"/>
      <c r="AT328" s="437"/>
      <c r="AU328" s="438">
        <v>0</v>
      </c>
      <c r="AV328" s="436"/>
      <c r="AW328" s="51"/>
      <c r="AX328" s="144"/>
      <c r="AY328" s="437"/>
      <c r="AZ328" s="438">
        <v>0</v>
      </c>
      <c r="BA328" s="436"/>
      <c r="BB328" s="51"/>
      <c r="BC328" s="144"/>
      <c r="BD328" s="437"/>
      <c r="BE328" s="438">
        <v>0</v>
      </c>
      <c r="BF328" s="436"/>
      <c r="BG328" s="51"/>
      <c r="BH328" s="144"/>
      <c r="BI328" s="437"/>
      <c r="BJ328" s="438">
        <v>0</v>
      </c>
      <c r="BK328" s="436"/>
      <c r="BL328" s="51"/>
      <c r="BM328" s="144"/>
      <c r="BN328" s="437"/>
      <c r="BO328" s="438">
        <v>0</v>
      </c>
      <c r="BP328" s="436"/>
      <c r="BQ328" s="51"/>
      <c r="BR328" s="144"/>
      <c r="BS328" s="437"/>
      <c r="BT328" s="438">
        <f>SUM(L328:BO328)</f>
        <v>0</v>
      </c>
      <c r="BU328" s="436"/>
      <c r="BV328" s="51"/>
      <c r="BW328" s="144"/>
      <c r="BX328" s="437"/>
      <c r="BY328" s="438">
        <v>0</v>
      </c>
      <c r="BZ328" s="436"/>
      <c r="CA328" s="51"/>
      <c r="CB328" s="144"/>
      <c r="CC328" s="437"/>
      <c r="CD328" s="438">
        <v>0</v>
      </c>
      <c r="CE328" s="436"/>
      <c r="CF328" s="51"/>
      <c r="CG328" s="144"/>
      <c r="CH328" s="437"/>
      <c r="CI328" s="438">
        <v>0</v>
      </c>
      <c r="CJ328" s="436"/>
      <c r="CK328" s="51"/>
      <c r="CL328" s="144"/>
      <c r="CM328" s="437"/>
      <c r="CN328" s="438">
        <v>0</v>
      </c>
      <c r="CO328" s="436"/>
      <c r="CP328" s="51"/>
      <c r="CQ328" s="144"/>
      <c r="CR328" s="437"/>
      <c r="CS328" s="438">
        <v>0</v>
      </c>
      <c r="CT328" s="436"/>
      <c r="CU328" s="51"/>
      <c r="CV328" s="144"/>
      <c r="CW328" s="437"/>
      <c r="CX328" s="438">
        <v>0</v>
      </c>
      <c r="CY328" s="436"/>
      <c r="CZ328" s="51"/>
      <c r="DA328" s="144"/>
      <c r="DB328" s="437"/>
      <c r="DC328" s="438">
        <v>0</v>
      </c>
      <c r="DD328" s="436"/>
      <c r="DE328" s="51"/>
      <c r="DF328" s="144"/>
      <c r="DG328" s="437"/>
      <c r="DH328" s="438">
        <v>0</v>
      </c>
      <c r="DI328" s="436"/>
      <c r="DJ328" s="51"/>
      <c r="DK328" s="144"/>
      <c r="DL328" s="437"/>
      <c r="DM328" s="438">
        <v>0</v>
      </c>
      <c r="DN328" s="436"/>
      <c r="DO328" s="51"/>
      <c r="DP328" s="144"/>
      <c r="DQ328" s="437"/>
      <c r="DR328" s="438">
        <v>0</v>
      </c>
      <c r="DS328" s="436"/>
      <c r="DT328" s="51"/>
      <c r="DU328" s="144"/>
      <c r="DV328" s="437"/>
      <c r="DW328" s="438">
        <v>0</v>
      </c>
      <c r="DX328" s="436"/>
      <c r="DY328" s="51"/>
      <c r="DZ328" s="144"/>
      <c r="EA328" s="437"/>
      <c r="EB328" s="438">
        <v>0</v>
      </c>
      <c r="EC328" s="436"/>
      <c r="ED328" s="51"/>
      <c r="EE328" s="144"/>
      <c r="EF328" s="437"/>
      <c r="EG328" s="438">
        <v>0</v>
      </c>
      <c r="EH328" s="436"/>
      <c r="EI328" s="51"/>
      <c r="EJ328" s="144"/>
      <c r="EK328" s="437"/>
      <c r="EL328" s="438">
        <f>SUM(CD328:CD328)</f>
        <v>0</v>
      </c>
      <c r="EM328" s="436"/>
      <c r="EN328" s="51"/>
      <c r="EO328" s="340"/>
      <c r="ER328" s="39"/>
      <c r="ES328" s="39"/>
    </row>
    <row r="329" spans="1:149" ht="12.75" customHeight="1" x14ac:dyDescent="0.2">
      <c r="A329" s="317"/>
      <c r="B329" s="317"/>
      <c r="D329" s="340"/>
      <c r="F329" s="317"/>
      <c r="G329" s="51"/>
      <c r="H329" s="51"/>
      <c r="I329" s="51"/>
      <c r="J329" s="144"/>
      <c r="K329" s="51"/>
      <c r="L329" s="51"/>
      <c r="M329" s="51"/>
      <c r="N329" s="51"/>
      <c r="O329" s="144"/>
      <c r="P329" s="51"/>
      <c r="Q329" s="51"/>
      <c r="R329" s="51"/>
      <c r="S329" s="51"/>
      <c r="T329" s="144"/>
      <c r="U329" s="51"/>
      <c r="V329" s="51"/>
      <c r="W329" s="51"/>
      <c r="X329" s="51"/>
      <c r="Y329" s="144"/>
      <c r="Z329" s="51"/>
      <c r="AA329" s="51"/>
      <c r="AB329" s="51"/>
      <c r="AC329" s="51"/>
      <c r="AD329" s="144"/>
      <c r="AE329" s="51"/>
      <c r="AF329" s="51"/>
      <c r="AG329" s="51"/>
      <c r="AH329" s="51"/>
      <c r="AI329" s="144"/>
      <c r="AJ329" s="51"/>
      <c r="AK329" s="51"/>
      <c r="AL329" s="51"/>
      <c r="AM329" s="51"/>
      <c r="AN329" s="144"/>
      <c r="AO329" s="51"/>
      <c r="AP329" s="51"/>
      <c r="AQ329" s="51"/>
      <c r="AR329" s="51"/>
      <c r="AS329" s="144"/>
      <c r="AT329" s="51"/>
      <c r="AU329" s="51"/>
      <c r="AV329" s="51"/>
      <c r="AW329" s="51"/>
      <c r="AX329" s="144"/>
      <c r="AY329" s="51"/>
      <c r="AZ329" s="51"/>
      <c r="BA329" s="51"/>
      <c r="BB329" s="51"/>
      <c r="BC329" s="144"/>
      <c r="BD329" s="51"/>
      <c r="BE329" s="51"/>
      <c r="BF329" s="51"/>
      <c r="BG329" s="51"/>
      <c r="BH329" s="144"/>
      <c r="BI329" s="51"/>
      <c r="BJ329" s="51"/>
      <c r="BK329" s="51"/>
      <c r="BL329" s="51"/>
      <c r="BM329" s="144"/>
      <c r="BN329" s="51"/>
      <c r="BO329" s="51"/>
      <c r="BP329" s="51"/>
      <c r="BQ329" s="51"/>
      <c r="BR329" s="144"/>
      <c r="BS329" s="51"/>
      <c r="BT329" s="51"/>
      <c r="BU329" s="51"/>
      <c r="BV329" s="51"/>
      <c r="BW329" s="144"/>
      <c r="BX329" s="51"/>
      <c r="BY329" s="51"/>
      <c r="BZ329" s="51"/>
      <c r="CA329" s="51"/>
      <c r="CB329" s="144"/>
      <c r="CC329" s="51"/>
      <c r="CD329" s="465"/>
      <c r="CE329" s="465"/>
      <c r="CF329" s="465"/>
      <c r="CG329" s="466"/>
      <c r="CH329" s="465"/>
      <c r="CI329" s="465"/>
      <c r="CJ329" s="465"/>
      <c r="CK329" s="465"/>
      <c r="CL329" s="466"/>
      <c r="CM329" s="465"/>
      <c r="CN329" s="465"/>
      <c r="CO329" s="465"/>
      <c r="CP329" s="465"/>
      <c r="CQ329" s="466"/>
      <c r="CR329" s="465"/>
      <c r="CS329" s="465"/>
      <c r="CT329" s="465"/>
      <c r="CU329" s="465"/>
      <c r="CV329" s="466"/>
      <c r="CW329" s="465"/>
      <c r="CX329" s="465"/>
      <c r="CY329" s="465"/>
      <c r="CZ329" s="465"/>
      <c r="DA329" s="466"/>
      <c r="DB329" s="465"/>
      <c r="DC329" s="465"/>
      <c r="DD329" s="465"/>
      <c r="DE329" s="465"/>
      <c r="DF329" s="466"/>
      <c r="DG329" s="465"/>
      <c r="DH329" s="465"/>
      <c r="DI329" s="465"/>
      <c r="DJ329" s="465"/>
      <c r="DK329" s="466"/>
      <c r="DL329" s="465"/>
      <c r="DM329" s="465"/>
      <c r="DN329" s="465"/>
      <c r="DO329" s="465"/>
      <c r="DP329" s="466"/>
      <c r="DQ329" s="465"/>
      <c r="DR329" s="465"/>
      <c r="DS329" s="465"/>
      <c r="DT329" s="465"/>
      <c r="DU329" s="466"/>
      <c r="DV329" s="465"/>
      <c r="DW329" s="465"/>
      <c r="DX329" s="465"/>
      <c r="DY329" s="465"/>
      <c r="DZ329" s="466"/>
      <c r="EA329" s="465"/>
      <c r="EB329" s="465"/>
      <c r="EC329" s="465"/>
      <c r="ED329" s="465"/>
      <c r="EE329" s="466"/>
      <c r="EF329" s="465"/>
      <c r="EG329" s="465"/>
      <c r="EH329" s="51"/>
      <c r="EI329" s="51"/>
      <c r="EJ329" s="144"/>
      <c r="EK329" s="51"/>
      <c r="EL329" s="51"/>
      <c r="EM329" s="51"/>
      <c r="EN329" s="51"/>
      <c r="EO329" s="340"/>
      <c r="ER329" s="39"/>
      <c r="ES329" s="39"/>
    </row>
    <row r="330" spans="1:149" x14ac:dyDescent="0.2">
      <c r="A330" s="317"/>
      <c r="B330" s="317"/>
      <c r="D330" s="340" t="s">
        <v>190</v>
      </c>
      <c r="F330" s="317"/>
      <c r="G330" s="51">
        <f>SUM(G331:G331)</f>
        <v>994679</v>
      </c>
      <c r="H330" s="51"/>
      <c r="I330" s="51"/>
      <c r="J330" s="144"/>
      <c r="K330" s="51"/>
      <c r="L330" s="51">
        <f>SUM(L331:L331)</f>
        <v>0</v>
      </c>
      <c r="M330" s="51"/>
      <c r="N330" s="51"/>
      <c r="O330" s="144"/>
      <c r="P330" s="51"/>
      <c r="Q330" s="51">
        <f>SUM(Q331:Q331)</f>
        <v>0</v>
      </c>
      <c r="R330" s="51"/>
      <c r="S330" s="51"/>
      <c r="T330" s="144"/>
      <c r="U330" s="51"/>
      <c r="V330" s="51">
        <f>SUM(V331:V331)</f>
        <v>0</v>
      </c>
      <c r="W330" s="51"/>
      <c r="X330" s="51"/>
      <c r="Y330" s="144"/>
      <c r="Z330" s="51"/>
      <c r="AA330" s="51">
        <f>SUM(AA331:AA331)</f>
        <v>0</v>
      </c>
      <c r="AB330" s="51"/>
      <c r="AC330" s="51"/>
      <c r="AD330" s="144"/>
      <c r="AE330" s="51"/>
      <c r="AF330" s="51">
        <f>SUM(AF331:AF331)</f>
        <v>994679</v>
      </c>
      <c r="AG330" s="51"/>
      <c r="AH330" s="51"/>
      <c r="AI330" s="144"/>
      <c r="AJ330" s="51"/>
      <c r="AK330" s="51">
        <f>SUM(AK331:AK331)</f>
        <v>0</v>
      </c>
      <c r="AL330" s="51"/>
      <c r="AM330" s="51"/>
      <c r="AN330" s="144"/>
      <c r="AO330" s="51"/>
      <c r="AP330" s="51">
        <f>SUM(AP331:AP331)</f>
        <v>0</v>
      </c>
      <c r="AQ330" s="51"/>
      <c r="AR330" s="51"/>
      <c r="AS330" s="144"/>
      <c r="AT330" s="51"/>
      <c r="AU330" s="51">
        <f>SUM(AU331:AU331)</f>
        <v>0</v>
      </c>
      <c r="AV330" s="51"/>
      <c r="AW330" s="51"/>
      <c r="AX330" s="144"/>
      <c r="AY330" s="51"/>
      <c r="AZ330" s="51">
        <f>SUM(AZ331:AZ331)</f>
        <v>0</v>
      </c>
      <c r="BA330" s="51"/>
      <c r="BB330" s="51"/>
      <c r="BC330" s="144"/>
      <c r="BD330" s="51"/>
      <c r="BE330" s="51">
        <f>SUM(BE331:BE331)</f>
        <v>0</v>
      </c>
      <c r="BF330" s="51"/>
      <c r="BG330" s="51"/>
      <c r="BH330" s="144"/>
      <c r="BI330" s="51"/>
      <c r="BJ330" s="51">
        <f>SUM(BJ331:BJ331)</f>
        <v>0</v>
      </c>
      <c r="BK330" s="51"/>
      <c r="BL330" s="51"/>
      <c r="BM330" s="144"/>
      <c r="BN330" s="51"/>
      <c r="BO330" s="51">
        <f>SUM(BO331:BO331)</f>
        <v>0</v>
      </c>
      <c r="BP330" s="51"/>
      <c r="BQ330" s="51"/>
      <c r="BR330" s="144"/>
      <c r="BS330" s="51"/>
      <c r="BT330" s="51">
        <f>SUM(BT331:BT331)</f>
        <v>994679</v>
      </c>
      <c r="BU330" s="51"/>
      <c r="BV330" s="51"/>
      <c r="BW330" s="144"/>
      <c r="BX330" s="51"/>
      <c r="BY330" s="51">
        <f>SUM(BY331:BY331)</f>
        <v>0</v>
      </c>
      <c r="BZ330" s="51"/>
      <c r="CA330" s="51"/>
      <c r="CB330" s="144"/>
      <c r="CC330" s="51"/>
      <c r="CD330" s="51">
        <f>SUM(CD331:CD331)</f>
        <v>0</v>
      </c>
      <c r="CE330" s="51"/>
      <c r="CF330" s="51"/>
      <c r="CG330" s="144"/>
      <c r="CH330" s="51"/>
      <c r="CI330" s="51">
        <f>SUM(CI331:CI331)</f>
        <v>0</v>
      </c>
      <c r="CJ330" s="51"/>
      <c r="CK330" s="51"/>
      <c r="CL330" s="144"/>
      <c r="CM330" s="51"/>
      <c r="CN330" s="51">
        <f>SUM(CN331:CN331)</f>
        <v>0</v>
      </c>
      <c r="CO330" s="51"/>
      <c r="CP330" s="51"/>
      <c r="CQ330" s="144"/>
      <c r="CR330" s="51"/>
      <c r="CS330" s="51">
        <f>SUM(CS331:CS331)</f>
        <v>0</v>
      </c>
      <c r="CT330" s="51"/>
      <c r="CU330" s="51"/>
      <c r="CV330" s="144"/>
      <c r="CW330" s="51"/>
      <c r="CX330" s="51">
        <f>SUM(CX331:CX331)</f>
        <v>0</v>
      </c>
      <c r="CY330" s="51"/>
      <c r="CZ330" s="51"/>
      <c r="DA330" s="144"/>
      <c r="DB330" s="51"/>
      <c r="DC330" s="51">
        <f>SUM(DC331:DC331)</f>
        <v>0</v>
      </c>
      <c r="DD330" s="51"/>
      <c r="DE330" s="51"/>
      <c r="DF330" s="144"/>
      <c r="DG330" s="51"/>
      <c r="DH330" s="51">
        <f>SUM(DH331:DH331)</f>
        <v>0</v>
      </c>
      <c r="DI330" s="51"/>
      <c r="DJ330" s="51"/>
      <c r="DK330" s="144"/>
      <c r="DL330" s="51"/>
      <c r="DM330" s="51">
        <f>SUM(DM331:DM331)</f>
        <v>0</v>
      </c>
      <c r="DN330" s="51"/>
      <c r="DO330" s="51"/>
      <c r="DP330" s="144"/>
      <c r="DQ330" s="51"/>
      <c r="DR330" s="51">
        <f>SUM(DR331:DR331)</f>
        <v>0</v>
      </c>
      <c r="DS330" s="51"/>
      <c r="DT330" s="51"/>
      <c r="DU330" s="144"/>
      <c r="DV330" s="51"/>
      <c r="DW330" s="51">
        <f>SUM(DW331:DW331)</f>
        <v>0</v>
      </c>
      <c r="DX330" s="51"/>
      <c r="DY330" s="51"/>
      <c r="DZ330" s="144"/>
      <c r="EA330" s="51"/>
      <c r="EB330" s="51">
        <f>SUM(EB331:EB331)</f>
        <v>0</v>
      </c>
      <c r="EC330" s="51"/>
      <c r="ED330" s="51"/>
      <c r="EE330" s="144"/>
      <c r="EF330" s="51"/>
      <c r="EG330" s="51">
        <f>SUM(EG331:EG331)</f>
        <v>0</v>
      </c>
      <c r="EH330" s="51"/>
      <c r="EI330" s="51"/>
      <c r="EJ330" s="144"/>
      <c r="EK330" s="51"/>
      <c r="EL330" s="51">
        <f>SUM(EL331:EL331)</f>
        <v>0</v>
      </c>
      <c r="EM330" s="51"/>
      <c r="EN330" s="51"/>
      <c r="EO330" s="340"/>
      <c r="ER330" s="39"/>
      <c r="ES330" s="39"/>
    </row>
    <row r="331" spans="1:149" x14ac:dyDescent="0.2">
      <c r="A331" s="317"/>
      <c r="B331" s="317"/>
      <c r="D331" s="340" t="s">
        <v>183</v>
      </c>
      <c r="F331" s="434"/>
      <c r="G331" s="438">
        <v>994679</v>
      </c>
      <c r="H331" s="436"/>
      <c r="I331" s="51"/>
      <c r="J331" s="144"/>
      <c r="K331" s="437"/>
      <c r="L331" s="438">
        <v>0</v>
      </c>
      <c r="M331" s="436"/>
      <c r="N331" s="51"/>
      <c r="O331" s="144"/>
      <c r="P331" s="437"/>
      <c r="Q331" s="438">
        <v>0</v>
      </c>
      <c r="R331" s="436"/>
      <c r="S331" s="51"/>
      <c r="T331" s="144"/>
      <c r="U331" s="437"/>
      <c r="V331" s="438">
        <v>0</v>
      </c>
      <c r="W331" s="436"/>
      <c r="X331" s="51"/>
      <c r="Y331" s="144"/>
      <c r="Z331" s="437"/>
      <c r="AA331" s="438">
        <v>0</v>
      </c>
      <c r="AB331" s="436"/>
      <c r="AC331" s="51"/>
      <c r="AD331" s="144"/>
      <c r="AE331" s="437"/>
      <c r="AF331" s="438">
        <v>994679</v>
      </c>
      <c r="AG331" s="436"/>
      <c r="AH331" s="51"/>
      <c r="AI331" s="144"/>
      <c r="AJ331" s="437"/>
      <c r="AK331" s="438">
        <v>0</v>
      </c>
      <c r="AL331" s="436"/>
      <c r="AM331" s="51"/>
      <c r="AN331" s="144"/>
      <c r="AO331" s="437"/>
      <c r="AP331" s="438">
        <v>0</v>
      </c>
      <c r="AQ331" s="436"/>
      <c r="AR331" s="51"/>
      <c r="AS331" s="144"/>
      <c r="AT331" s="437"/>
      <c r="AU331" s="438">
        <v>0</v>
      </c>
      <c r="AV331" s="436"/>
      <c r="AW331" s="51"/>
      <c r="AX331" s="144"/>
      <c r="AY331" s="437"/>
      <c r="AZ331" s="438">
        <v>0</v>
      </c>
      <c r="BA331" s="436"/>
      <c r="BB331" s="51"/>
      <c r="BC331" s="144"/>
      <c r="BD331" s="437"/>
      <c r="BE331" s="438">
        <v>0</v>
      </c>
      <c r="BF331" s="436"/>
      <c r="BG331" s="51"/>
      <c r="BH331" s="144"/>
      <c r="BI331" s="437"/>
      <c r="BJ331" s="438">
        <v>0</v>
      </c>
      <c r="BK331" s="436"/>
      <c r="BL331" s="51"/>
      <c r="BM331" s="144"/>
      <c r="BN331" s="437"/>
      <c r="BO331" s="438">
        <v>0</v>
      </c>
      <c r="BP331" s="436"/>
      <c r="BQ331" s="51"/>
      <c r="BR331" s="144"/>
      <c r="BS331" s="437"/>
      <c r="BT331" s="438">
        <f>SUM(L331:BO331)</f>
        <v>994679</v>
      </c>
      <c r="BU331" s="436"/>
      <c r="BV331" s="51"/>
      <c r="BW331" s="144"/>
      <c r="BX331" s="437"/>
      <c r="BY331" s="438">
        <v>0</v>
      </c>
      <c r="BZ331" s="436"/>
      <c r="CA331" s="51"/>
      <c r="CB331" s="144"/>
      <c r="CC331" s="437"/>
      <c r="CD331" s="438">
        <v>0</v>
      </c>
      <c r="CE331" s="436"/>
      <c r="CF331" s="51"/>
      <c r="CG331" s="144"/>
      <c r="CH331" s="437"/>
      <c r="CI331" s="438">
        <v>0</v>
      </c>
      <c r="CJ331" s="436"/>
      <c r="CK331" s="51"/>
      <c r="CL331" s="144"/>
      <c r="CM331" s="437"/>
      <c r="CN331" s="438">
        <v>0</v>
      </c>
      <c r="CO331" s="436"/>
      <c r="CP331" s="51"/>
      <c r="CQ331" s="144"/>
      <c r="CR331" s="437"/>
      <c r="CS331" s="438">
        <v>0</v>
      </c>
      <c r="CT331" s="436"/>
      <c r="CU331" s="51"/>
      <c r="CV331" s="144"/>
      <c r="CW331" s="437"/>
      <c r="CX331" s="438">
        <v>0</v>
      </c>
      <c r="CY331" s="436"/>
      <c r="CZ331" s="51"/>
      <c r="DA331" s="144"/>
      <c r="DB331" s="437"/>
      <c r="DC331" s="438">
        <v>0</v>
      </c>
      <c r="DD331" s="436"/>
      <c r="DE331" s="51"/>
      <c r="DF331" s="144"/>
      <c r="DG331" s="437"/>
      <c r="DH331" s="438">
        <v>0</v>
      </c>
      <c r="DI331" s="436"/>
      <c r="DJ331" s="51"/>
      <c r="DK331" s="144"/>
      <c r="DL331" s="437"/>
      <c r="DM331" s="438">
        <v>0</v>
      </c>
      <c r="DN331" s="436"/>
      <c r="DO331" s="51"/>
      <c r="DP331" s="144"/>
      <c r="DQ331" s="437"/>
      <c r="DR331" s="438">
        <v>0</v>
      </c>
      <c r="DS331" s="436"/>
      <c r="DT331" s="51"/>
      <c r="DU331" s="144"/>
      <c r="DV331" s="437"/>
      <c r="DW331" s="438">
        <v>0</v>
      </c>
      <c r="DX331" s="436"/>
      <c r="DY331" s="51"/>
      <c r="DZ331" s="144"/>
      <c r="EA331" s="437"/>
      <c r="EB331" s="438">
        <v>0</v>
      </c>
      <c r="EC331" s="436"/>
      <c r="ED331" s="51"/>
      <c r="EE331" s="144"/>
      <c r="EF331" s="437"/>
      <c r="EG331" s="438">
        <v>0</v>
      </c>
      <c r="EH331" s="436"/>
      <c r="EI331" s="51"/>
      <c r="EJ331" s="144"/>
      <c r="EK331" s="437"/>
      <c r="EL331" s="438">
        <f>SUM(CD331:DH331)</f>
        <v>0</v>
      </c>
      <c r="EM331" s="436"/>
      <c r="EN331" s="51"/>
      <c r="EO331" s="340"/>
      <c r="ER331" s="39"/>
      <c r="ES331" s="39"/>
    </row>
    <row r="332" spans="1:149" x14ac:dyDescent="0.2">
      <c r="A332" s="317"/>
      <c r="B332" s="317"/>
      <c r="D332" s="340"/>
      <c r="F332" s="317"/>
      <c r="G332" s="51"/>
      <c r="H332" s="51"/>
      <c r="I332" s="51"/>
      <c r="J332" s="144"/>
      <c r="K332" s="51"/>
      <c r="L332" s="51"/>
      <c r="M332" s="51"/>
      <c r="N332" s="51"/>
      <c r="O332" s="144"/>
      <c r="P332" s="51"/>
      <c r="Q332" s="51"/>
      <c r="R332" s="51"/>
      <c r="S332" s="51"/>
      <c r="T332" s="144"/>
      <c r="U332" s="51"/>
      <c r="V332" s="51"/>
      <c r="W332" s="51"/>
      <c r="X332" s="51"/>
      <c r="Y332" s="144"/>
      <c r="Z332" s="51"/>
      <c r="AA332" s="51"/>
      <c r="AB332" s="51"/>
      <c r="AC332" s="51"/>
      <c r="AD332" s="144"/>
      <c r="AE332" s="51"/>
      <c r="AF332" s="51"/>
      <c r="AG332" s="51"/>
      <c r="AH332" s="51"/>
      <c r="AI332" s="144"/>
      <c r="AJ332" s="51"/>
      <c r="AK332" s="51"/>
      <c r="AL332" s="51"/>
      <c r="AM332" s="51"/>
      <c r="AN332" s="144"/>
      <c r="AO332" s="51"/>
      <c r="AP332" s="51"/>
      <c r="AQ332" s="51"/>
      <c r="AR332" s="51"/>
      <c r="AS332" s="144"/>
      <c r="AT332" s="51"/>
      <c r="AU332" s="51"/>
      <c r="AV332" s="51"/>
      <c r="AW332" s="51"/>
      <c r="AX332" s="144"/>
      <c r="AY332" s="51"/>
      <c r="AZ332" s="51"/>
      <c r="BA332" s="51"/>
      <c r="BB332" s="51"/>
      <c r="BC332" s="144"/>
      <c r="BD332" s="51"/>
      <c r="BE332" s="51"/>
      <c r="BF332" s="51"/>
      <c r="BG332" s="51"/>
      <c r="BH332" s="144"/>
      <c r="BI332" s="51"/>
      <c r="BJ332" s="51"/>
      <c r="BK332" s="51"/>
      <c r="BL332" s="51"/>
      <c r="BM332" s="144"/>
      <c r="BN332" s="51"/>
      <c r="BO332" s="51"/>
      <c r="BP332" s="51"/>
      <c r="BQ332" s="51"/>
      <c r="BR332" s="144"/>
      <c r="BS332" s="51"/>
      <c r="BT332" s="51"/>
      <c r="BU332" s="51"/>
      <c r="BV332" s="51"/>
      <c r="BW332" s="144"/>
      <c r="BX332" s="51"/>
      <c r="BY332" s="51"/>
      <c r="BZ332" s="51"/>
      <c r="CA332" s="51"/>
      <c r="CB332" s="144"/>
      <c r="CC332" s="51"/>
      <c r="CD332" s="465"/>
      <c r="CE332" s="465"/>
      <c r="CF332" s="465"/>
      <c r="CG332" s="466"/>
      <c r="CH332" s="465"/>
      <c r="CI332" s="465"/>
      <c r="CJ332" s="465"/>
      <c r="CK332" s="465"/>
      <c r="CL332" s="466"/>
      <c r="CM332" s="465"/>
      <c r="CN332" s="465"/>
      <c r="CO332" s="465"/>
      <c r="CP332" s="465"/>
      <c r="CQ332" s="466"/>
      <c r="CR332" s="465"/>
      <c r="CS332" s="465"/>
      <c r="CT332" s="465"/>
      <c r="CU332" s="465"/>
      <c r="CV332" s="466"/>
      <c r="CW332" s="465"/>
      <c r="CX332" s="465"/>
      <c r="CY332" s="465"/>
      <c r="CZ332" s="465"/>
      <c r="DA332" s="466"/>
      <c r="DB332" s="465"/>
      <c r="DC332" s="465"/>
      <c r="DD332" s="465"/>
      <c r="DE332" s="465"/>
      <c r="DF332" s="466"/>
      <c r="DG332" s="465"/>
      <c r="DH332" s="465"/>
      <c r="DI332" s="465"/>
      <c r="DJ332" s="465"/>
      <c r="DK332" s="466"/>
      <c r="DL332" s="465"/>
      <c r="DM332" s="465"/>
      <c r="DN332" s="465"/>
      <c r="DO332" s="465"/>
      <c r="DP332" s="466"/>
      <c r="DQ332" s="465"/>
      <c r="DR332" s="465"/>
      <c r="DS332" s="465"/>
      <c r="DT332" s="465"/>
      <c r="DU332" s="466"/>
      <c r="DV332" s="465"/>
      <c r="DW332" s="465"/>
      <c r="DX332" s="465"/>
      <c r="DY332" s="465"/>
      <c r="DZ332" s="466"/>
      <c r="EA332" s="465"/>
      <c r="EB332" s="465"/>
      <c r="EC332" s="465"/>
      <c r="ED332" s="465"/>
      <c r="EE332" s="466"/>
      <c r="EF332" s="465"/>
      <c r="EG332" s="465"/>
      <c r="EH332" s="51"/>
      <c r="EI332" s="51"/>
      <c r="EJ332" s="144"/>
      <c r="EK332" s="51"/>
      <c r="EL332" s="51"/>
      <c r="EM332" s="51"/>
      <c r="EN332" s="51"/>
      <c r="EO332" s="340"/>
      <c r="ER332" s="39"/>
      <c r="ES332" s="39"/>
    </row>
    <row r="333" spans="1:149" ht="12.75" customHeight="1" x14ac:dyDescent="0.2">
      <c r="A333" s="317"/>
      <c r="B333" s="317"/>
      <c r="D333" s="340" t="s">
        <v>191</v>
      </c>
      <c r="F333" s="317"/>
      <c r="G333" s="51">
        <f>SUM(G334:G334)</f>
        <v>95339</v>
      </c>
      <c r="H333" s="51"/>
      <c r="I333" s="51"/>
      <c r="J333" s="144"/>
      <c r="K333" s="51"/>
      <c r="L333" s="51">
        <f>SUM(L334:L334)</f>
        <v>0</v>
      </c>
      <c r="M333" s="51"/>
      <c r="N333" s="51"/>
      <c r="O333" s="144"/>
      <c r="P333" s="51"/>
      <c r="Q333" s="51">
        <f>SUM(Q334:Q334)</f>
        <v>0</v>
      </c>
      <c r="R333" s="51"/>
      <c r="S333" s="51"/>
      <c r="T333" s="144"/>
      <c r="U333" s="51"/>
      <c r="V333" s="51">
        <f>SUM(V334:V334)</f>
        <v>0</v>
      </c>
      <c r="W333" s="51"/>
      <c r="X333" s="51"/>
      <c r="Y333" s="144"/>
      <c r="Z333" s="51"/>
      <c r="AA333" s="51">
        <f>SUM(AA334:AA334)</f>
        <v>95339</v>
      </c>
      <c r="AB333" s="51"/>
      <c r="AC333" s="51"/>
      <c r="AD333" s="144"/>
      <c r="AE333" s="51"/>
      <c r="AF333" s="51">
        <f>SUM(AF334:AF334)</f>
        <v>0</v>
      </c>
      <c r="AG333" s="51"/>
      <c r="AH333" s="51"/>
      <c r="AI333" s="144"/>
      <c r="AJ333" s="51"/>
      <c r="AK333" s="51">
        <f>SUM(AK334:AK334)</f>
        <v>0</v>
      </c>
      <c r="AL333" s="51"/>
      <c r="AM333" s="51"/>
      <c r="AN333" s="144"/>
      <c r="AO333" s="51"/>
      <c r="AP333" s="51">
        <f>SUM(AP334:AP334)</f>
        <v>0</v>
      </c>
      <c r="AQ333" s="51"/>
      <c r="AR333" s="51"/>
      <c r="AS333" s="144"/>
      <c r="AT333" s="51"/>
      <c r="AU333" s="51">
        <f>SUM(AU334:AU334)</f>
        <v>0</v>
      </c>
      <c r="AV333" s="51"/>
      <c r="AW333" s="51"/>
      <c r="AX333" s="144"/>
      <c r="AY333" s="51"/>
      <c r="AZ333" s="51">
        <f>SUM(AZ334:AZ334)</f>
        <v>0</v>
      </c>
      <c r="BA333" s="51"/>
      <c r="BB333" s="51"/>
      <c r="BC333" s="144"/>
      <c r="BD333" s="51"/>
      <c r="BE333" s="51">
        <f>SUM(BE334:BE334)</f>
        <v>0</v>
      </c>
      <c r="BF333" s="51"/>
      <c r="BG333" s="51"/>
      <c r="BH333" s="144"/>
      <c r="BI333" s="51"/>
      <c r="BJ333" s="51">
        <f>SUM(BJ334:BJ334)</f>
        <v>0</v>
      </c>
      <c r="BK333" s="51"/>
      <c r="BL333" s="51"/>
      <c r="BM333" s="144"/>
      <c r="BN333" s="51"/>
      <c r="BO333" s="51">
        <f>SUM(BO334:BO334)</f>
        <v>0</v>
      </c>
      <c r="BP333" s="51"/>
      <c r="BQ333" s="51"/>
      <c r="BR333" s="144"/>
      <c r="BS333" s="51"/>
      <c r="BT333" s="51">
        <f>SUM(BT334:BT334)</f>
        <v>95339</v>
      </c>
      <c r="BU333" s="51"/>
      <c r="BV333" s="51"/>
      <c r="BW333" s="144"/>
      <c r="BX333" s="51"/>
      <c r="BY333" s="51">
        <f>SUM(BY334:BY334)</f>
        <v>1390857</v>
      </c>
      <c r="BZ333" s="51"/>
      <c r="CA333" s="51"/>
      <c r="CB333" s="144"/>
      <c r="CC333" s="51"/>
      <c r="CD333" s="51">
        <f>SUM(CD334:CD334)</f>
        <v>0</v>
      </c>
      <c r="CE333" s="51"/>
      <c r="CF333" s="51"/>
      <c r="CG333" s="144"/>
      <c r="CH333" s="51"/>
      <c r="CI333" s="51">
        <f>SUM(CI334:CI334)</f>
        <v>0</v>
      </c>
      <c r="CJ333" s="51"/>
      <c r="CK333" s="51"/>
      <c r="CL333" s="144"/>
      <c r="CM333" s="51"/>
      <c r="CN333" s="51">
        <f>SUM(CN334:CN334)</f>
        <v>743035</v>
      </c>
      <c r="CO333" s="51"/>
      <c r="CP333" s="51"/>
      <c r="CQ333" s="144"/>
      <c r="CR333" s="51"/>
      <c r="CS333" s="51">
        <f>SUM(CS334:CS334)</f>
        <v>113087</v>
      </c>
      <c r="CT333" s="51"/>
      <c r="CU333" s="51"/>
      <c r="CV333" s="144"/>
      <c r="CW333" s="51"/>
      <c r="CX333" s="51">
        <f>SUM(CX334:CX334)</f>
        <v>0</v>
      </c>
      <c r="CY333" s="51"/>
      <c r="CZ333" s="51"/>
      <c r="DA333" s="144"/>
      <c r="DB333" s="51"/>
      <c r="DC333" s="51">
        <f>SUM(DC334:DC334)</f>
        <v>27624</v>
      </c>
      <c r="DD333" s="51"/>
      <c r="DE333" s="51"/>
      <c r="DF333" s="144"/>
      <c r="DG333" s="51"/>
      <c r="DH333" s="51">
        <f>SUM(DH334:DH334)</f>
        <v>0</v>
      </c>
      <c r="DI333" s="51"/>
      <c r="DJ333" s="51"/>
      <c r="DK333" s="144"/>
      <c r="DL333" s="51"/>
      <c r="DM333" s="51">
        <f>SUM(DM334:DM334)</f>
        <v>171068</v>
      </c>
      <c r="DN333" s="51"/>
      <c r="DO333" s="51"/>
      <c r="DP333" s="144"/>
      <c r="DQ333" s="51"/>
      <c r="DR333" s="51">
        <f>SUM(DR334:DR334)</f>
        <v>0</v>
      </c>
      <c r="DS333" s="51"/>
      <c r="DT333" s="51"/>
      <c r="DU333" s="144"/>
      <c r="DV333" s="51"/>
      <c r="DW333" s="51">
        <f>SUM(DW334:DW334)</f>
        <v>0</v>
      </c>
      <c r="DX333" s="51"/>
      <c r="DY333" s="51"/>
      <c r="DZ333" s="144"/>
      <c r="EA333" s="51"/>
      <c r="EB333" s="51">
        <f>SUM(EB334:EB334)</f>
        <v>248416</v>
      </c>
      <c r="EC333" s="51"/>
      <c r="ED333" s="51"/>
      <c r="EE333" s="144"/>
      <c r="EF333" s="51"/>
      <c r="EG333" s="51">
        <f>SUM(EG334:EG334)</f>
        <v>87627</v>
      </c>
      <c r="EH333" s="51"/>
      <c r="EI333" s="51"/>
      <c r="EJ333" s="144"/>
      <c r="EK333" s="51"/>
      <c r="EL333" s="51">
        <f>SUM(EL334:EL334)</f>
        <v>883746</v>
      </c>
      <c r="EM333" s="51"/>
      <c r="EN333" s="51"/>
      <c r="EO333" s="340"/>
      <c r="ER333" s="39"/>
      <c r="ES333" s="39"/>
    </row>
    <row r="334" spans="1:149" ht="12.75" customHeight="1" x14ac:dyDescent="0.2">
      <c r="A334" s="317"/>
      <c r="B334" s="317"/>
      <c r="D334" s="340" t="s">
        <v>183</v>
      </c>
      <c r="F334" s="434"/>
      <c r="G334" s="467">
        <v>95339</v>
      </c>
      <c r="H334" s="436"/>
      <c r="I334" s="51"/>
      <c r="J334" s="144"/>
      <c r="K334" s="437"/>
      <c r="L334" s="467">
        <v>0</v>
      </c>
      <c r="M334" s="436"/>
      <c r="N334" s="51"/>
      <c r="O334" s="144"/>
      <c r="P334" s="437"/>
      <c r="Q334" s="467">
        <v>0</v>
      </c>
      <c r="R334" s="436"/>
      <c r="S334" s="51"/>
      <c r="T334" s="144"/>
      <c r="U334" s="437"/>
      <c r="V334" s="467">
        <v>0</v>
      </c>
      <c r="W334" s="436"/>
      <c r="X334" s="50"/>
      <c r="Y334" s="144"/>
      <c r="Z334" s="437"/>
      <c r="AA334" s="467">
        <v>95339</v>
      </c>
      <c r="AB334" s="436"/>
      <c r="AC334" s="47"/>
      <c r="AD334" s="144"/>
      <c r="AE334" s="437"/>
      <c r="AF334" s="467">
        <v>0</v>
      </c>
      <c r="AG334" s="436"/>
      <c r="AH334" s="51"/>
      <c r="AI334" s="144"/>
      <c r="AJ334" s="437"/>
      <c r="AK334" s="467">
        <v>0</v>
      </c>
      <c r="AL334" s="436"/>
      <c r="AM334" s="51"/>
      <c r="AN334" s="144"/>
      <c r="AO334" s="437"/>
      <c r="AP334" s="467">
        <v>0</v>
      </c>
      <c r="AQ334" s="436"/>
      <c r="AR334" s="51"/>
      <c r="AS334" s="144"/>
      <c r="AT334" s="437"/>
      <c r="AU334" s="467">
        <v>0</v>
      </c>
      <c r="AV334" s="436"/>
      <c r="AW334" s="51"/>
      <c r="AX334" s="144"/>
      <c r="AY334" s="437"/>
      <c r="AZ334" s="467">
        <v>0</v>
      </c>
      <c r="BA334" s="436"/>
      <c r="BB334" s="51"/>
      <c r="BC334" s="144"/>
      <c r="BD334" s="437"/>
      <c r="BE334" s="467">
        <v>0</v>
      </c>
      <c r="BF334" s="436"/>
      <c r="BG334" s="51"/>
      <c r="BH334" s="144"/>
      <c r="BI334" s="437"/>
      <c r="BJ334" s="467">
        <v>0</v>
      </c>
      <c r="BK334" s="436"/>
      <c r="BL334" s="51"/>
      <c r="BM334" s="144"/>
      <c r="BN334" s="437"/>
      <c r="BO334" s="467">
        <v>0</v>
      </c>
      <c r="BP334" s="436"/>
      <c r="BQ334" s="51"/>
      <c r="BR334" s="144"/>
      <c r="BS334" s="434"/>
      <c r="BT334" s="467">
        <f>SUM(L334:BO334)</f>
        <v>95339</v>
      </c>
      <c r="BU334" s="436"/>
      <c r="BV334" s="51"/>
      <c r="BW334" s="47"/>
      <c r="BX334" s="434"/>
      <c r="BY334" s="467">
        <v>1390857</v>
      </c>
      <c r="BZ334" s="436"/>
      <c r="CA334" s="51"/>
      <c r="CB334" s="144"/>
      <c r="CC334" s="437"/>
      <c r="CD334" s="438">
        <v>0</v>
      </c>
      <c r="CE334" s="436"/>
      <c r="CF334" s="51"/>
      <c r="CG334" s="144"/>
      <c r="CH334" s="437"/>
      <c r="CI334" s="438">
        <v>0</v>
      </c>
      <c r="CJ334" s="436"/>
      <c r="CK334" s="51"/>
      <c r="CL334" s="144"/>
      <c r="CM334" s="437"/>
      <c r="CN334" s="438">
        <v>743035</v>
      </c>
      <c r="CO334" s="436"/>
      <c r="CP334" s="51"/>
      <c r="CQ334" s="144"/>
      <c r="CR334" s="437"/>
      <c r="CS334" s="438">
        <v>113087</v>
      </c>
      <c r="CT334" s="436"/>
      <c r="CU334" s="51"/>
      <c r="CV334" s="144"/>
      <c r="CW334" s="437"/>
      <c r="CX334" s="438">
        <v>0</v>
      </c>
      <c r="CY334" s="436"/>
      <c r="CZ334" s="51"/>
      <c r="DA334" s="144"/>
      <c r="DB334" s="437"/>
      <c r="DC334" s="438">
        <v>27624</v>
      </c>
      <c r="DD334" s="436"/>
      <c r="DE334" s="51"/>
      <c r="DF334" s="144"/>
      <c r="DG334" s="437"/>
      <c r="DH334" s="438">
        <v>0</v>
      </c>
      <c r="DI334" s="436"/>
      <c r="DJ334" s="51"/>
      <c r="DK334" s="144"/>
      <c r="DL334" s="437"/>
      <c r="DM334" s="438">
        <v>171068</v>
      </c>
      <c r="DN334" s="436"/>
      <c r="DO334" s="51"/>
      <c r="DP334" s="144"/>
      <c r="DQ334" s="437"/>
      <c r="DR334" s="438">
        <v>0</v>
      </c>
      <c r="DS334" s="436"/>
      <c r="DT334" s="51"/>
      <c r="DU334" s="144"/>
      <c r="DV334" s="437"/>
      <c r="DW334" s="438">
        <v>0</v>
      </c>
      <c r="DX334" s="436"/>
      <c r="DY334" s="51"/>
      <c r="DZ334" s="144"/>
      <c r="EA334" s="437"/>
      <c r="EB334" s="438">
        <v>248416</v>
      </c>
      <c r="EC334" s="436"/>
      <c r="ED334" s="51"/>
      <c r="EE334" s="144"/>
      <c r="EF334" s="437"/>
      <c r="EG334" s="438">
        <v>87627</v>
      </c>
      <c r="EH334" s="436"/>
      <c r="EI334" s="51"/>
      <c r="EJ334" s="144"/>
      <c r="EK334" s="437"/>
      <c r="EL334" s="467">
        <f>SUM(CD334:DH334)</f>
        <v>883746</v>
      </c>
      <c r="EM334" s="436"/>
      <c r="EN334" s="468"/>
      <c r="EO334" s="340"/>
      <c r="ER334" s="39"/>
      <c r="ES334" s="39"/>
    </row>
    <row r="335" spans="1:149" ht="12.75" customHeight="1" x14ac:dyDescent="0.2">
      <c r="A335" s="317"/>
      <c r="B335" s="317"/>
      <c r="D335" s="340"/>
      <c r="F335" s="317"/>
      <c r="G335" s="51"/>
      <c r="H335" s="51"/>
      <c r="I335" s="51"/>
      <c r="J335" s="144"/>
      <c r="K335" s="51"/>
      <c r="L335" s="51"/>
      <c r="M335" s="51"/>
      <c r="N335" s="51"/>
      <c r="O335" s="144"/>
      <c r="P335" s="51"/>
      <c r="Q335" s="51"/>
      <c r="R335" s="51"/>
      <c r="S335" s="51"/>
      <c r="T335" s="144"/>
      <c r="U335" s="51"/>
      <c r="V335" s="51"/>
      <c r="W335" s="51"/>
      <c r="X335" s="51"/>
      <c r="Y335" s="144"/>
      <c r="Z335" s="51"/>
      <c r="AA335" s="51"/>
      <c r="AB335" s="51"/>
      <c r="AC335" s="51"/>
      <c r="AD335" s="144"/>
      <c r="AE335" s="51"/>
      <c r="AF335" s="51"/>
      <c r="AG335" s="51"/>
      <c r="AH335" s="51"/>
      <c r="AI335" s="144"/>
      <c r="AJ335" s="51"/>
      <c r="AK335" s="51"/>
      <c r="AL335" s="51"/>
      <c r="AM335" s="51"/>
      <c r="AN335" s="144"/>
      <c r="AO335" s="51"/>
      <c r="AP335" s="51"/>
      <c r="AQ335" s="51"/>
      <c r="AR335" s="51"/>
      <c r="AS335" s="144"/>
      <c r="AT335" s="51"/>
      <c r="AU335" s="51"/>
      <c r="AV335" s="51"/>
      <c r="AW335" s="51"/>
      <c r="AX335" s="144"/>
      <c r="AY335" s="51"/>
      <c r="AZ335" s="51"/>
      <c r="BA335" s="51"/>
      <c r="BB335" s="51"/>
      <c r="BC335" s="144"/>
      <c r="BD335" s="51"/>
      <c r="BE335" s="51"/>
      <c r="BF335" s="51"/>
      <c r="BG335" s="51"/>
      <c r="BH335" s="144"/>
      <c r="BI335" s="51"/>
      <c r="BJ335" s="51"/>
      <c r="BK335" s="51"/>
      <c r="BL335" s="51"/>
      <c r="BM335" s="144"/>
      <c r="BN335" s="51"/>
      <c r="BO335" s="51"/>
      <c r="BP335" s="51"/>
      <c r="BQ335" s="51"/>
      <c r="BR335" s="144"/>
      <c r="BS335" s="51"/>
      <c r="BT335" s="51"/>
      <c r="BU335" s="51"/>
      <c r="BV335" s="51"/>
      <c r="BW335" s="144"/>
      <c r="BX335" s="51"/>
      <c r="BY335" s="51"/>
      <c r="BZ335" s="51"/>
      <c r="CA335" s="51"/>
      <c r="CB335" s="144"/>
      <c r="CC335" s="51"/>
      <c r="CD335" s="465"/>
      <c r="CE335" s="465"/>
      <c r="CF335" s="465"/>
      <c r="CG335" s="466"/>
      <c r="CH335" s="465"/>
      <c r="CI335" s="465"/>
      <c r="CJ335" s="465"/>
      <c r="CK335" s="465"/>
      <c r="CL335" s="466"/>
      <c r="CM335" s="465"/>
      <c r="CN335" s="465"/>
      <c r="CO335" s="465"/>
      <c r="CP335" s="465"/>
      <c r="CQ335" s="466"/>
      <c r="CR335" s="465"/>
      <c r="CS335" s="465"/>
      <c r="CT335" s="465"/>
      <c r="CU335" s="465"/>
      <c r="CV335" s="466"/>
      <c r="CW335" s="465"/>
      <c r="CX335" s="465"/>
      <c r="CY335" s="465"/>
      <c r="CZ335" s="465"/>
      <c r="DA335" s="466"/>
      <c r="DB335" s="465"/>
      <c r="DC335" s="465"/>
      <c r="DD335" s="465"/>
      <c r="DE335" s="465"/>
      <c r="DF335" s="466"/>
      <c r="DG335" s="465"/>
      <c r="DH335" s="465"/>
      <c r="DI335" s="465"/>
      <c r="DJ335" s="465"/>
      <c r="DK335" s="466"/>
      <c r="DL335" s="465"/>
      <c r="DM335" s="465"/>
      <c r="DN335" s="465"/>
      <c r="DO335" s="465"/>
      <c r="DP335" s="466"/>
      <c r="DQ335" s="465"/>
      <c r="DR335" s="465"/>
      <c r="DS335" s="465"/>
      <c r="DT335" s="465"/>
      <c r="DU335" s="466"/>
      <c r="DV335" s="465"/>
      <c r="DW335" s="465"/>
      <c r="DX335" s="465"/>
      <c r="DY335" s="465"/>
      <c r="DZ335" s="466"/>
      <c r="EA335" s="465"/>
      <c r="EB335" s="465"/>
      <c r="EC335" s="465"/>
      <c r="ED335" s="465"/>
      <c r="EE335" s="466"/>
      <c r="EF335" s="465"/>
      <c r="EG335" s="465"/>
      <c r="EH335" s="51"/>
      <c r="EI335" s="51"/>
      <c r="EJ335" s="144"/>
      <c r="EK335" s="51"/>
      <c r="EL335" s="51"/>
      <c r="EM335" s="51"/>
      <c r="EN335" s="51"/>
      <c r="EO335" s="340"/>
      <c r="ER335" s="39"/>
      <c r="ES335" s="39"/>
    </row>
    <row r="336" spans="1:149" x14ac:dyDescent="0.2">
      <c r="A336" s="317"/>
      <c r="B336" s="317"/>
      <c r="D336" s="340" t="s">
        <v>192</v>
      </c>
      <c r="F336" s="317"/>
      <c r="G336" s="51">
        <f>SUM(G337:G337)</f>
        <v>161641</v>
      </c>
      <c r="H336" s="51"/>
      <c r="I336" s="51"/>
      <c r="J336" s="144"/>
      <c r="K336" s="51"/>
      <c r="L336" s="51">
        <f>SUM(L337:L337)</f>
        <v>161641</v>
      </c>
      <c r="M336" s="51"/>
      <c r="N336" s="51"/>
      <c r="O336" s="144"/>
      <c r="P336" s="51"/>
      <c r="Q336" s="51">
        <f>SUM(Q337:Q337)</f>
        <v>0</v>
      </c>
      <c r="R336" s="51"/>
      <c r="S336" s="51"/>
      <c r="T336" s="144"/>
      <c r="U336" s="51"/>
      <c r="V336" s="51">
        <f>SUM(V337:V337)</f>
        <v>0</v>
      </c>
      <c r="W336" s="51"/>
      <c r="X336" s="51"/>
      <c r="Y336" s="144"/>
      <c r="Z336" s="51"/>
      <c r="AA336" s="51">
        <f>SUM(AA337:AA337)</f>
        <v>0</v>
      </c>
      <c r="AB336" s="51"/>
      <c r="AC336" s="51"/>
      <c r="AD336" s="144"/>
      <c r="AE336" s="51"/>
      <c r="AF336" s="51">
        <f>SUM(AF337:AF337)</f>
        <v>0</v>
      </c>
      <c r="AG336" s="51"/>
      <c r="AH336" s="51"/>
      <c r="AI336" s="144"/>
      <c r="AJ336" s="51"/>
      <c r="AK336" s="51">
        <f>SUM(AK337:AK337)</f>
        <v>0</v>
      </c>
      <c r="AL336" s="51"/>
      <c r="AM336" s="51"/>
      <c r="AN336" s="144"/>
      <c r="AO336" s="51"/>
      <c r="AP336" s="51">
        <f>SUM(AP337:AP337)</f>
        <v>281536</v>
      </c>
      <c r="AQ336" s="51"/>
      <c r="AR336" s="51"/>
      <c r="AS336" s="144"/>
      <c r="AT336" s="51"/>
      <c r="AU336" s="51">
        <f>SUM(AU337:AU337)</f>
        <v>0</v>
      </c>
      <c r="AV336" s="51"/>
      <c r="AW336" s="51"/>
      <c r="AX336" s="144"/>
      <c r="AY336" s="51"/>
      <c r="AZ336" s="51">
        <f>SUM(AZ337:AZ337)</f>
        <v>0</v>
      </c>
      <c r="BA336" s="51"/>
      <c r="BB336" s="51"/>
      <c r="BC336" s="144"/>
      <c r="BD336" s="51"/>
      <c r="BE336" s="51">
        <f>SUM(BE337:BE337)</f>
        <v>0</v>
      </c>
      <c r="BF336" s="51"/>
      <c r="BG336" s="51"/>
      <c r="BH336" s="144"/>
      <c r="BI336" s="51"/>
      <c r="BJ336" s="51">
        <f>SUM(BJ337:BJ337)</f>
        <v>0</v>
      </c>
      <c r="BK336" s="51"/>
      <c r="BL336" s="51"/>
      <c r="BM336" s="144"/>
      <c r="BN336" s="51"/>
      <c r="BO336" s="51">
        <f>SUM(BO337:BO337)</f>
        <v>0</v>
      </c>
      <c r="BP336" s="51"/>
      <c r="BQ336" s="51"/>
      <c r="BR336" s="144"/>
      <c r="BS336" s="51"/>
      <c r="BT336" s="51">
        <f>SUM(BT337:BT337)</f>
        <v>443177</v>
      </c>
      <c r="BU336" s="51"/>
      <c r="BV336" s="51"/>
      <c r="BW336" s="144"/>
      <c r="BX336" s="51"/>
      <c r="BY336" s="51">
        <f>SUM(BY337:BY337)</f>
        <v>482070</v>
      </c>
      <c r="BZ336" s="51"/>
      <c r="CA336" s="51"/>
      <c r="CB336" s="144"/>
      <c r="CC336" s="51"/>
      <c r="CD336" s="51">
        <f>SUM(CD337:CD337)</f>
        <v>0</v>
      </c>
      <c r="CE336" s="51"/>
      <c r="CF336" s="51"/>
      <c r="CG336" s="144"/>
      <c r="CH336" s="51"/>
      <c r="CI336" s="51">
        <f>SUM(CI337:CI337)</f>
        <v>0</v>
      </c>
      <c r="CJ336" s="51"/>
      <c r="CK336" s="51"/>
      <c r="CL336" s="144"/>
      <c r="CM336" s="51"/>
      <c r="CN336" s="51">
        <f>SUM(CN337:CN337)</f>
        <v>0</v>
      </c>
      <c r="CO336" s="51"/>
      <c r="CP336" s="51"/>
      <c r="CQ336" s="144"/>
      <c r="CR336" s="51"/>
      <c r="CS336" s="51">
        <f>SUM(CS337:CS337)</f>
        <v>0</v>
      </c>
      <c r="CT336" s="51"/>
      <c r="CU336" s="51"/>
      <c r="CV336" s="144"/>
      <c r="CW336" s="51"/>
      <c r="CX336" s="51">
        <f>SUM(CX337:CX337)</f>
        <v>0</v>
      </c>
      <c r="CY336" s="51"/>
      <c r="CZ336" s="51"/>
      <c r="DA336" s="144"/>
      <c r="DB336" s="51"/>
      <c r="DC336" s="51">
        <f>SUM(DC337:DC337)</f>
        <v>0</v>
      </c>
      <c r="DD336" s="51"/>
      <c r="DE336" s="51"/>
      <c r="DF336" s="144"/>
      <c r="DG336" s="51"/>
      <c r="DH336" s="51">
        <f>SUM(DH337:DH337)</f>
        <v>425997</v>
      </c>
      <c r="DI336" s="51"/>
      <c r="DJ336" s="51"/>
      <c r="DK336" s="144"/>
      <c r="DL336" s="51"/>
      <c r="DM336" s="51">
        <f>SUM(DM337:DM337)</f>
        <v>0</v>
      </c>
      <c r="DN336" s="51"/>
      <c r="DO336" s="51"/>
      <c r="DP336" s="144"/>
      <c r="DQ336" s="51"/>
      <c r="DR336" s="51">
        <f>SUM(DR337:DR337)</f>
        <v>0</v>
      </c>
      <c r="DS336" s="51"/>
      <c r="DT336" s="51"/>
      <c r="DU336" s="144"/>
      <c r="DV336" s="51"/>
      <c r="DW336" s="51">
        <f>SUM(DW337:DW337)</f>
        <v>0</v>
      </c>
      <c r="DX336" s="51"/>
      <c r="DY336" s="51"/>
      <c r="DZ336" s="144"/>
      <c r="EA336" s="51"/>
      <c r="EB336" s="51">
        <f>SUM(EB337:EB337)</f>
        <v>56073</v>
      </c>
      <c r="EC336" s="51"/>
      <c r="ED336" s="51"/>
      <c r="EE336" s="144"/>
      <c r="EF336" s="51"/>
      <c r="EG336" s="51">
        <f>SUM(EG337:EG337)</f>
        <v>0</v>
      </c>
      <c r="EH336" s="51"/>
      <c r="EI336" s="51"/>
      <c r="EJ336" s="144"/>
      <c r="EK336" s="51"/>
      <c r="EL336" s="51">
        <f>SUM(EL337:EL337)</f>
        <v>425997</v>
      </c>
      <c r="EM336" s="51"/>
      <c r="EN336" s="51"/>
      <c r="EO336" s="340"/>
      <c r="ER336" s="39"/>
      <c r="ES336" s="39"/>
    </row>
    <row r="337" spans="1:149" x14ac:dyDescent="0.2">
      <c r="A337" s="317"/>
      <c r="B337" s="317"/>
      <c r="D337" s="340" t="s">
        <v>183</v>
      </c>
      <c r="F337" s="434"/>
      <c r="G337" s="467">
        <v>161641</v>
      </c>
      <c r="H337" s="436"/>
      <c r="I337" s="51"/>
      <c r="J337" s="144"/>
      <c r="K337" s="437"/>
      <c r="L337" s="467">
        <v>161641</v>
      </c>
      <c r="M337" s="436"/>
      <c r="N337" s="51"/>
      <c r="O337" s="144"/>
      <c r="P337" s="437"/>
      <c r="Q337" s="467">
        <v>0</v>
      </c>
      <c r="R337" s="436"/>
      <c r="S337" s="51"/>
      <c r="T337" s="144"/>
      <c r="U337" s="437"/>
      <c r="V337" s="467">
        <v>0</v>
      </c>
      <c r="W337" s="436"/>
      <c r="X337" s="50"/>
      <c r="Y337" s="144"/>
      <c r="Z337" s="437"/>
      <c r="AA337" s="467">
        <v>0</v>
      </c>
      <c r="AB337" s="436"/>
      <c r="AC337" s="47"/>
      <c r="AD337" s="144"/>
      <c r="AE337" s="437"/>
      <c r="AF337" s="467">
        <v>0</v>
      </c>
      <c r="AG337" s="436"/>
      <c r="AH337" s="51"/>
      <c r="AI337" s="144"/>
      <c r="AJ337" s="437"/>
      <c r="AK337" s="467">
        <v>0</v>
      </c>
      <c r="AL337" s="436"/>
      <c r="AM337" s="51"/>
      <c r="AN337" s="144"/>
      <c r="AO337" s="437"/>
      <c r="AP337" s="467">
        <v>281536</v>
      </c>
      <c r="AQ337" s="436"/>
      <c r="AR337" s="51"/>
      <c r="AS337" s="144"/>
      <c r="AT337" s="437"/>
      <c r="AU337" s="467">
        <v>0</v>
      </c>
      <c r="AV337" s="436"/>
      <c r="AW337" s="51"/>
      <c r="AX337" s="144"/>
      <c r="AY337" s="437"/>
      <c r="AZ337" s="467">
        <v>0</v>
      </c>
      <c r="BA337" s="436"/>
      <c r="BB337" s="51"/>
      <c r="BC337" s="144"/>
      <c r="BD337" s="437"/>
      <c r="BE337" s="467">
        <v>0</v>
      </c>
      <c r="BF337" s="436"/>
      <c r="BG337" s="51"/>
      <c r="BH337" s="144"/>
      <c r="BI337" s="437"/>
      <c r="BJ337" s="467">
        <v>0</v>
      </c>
      <c r="BK337" s="436"/>
      <c r="BL337" s="51"/>
      <c r="BM337" s="144"/>
      <c r="BN337" s="437"/>
      <c r="BO337" s="467">
        <v>0</v>
      </c>
      <c r="BP337" s="436"/>
      <c r="BQ337" s="51"/>
      <c r="BR337" s="144"/>
      <c r="BS337" s="434">
        <v>54207</v>
      </c>
      <c r="BT337" s="467">
        <f>SUM(L337:BO337)</f>
        <v>443177</v>
      </c>
      <c r="BU337" s="436">
        <v>0</v>
      </c>
      <c r="BV337" s="51"/>
      <c r="BW337" s="47"/>
      <c r="BX337" s="434"/>
      <c r="BY337" s="467">
        <v>482070</v>
      </c>
      <c r="BZ337" s="436"/>
      <c r="CA337" s="51"/>
      <c r="CB337" s="144"/>
      <c r="CC337" s="437"/>
      <c r="CD337" s="438">
        <v>0</v>
      </c>
      <c r="CE337" s="436"/>
      <c r="CF337" s="51"/>
      <c r="CG337" s="144"/>
      <c r="CH337" s="437"/>
      <c r="CI337" s="438">
        <v>0</v>
      </c>
      <c r="CJ337" s="436"/>
      <c r="CK337" s="51"/>
      <c r="CL337" s="144"/>
      <c r="CM337" s="437"/>
      <c r="CN337" s="438">
        <v>0</v>
      </c>
      <c r="CO337" s="436"/>
      <c r="CP337" s="51"/>
      <c r="CQ337" s="144"/>
      <c r="CR337" s="437"/>
      <c r="CS337" s="438">
        <v>0</v>
      </c>
      <c r="CT337" s="436"/>
      <c r="CU337" s="51"/>
      <c r="CV337" s="144"/>
      <c r="CW337" s="437"/>
      <c r="CX337" s="438">
        <v>0</v>
      </c>
      <c r="CY337" s="436"/>
      <c r="CZ337" s="51"/>
      <c r="DA337" s="144"/>
      <c r="DB337" s="437"/>
      <c r="DC337" s="438">
        <v>0</v>
      </c>
      <c r="DD337" s="436"/>
      <c r="DE337" s="51"/>
      <c r="DF337" s="144"/>
      <c r="DG337" s="437"/>
      <c r="DH337" s="438">
        <v>425997</v>
      </c>
      <c r="DI337" s="436"/>
      <c r="DJ337" s="51"/>
      <c r="DK337" s="144"/>
      <c r="DL337" s="437"/>
      <c r="DM337" s="438">
        <v>0</v>
      </c>
      <c r="DN337" s="436"/>
      <c r="DO337" s="51"/>
      <c r="DP337" s="144"/>
      <c r="DQ337" s="437"/>
      <c r="DR337" s="438">
        <v>0</v>
      </c>
      <c r="DS337" s="436"/>
      <c r="DT337" s="51"/>
      <c r="DU337" s="144"/>
      <c r="DV337" s="437"/>
      <c r="DW337" s="438">
        <v>0</v>
      </c>
      <c r="DX337" s="436"/>
      <c r="DY337" s="51"/>
      <c r="DZ337" s="144"/>
      <c r="EA337" s="437"/>
      <c r="EB337" s="438">
        <v>56073</v>
      </c>
      <c r="EC337" s="436"/>
      <c r="ED337" s="51"/>
      <c r="EE337" s="144"/>
      <c r="EF337" s="437"/>
      <c r="EG337" s="438">
        <v>0</v>
      </c>
      <c r="EH337" s="436">
        <v>0</v>
      </c>
      <c r="EI337" s="51"/>
      <c r="EJ337" s="144"/>
      <c r="EK337" s="437">
        <v>54207</v>
      </c>
      <c r="EL337" s="467">
        <f>SUM(CD337:DH337)</f>
        <v>425997</v>
      </c>
      <c r="EM337" s="436">
        <v>0</v>
      </c>
      <c r="EN337" s="468"/>
      <c r="EO337" s="340"/>
      <c r="ER337" s="39"/>
      <c r="ES337" s="39"/>
    </row>
    <row r="338" spans="1:149" x14ac:dyDescent="0.2">
      <c r="A338" s="317"/>
      <c r="B338" s="317"/>
      <c r="D338" s="340"/>
      <c r="F338" s="317"/>
      <c r="G338" s="51"/>
      <c r="H338" s="51"/>
      <c r="I338" s="51"/>
      <c r="J338" s="144"/>
      <c r="K338" s="51"/>
      <c r="L338" s="51"/>
      <c r="M338" s="51"/>
      <c r="N338" s="51"/>
      <c r="O338" s="144"/>
      <c r="P338" s="51"/>
      <c r="Q338" s="51"/>
      <c r="R338" s="51"/>
      <c r="S338" s="51"/>
      <c r="T338" s="144"/>
      <c r="U338" s="51"/>
      <c r="V338" s="51"/>
      <c r="W338" s="51"/>
      <c r="X338" s="51"/>
      <c r="Y338" s="144"/>
      <c r="Z338" s="51"/>
      <c r="AA338" s="51"/>
      <c r="AB338" s="51"/>
      <c r="AC338" s="51"/>
      <c r="AD338" s="144"/>
      <c r="AE338" s="51"/>
      <c r="AF338" s="51"/>
      <c r="AG338" s="51"/>
      <c r="AH338" s="51"/>
      <c r="AI338" s="144"/>
      <c r="AJ338" s="51"/>
      <c r="AK338" s="51"/>
      <c r="AL338" s="51"/>
      <c r="AM338" s="51"/>
      <c r="AN338" s="144"/>
      <c r="AO338" s="51"/>
      <c r="AP338" s="51"/>
      <c r="AQ338" s="51"/>
      <c r="AR338" s="51"/>
      <c r="AS338" s="144"/>
      <c r="AT338" s="51"/>
      <c r="AU338" s="51"/>
      <c r="AV338" s="51"/>
      <c r="AW338" s="51"/>
      <c r="AX338" s="144"/>
      <c r="AY338" s="51"/>
      <c r="AZ338" s="51"/>
      <c r="BA338" s="51"/>
      <c r="BB338" s="51"/>
      <c r="BC338" s="144"/>
      <c r="BD338" s="51"/>
      <c r="BE338" s="51"/>
      <c r="BF338" s="51"/>
      <c r="BG338" s="51"/>
      <c r="BH338" s="144"/>
      <c r="BI338" s="51"/>
      <c r="BJ338" s="51"/>
      <c r="BK338" s="51"/>
      <c r="BL338" s="51"/>
      <c r="BM338" s="144"/>
      <c r="BN338" s="51"/>
      <c r="BO338" s="51"/>
      <c r="BP338" s="51"/>
      <c r="BQ338" s="51"/>
      <c r="BR338" s="144"/>
      <c r="BS338" s="51"/>
      <c r="BT338" s="51"/>
      <c r="BU338" s="51"/>
      <c r="BV338" s="51"/>
      <c r="BW338" s="144"/>
      <c r="BX338" s="51"/>
      <c r="BY338" s="51"/>
      <c r="BZ338" s="51"/>
      <c r="CA338" s="51"/>
      <c r="CB338" s="144"/>
      <c r="CC338" s="51"/>
      <c r="CD338" s="51"/>
      <c r="CE338" s="51"/>
      <c r="CF338" s="51"/>
      <c r="CG338" s="144"/>
      <c r="CH338" s="51"/>
      <c r="CI338" s="51"/>
      <c r="CJ338" s="51"/>
      <c r="CK338" s="51"/>
      <c r="CL338" s="144"/>
      <c r="CM338" s="51"/>
      <c r="CN338" s="51"/>
      <c r="CO338" s="51"/>
      <c r="CP338" s="51"/>
      <c r="CQ338" s="144"/>
      <c r="CR338" s="51"/>
      <c r="CS338" s="51"/>
      <c r="CT338" s="51"/>
      <c r="CU338" s="51"/>
      <c r="CV338" s="144"/>
      <c r="CW338" s="51"/>
      <c r="CX338" s="51"/>
      <c r="CY338" s="51"/>
      <c r="CZ338" s="51"/>
      <c r="DA338" s="144"/>
      <c r="DB338" s="51"/>
      <c r="DC338" s="51"/>
      <c r="DD338" s="51"/>
      <c r="DE338" s="51"/>
      <c r="DF338" s="144"/>
      <c r="DG338" s="51"/>
      <c r="DH338" s="51"/>
      <c r="DI338" s="51"/>
      <c r="DJ338" s="51"/>
      <c r="DK338" s="144"/>
      <c r="DL338" s="51"/>
      <c r="DM338" s="51"/>
      <c r="DN338" s="51"/>
      <c r="DO338" s="51"/>
      <c r="DP338" s="144"/>
      <c r="DQ338" s="51"/>
      <c r="DR338" s="51"/>
      <c r="DS338" s="51"/>
      <c r="DT338" s="51"/>
      <c r="DU338" s="144"/>
      <c r="DV338" s="51"/>
      <c r="DW338" s="51"/>
      <c r="DX338" s="51"/>
      <c r="DY338" s="51"/>
      <c r="DZ338" s="144"/>
      <c r="EA338" s="51"/>
      <c r="EB338" s="51"/>
      <c r="EC338" s="51"/>
      <c r="ED338" s="51"/>
      <c r="EE338" s="144"/>
      <c r="EF338" s="51"/>
      <c r="EG338" s="51"/>
      <c r="EH338" s="51"/>
      <c r="EI338" s="51"/>
      <c r="EJ338" s="144"/>
      <c r="EK338" s="51"/>
      <c r="EL338" s="51"/>
      <c r="EM338" s="51"/>
      <c r="EN338" s="51"/>
      <c r="EO338" s="340"/>
      <c r="ER338" s="39"/>
      <c r="ES338" s="39"/>
    </row>
    <row r="339" spans="1:149" ht="12.75" hidden="1" customHeight="1" x14ac:dyDescent="0.2">
      <c r="A339" s="317"/>
      <c r="B339" s="317"/>
      <c r="D339" s="340" t="s">
        <v>193</v>
      </c>
      <c r="F339" s="317"/>
      <c r="G339" s="51">
        <f>SUM(G340:G340)</f>
        <v>0</v>
      </c>
      <c r="H339" s="51"/>
      <c r="I339" s="51"/>
      <c r="J339" s="144"/>
      <c r="K339" s="51"/>
      <c r="L339" s="51">
        <f>SUM(L340:L340)</f>
        <v>0</v>
      </c>
      <c r="M339" s="51"/>
      <c r="N339" s="51"/>
      <c r="O339" s="144"/>
      <c r="P339" s="51"/>
      <c r="Q339" s="51">
        <f>SUM(Q340:Q340)</f>
        <v>0</v>
      </c>
      <c r="R339" s="51"/>
      <c r="S339" s="51"/>
      <c r="T339" s="144"/>
      <c r="U339" s="51"/>
      <c r="V339" s="51">
        <f>SUM(V340:V340)</f>
        <v>0</v>
      </c>
      <c r="W339" s="51"/>
      <c r="X339" s="51"/>
      <c r="Y339" s="144"/>
      <c r="Z339" s="51"/>
      <c r="AA339" s="51">
        <f>SUM(AA340:AA340)</f>
        <v>0</v>
      </c>
      <c r="AB339" s="51"/>
      <c r="AC339" s="51"/>
      <c r="AD339" s="144"/>
      <c r="AE339" s="51"/>
      <c r="AF339" s="51">
        <f>SUM(AF340:AF340)</f>
        <v>0</v>
      </c>
      <c r="AG339" s="51"/>
      <c r="AH339" s="51"/>
      <c r="AI339" s="144"/>
      <c r="AJ339" s="51"/>
      <c r="AK339" s="51">
        <f>SUM(AK340:AK340)</f>
        <v>0</v>
      </c>
      <c r="AL339" s="51"/>
      <c r="AM339" s="51"/>
      <c r="AN339" s="144"/>
      <c r="AO339" s="51"/>
      <c r="AP339" s="51">
        <f>SUM(AP340:AP340)</f>
        <v>0</v>
      </c>
      <c r="AQ339" s="51"/>
      <c r="AR339" s="51"/>
      <c r="AS339" s="144"/>
      <c r="AT339" s="51"/>
      <c r="AU339" s="51">
        <f>SUM(AU340:AU340)</f>
        <v>0</v>
      </c>
      <c r="AV339" s="51"/>
      <c r="AW339" s="51"/>
      <c r="AX339" s="144"/>
      <c r="AY339" s="51"/>
      <c r="AZ339" s="51">
        <f>SUM(AZ340:AZ340)</f>
        <v>0</v>
      </c>
      <c r="BA339" s="51"/>
      <c r="BB339" s="51"/>
      <c r="BC339" s="144"/>
      <c r="BD339" s="51"/>
      <c r="BE339" s="51">
        <f>SUM(BE340:BE340)</f>
        <v>0</v>
      </c>
      <c r="BF339" s="51"/>
      <c r="BG339" s="51"/>
      <c r="BH339" s="144"/>
      <c r="BI339" s="51"/>
      <c r="BJ339" s="51">
        <f>SUM(BJ340:BJ340)</f>
        <v>0</v>
      </c>
      <c r="BK339" s="51"/>
      <c r="BL339" s="51"/>
      <c r="BM339" s="144"/>
      <c r="BN339" s="51"/>
      <c r="BO339" s="51">
        <f>SUM(BO340:BO340)</f>
        <v>0</v>
      </c>
      <c r="BP339" s="51"/>
      <c r="BQ339" s="51"/>
      <c r="BR339" s="144"/>
      <c r="BS339" s="51"/>
      <c r="BT339" s="51">
        <f>SUM(BT340:BT340)</f>
        <v>0</v>
      </c>
      <c r="BU339" s="51"/>
      <c r="BV339" s="51"/>
      <c r="BW339" s="144"/>
      <c r="BX339" s="51"/>
      <c r="BY339" s="51">
        <f>SUM(BY340:BY340)</f>
        <v>0</v>
      </c>
      <c r="BZ339" s="51"/>
      <c r="CA339" s="51"/>
      <c r="CB339" s="144"/>
      <c r="CC339" s="51"/>
      <c r="CD339" s="317">
        <f>SUM(CD340:CD340)</f>
        <v>0</v>
      </c>
      <c r="CE339" s="51">
        <f>SUM(CE340:CE340)</f>
        <v>0</v>
      </c>
      <c r="CF339" s="51"/>
      <c r="CG339" s="144"/>
      <c r="CH339" s="317"/>
      <c r="CI339" s="317">
        <f>SUM(CI340:CI340)</f>
        <v>0</v>
      </c>
      <c r="CJ339" s="51"/>
      <c r="CK339" s="51"/>
      <c r="CL339" s="144"/>
      <c r="CM339" s="317"/>
      <c r="CN339" s="317">
        <f>SUM(CN340:CN340)</f>
        <v>0</v>
      </c>
      <c r="CO339" s="51"/>
      <c r="CP339" s="51"/>
      <c r="CQ339" s="144"/>
      <c r="CR339" s="317"/>
      <c r="CS339" s="317">
        <f>SUM(CS340:CS340)</f>
        <v>0</v>
      </c>
      <c r="CT339" s="51"/>
      <c r="CU339" s="51"/>
      <c r="CV339" s="144"/>
      <c r="CW339" s="317"/>
      <c r="CX339" s="317">
        <f>SUM(CX340:CX340)</f>
        <v>0</v>
      </c>
      <c r="CY339" s="51"/>
      <c r="CZ339" s="51"/>
      <c r="DA339" s="144"/>
      <c r="DB339" s="317"/>
      <c r="DC339" s="317">
        <f>SUM(DC340:DC340)</f>
        <v>0</v>
      </c>
      <c r="DD339" s="51"/>
      <c r="DE339" s="51"/>
      <c r="DF339" s="144"/>
      <c r="DG339" s="317"/>
      <c r="DH339" s="317">
        <f>SUM(DH340:DH340)</f>
        <v>0</v>
      </c>
      <c r="DI339" s="51"/>
      <c r="DJ339" s="51"/>
      <c r="DK339" s="144"/>
      <c r="DL339" s="317"/>
      <c r="DM339" s="317">
        <f>SUM(DM340:DM340)</f>
        <v>0</v>
      </c>
      <c r="DN339" s="51"/>
      <c r="DO339" s="51"/>
      <c r="DP339" s="144"/>
      <c r="DQ339" s="317"/>
      <c r="DR339" s="317">
        <f>SUM(DR340:DR340)</f>
        <v>0</v>
      </c>
      <c r="DS339" s="51"/>
      <c r="DT339" s="51"/>
      <c r="DU339" s="144"/>
      <c r="DV339" s="317"/>
      <c r="DW339" s="317">
        <f>SUM(DW340:DW340)</f>
        <v>0</v>
      </c>
      <c r="DX339" s="51"/>
      <c r="DY339" s="51"/>
      <c r="DZ339" s="144"/>
      <c r="EA339" s="317"/>
      <c r="EB339" s="317">
        <f>SUM(EB340:EB340)</f>
        <v>0</v>
      </c>
      <c r="EC339" s="51"/>
      <c r="ED339" s="51"/>
      <c r="EE339" s="144"/>
      <c r="EF339" s="317"/>
      <c r="EG339" s="51">
        <f>SUM(EG340:EG340)</f>
        <v>0</v>
      </c>
      <c r="EH339" s="51"/>
      <c r="EI339" s="51"/>
      <c r="EJ339" s="144"/>
      <c r="EK339" s="51"/>
      <c r="EL339" s="51">
        <f>SUM(EL340:EL340)</f>
        <v>0</v>
      </c>
      <c r="EM339" s="51"/>
      <c r="EN339" s="51"/>
      <c r="EO339" s="340"/>
      <c r="ER339" s="39"/>
      <c r="ES339" s="39"/>
    </row>
    <row r="340" spans="1:149" ht="12.75" hidden="1" customHeight="1" x14ac:dyDescent="0.2">
      <c r="A340" s="317"/>
      <c r="B340" s="317"/>
      <c r="D340" s="340" t="s">
        <v>183</v>
      </c>
      <c r="F340" s="434"/>
      <c r="G340" s="438">
        <v>0</v>
      </c>
      <c r="H340" s="436"/>
      <c r="I340" s="51"/>
      <c r="J340" s="144"/>
      <c r="K340" s="437"/>
      <c r="L340" s="438">
        <v>0</v>
      </c>
      <c r="M340" s="436"/>
      <c r="N340" s="51"/>
      <c r="O340" s="144"/>
      <c r="P340" s="437"/>
      <c r="Q340" s="438">
        <v>0</v>
      </c>
      <c r="R340" s="436"/>
      <c r="S340" s="51"/>
      <c r="T340" s="144"/>
      <c r="U340" s="437"/>
      <c r="V340" s="438">
        <v>0</v>
      </c>
      <c r="W340" s="436"/>
      <c r="X340" s="51"/>
      <c r="Y340" s="144"/>
      <c r="Z340" s="437"/>
      <c r="AA340" s="438">
        <v>0</v>
      </c>
      <c r="AB340" s="436"/>
      <c r="AC340" s="51"/>
      <c r="AD340" s="144"/>
      <c r="AE340" s="437"/>
      <c r="AF340" s="438">
        <v>0</v>
      </c>
      <c r="AG340" s="436"/>
      <c r="AH340" s="51"/>
      <c r="AI340" s="144"/>
      <c r="AJ340" s="437"/>
      <c r="AK340" s="438">
        <v>0</v>
      </c>
      <c r="AL340" s="436"/>
      <c r="AM340" s="51"/>
      <c r="AN340" s="144"/>
      <c r="AO340" s="437"/>
      <c r="AP340" s="438">
        <v>0</v>
      </c>
      <c r="AQ340" s="436"/>
      <c r="AR340" s="51"/>
      <c r="AS340" s="144"/>
      <c r="AT340" s="437"/>
      <c r="AU340" s="438">
        <v>0</v>
      </c>
      <c r="AV340" s="436"/>
      <c r="AW340" s="51"/>
      <c r="AX340" s="144"/>
      <c r="AY340" s="437"/>
      <c r="AZ340" s="438">
        <v>0</v>
      </c>
      <c r="BA340" s="436"/>
      <c r="BB340" s="51"/>
      <c r="BC340" s="144"/>
      <c r="BD340" s="437"/>
      <c r="BE340" s="438">
        <v>0</v>
      </c>
      <c r="BF340" s="436"/>
      <c r="BG340" s="51"/>
      <c r="BH340" s="144"/>
      <c r="BI340" s="437"/>
      <c r="BJ340" s="438">
        <v>0</v>
      </c>
      <c r="BK340" s="436"/>
      <c r="BL340" s="51"/>
      <c r="BM340" s="144"/>
      <c r="BN340" s="437"/>
      <c r="BO340" s="438">
        <v>0</v>
      </c>
      <c r="BP340" s="436"/>
      <c r="BQ340" s="51"/>
      <c r="BR340" s="144"/>
      <c r="BS340" s="437"/>
      <c r="BT340" s="438">
        <f>SUM(L340:BO340)</f>
        <v>0</v>
      </c>
      <c r="BU340" s="436"/>
      <c r="BV340" s="51"/>
      <c r="BW340" s="144"/>
      <c r="BX340" s="437"/>
      <c r="BY340" s="438">
        <v>0</v>
      </c>
      <c r="BZ340" s="436"/>
      <c r="CA340" s="51"/>
      <c r="CB340" s="144"/>
      <c r="CC340" s="437"/>
      <c r="CD340" s="438">
        <v>0</v>
      </c>
      <c r="CE340" s="436"/>
      <c r="CF340" s="47"/>
      <c r="CG340" s="144"/>
      <c r="CH340" s="434"/>
      <c r="CI340" s="438">
        <v>0</v>
      </c>
      <c r="CJ340" s="436"/>
      <c r="CK340" s="51"/>
      <c r="CL340" s="144"/>
      <c r="CM340" s="434"/>
      <c r="CN340" s="438">
        <v>0</v>
      </c>
      <c r="CO340" s="436"/>
      <c r="CP340" s="51"/>
      <c r="CQ340" s="144"/>
      <c r="CR340" s="434"/>
      <c r="CS340" s="438">
        <v>0</v>
      </c>
      <c r="CT340" s="436"/>
      <c r="CU340" s="51"/>
      <c r="CV340" s="144"/>
      <c r="CW340" s="434"/>
      <c r="CX340" s="438">
        <v>0</v>
      </c>
      <c r="CY340" s="436"/>
      <c r="CZ340" s="51"/>
      <c r="DA340" s="144"/>
      <c r="DB340" s="434"/>
      <c r="DC340" s="438">
        <v>0</v>
      </c>
      <c r="DD340" s="436"/>
      <c r="DE340" s="51"/>
      <c r="DF340" s="144"/>
      <c r="DG340" s="434"/>
      <c r="DH340" s="438">
        <v>0</v>
      </c>
      <c r="DI340" s="436"/>
      <c r="DJ340" s="51"/>
      <c r="DK340" s="144"/>
      <c r="DL340" s="434"/>
      <c r="DM340" s="438">
        <v>0</v>
      </c>
      <c r="DN340" s="436"/>
      <c r="DO340" s="51"/>
      <c r="DP340" s="144"/>
      <c r="DQ340" s="434"/>
      <c r="DR340" s="438">
        <v>0</v>
      </c>
      <c r="DS340" s="436"/>
      <c r="DT340" s="51"/>
      <c r="DU340" s="144"/>
      <c r="DV340" s="434"/>
      <c r="DW340" s="438">
        <v>0</v>
      </c>
      <c r="DX340" s="436"/>
      <c r="DY340" s="51"/>
      <c r="DZ340" s="144"/>
      <c r="EA340" s="434"/>
      <c r="EB340" s="438">
        <v>0</v>
      </c>
      <c r="EC340" s="436"/>
      <c r="ED340" s="51"/>
      <c r="EE340" s="144"/>
      <c r="EF340" s="434"/>
      <c r="EG340" s="438">
        <v>0</v>
      </c>
      <c r="EH340" s="436"/>
      <c r="EI340" s="51"/>
      <c r="EJ340" s="144"/>
      <c r="EK340" s="437"/>
      <c r="EL340" s="438">
        <f>SUM(CD340:CD340)</f>
        <v>0</v>
      </c>
      <c r="EM340" s="436"/>
      <c r="EN340" s="51"/>
      <c r="EO340" s="340"/>
      <c r="ER340" s="39"/>
      <c r="ES340" s="39"/>
    </row>
    <row r="341" spans="1:149" ht="12.75" hidden="1" customHeight="1" x14ac:dyDescent="0.2">
      <c r="A341" s="317"/>
      <c r="B341" s="317"/>
      <c r="D341" s="340"/>
      <c r="F341" s="317"/>
      <c r="G341" s="51"/>
      <c r="H341" s="51"/>
      <c r="I341" s="51"/>
      <c r="J341" s="144"/>
      <c r="K341" s="51"/>
      <c r="L341" s="51"/>
      <c r="M341" s="51"/>
      <c r="N341" s="51"/>
      <c r="O341" s="144"/>
      <c r="P341" s="51"/>
      <c r="Q341" s="51"/>
      <c r="R341" s="51"/>
      <c r="S341" s="51"/>
      <c r="T341" s="144"/>
      <c r="U341" s="51"/>
      <c r="V341" s="51"/>
      <c r="W341" s="51"/>
      <c r="X341" s="51"/>
      <c r="Y341" s="144"/>
      <c r="Z341" s="51"/>
      <c r="AA341" s="51"/>
      <c r="AB341" s="51"/>
      <c r="AC341" s="51"/>
      <c r="AD341" s="144"/>
      <c r="AE341" s="51"/>
      <c r="AF341" s="51"/>
      <c r="AG341" s="51"/>
      <c r="AH341" s="51"/>
      <c r="AI341" s="144"/>
      <c r="AJ341" s="51"/>
      <c r="AK341" s="51"/>
      <c r="AL341" s="51"/>
      <c r="AM341" s="51"/>
      <c r="AN341" s="144"/>
      <c r="AO341" s="51"/>
      <c r="AP341" s="51"/>
      <c r="AQ341" s="51"/>
      <c r="AR341" s="51"/>
      <c r="AS341" s="144"/>
      <c r="AT341" s="51"/>
      <c r="AU341" s="51"/>
      <c r="AV341" s="51"/>
      <c r="AW341" s="51"/>
      <c r="AX341" s="144"/>
      <c r="AY341" s="51"/>
      <c r="AZ341" s="51"/>
      <c r="BA341" s="51"/>
      <c r="BB341" s="51"/>
      <c r="BC341" s="144"/>
      <c r="BD341" s="51"/>
      <c r="BE341" s="51"/>
      <c r="BF341" s="51"/>
      <c r="BG341" s="51"/>
      <c r="BH341" s="144"/>
      <c r="BI341" s="51"/>
      <c r="BJ341" s="51"/>
      <c r="BK341" s="51"/>
      <c r="BL341" s="51"/>
      <c r="BM341" s="144"/>
      <c r="BN341" s="51"/>
      <c r="BO341" s="51"/>
      <c r="BP341" s="51"/>
      <c r="BQ341" s="51"/>
      <c r="BR341" s="144"/>
      <c r="BS341" s="51"/>
      <c r="BT341" s="51"/>
      <c r="BU341" s="51"/>
      <c r="BV341" s="51"/>
      <c r="BW341" s="144"/>
      <c r="BX341" s="51"/>
      <c r="BY341" s="51"/>
      <c r="BZ341" s="51"/>
      <c r="CA341" s="51"/>
      <c r="CB341" s="144"/>
      <c r="CC341" s="51"/>
      <c r="CD341" s="51"/>
      <c r="CE341" s="51"/>
      <c r="CF341" s="51"/>
      <c r="CG341" s="144"/>
      <c r="CH341" s="51"/>
      <c r="CI341" s="51"/>
      <c r="CJ341" s="51"/>
      <c r="CK341" s="51"/>
      <c r="CL341" s="144"/>
      <c r="CM341" s="51"/>
      <c r="CN341" s="51"/>
      <c r="CO341" s="51"/>
      <c r="CP341" s="51"/>
      <c r="CQ341" s="144"/>
      <c r="CR341" s="51"/>
      <c r="CS341" s="51"/>
      <c r="CT341" s="51"/>
      <c r="CU341" s="51"/>
      <c r="CV341" s="144"/>
      <c r="CW341" s="51"/>
      <c r="CX341" s="51"/>
      <c r="CY341" s="51"/>
      <c r="CZ341" s="51"/>
      <c r="DA341" s="144"/>
      <c r="DB341" s="51"/>
      <c r="DC341" s="51"/>
      <c r="DD341" s="51"/>
      <c r="DE341" s="51"/>
      <c r="DF341" s="144"/>
      <c r="DG341" s="51"/>
      <c r="DH341" s="51"/>
      <c r="DI341" s="51"/>
      <c r="DJ341" s="51"/>
      <c r="DK341" s="144"/>
      <c r="DL341" s="51"/>
      <c r="DM341" s="51"/>
      <c r="DN341" s="51"/>
      <c r="DO341" s="51"/>
      <c r="DP341" s="144"/>
      <c r="DQ341" s="51"/>
      <c r="DR341" s="51"/>
      <c r="DS341" s="51"/>
      <c r="DT341" s="51"/>
      <c r="DU341" s="144"/>
      <c r="DV341" s="51"/>
      <c r="DW341" s="51"/>
      <c r="DX341" s="51"/>
      <c r="DY341" s="51"/>
      <c r="DZ341" s="144"/>
      <c r="EA341" s="51"/>
      <c r="EB341" s="51"/>
      <c r="EC341" s="51"/>
      <c r="ED341" s="51"/>
      <c r="EE341" s="144"/>
      <c r="EF341" s="51"/>
      <c r="EG341" s="51"/>
      <c r="EH341" s="51"/>
      <c r="EI341" s="51"/>
      <c r="EJ341" s="144"/>
      <c r="EK341" s="51"/>
      <c r="EL341" s="51"/>
      <c r="EM341" s="51"/>
      <c r="EN341" s="51"/>
      <c r="EO341" s="340"/>
      <c r="ER341" s="39"/>
      <c r="ES341" s="39"/>
    </row>
    <row r="342" spans="1:149" x14ac:dyDescent="0.2">
      <c r="A342" s="317"/>
      <c r="B342" s="317"/>
      <c r="D342" s="340" t="s">
        <v>194</v>
      </c>
      <c r="F342" s="317"/>
      <c r="G342" s="51">
        <f>SUM(G343)</f>
        <v>0</v>
      </c>
      <c r="H342" s="51"/>
      <c r="I342" s="51"/>
      <c r="J342" s="144"/>
      <c r="K342" s="317"/>
      <c r="L342" s="51">
        <f>SUM(L343)</f>
        <v>0</v>
      </c>
      <c r="M342" s="51"/>
      <c r="N342" s="51"/>
      <c r="O342" s="144"/>
      <c r="P342" s="317"/>
      <c r="Q342" s="51">
        <f>SUM(Q343)</f>
        <v>0</v>
      </c>
      <c r="R342" s="51"/>
      <c r="S342" s="51"/>
      <c r="T342" s="144"/>
      <c r="U342" s="317"/>
      <c r="V342" s="51">
        <f>SUM(V343)</f>
        <v>0</v>
      </c>
      <c r="W342" s="51"/>
      <c r="X342" s="51"/>
      <c r="Y342" s="144"/>
      <c r="Z342" s="317"/>
      <c r="AA342" s="51">
        <f>SUM(AA343)</f>
        <v>0</v>
      </c>
      <c r="AB342" s="51"/>
      <c r="AC342" s="51"/>
      <c r="AD342" s="144"/>
      <c r="AE342" s="317"/>
      <c r="AF342" s="51">
        <f>SUM(AF343)</f>
        <v>0</v>
      </c>
      <c r="AG342" s="51"/>
      <c r="AH342" s="51"/>
      <c r="AI342" s="144"/>
      <c r="AJ342" s="317"/>
      <c r="AK342" s="51">
        <f>SUM(AK343)</f>
        <v>0</v>
      </c>
      <c r="AL342" s="51"/>
      <c r="AM342" s="51"/>
      <c r="AN342" s="144"/>
      <c r="AO342" s="317"/>
      <c r="AP342" s="51">
        <f>SUM(AP343)</f>
        <v>0</v>
      </c>
      <c r="AQ342" s="51"/>
      <c r="AR342" s="51"/>
      <c r="AS342" s="144"/>
      <c r="AT342" s="317"/>
      <c r="AU342" s="51">
        <f>SUM(AU343)</f>
        <v>0</v>
      </c>
      <c r="AV342" s="51"/>
      <c r="AW342" s="51"/>
      <c r="AX342" s="144"/>
      <c r="AY342" s="317"/>
      <c r="AZ342" s="51">
        <f>SUM(AZ343)</f>
        <v>0</v>
      </c>
      <c r="BA342" s="51"/>
      <c r="BB342" s="51"/>
      <c r="BC342" s="144"/>
      <c r="BD342" s="317"/>
      <c r="BE342" s="51">
        <f>SUM(BE343)</f>
        <v>0</v>
      </c>
      <c r="BF342" s="51"/>
      <c r="BG342" s="51"/>
      <c r="BH342" s="144"/>
      <c r="BI342" s="317"/>
      <c r="BJ342" s="51">
        <f>SUM(BJ343)</f>
        <v>0</v>
      </c>
      <c r="BK342" s="51"/>
      <c r="BL342" s="51"/>
      <c r="BM342" s="144"/>
      <c r="BN342" s="317"/>
      <c r="BO342" s="51">
        <f>SUM(BO343)</f>
        <v>0</v>
      </c>
      <c r="BP342" s="51"/>
      <c r="BQ342" s="51"/>
      <c r="BR342" s="144"/>
      <c r="BS342" s="317"/>
      <c r="BT342" s="51">
        <f>SUM(BT343:BT343)</f>
        <v>0</v>
      </c>
      <c r="BU342" s="51"/>
      <c r="BV342" s="51"/>
      <c r="BW342" s="144"/>
      <c r="BX342" s="317"/>
      <c r="BY342" s="51">
        <f>SUM(BY343)</f>
        <v>90245</v>
      </c>
      <c r="BZ342" s="51"/>
      <c r="CA342" s="51"/>
      <c r="CB342" s="144"/>
      <c r="CC342" s="317"/>
      <c r="CD342" s="317">
        <f>SUM(CD343:CD343)</f>
        <v>0</v>
      </c>
      <c r="CE342" s="51">
        <f>SUM(CE343:CE343)</f>
        <v>0</v>
      </c>
      <c r="CF342" s="51"/>
      <c r="CG342" s="144"/>
      <c r="CH342" s="317"/>
      <c r="CI342" s="317">
        <f>SUM(CI343:CI343)</f>
        <v>0</v>
      </c>
      <c r="CJ342" s="51"/>
      <c r="CK342" s="51"/>
      <c r="CL342" s="144"/>
      <c r="CM342" s="317"/>
      <c r="CN342" s="317">
        <f>SUM(CN343:CN343)</f>
        <v>0</v>
      </c>
      <c r="CO342" s="51"/>
      <c r="CP342" s="51"/>
      <c r="CQ342" s="144"/>
      <c r="CR342" s="317"/>
      <c r="CS342" s="317">
        <f>SUM(CS343:CS343)</f>
        <v>0</v>
      </c>
      <c r="CT342" s="51"/>
      <c r="CU342" s="51"/>
      <c r="CV342" s="144"/>
      <c r="CW342" s="317"/>
      <c r="CX342" s="317">
        <f>SUM(CX343:CX343)</f>
        <v>0</v>
      </c>
      <c r="CY342" s="51"/>
      <c r="CZ342" s="51"/>
      <c r="DA342" s="144"/>
      <c r="DB342" s="317"/>
      <c r="DC342" s="317">
        <f>SUM(DC343:DC343)</f>
        <v>0</v>
      </c>
      <c r="DD342" s="51"/>
      <c r="DE342" s="51"/>
      <c r="DF342" s="144"/>
      <c r="DG342" s="317"/>
      <c r="DH342" s="317">
        <f>SUM(DH343:DH343)</f>
        <v>0</v>
      </c>
      <c r="DI342" s="51"/>
      <c r="DJ342" s="51"/>
      <c r="DK342" s="144"/>
      <c r="DL342" s="317"/>
      <c r="DM342" s="317">
        <f>SUM(DM343:DM343)</f>
        <v>0</v>
      </c>
      <c r="DN342" s="51"/>
      <c r="DO342" s="51"/>
      <c r="DP342" s="144"/>
      <c r="DQ342" s="317"/>
      <c r="DR342" s="317">
        <f>SUM(DR343:DR343)</f>
        <v>0</v>
      </c>
      <c r="DS342" s="51"/>
      <c r="DT342" s="51"/>
      <c r="DU342" s="144"/>
      <c r="DV342" s="317"/>
      <c r="DW342" s="317">
        <f>SUM(DW343:DW343)</f>
        <v>0</v>
      </c>
      <c r="DX342" s="51"/>
      <c r="DY342" s="51"/>
      <c r="DZ342" s="144"/>
      <c r="EA342" s="317"/>
      <c r="EB342" s="317">
        <f>SUM(EB343:EB343)</f>
        <v>90245</v>
      </c>
      <c r="EC342" s="51"/>
      <c r="ED342" s="51"/>
      <c r="EE342" s="144"/>
      <c r="EF342" s="317"/>
      <c r="EG342" s="51">
        <f>SUM(EG343:EG343)</f>
        <v>0</v>
      </c>
      <c r="EH342" s="51"/>
      <c r="EI342" s="51"/>
      <c r="EJ342" s="144"/>
      <c r="EK342" s="317"/>
      <c r="EL342" s="51">
        <f>SUM(EL343:EL343)</f>
        <v>0</v>
      </c>
      <c r="EM342" s="51"/>
      <c r="EN342" s="51"/>
      <c r="EO342" s="340"/>
      <c r="ER342" s="39"/>
      <c r="ES342" s="39"/>
    </row>
    <row r="343" spans="1:149" x14ac:dyDescent="0.2">
      <c r="A343" s="317"/>
      <c r="B343" s="317"/>
      <c r="D343" s="340" t="s">
        <v>183</v>
      </c>
      <c r="F343" s="434"/>
      <c r="G343" s="438">
        <v>0</v>
      </c>
      <c r="H343" s="436"/>
      <c r="I343" s="51"/>
      <c r="J343" s="144"/>
      <c r="K343" s="434"/>
      <c r="L343" s="438">
        <v>0</v>
      </c>
      <c r="M343" s="436"/>
      <c r="N343" s="51"/>
      <c r="O343" s="144"/>
      <c r="P343" s="434"/>
      <c r="Q343" s="438">
        <v>0</v>
      </c>
      <c r="R343" s="436"/>
      <c r="S343" s="51"/>
      <c r="T343" s="144"/>
      <c r="U343" s="434"/>
      <c r="V343" s="438">
        <v>0</v>
      </c>
      <c r="W343" s="436"/>
      <c r="X343" s="51"/>
      <c r="Y343" s="144"/>
      <c r="Z343" s="434"/>
      <c r="AA343" s="438">
        <v>0</v>
      </c>
      <c r="AB343" s="436"/>
      <c r="AC343" s="51"/>
      <c r="AD343" s="144"/>
      <c r="AE343" s="434"/>
      <c r="AF343" s="438">
        <v>0</v>
      </c>
      <c r="AG343" s="436"/>
      <c r="AH343" s="51"/>
      <c r="AI343" s="144"/>
      <c r="AJ343" s="434"/>
      <c r="AK343" s="438">
        <v>0</v>
      </c>
      <c r="AL343" s="436"/>
      <c r="AM343" s="51"/>
      <c r="AN343" s="144"/>
      <c r="AO343" s="434"/>
      <c r="AP343" s="438">
        <v>0</v>
      </c>
      <c r="AQ343" s="436"/>
      <c r="AR343" s="51"/>
      <c r="AS343" s="144"/>
      <c r="AT343" s="434"/>
      <c r="AU343" s="438">
        <v>0</v>
      </c>
      <c r="AV343" s="436"/>
      <c r="AW343" s="51"/>
      <c r="AX343" s="144"/>
      <c r="AY343" s="434"/>
      <c r="AZ343" s="438">
        <v>0</v>
      </c>
      <c r="BA343" s="436"/>
      <c r="BB343" s="51"/>
      <c r="BC343" s="144"/>
      <c r="BD343" s="434"/>
      <c r="BE343" s="438">
        <v>0</v>
      </c>
      <c r="BF343" s="436"/>
      <c r="BG343" s="51"/>
      <c r="BH343" s="144"/>
      <c r="BI343" s="434"/>
      <c r="BJ343" s="438">
        <v>0</v>
      </c>
      <c r="BK343" s="436"/>
      <c r="BL343" s="51"/>
      <c r="BM343" s="144"/>
      <c r="BN343" s="434"/>
      <c r="BO343" s="438">
        <v>0</v>
      </c>
      <c r="BP343" s="436"/>
      <c r="BQ343" s="51"/>
      <c r="BR343" s="144"/>
      <c r="BS343" s="434"/>
      <c r="BT343" s="438">
        <f>SUM(L343:BO343)</f>
        <v>0</v>
      </c>
      <c r="BU343" s="436"/>
      <c r="BV343" s="51"/>
      <c r="BW343" s="144"/>
      <c r="BX343" s="434"/>
      <c r="BY343" s="438">
        <v>90245</v>
      </c>
      <c r="BZ343" s="436"/>
      <c r="CA343" s="51"/>
      <c r="CB343" s="144"/>
      <c r="CC343" s="434"/>
      <c r="CD343" s="438">
        <v>0</v>
      </c>
      <c r="CE343" s="436"/>
      <c r="CF343" s="47"/>
      <c r="CG343" s="144"/>
      <c r="CH343" s="434"/>
      <c r="CI343" s="438">
        <v>0</v>
      </c>
      <c r="CJ343" s="436"/>
      <c r="CK343" s="51"/>
      <c r="CL343" s="144"/>
      <c r="CM343" s="434"/>
      <c r="CN343" s="438">
        <v>0</v>
      </c>
      <c r="CO343" s="436"/>
      <c r="CP343" s="51"/>
      <c r="CQ343" s="144"/>
      <c r="CR343" s="434"/>
      <c r="CS343" s="438">
        <v>0</v>
      </c>
      <c r="CT343" s="436"/>
      <c r="CU343" s="51"/>
      <c r="CV343" s="144"/>
      <c r="CW343" s="434"/>
      <c r="CX343" s="438">
        <v>0</v>
      </c>
      <c r="CY343" s="436"/>
      <c r="CZ343" s="51"/>
      <c r="DA343" s="144"/>
      <c r="DB343" s="434"/>
      <c r="DC343" s="438">
        <v>0</v>
      </c>
      <c r="DD343" s="436"/>
      <c r="DE343" s="51"/>
      <c r="DF343" s="144"/>
      <c r="DG343" s="434"/>
      <c r="DH343" s="438">
        <v>0</v>
      </c>
      <c r="DI343" s="436"/>
      <c r="DJ343" s="51"/>
      <c r="DK343" s="144"/>
      <c r="DL343" s="434"/>
      <c r="DM343" s="438">
        <v>0</v>
      </c>
      <c r="DN343" s="436"/>
      <c r="DO343" s="51"/>
      <c r="DP343" s="144"/>
      <c r="DQ343" s="434"/>
      <c r="DR343" s="438">
        <v>0</v>
      </c>
      <c r="DS343" s="436"/>
      <c r="DT343" s="51"/>
      <c r="DU343" s="144"/>
      <c r="DV343" s="434"/>
      <c r="DW343" s="438">
        <v>0</v>
      </c>
      <c r="DX343" s="436"/>
      <c r="DY343" s="51"/>
      <c r="DZ343" s="144"/>
      <c r="EA343" s="434"/>
      <c r="EB343" s="438">
        <v>90245</v>
      </c>
      <c r="EC343" s="436"/>
      <c r="ED343" s="51"/>
      <c r="EE343" s="144"/>
      <c r="EF343" s="434"/>
      <c r="EG343" s="438">
        <v>0</v>
      </c>
      <c r="EH343" s="436"/>
      <c r="EI343" s="51"/>
      <c r="EJ343" s="144"/>
      <c r="EK343" s="434"/>
      <c r="EL343" s="438">
        <f>SUM(CD343:DH343)</f>
        <v>0</v>
      </c>
      <c r="EM343" s="436"/>
      <c r="EN343" s="51"/>
      <c r="EO343" s="340"/>
      <c r="ER343" s="39"/>
      <c r="ES343" s="39"/>
    </row>
    <row r="344" spans="1:149" x14ac:dyDescent="0.2">
      <c r="A344" s="317"/>
      <c r="B344" s="317"/>
      <c r="D344" s="340"/>
      <c r="F344" s="317"/>
      <c r="G344" s="51"/>
      <c r="H344" s="51"/>
      <c r="I344" s="51"/>
      <c r="J344" s="144"/>
      <c r="K344" s="51"/>
      <c r="L344" s="51"/>
      <c r="M344" s="51"/>
      <c r="N344" s="51"/>
      <c r="O344" s="144"/>
      <c r="P344" s="51"/>
      <c r="Q344" s="51"/>
      <c r="R344" s="51"/>
      <c r="S344" s="51"/>
      <c r="T344" s="144"/>
      <c r="U344" s="51"/>
      <c r="V344" s="51"/>
      <c r="W344" s="51"/>
      <c r="X344" s="51"/>
      <c r="Y344" s="144"/>
      <c r="Z344" s="51"/>
      <c r="AA344" s="51"/>
      <c r="AB344" s="51"/>
      <c r="AC344" s="51"/>
      <c r="AD344" s="144"/>
      <c r="AE344" s="51"/>
      <c r="AF344" s="51"/>
      <c r="AG344" s="51"/>
      <c r="AH344" s="51"/>
      <c r="AI344" s="144"/>
      <c r="AJ344" s="51"/>
      <c r="AK344" s="51"/>
      <c r="AL344" s="51"/>
      <c r="AM344" s="51"/>
      <c r="AN344" s="144"/>
      <c r="AO344" s="51"/>
      <c r="AP344" s="51"/>
      <c r="AQ344" s="51"/>
      <c r="AR344" s="51"/>
      <c r="AS344" s="144"/>
      <c r="AT344" s="51"/>
      <c r="AU344" s="51"/>
      <c r="AV344" s="51"/>
      <c r="AW344" s="51"/>
      <c r="AX344" s="144"/>
      <c r="AY344" s="51"/>
      <c r="AZ344" s="51"/>
      <c r="BA344" s="51"/>
      <c r="BB344" s="51"/>
      <c r="BC344" s="144"/>
      <c r="BD344" s="51"/>
      <c r="BE344" s="51"/>
      <c r="BF344" s="51"/>
      <c r="BG344" s="51"/>
      <c r="BH344" s="144"/>
      <c r="BI344" s="51"/>
      <c r="BJ344" s="51"/>
      <c r="BK344" s="51"/>
      <c r="BL344" s="51"/>
      <c r="BM344" s="144"/>
      <c r="BN344" s="51"/>
      <c r="BO344" s="51"/>
      <c r="BP344" s="51"/>
      <c r="BQ344" s="51"/>
      <c r="BR344" s="144"/>
      <c r="BS344" s="51"/>
      <c r="BT344" s="51"/>
      <c r="BU344" s="51"/>
      <c r="BV344" s="51"/>
      <c r="BW344" s="144"/>
      <c r="BX344" s="51"/>
      <c r="BY344" s="51"/>
      <c r="BZ344" s="51"/>
      <c r="CA344" s="51"/>
      <c r="CB344" s="144"/>
      <c r="CC344" s="51"/>
      <c r="CD344" s="51"/>
      <c r="CE344" s="51"/>
      <c r="CF344" s="51"/>
      <c r="CG344" s="144"/>
      <c r="CH344" s="51"/>
      <c r="CI344" s="51"/>
      <c r="CJ344" s="51"/>
      <c r="CK344" s="51"/>
      <c r="CL344" s="144"/>
      <c r="CM344" s="51"/>
      <c r="CN344" s="51"/>
      <c r="CO344" s="51"/>
      <c r="CP344" s="51"/>
      <c r="CQ344" s="144"/>
      <c r="CR344" s="51"/>
      <c r="CS344" s="51"/>
      <c r="CT344" s="51"/>
      <c r="CU344" s="51"/>
      <c r="CV344" s="144"/>
      <c r="CW344" s="51"/>
      <c r="CX344" s="51"/>
      <c r="CY344" s="51"/>
      <c r="CZ344" s="51"/>
      <c r="DA344" s="144"/>
      <c r="DB344" s="51"/>
      <c r="DC344" s="51"/>
      <c r="DD344" s="51"/>
      <c r="DE344" s="51"/>
      <c r="DF344" s="144"/>
      <c r="DG344" s="51"/>
      <c r="DH344" s="51"/>
      <c r="DI344" s="51"/>
      <c r="DJ344" s="51"/>
      <c r="DK344" s="144"/>
      <c r="DL344" s="51"/>
      <c r="DM344" s="51"/>
      <c r="DN344" s="51"/>
      <c r="DO344" s="51"/>
      <c r="DP344" s="144"/>
      <c r="DQ344" s="51"/>
      <c r="DR344" s="51"/>
      <c r="DS344" s="51"/>
      <c r="DT344" s="51"/>
      <c r="DU344" s="144"/>
      <c r="DV344" s="51"/>
      <c r="DW344" s="51"/>
      <c r="DX344" s="51"/>
      <c r="DY344" s="51"/>
      <c r="DZ344" s="144"/>
      <c r="EA344" s="51"/>
      <c r="EB344" s="51"/>
      <c r="EC344" s="51"/>
      <c r="ED344" s="51"/>
      <c r="EE344" s="144"/>
      <c r="EF344" s="51"/>
      <c r="EG344" s="51"/>
      <c r="EH344" s="51"/>
      <c r="EI344" s="51"/>
      <c r="EJ344" s="144"/>
      <c r="EK344" s="51"/>
      <c r="EL344" s="51"/>
      <c r="EM344" s="51"/>
      <c r="EN344" s="51"/>
      <c r="EO344" s="340"/>
      <c r="ER344" s="39"/>
      <c r="ES344" s="39"/>
    </row>
    <row r="345" spans="1:149" ht="12.75" hidden="1" customHeight="1" x14ac:dyDescent="0.2">
      <c r="A345" s="317"/>
      <c r="B345" s="317"/>
      <c r="D345" s="340" t="s">
        <v>195</v>
      </c>
      <c r="F345" s="317"/>
      <c r="G345" s="51">
        <f>SUM(G346:G346)</f>
        <v>0</v>
      </c>
      <c r="H345" s="51"/>
      <c r="I345" s="51"/>
      <c r="J345" s="144"/>
      <c r="K345" s="51"/>
      <c r="L345" s="51">
        <f>SUM(L346:L346)</f>
        <v>0</v>
      </c>
      <c r="M345" s="51"/>
      <c r="N345" s="51"/>
      <c r="O345" s="144"/>
      <c r="P345" s="51"/>
      <c r="Q345" s="51">
        <f>SUM(Q346:Q346)</f>
        <v>0</v>
      </c>
      <c r="R345" s="51"/>
      <c r="S345" s="51"/>
      <c r="T345" s="144"/>
      <c r="U345" s="51"/>
      <c r="V345" s="51">
        <f>SUM(V346:V346)</f>
        <v>0</v>
      </c>
      <c r="W345" s="51"/>
      <c r="X345" s="51"/>
      <c r="Y345" s="144"/>
      <c r="Z345" s="51"/>
      <c r="AA345" s="51">
        <f>SUM(AA346:AA346)</f>
        <v>0</v>
      </c>
      <c r="AB345" s="51"/>
      <c r="AC345" s="51"/>
      <c r="AD345" s="144"/>
      <c r="AE345" s="51"/>
      <c r="AF345" s="51">
        <f>SUM(AF346:AF346)</f>
        <v>0</v>
      </c>
      <c r="AG345" s="51"/>
      <c r="AH345" s="51"/>
      <c r="AI345" s="144"/>
      <c r="AJ345" s="51"/>
      <c r="AK345" s="51">
        <f>SUM(AK346:AK346)</f>
        <v>0</v>
      </c>
      <c r="AL345" s="51"/>
      <c r="AM345" s="51"/>
      <c r="AN345" s="144"/>
      <c r="AO345" s="51"/>
      <c r="AP345" s="51">
        <f>SUM(AP346:AP346)</f>
        <v>0</v>
      </c>
      <c r="AQ345" s="51"/>
      <c r="AR345" s="51"/>
      <c r="AS345" s="144"/>
      <c r="AT345" s="51"/>
      <c r="AU345" s="51">
        <f>SUM(AU346:AU346)</f>
        <v>0</v>
      </c>
      <c r="AV345" s="51"/>
      <c r="AW345" s="51"/>
      <c r="AX345" s="144"/>
      <c r="AY345" s="51"/>
      <c r="AZ345" s="51">
        <f>SUM(AZ346:AZ346)</f>
        <v>0</v>
      </c>
      <c r="BA345" s="51"/>
      <c r="BB345" s="51"/>
      <c r="BC345" s="144"/>
      <c r="BD345" s="51"/>
      <c r="BE345" s="51">
        <f>SUM(BE346:BE346)</f>
        <v>0</v>
      </c>
      <c r="BF345" s="51"/>
      <c r="BG345" s="51"/>
      <c r="BH345" s="144"/>
      <c r="BI345" s="51"/>
      <c r="BJ345" s="51">
        <f>SUM(BJ346:BJ346)</f>
        <v>0</v>
      </c>
      <c r="BK345" s="51"/>
      <c r="BL345" s="51"/>
      <c r="BM345" s="144"/>
      <c r="BN345" s="51"/>
      <c r="BO345" s="51">
        <f>SUM(BO346:BO346)</f>
        <v>0</v>
      </c>
      <c r="BP345" s="51"/>
      <c r="BQ345" s="51"/>
      <c r="BR345" s="144"/>
      <c r="BS345" s="51"/>
      <c r="BT345" s="51">
        <f>SUM(BT346:BT346)</f>
        <v>0</v>
      </c>
      <c r="BU345" s="51"/>
      <c r="BV345" s="51"/>
      <c r="BW345" s="144"/>
      <c r="BX345" s="51"/>
      <c r="BY345" s="51">
        <f>SUM(BY346:BY346)</f>
        <v>0</v>
      </c>
      <c r="BZ345" s="51"/>
      <c r="CA345" s="51"/>
      <c r="CB345" s="144"/>
      <c r="CC345" s="51"/>
      <c r="CD345" s="51">
        <f>SUM(CD346:CD346)</f>
        <v>0</v>
      </c>
      <c r="CE345" s="51"/>
      <c r="CF345" s="51"/>
      <c r="CG345" s="144"/>
      <c r="CH345" s="51"/>
      <c r="CI345" s="51">
        <f>SUM(CI346:CI346)</f>
        <v>0</v>
      </c>
      <c r="CJ345" s="51"/>
      <c r="CK345" s="51"/>
      <c r="CL345" s="144"/>
      <c r="CM345" s="51"/>
      <c r="CN345" s="51">
        <f>SUM(CN346:CN346)</f>
        <v>0</v>
      </c>
      <c r="CO345" s="51"/>
      <c r="CP345" s="51"/>
      <c r="CQ345" s="144"/>
      <c r="CR345" s="51"/>
      <c r="CS345" s="51">
        <f>SUM(CS346:CS346)</f>
        <v>0</v>
      </c>
      <c r="CT345" s="51"/>
      <c r="CU345" s="51"/>
      <c r="CV345" s="144"/>
      <c r="CW345" s="51"/>
      <c r="CX345" s="51">
        <f>SUM(CX346:CX346)</f>
        <v>0</v>
      </c>
      <c r="CY345" s="51"/>
      <c r="CZ345" s="51"/>
      <c r="DA345" s="144"/>
      <c r="DB345" s="51"/>
      <c r="DC345" s="51">
        <f>SUM(DC346:DC346)</f>
        <v>0</v>
      </c>
      <c r="DD345" s="51"/>
      <c r="DE345" s="51"/>
      <c r="DF345" s="144"/>
      <c r="DG345" s="51"/>
      <c r="DH345" s="51">
        <f>SUM(DH346:DH346)</f>
        <v>0</v>
      </c>
      <c r="DI345" s="51"/>
      <c r="DJ345" s="51"/>
      <c r="DK345" s="144"/>
      <c r="DL345" s="51"/>
      <c r="DM345" s="51">
        <f>SUM(DM346:DM346)</f>
        <v>0</v>
      </c>
      <c r="DN345" s="51"/>
      <c r="DO345" s="51"/>
      <c r="DP345" s="144"/>
      <c r="DQ345" s="51"/>
      <c r="DR345" s="51">
        <f>SUM(DR346:DR346)</f>
        <v>0</v>
      </c>
      <c r="DS345" s="51"/>
      <c r="DT345" s="51"/>
      <c r="DU345" s="144"/>
      <c r="DV345" s="51"/>
      <c r="DW345" s="51">
        <f>SUM(DW346:DW346)</f>
        <v>0</v>
      </c>
      <c r="DX345" s="51"/>
      <c r="DY345" s="51"/>
      <c r="DZ345" s="144"/>
      <c r="EA345" s="51"/>
      <c r="EB345" s="51">
        <f>SUM(EB346:EB346)</f>
        <v>0</v>
      </c>
      <c r="EC345" s="51"/>
      <c r="ED345" s="51"/>
      <c r="EE345" s="144"/>
      <c r="EF345" s="51"/>
      <c r="EG345" s="51">
        <f>SUM(EG346:EG346)</f>
        <v>0</v>
      </c>
      <c r="EH345" s="51"/>
      <c r="EI345" s="51"/>
      <c r="EJ345" s="144"/>
      <c r="EK345" s="51"/>
      <c r="EL345" s="51">
        <f>SUM(EL346:EL346)</f>
        <v>0</v>
      </c>
      <c r="EM345" s="51"/>
      <c r="EN345" s="51"/>
      <c r="EO345" s="340"/>
      <c r="ER345" s="39"/>
      <c r="ES345" s="39"/>
    </row>
    <row r="346" spans="1:149" ht="12.75" hidden="1" customHeight="1" x14ac:dyDescent="0.2">
      <c r="A346" s="317"/>
      <c r="B346" s="317"/>
      <c r="D346" s="340" t="s">
        <v>183</v>
      </c>
      <c r="F346" s="434"/>
      <c r="G346" s="438">
        <v>0</v>
      </c>
      <c r="H346" s="436"/>
      <c r="I346" s="51"/>
      <c r="J346" s="144"/>
      <c r="K346" s="437"/>
      <c r="L346" s="438">
        <v>0</v>
      </c>
      <c r="M346" s="436"/>
      <c r="N346" s="51"/>
      <c r="O346" s="144"/>
      <c r="P346" s="437"/>
      <c r="Q346" s="438">
        <v>0</v>
      </c>
      <c r="R346" s="436"/>
      <c r="S346" s="51"/>
      <c r="T346" s="144"/>
      <c r="U346" s="437"/>
      <c r="V346" s="438">
        <v>0</v>
      </c>
      <c r="W346" s="436"/>
      <c r="X346" s="51"/>
      <c r="Y346" s="144"/>
      <c r="Z346" s="437"/>
      <c r="AA346" s="438">
        <v>0</v>
      </c>
      <c r="AB346" s="436"/>
      <c r="AC346" s="51"/>
      <c r="AD346" s="144"/>
      <c r="AE346" s="437"/>
      <c r="AF346" s="438">
        <v>0</v>
      </c>
      <c r="AG346" s="436"/>
      <c r="AH346" s="51"/>
      <c r="AI346" s="144"/>
      <c r="AJ346" s="437"/>
      <c r="AK346" s="438">
        <v>0</v>
      </c>
      <c r="AL346" s="436"/>
      <c r="AM346" s="51"/>
      <c r="AN346" s="144"/>
      <c r="AO346" s="437"/>
      <c r="AP346" s="438">
        <v>0</v>
      </c>
      <c r="AQ346" s="436"/>
      <c r="AR346" s="51"/>
      <c r="AS346" s="144"/>
      <c r="AT346" s="437"/>
      <c r="AU346" s="438">
        <v>0</v>
      </c>
      <c r="AV346" s="436"/>
      <c r="AW346" s="51"/>
      <c r="AX346" s="144"/>
      <c r="AY346" s="437"/>
      <c r="AZ346" s="438">
        <v>0</v>
      </c>
      <c r="BA346" s="436"/>
      <c r="BB346" s="51"/>
      <c r="BC346" s="144"/>
      <c r="BD346" s="437"/>
      <c r="BE346" s="438">
        <v>0</v>
      </c>
      <c r="BF346" s="436"/>
      <c r="BG346" s="51"/>
      <c r="BH346" s="144"/>
      <c r="BI346" s="437"/>
      <c r="BJ346" s="438">
        <v>0</v>
      </c>
      <c r="BK346" s="436"/>
      <c r="BL346" s="51"/>
      <c r="BM346" s="144"/>
      <c r="BN346" s="437"/>
      <c r="BO346" s="438">
        <v>0</v>
      </c>
      <c r="BP346" s="436"/>
      <c r="BQ346" s="51"/>
      <c r="BR346" s="144"/>
      <c r="BS346" s="437"/>
      <c r="BT346" s="438">
        <f>SUM(L346:BO346)</f>
        <v>0</v>
      </c>
      <c r="BU346" s="436"/>
      <c r="BV346" s="51"/>
      <c r="BW346" s="144"/>
      <c r="BX346" s="437"/>
      <c r="BY346" s="438">
        <v>0</v>
      </c>
      <c r="BZ346" s="436"/>
      <c r="CA346" s="51"/>
      <c r="CB346" s="144"/>
      <c r="CC346" s="437"/>
      <c r="CD346" s="438">
        <v>0</v>
      </c>
      <c r="CE346" s="436"/>
      <c r="CF346" s="51"/>
      <c r="CG346" s="144"/>
      <c r="CH346" s="437"/>
      <c r="CI346" s="438">
        <v>0</v>
      </c>
      <c r="CJ346" s="436"/>
      <c r="CK346" s="51"/>
      <c r="CL346" s="144"/>
      <c r="CM346" s="437"/>
      <c r="CN346" s="438">
        <v>0</v>
      </c>
      <c r="CO346" s="436"/>
      <c r="CP346" s="51"/>
      <c r="CQ346" s="144"/>
      <c r="CR346" s="437"/>
      <c r="CS346" s="438">
        <v>0</v>
      </c>
      <c r="CT346" s="436"/>
      <c r="CU346" s="51"/>
      <c r="CV346" s="144"/>
      <c r="CW346" s="437"/>
      <c r="CX346" s="438">
        <v>0</v>
      </c>
      <c r="CY346" s="436"/>
      <c r="CZ346" s="51"/>
      <c r="DA346" s="144"/>
      <c r="DB346" s="437"/>
      <c r="DC346" s="438">
        <v>0</v>
      </c>
      <c r="DD346" s="436"/>
      <c r="DE346" s="51"/>
      <c r="DF346" s="144"/>
      <c r="DG346" s="437"/>
      <c r="DH346" s="438">
        <v>0</v>
      </c>
      <c r="DI346" s="436"/>
      <c r="DJ346" s="51"/>
      <c r="DK346" s="144"/>
      <c r="DL346" s="437"/>
      <c r="DM346" s="438">
        <v>0</v>
      </c>
      <c r="DN346" s="436"/>
      <c r="DO346" s="51"/>
      <c r="DP346" s="144"/>
      <c r="DQ346" s="437"/>
      <c r="DR346" s="438">
        <v>0</v>
      </c>
      <c r="DS346" s="436"/>
      <c r="DT346" s="51"/>
      <c r="DU346" s="144"/>
      <c r="DV346" s="437"/>
      <c r="DW346" s="438">
        <v>0</v>
      </c>
      <c r="DX346" s="436"/>
      <c r="DY346" s="51"/>
      <c r="DZ346" s="144"/>
      <c r="EA346" s="437"/>
      <c r="EB346" s="438">
        <v>0</v>
      </c>
      <c r="EC346" s="436"/>
      <c r="ED346" s="51"/>
      <c r="EE346" s="144"/>
      <c r="EF346" s="437"/>
      <c r="EG346" s="438">
        <v>0</v>
      </c>
      <c r="EH346" s="436"/>
      <c r="EI346" s="51"/>
      <c r="EJ346" s="144"/>
      <c r="EK346" s="434"/>
      <c r="EL346" s="438">
        <f>SUM(CD346:CD346)</f>
        <v>0</v>
      </c>
      <c r="EM346" s="436"/>
      <c r="EN346" s="51"/>
      <c r="EO346" s="340"/>
      <c r="ER346" s="39"/>
      <c r="ES346" s="39"/>
    </row>
    <row r="347" spans="1:149" ht="12.75" hidden="1" customHeight="1" x14ac:dyDescent="0.2">
      <c r="A347" s="317"/>
      <c r="B347" s="317"/>
      <c r="D347" s="340"/>
      <c r="F347" s="317"/>
      <c r="G347" s="51"/>
      <c r="H347" s="51"/>
      <c r="I347" s="51"/>
      <c r="J347" s="144"/>
      <c r="K347" s="51"/>
      <c r="L347" s="51"/>
      <c r="M347" s="51"/>
      <c r="N347" s="51"/>
      <c r="O347" s="144"/>
      <c r="P347" s="51"/>
      <c r="Q347" s="51"/>
      <c r="R347" s="51"/>
      <c r="S347" s="51"/>
      <c r="T347" s="144"/>
      <c r="U347" s="51"/>
      <c r="V347" s="51"/>
      <c r="W347" s="51"/>
      <c r="X347" s="51"/>
      <c r="Y347" s="144"/>
      <c r="Z347" s="51"/>
      <c r="AA347" s="51"/>
      <c r="AB347" s="51"/>
      <c r="AC347" s="51"/>
      <c r="AD347" s="144"/>
      <c r="AE347" s="51"/>
      <c r="AF347" s="51"/>
      <c r="AG347" s="51"/>
      <c r="AH347" s="51"/>
      <c r="AI347" s="144"/>
      <c r="AJ347" s="51"/>
      <c r="AK347" s="51"/>
      <c r="AL347" s="51"/>
      <c r="AM347" s="51"/>
      <c r="AN347" s="144"/>
      <c r="AO347" s="51"/>
      <c r="AP347" s="51"/>
      <c r="AQ347" s="51"/>
      <c r="AR347" s="51"/>
      <c r="AS347" s="144"/>
      <c r="AT347" s="51"/>
      <c r="AU347" s="51"/>
      <c r="AV347" s="51"/>
      <c r="AW347" s="51"/>
      <c r="AX347" s="144"/>
      <c r="AY347" s="51"/>
      <c r="AZ347" s="51"/>
      <c r="BA347" s="51"/>
      <c r="BB347" s="51"/>
      <c r="BC347" s="144"/>
      <c r="BD347" s="51"/>
      <c r="BE347" s="51"/>
      <c r="BF347" s="51"/>
      <c r="BG347" s="51"/>
      <c r="BH347" s="144"/>
      <c r="BI347" s="51"/>
      <c r="BJ347" s="51"/>
      <c r="BK347" s="51"/>
      <c r="BL347" s="51"/>
      <c r="BM347" s="144"/>
      <c r="BN347" s="51"/>
      <c r="BO347" s="51"/>
      <c r="BP347" s="51"/>
      <c r="BQ347" s="51"/>
      <c r="BR347" s="144"/>
      <c r="BS347" s="51"/>
      <c r="BT347" s="51"/>
      <c r="BU347" s="51"/>
      <c r="BV347" s="51"/>
      <c r="BW347" s="144"/>
      <c r="BX347" s="51"/>
      <c r="BY347" s="51"/>
      <c r="BZ347" s="51"/>
      <c r="CA347" s="51"/>
      <c r="CB347" s="144"/>
      <c r="CC347" s="51"/>
      <c r="CD347" s="465"/>
      <c r="CE347" s="465"/>
      <c r="CF347" s="465"/>
      <c r="CG347" s="466"/>
      <c r="CH347" s="465"/>
      <c r="CI347" s="465"/>
      <c r="CJ347" s="465"/>
      <c r="CK347" s="465"/>
      <c r="CL347" s="466"/>
      <c r="CM347" s="465"/>
      <c r="CN347" s="465"/>
      <c r="CO347" s="465"/>
      <c r="CP347" s="465"/>
      <c r="CQ347" s="466"/>
      <c r="CR347" s="465"/>
      <c r="CS347" s="465"/>
      <c r="CT347" s="465"/>
      <c r="CU347" s="465"/>
      <c r="CV347" s="466"/>
      <c r="CW347" s="465"/>
      <c r="CX347" s="465"/>
      <c r="CY347" s="465"/>
      <c r="CZ347" s="465"/>
      <c r="DA347" s="466"/>
      <c r="DB347" s="465"/>
      <c r="DC347" s="465"/>
      <c r="DD347" s="465"/>
      <c r="DE347" s="465"/>
      <c r="DF347" s="466"/>
      <c r="DG347" s="465"/>
      <c r="DH347" s="465"/>
      <c r="DI347" s="465"/>
      <c r="DJ347" s="465"/>
      <c r="DK347" s="466"/>
      <c r="DL347" s="465"/>
      <c r="DM347" s="465"/>
      <c r="DN347" s="465"/>
      <c r="DO347" s="465"/>
      <c r="DP347" s="466"/>
      <c r="DQ347" s="465"/>
      <c r="DR347" s="465"/>
      <c r="DS347" s="465"/>
      <c r="DT347" s="465"/>
      <c r="DU347" s="466"/>
      <c r="DV347" s="465"/>
      <c r="DW347" s="465"/>
      <c r="DX347" s="465"/>
      <c r="DY347" s="465"/>
      <c r="DZ347" s="466"/>
      <c r="EA347" s="465"/>
      <c r="EB347" s="465"/>
      <c r="EC347" s="465"/>
      <c r="ED347" s="465"/>
      <c r="EE347" s="466"/>
      <c r="EF347" s="465"/>
      <c r="EG347" s="465"/>
      <c r="EH347" s="51"/>
      <c r="EI347" s="51"/>
      <c r="EJ347" s="144"/>
      <c r="EK347" s="51"/>
      <c r="EL347" s="51"/>
      <c r="EM347" s="51"/>
      <c r="EN347" s="51"/>
      <c r="EO347" s="340"/>
      <c r="ER347" s="39"/>
      <c r="ES347" s="39"/>
    </row>
    <row r="348" spans="1:149" s="39" customFormat="1" ht="12.75" hidden="1" customHeight="1" x14ac:dyDescent="0.2">
      <c r="A348" s="329"/>
      <c r="B348" s="329"/>
      <c r="D348" s="664" t="s">
        <v>196</v>
      </c>
      <c r="E348" s="461"/>
      <c r="F348" s="666"/>
      <c r="G348" s="51">
        <f>SUM(G349:G349)</f>
        <v>0</v>
      </c>
      <c r="H348" s="51"/>
      <c r="I348" s="51"/>
      <c r="J348" s="144"/>
      <c r="K348" s="51"/>
      <c r="L348" s="51">
        <f>SUM(L349:L349)</f>
        <v>0</v>
      </c>
      <c r="M348" s="51"/>
      <c r="N348" s="51"/>
      <c r="O348" s="144"/>
      <c r="P348" s="51"/>
      <c r="Q348" s="51">
        <f>SUM(Q349:Q349)</f>
        <v>0</v>
      </c>
      <c r="R348" s="51"/>
      <c r="S348" s="51"/>
      <c r="T348" s="144"/>
      <c r="U348" s="51"/>
      <c r="V348" s="51">
        <f>SUM(V349:V349)</f>
        <v>0</v>
      </c>
      <c r="W348" s="51"/>
      <c r="X348" s="51"/>
      <c r="Y348" s="144"/>
      <c r="Z348" s="51"/>
      <c r="AA348" s="51">
        <f>SUM(AA349:AA349)</f>
        <v>0</v>
      </c>
      <c r="AB348" s="51"/>
      <c r="AC348" s="51"/>
      <c r="AD348" s="144"/>
      <c r="AE348" s="51"/>
      <c r="AF348" s="51">
        <f>SUM(AF349:AF349)</f>
        <v>0</v>
      </c>
      <c r="AG348" s="51"/>
      <c r="AH348" s="51"/>
      <c r="AI348" s="144"/>
      <c r="AJ348" s="51"/>
      <c r="AK348" s="51">
        <f>SUM(AK349:AK349)</f>
        <v>0</v>
      </c>
      <c r="AL348" s="51"/>
      <c r="AM348" s="51"/>
      <c r="AN348" s="144"/>
      <c r="AO348" s="51"/>
      <c r="AP348" s="51">
        <f>SUM(AP349:AP349)</f>
        <v>0</v>
      </c>
      <c r="AQ348" s="51"/>
      <c r="AR348" s="51"/>
      <c r="AS348" s="144"/>
      <c r="AT348" s="51"/>
      <c r="AU348" s="51">
        <f>SUM(AU349:AU349)</f>
        <v>0</v>
      </c>
      <c r="AV348" s="51"/>
      <c r="AW348" s="51"/>
      <c r="AX348" s="144"/>
      <c r="AY348" s="51"/>
      <c r="AZ348" s="51">
        <f>SUM(AZ349:AZ349)</f>
        <v>0</v>
      </c>
      <c r="BA348" s="51"/>
      <c r="BB348" s="51"/>
      <c r="BC348" s="144"/>
      <c r="BD348" s="51"/>
      <c r="BE348" s="51">
        <f>SUM(BE349:BE349)</f>
        <v>0</v>
      </c>
      <c r="BF348" s="51"/>
      <c r="BG348" s="51"/>
      <c r="BH348" s="144"/>
      <c r="BI348" s="51"/>
      <c r="BJ348" s="51">
        <f>SUM(BJ349:BJ349)</f>
        <v>0</v>
      </c>
      <c r="BK348" s="51"/>
      <c r="BL348" s="51"/>
      <c r="BM348" s="144"/>
      <c r="BN348" s="51"/>
      <c r="BO348" s="51">
        <f>SUM(BO349:BO349)</f>
        <v>0</v>
      </c>
      <c r="BP348" s="51"/>
      <c r="BQ348" s="51"/>
      <c r="BR348" s="144"/>
      <c r="BS348" s="51"/>
      <c r="BT348" s="51">
        <f>SUM(BT349:BT349)</f>
        <v>0</v>
      </c>
      <c r="BU348" s="51"/>
      <c r="BV348" s="51"/>
      <c r="BW348" s="144"/>
      <c r="BX348" s="51"/>
      <c r="BY348" s="51">
        <f>SUM(BY349:BY349)</f>
        <v>0</v>
      </c>
      <c r="BZ348" s="51"/>
      <c r="CA348" s="51"/>
      <c r="CB348" s="144"/>
      <c r="CC348" s="51"/>
      <c r="CD348" s="51">
        <f>SUM(CD349:CD349)</f>
        <v>0</v>
      </c>
      <c r="CE348" s="51"/>
      <c r="CF348" s="51"/>
      <c r="CG348" s="144"/>
      <c r="CH348" s="51"/>
      <c r="CI348" s="51">
        <f>SUM(CI349:CI349)</f>
        <v>0</v>
      </c>
      <c r="CJ348" s="51"/>
      <c r="CK348" s="51"/>
      <c r="CL348" s="144"/>
      <c r="CM348" s="51"/>
      <c r="CN348" s="51">
        <f>SUM(CN349:CN349)</f>
        <v>0</v>
      </c>
      <c r="CO348" s="51"/>
      <c r="CP348" s="51"/>
      <c r="CQ348" s="144"/>
      <c r="CR348" s="51"/>
      <c r="CS348" s="51">
        <f>SUM(CS349:CS349)</f>
        <v>0</v>
      </c>
      <c r="CT348" s="51"/>
      <c r="CU348" s="51"/>
      <c r="CV348" s="144"/>
      <c r="CW348" s="51"/>
      <c r="CX348" s="51">
        <f>SUM(CX349:CX349)</f>
        <v>0</v>
      </c>
      <c r="CY348" s="51"/>
      <c r="CZ348" s="51"/>
      <c r="DA348" s="144"/>
      <c r="DB348" s="51"/>
      <c r="DC348" s="51">
        <f>SUM(DC349:DC349)</f>
        <v>0</v>
      </c>
      <c r="DD348" s="51"/>
      <c r="DE348" s="51"/>
      <c r="DF348" s="144"/>
      <c r="DG348" s="51"/>
      <c r="DH348" s="51">
        <f>SUM(DH349:DH349)</f>
        <v>0</v>
      </c>
      <c r="DI348" s="51"/>
      <c r="DJ348" s="51"/>
      <c r="DK348" s="144"/>
      <c r="DL348" s="51"/>
      <c r="DM348" s="51">
        <f>SUM(DM349:DM349)</f>
        <v>0</v>
      </c>
      <c r="DN348" s="51"/>
      <c r="DO348" s="51"/>
      <c r="DP348" s="144"/>
      <c r="DQ348" s="51"/>
      <c r="DR348" s="51">
        <f>SUM(DR349:DR349)</f>
        <v>0</v>
      </c>
      <c r="DS348" s="51"/>
      <c r="DT348" s="51"/>
      <c r="DU348" s="144"/>
      <c r="DV348" s="51"/>
      <c r="DW348" s="51">
        <f>SUM(DW349:DW349)</f>
        <v>0</v>
      </c>
      <c r="DX348" s="51"/>
      <c r="DY348" s="51"/>
      <c r="DZ348" s="144"/>
      <c r="EA348" s="51"/>
      <c r="EB348" s="51">
        <f>SUM(EB349:EB349)</f>
        <v>0</v>
      </c>
      <c r="EC348" s="51"/>
      <c r="ED348" s="51"/>
      <c r="EE348" s="144"/>
      <c r="EF348" s="51"/>
      <c r="EG348" s="51">
        <f>SUM(EG349:EG349)</f>
        <v>0</v>
      </c>
      <c r="EH348" s="51"/>
      <c r="EI348" s="51"/>
      <c r="EJ348" s="144"/>
      <c r="EK348" s="51"/>
      <c r="EL348" s="51">
        <f>SUM(EL349:EL349)</f>
        <v>0</v>
      </c>
      <c r="EM348" s="51"/>
      <c r="EN348" s="41"/>
      <c r="EO348" s="348"/>
      <c r="EQ348" s="315"/>
    </row>
    <row r="349" spans="1:149" ht="12.75" hidden="1" customHeight="1" x14ac:dyDescent="0.2">
      <c r="A349" s="317"/>
      <c r="B349" s="317"/>
      <c r="D349" s="340" t="s">
        <v>183</v>
      </c>
      <c r="E349" s="453"/>
      <c r="F349" s="463"/>
      <c r="G349" s="438">
        <f>G352</f>
        <v>0</v>
      </c>
      <c r="H349" s="436"/>
      <c r="I349" s="51"/>
      <c r="J349" s="144"/>
      <c r="K349" s="437"/>
      <c r="L349" s="438">
        <f>L352</f>
        <v>0</v>
      </c>
      <c r="M349" s="436"/>
      <c r="N349" s="51"/>
      <c r="O349" s="144"/>
      <c r="P349" s="437"/>
      <c r="Q349" s="438">
        <f>Q352</f>
        <v>0</v>
      </c>
      <c r="R349" s="436"/>
      <c r="S349" s="51"/>
      <c r="T349" s="144"/>
      <c r="U349" s="437"/>
      <c r="V349" s="438">
        <f>V352</f>
        <v>0</v>
      </c>
      <c r="W349" s="436"/>
      <c r="X349" s="51"/>
      <c r="Y349" s="144"/>
      <c r="Z349" s="437"/>
      <c r="AA349" s="438">
        <f>AA352</f>
        <v>0</v>
      </c>
      <c r="AB349" s="436"/>
      <c r="AC349" s="51"/>
      <c r="AD349" s="144"/>
      <c r="AE349" s="437"/>
      <c r="AF349" s="438">
        <f>AF352</f>
        <v>0</v>
      </c>
      <c r="AG349" s="436"/>
      <c r="AH349" s="51"/>
      <c r="AI349" s="144"/>
      <c r="AJ349" s="437"/>
      <c r="AK349" s="438">
        <f>AK352</f>
        <v>0</v>
      </c>
      <c r="AL349" s="436"/>
      <c r="AM349" s="51"/>
      <c r="AN349" s="144"/>
      <c r="AO349" s="437"/>
      <c r="AP349" s="438">
        <f>AP352</f>
        <v>0</v>
      </c>
      <c r="AQ349" s="436"/>
      <c r="AR349" s="51"/>
      <c r="AS349" s="144"/>
      <c r="AT349" s="437"/>
      <c r="AU349" s="438">
        <f>AU352</f>
        <v>0</v>
      </c>
      <c r="AV349" s="436"/>
      <c r="AW349" s="51"/>
      <c r="AX349" s="144"/>
      <c r="AY349" s="437"/>
      <c r="AZ349" s="438">
        <f>AZ352</f>
        <v>0</v>
      </c>
      <c r="BA349" s="436"/>
      <c r="BB349" s="51"/>
      <c r="BC349" s="144"/>
      <c r="BD349" s="437"/>
      <c r="BE349" s="438">
        <f>BE352</f>
        <v>0</v>
      </c>
      <c r="BF349" s="436"/>
      <c r="BG349" s="51"/>
      <c r="BH349" s="144"/>
      <c r="BI349" s="437"/>
      <c r="BJ349" s="438">
        <f>BJ352</f>
        <v>0</v>
      </c>
      <c r="BK349" s="436"/>
      <c r="BL349" s="51"/>
      <c r="BM349" s="144"/>
      <c r="BN349" s="437"/>
      <c r="BO349" s="438">
        <f>BO352</f>
        <v>0</v>
      </c>
      <c r="BP349" s="436"/>
      <c r="BQ349" s="51"/>
      <c r="BR349" s="144"/>
      <c r="BS349" s="437"/>
      <c r="BT349" s="438">
        <f>SUM(L349:BO349)</f>
        <v>0</v>
      </c>
      <c r="BU349" s="436"/>
      <c r="BV349" s="51"/>
      <c r="BW349" s="144"/>
      <c r="BX349" s="437"/>
      <c r="BY349" s="438">
        <f>BY352</f>
        <v>0</v>
      </c>
      <c r="BZ349" s="436"/>
      <c r="CA349" s="51"/>
      <c r="CB349" s="144"/>
      <c r="CC349" s="437"/>
      <c r="CD349" s="438">
        <v>0</v>
      </c>
      <c r="CE349" s="436"/>
      <c r="CF349" s="51"/>
      <c r="CG349" s="144"/>
      <c r="CH349" s="437"/>
      <c r="CI349" s="438">
        <v>0</v>
      </c>
      <c r="CJ349" s="436"/>
      <c r="CK349" s="51"/>
      <c r="CL349" s="144"/>
      <c r="CM349" s="437"/>
      <c r="CN349" s="438">
        <v>0</v>
      </c>
      <c r="CO349" s="436"/>
      <c r="CP349" s="51"/>
      <c r="CQ349" s="144"/>
      <c r="CR349" s="437"/>
      <c r="CS349" s="438">
        <v>0</v>
      </c>
      <c r="CT349" s="436"/>
      <c r="CU349" s="51"/>
      <c r="CV349" s="144"/>
      <c r="CW349" s="437"/>
      <c r="CX349" s="438">
        <v>0</v>
      </c>
      <c r="CY349" s="436"/>
      <c r="CZ349" s="51"/>
      <c r="DA349" s="144"/>
      <c r="DB349" s="437"/>
      <c r="DC349" s="438">
        <v>0</v>
      </c>
      <c r="DD349" s="436"/>
      <c r="DE349" s="51"/>
      <c r="DF349" s="144"/>
      <c r="DG349" s="437"/>
      <c r="DH349" s="438">
        <v>0</v>
      </c>
      <c r="DI349" s="436"/>
      <c r="DJ349" s="51"/>
      <c r="DK349" s="144"/>
      <c r="DL349" s="437"/>
      <c r="DM349" s="438">
        <v>0</v>
      </c>
      <c r="DN349" s="436"/>
      <c r="DO349" s="51"/>
      <c r="DP349" s="144"/>
      <c r="DQ349" s="437"/>
      <c r="DR349" s="438">
        <v>0</v>
      </c>
      <c r="DS349" s="436"/>
      <c r="DT349" s="51"/>
      <c r="DU349" s="144"/>
      <c r="DV349" s="437"/>
      <c r="DW349" s="438">
        <v>0</v>
      </c>
      <c r="DX349" s="436"/>
      <c r="DY349" s="51"/>
      <c r="DZ349" s="144"/>
      <c r="EA349" s="437"/>
      <c r="EB349" s="438">
        <v>0</v>
      </c>
      <c r="EC349" s="436"/>
      <c r="ED349" s="51"/>
      <c r="EE349" s="144"/>
      <c r="EF349" s="437"/>
      <c r="EG349" s="438">
        <v>0</v>
      </c>
      <c r="EH349" s="436"/>
      <c r="EI349" s="51"/>
      <c r="EJ349" s="144"/>
      <c r="EK349" s="437"/>
      <c r="EL349" s="438">
        <f>SUM(CD349:CD349)</f>
        <v>0</v>
      </c>
      <c r="EM349" s="436"/>
      <c r="EN349" s="51"/>
      <c r="EO349" s="340"/>
      <c r="ER349" s="39"/>
      <c r="ES349" s="39"/>
    </row>
    <row r="350" spans="1:149" ht="12.75" hidden="1" customHeight="1" x14ac:dyDescent="0.2">
      <c r="A350" s="317"/>
      <c r="B350" s="317"/>
      <c r="D350" s="340"/>
      <c r="F350" s="317"/>
      <c r="G350" s="317"/>
      <c r="H350" s="51"/>
      <c r="I350" s="51"/>
      <c r="J350" s="144"/>
      <c r="K350" s="51"/>
      <c r="L350" s="317"/>
      <c r="M350" s="317"/>
      <c r="N350" s="317"/>
      <c r="O350" s="347"/>
      <c r="P350" s="317"/>
      <c r="Q350" s="317"/>
      <c r="R350" s="317"/>
      <c r="S350" s="317"/>
      <c r="T350" s="347"/>
      <c r="U350" s="317"/>
      <c r="V350" s="317"/>
      <c r="W350" s="317"/>
      <c r="X350" s="317"/>
      <c r="Y350" s="347"/>
      <c r="Z350" s="317"/>
      <c r="AA350" s="317"/>
      <c r="AB350" s="317"/>
      <c r="AC350" s="317"/>
      <c r="AD350" s="347"/>
      <c r="AE350" s="317"/>
      <c r="AF350" s="317"/>
      <c r="AG350" s="317"/>
      <c r="AH350" s="317"/>
      <c r="AI350" s="347"/>
      <c r="AJ350" s="317"/>
      <c r="AK350" s="317"/>
      <c r="AL350" s="317"/>
      <c r="AM350" s="317"/>
      <c r="AN350" s="347"/>
      <c r="AO350" s="317"/>
      <c r="AP350" s="317"/>
      <c r="AQ350" s="317"/>
      <c r="AR350" s="317"/>
      <c r="AS350" s="347"/>
      <c r="AT350" s="317"/>
      <c r="AU350" s="317"/>
      <c r="AV350" s="317"/>
      <c r="AW350" s="317"/>
      <c r="AX350" s="347"/>
      <c r="AY350" s="317"/>
      <c r="AZ350" s="317"/>
      <c r="BA350" s="317"/>
      <c r="BB350" s="317"/>
      <c r="BC350" s="347"/>
      <c r="BD350" s="317"/>
      <c r="BE350" s="317"/>
      <c r="BF350" s="317"/>
      <c r="BG350" s="317"/>
      <c r="BH350" s="347"/>
      <c r="BI350" s="317"/>
      <c r="BJ350" s="317"/>
      <c r="BK350" s="317"/>
      <c r="BL350" s="317"/>
      <c r="BM350" s="347"/>
      <c r="BN350" s="317"/>
      <c r="BO350" s="317"/>
      <c r="BP350" s="317"/>
      <c r="BQ350" s="317"/>
      <c r="BR350" s="347"/>
      <c r="BS350" s="317"/>
      <c r="BT350" s="317"/>
      <c r="BU350" s="317"/>
      <c r="BV350" s="317"/>
      <c r="BW350" s="347"/>
      <c r="BX350" s="317"/>
      <c r="BY350" s="317"/>
      <c r="BZ350" s="51"/>
      <c r="CA350" s="51"/>
      <c r="CB350" s="144"/>
      <c r="CC350" s="51"/>
      <c r="CD350" s="465"/>
      <c r="CE350" s="465"/>
      <c r="CF350" s="465"/>
      <c r="CG350" s="466"/>
      <c r="CH350" s="465"/>
      <c r="CI350" s="465"/>
      <c r="CJ350" s="465"/>
      <c r="CK350" s="465"/>
      <c r="CL350" s="466"/>
      <c r="CM350" s="465"/>
      <c r="CN350" s="465"/>
      <c r="CO350" s="465"/>
      <c r="CP350" s="465"/>
      <c r="CQ350" s="466"/>
      <c r="CR350" s="465"/>
      <c r="CS350" s="465"/>
      <c r="CT350" s="465"/>
      <c r="CU350" s="465"/>
      <c r="CV350" s="466"/>
      <c r="CW350" s="465"/>
      <c r="CX350" s="465"/>
      <c r="CY350" s="465"/>
      <c r="CZ350" s="465"/>
      <c r="DA350" s="466"/>
      <c r="DB350" s="465"/>
      <c r="DC350" s="465"/>
      <c r="DD350" s="465"/>
      <c r="DE350" s="465"/>
      <c r="DF350" s="466"/>
      <c r="DG350" s="465"/>
      <c r="DH350" s="465"/>
      <c r="DI350" s="465"/>
      <c r="DJ350" s="465"/>
      <c r="DK350" s="466"/>
      <c r="DL350" s="465"/>
      <c r="DM350" s="465"/>
      <c r="DN350" s="465"/>
      <c r="DO350" s="465"/>
      <c r="DP350" s="466"/>
      <c r="DQ350" s="465"/>
      <c r="DR350" s="465"/>
      <c r="DS350" s="465"/>
      <c r="DT350" s="465"/>
      <c r="DU350" s="466"/>
      <c r="DV350" s="465"/>
      <c r="DW350" s="465"/>
      <c r="DX350" s="465"/>
      <c r="DY350" s="465"/>
      <c r="DZ350" s="466"/>
      <c r="EA350" s="465"/>
      <c r="EB350" s="465"/>
      <c r="EC350" s="465"/>
      <c r="ED350" s="465"/>
      <c r="EE350" s="466"/>
      <c r="EF350" s="465"/>
      <c r="EG350" s="465"/>
      <c r="EH350" s="317"/>
      <c r="EI350" s="317"/>
      <c r="EJ350" s="347"/>
      <c r="EK350" s="317"/>
      <c r="EL350" s="317"/>
      <c r="EM350" s="317"/>
      <c r="EN350" s="317"/>
      <c r="EO350" s="340"/>
      <c r="ER350" s="39"/>
      <c r="ES350" s="39"/>
    </row>
    <row r="351" spans="1:149" ht="12.75" hidden="1" customHeight="1" x14ac:dyDescent="0.2">
      <c r="A351" s="317"/>
      <c r="B351" s="317"/>
      <c r="D351" s="340" t="s">
        <v>225</v>
      </c>
      <c r="F351" s="317"/>
      <c r="G351" s="51">
        <f>SUM(G352:G352)</f>
        <v>0</v>
      </c>
      <c r="H351" s="51"/>
      <c r="I351" s="51"/>
      <c r="J351" s="144"/>
      <c r="K351" s="51"/>
      <c r="L351" s="51">
        <f>SUM(L352:L352)</f>
        <v>0</v>
      </c>
      <c r="M351" s="51"/>
      <c r="N351" s="51"/>
      <c r="O351" s="144"/>
      <c r="P351" s="51"/>
      <c r="Q351" s="51">
        <f>SUM(Q352:Q352)</f>
        <v>0</v>
      </c>
      <c r="R351" s="51"/>
      <c r="S351" s="51"/>
      <c r="T351" s="144"/>
      <c r="U351" s="51"/>
      <c r="V351" s="51">
        <f>SUM(V352:V352)</f>
        <v>0</v>
      </c>
      <c r="W351" s="51"/>
      <c r="X351" s="51"/>
      <c r="Y351" s="144"/>
      <c r="Z351" s="51"/>
      <c r="AA351" s="51">
        <f>SUM(AA352:AA352)</f>
        <v>0</v>
      </c>
      <c r="AB351" s="51"/>
      <c r="AC351" s="51"/>
      <c r="AD351" s="144"/>
      <c r="AE351" s="51"/>
      <c r="AF351" s="51">
        <f>SUM(AF352:AF352)</f>
        <v>0</v>
      </c>
      <c r="AG351" s="51"/>
      <c r="AH351" s="51"/>
      <c r="AI351" s="144"/>
      <c r="AJ351" s="51"/>
      <c r="AK351" s="51">
        <f>SUM(AK352:AK352)</f>
        <v>0</v>
      </c>
      <c r="AL351" s="51"/>
      <c r="AM351" s="51"/>
      <c r="AN351" s="144"/>
      <c r="AO351" s="51"/>
      <c r="AP351" s="51">
        <f>SUM(AP352:AP352)</f>
        <v>0</v>
      </c>
      <c r="AQ351" s="51"/>
      <c r="AR351" s="51"/>
      <c r="AS351" s="144"/>
      <c r="AT351" s="51"/>
      <c r="AU351" s="51">
        <f>SUM(AU352:AU352)</f>
        <v>0</v>
      </c>
      <c r="AV351" s="51"/>
      <c r="AW351" s="51"/>
      <c r="AX351" s="144"/>
      <c r="AY351" s="51"/>
      <c r="AZ351" s="51">
        <f>SUM(AZ352:AZ352)</f>
        <v>0</v>
      </c>
      <c r="BA351" s="51"/>
      <c r="BB351" s="51"/>
      <c r="BC351" s="144"/>
      <c r="BD351" s="51"/>
      <c r="BE351" s="51">
        <f>SUM(BE352:BE352)</f>
        <v>0</v>
      </c>
      <c r="BF351" s="51"/>
      <c r="BG351" s="51"/>
      <c r="BH351" s="144"/>
      <c r="BI351" s="51"/>
      <c r="BJ351" s="51">
        <f>SUM(BJ352:BJ352)</f>
        <v>0</v>
      </c>
      <c r="BK351" s="51"/>
      <c r="BL351" s="51"/>
      <c r="BM351" s="144"/>
      <c r="BN351" s="51"/>
      <c r="BO351" s="51">
        <f>SUM(BO352:BO352)</f>
        <v>0</v>
      </c>
      <c r="BP351" s="51"/>
      <c r="BQ351" s="51"/>
      <c r="BR351" s="144"/>
      <c r="BS351" s="51"/>
      <c r="BT351" s="51">
        <f>SUM(BT352:BT352)</f>
        <v>0</v>
      </c>
      <c r="BU351" s="51"/>
      <c r="BV351" s="51"/>
      <c r="BW351" s="144"/>
      <c r="BX351" s="51"/>
      <c r="BY351" s="51">
        <f>SUM(BY352:BY352)</f>
        <v>0</v>
      </c>
      <c r="BZ351" s="51"/>
      <c r="CA351" s="51"/>
      <c r="CB351" s="144"/>
      <c r="CC351" s="51"/>
      <c r="CD351" s="51">
        <f>SUM(CD352:CD352)</f>
        <v>0</v>
      </c>
      <c r="CE351" s="51"/>
      <c r="CF351" s="51"/>
      <c r="CG351" s="144"/>
      <c r="CH351" s="51"/>
      <c r="CI351" s="51">
        <f>SUM(CI352:CI352)</f>
        <v>0</v>
      </c>
      <c r="CJ351" s="51"/>
      <c r="CK351" s="51"/>
      <c r="CL351" s="144"/>
      <c r="CM351" s="51"/>
      <c r="CN351" s="51">
        <f>SUM(CN352:CN352)</f>
        <v>0</v>
      </c>
      <c r="CO351" s="51"/>
      <c r="CP351" s="51"/>
      <c r="CQ351" s="144"/>
      <c r="CR351" s="51"/>
      <c r="CS351" s="51">
        <f>SUM(CS352:CS352)</f>
        <v>0</v>
      </c>
      <c r="CT351" s="51"/>
      <c r="CU351" s="51"/>
      <c r="CV351" s="144"/>
      <c r="CW351" s="51"/>
      <c r="CX351" s="51">
        <f>SUM(CX352:CX352)</f>
        <v>0</v>
      </c>
      <c r="CY351" s="51"/>
      <c r="CZ351" s="51"/>
      <c r="DA351" s="144"/>
      <c r="DB351" s="51"/>
      <c r="DC351" s="51">
        <f>SUM(DC352:DC352)</f>
        <v>0</v>
      </c>
      <c r="DD351" s="51"/>
      <c r="DE351" s="51"/>
      <c r="DF351" s="144"/>
      <c r="DG351" s="51"/>
      <c r="DH351" s="51">
        <f>SUM(DH352:DH352)</f>
        <v>0</v>
      </c>
      <c r="DI351" s="51"/>
      <c r="DJ351" s="51"/>
      <c r="DK351" s="144"/>
      <c r="DL351" s="51"/>
      <c r="DM351" s="51">
        <f>SUM(DM352:DM352)</f>
        <v>0</v>
      </c>
      <c r="DN351" s="51"/>
      <c r="DO351" s="51"/>
      <c r="DP351" s="144"/>
      <c r="DQ351" s="51"/>
      <c r="DR351" s="51">
        <f>SUM(DR352:DR352)</f>
        <v>0</v>
      </c>
      <c r="DS351" s="51"/>
      <c r="DT351" s="51"/>
      <c r="DU351" s="144"/>
      <c r="DV351" s="51"/>
      <c r="DW351" s="51">
        <f>SUM(DW352:DW352)</f>
        <v>0</v>
      </c>
      <c r="DX351" s="51"/>
      <c r="DY351" s="51"/>
      <c r="DZ351" s="144"/>
      <c r="EA351" s="51"/>
      <c r="EB351" s="51">
        <f>SUM(EB352:EB352)</f>
        <v>0</v>
      </c>
      <c r="EC351" s="51"/>
      <c r="ED351" s="51"/>
      <c r="EE351" s="144"/>
      <c r="EF351" s="51"/>
      <c r="EG351" s="51">
        <f>SUM(EG352:EG352)</f>
        <v>0</v>
      </c>
      <c r="EH351" s="51"/>
      <c r="EI351" s="51"/>
      <c r="EJ351" s="144"/>
      <c r="EK351" s="51"/>
      <c r="EL351" s="51">
        <f>SUM(EL352:EL352)</f>
        <v>0</v>
      </c>
      <c r="EM351" s="51"/>
      <c r="EN351" s="51"/>
      <c r="EO351" s="340"/>
      <c r="ER351" s="39"/>
      <c r="ES351" s="39"/>
    </row>
    <row r="352" spans="1:149" ht="12.75" hidden="1" customHeight="1" x14ac:dyDescent="0.2">
      <c r="A352" s="317"/>
      <c r="B352" s="317"/>
      <c r="D352" s="340" t="s">
        <v>183</v>
      </c>
      <c r="F352" s="434"/>
      <c r="G352" s="438">
        <v>0</v>
      </c>
      <c r="H352" s="436"/>
      <c r="I352" s="51"/>
      <c r="J352" s="144"/>
      <c r="K352" s="437"/>
      <c r="L352" s="438">
        <v>0</v>
      </c>
      <c r="M352" s="436"/>
      <c r="N352" s="51"/>
      <c r="O352" s="144"/>
      <c r="P352" s="437"/>
      <c r="Q352" s="438">
        <v>0</v>
      </c>
      <c r="R352" s="436"/>
      <c r="S352" s="51"/>
      <c r="T352" s="144"/>
      <c r="U352" s="437"/>
      <c r="V352" s="438">
        <v>0</v>
      </c>
      <c r="W352" s="436"/>
      <c r="X352" s="51"/>
      <c r="Y352" s="144"/>
      <c r="Z352" s="437"/>
      <c r="AA352" s="438">
        <v>0</v>
      </c>
      <c r="AB352" s="436"/>
      <c r="AC352" s="51"/>
      <c r="AD352" s="144"/>
      <c r="AE352" s="437"/>
      <c r="AF352" s="438">
        <v>0</v>
      </c>
      <c r="AG352" s="436"/>
      <c r="AH352" s="51"/>
      <c r="AI352" s="144"/>
      <c r="AJ352" s="437"/>
      <c r="AK352" s="438">
        <v>0</v>
      </c>
      <c r="AL352" s="436"/>
      <c r="AM352" s="51"/>
      <c r="AN352" s="144"/>
      <c r="AO352" s="437"/>
      <c r="AP352" s="438">
        <v>0</v>
      </c>
      <c r="AQ352" s="436"/>
      <c r="AR352" s="51"/>
      <c r="AS352" s="144"/>
      <c r="AT352" s="437"/>
      <c r="AU352" s="438">
        <v>0</v>
      </c>
      <c r="AV352" s="436"/>
      <c r="AW352" s="51"/>
      <c r="AX352" s="144"/>
      <c r="AY352" s="437"/>
      <c r="AZ352" s="438">
        <v>0</v>
      </c>
      <c r="BA352" s="436"/>
      <c r="BB352" s="51"/>
      <c r="BC352" s="144"/>
      <c r="BD352" s="437"/>
      <c r="BE352" s="438">
        <v>0</v>
      </c>
      <c r="BF352" s="436"/>
      <c r="BG352" s="51"/>
      <c r="BH352" s="144"/>
      <c r="BI352" s="437"/>
      <c r="BJ352" s="438">
        <v>0</v>
      </c>
      <c r="BK352" s="436"/>
      <c r="BL352" s="51"/>
      <c r="BM352" s="144"/>
      <c r="BN352" s="437"/>
      <c r="BO352" s="438">
        <v>0</v>
      </c>
      <c r="BP352" s="436"/>
      <c r="BQ352" s="51"/>
      <c r="BR352" s="144"/>
      <c r="BS352" s="437"/>
      <c r="BT352" s="438">
        <f>SUM(L352:BO352)</f>
        <v>0</v>
      </c>
      <c r="BU352" s="436"/>
      <c r="BV352" s="51"/>
      <c r="BW352" s="144"/>
      <c r="BX352" s="437"/>
      <c r="BY352" s="438">
        <v>0</v>
      </c>
      <c r="BZ352" s="436"/>
      <c r="CA352" s="51"/>
      <c r="CB352" s="144"/>
      <c r="CC352" s="437"/>
      <c r="CD352" s="438">
        <v>0</v>
      </c>
      <c r="CE352" s="436"/>
      <c r="CF352" s="51"/>
      <c r="CG352" s="144"/>
      <c r="CH352" s="437"/>
      <c r="CI352" s="438">
        <v>0</v>
      </c>
      <c r="CJ352" s="436"/>
      <c r="CK352" s="51"/>
      <c r="CL352" s="144"/>
      <c r="CM352" s="437"/>
      <c r="CN352" s="438">
        <v>0</v>
      </c>
      <c r="CO352" s="436"/>
      <c r="CP352" s="51"/>
      <c r="CQ352" s="144"/>
      <c r="CR352" s="437"/>
      <c r="CS352" s="438">
        <v>0</v>
      </c>
      <c r="CT352" s="436"/>
      <c r="CU352" s="51"/>
      <c r="CV352" s="144"/>
      <c r="CW352" s="437"/>
      <c r="CX352" s="438">
        <v>0</v>
      </c>
      <c r="CY352" s="436"/>
      <c r="CZ352" s="51"/>
      <c r="DA352" s="144"/>
      <c r="DB352" s="437"/>
      <c r="DC352" s="438">
        <v>0</v>
      </c>
      <c r="DD352" s="436"/>
      <c r="DE352" s="51"/>
      <c r="DF352" s="144"/>
      <c r="DG352" s="437"/>
      <c r="DH352" s="438">
        <v>0</v>
      </c>
      <c r="DI352" s="436"/>
      <c r="DJ352" s="51"/>
      <c r="DK352" s="144"/>
      <c r="DL352" s="437"/>
      <c r="DM352" s="438">
        <v>0</v>
      </c>
      <c r="DN352" s="436"/>
      <c r="DO352" s="51"/>
      <c r="DP352" s="144"/>
      <c r="DQ352" s="437"/>
      <c r="DR352" s="438">
        <v>0</v>
      </c>
      <c r="DS352" s="436"/>
      <c r="DT352" s="51"/>
      <c r="DU352" s="144"/>
      <c r="DV352" s="437"/>
      <c r="DW352" s="438">
        <v>0</v>
      </c>
      <c r="DX352" s="436"/>
      <c r="DY352" s="51"/>
      <c r="DZ352" s="144"/>
      <c r="EA352" s="437"/>
      <c r="EB352" s="438">
        <v>0</v>
      </c>
      <c r="EC352" s="436"/>
      <c r="ED352" s="51"/>
      <c r="EE352" s="144"/>
      <c r="EF352" s="437"/>
      <c r="EG352" s="438">
        <v>0</v>
      </c>
      <c r="EH352" s="436"/>
      <c r="EI352" s="51"/>
      <c r="EJ352" s="144"/>
      <c r="EK352" s="437"/>
      <c r="EL352" s="438">
        <f>SUM(CD352:CN352)</f>
        <v>0</v>
      </c>
      <c r="EM352" s="436"/>
      <c r="EN352" s="51"/>
      <c r="EO352" s="340"/>
      <c r="ER352" s="39"/>
      <c r="ES352" s="39"/>
    </row>
    <row r="353" spans="1:149" ht="12.75" hidden="1" customHeight="1" x14ac:dyDescent="0.2">
      <c r="A353" s="317"/>
      <c r="B353" s="317"/>
      <c r="D353" s="340"/>
      <c r="F353" s="317"/>
      <c r="G353" s="51"/>
      <c r="H353" s="51"/>
      <c r="I353" s="51"/>
      <c r="J353" s="144"/>
      <c r="K353" s="51"/>
      <c r="L353" s="51"/>
      <c r="M353" s="51"/>
      <c r="N353" s="51"/>
      <c r="O353" s="144"/>
      <c r="P353" s="51"/>
      <c r="Q353" s="51"/>
      <c r="R353" s="51"/>
      <c r="S353" s="51"/>
      <c r="T353" s="144"/>
      <c r="U353" s="51"/>
      <c r="V353" s="51"/>
      <c r="W353" s="51"/>
      <c r="X353" s="51"/>
      <c r="Y353" s="144"/>
      <c r="Z353" s="51"/>
      <c r="AA353" s="51"/>
      <c r="AB353" s="51"/>
      <c r="AC353" s="51"/>
      <c r="AD353" s="144"/>
      <c r="AE353" s="51"/>
      <c r="AF353" s="51"/>
      <c r="AG353" s="51"/>
      <c r="AH353" s="51"/>
      <c r="AI353" s="144"/>
      <c r="AJ353" s="51"/>
      <c r="AK353" s="51"/>
      <c r="AL353" s="51"/>
      <c r="AM353" s="51"/>
      <c r="AN353" s="144"/>
      <c r="AO353" s="51"/>
      <c r="AP353" s="51"/>
      <c r="AQ353" s="51"/>
      <c r="AR353" s="51"/>
      <c r="AS353" s="144"/>
      <c r="AT353" s="51"/>
      <c r="AU353" s="51"/>
      <c r="AV353" s="51"/>
      <c r="AW353" s="51"/>
      <c r="AX353" s="144"/>
      <c r="AY353" s="51"/>
      <c r="AZ353" s="51"/>
      <c r="BA353" s="51"/>
      <c r="BB353" s="51"/>
      <c r="BC353" s="144"/>
      <c r="BD353" s="51"/>
      <c r="BE353" s="51"/>
      <c r="BF353" s="51"/>
      <c r="BG353" s="51"/>
      <c r="BH353" s="144"/>
      <c r="BI353" s="51"/>
      <c r="BJ353" s="51"/>
      <c r="BK353" s="51"/>
      <c r="BL353" s="51"/>
      <c r="BM353" s="144"/>
      <c r="BN353" s="51"/>
      <c r="BO353" s="51"/>
      <c r="BP353" s="51"/>
      <c r="BQ353" s="51"/>
      <c r="BR353" s="144"/>
      <c r="BS353" s="51"/>
      <c r="BT353" s="51"/>
      <c r="BU353" s="51"/>
      <c r="BV353" s="51"/>
      <c r="BW353" s="144"/>
      <c r="BX353" s="51"/>
      <c r="BY353" s="51"/>
      <c r="BZ353" s="51"/>
      <c r="CA353" s="51"/>
      <c r="CB353" s="144"/>
      <c r="CC353" s="51"/>
      <c r="CD353" s="51"/>
      <c r="CE353" s="51"/>
      <c r="CF353" s="51"/>
      <c r="CG353" s="144"/>
      <c r="CH353" s="51"/>
      <c r="CI353" s="51"/>
      <c r="CJ353" s="51"/>
      <c r="CK353" s="51"/>
      <c r="CL353" s="144"/>
      <c r="CM353" s="51"/>
      <c r="CN353" s="51"/>
      <c r="CO353" s="51"/>
      <c r="CP353" s="51"/>
      <c r="CQ353" s="144"/>
      <c r="CR353" s="51"/>
      <c r="CS353" s="51"/>
      <c r="CT353" s="51"/>
      <c r="CU353" s="51"/>
      <c r="CV353" s="144"/>
      <c r="CW353" s="51"/>
      <c r="CX353" s="51"/>
      <c r="CY353" s="51"/>
      <c r="CZ353" s="51"/>
      <c r="DA353" s="144"/>
      <c r="DB353" s="51"/>
      <c r="DC353" s="51"/>
      <c r="DD353" s="51"/>
      <c r="DE353" s="51"/>
      <c r="DF353" s="144"/>
      <c r="DG353" s="51"/>
      <c r="DH353" s="51"/>
      <c r="DI353" s="51"/>
      <c r="DJ353" s="51"/>
      <c r="DK353" s="144"/>
      <c r="DL353" s="51"/>
      <c r="DM353" s="51"/>
      <c r="DN353" s="51"/>
      <c r="DO353" s="51"/>
      <c r="DP353" s="144"/>
      <c r="DQ353" s="51"/>
      <c r="DR353" s="51"/>
      <c r="DS353" s="51"/>
      <c r="DT353" s="51"/>
      <c r="DU353" s="144"/>
      <c r="DV353" s="51"/>
      <c r="DW353" s="51"/>
      <c r="DX353" s="51"/>
      <c r="DY353" s="51"/>
      <c r="DZ353" s="144"/>
      <c r="EA353" s="51"/>
      <c r="EB353" s="51"/>
      <c r="EC353" s="51"/>
      <c r="ED353" s="51"/>
      <c r="EE353" s="144"/>
      <c r="EF353" s="51"/>
      <c r="EG353" s="51"/>
      <c r="EH353" s="51"/>
      <c r="EI353" s="51"/>
      <c r="EJ353" s="144"/>
      <c r="EK353" s="51"/>
      <c r="EL353" s="51"/>
      <c r="EM353" s="51"/>
      <c r="EN353" s="51"/>
      <c r="EO353" s="340"/>
      <c r="ER353" s="39"/>
      <c r="ES353" s="39"/>
    </row>
    <row r="354" spans="1:149" ht="12.75" hidden="1" customHeight="1" x14ac:dyDescent="0.2">
      <c r="A354" s="317"/>
      <c r="B354" s="317"/>
      <c r="D354" s="340" t="s">
        <v>225</v>
      </c>
      <c r="F354" s="317"/>
      <c r="G354" s="51">
        <f>SUM(G355:G355)</f>
        <v>0</v>
      </c>
      <c r="H354" s="51"/>
      <c r="I354" s="51"/>
      <c r="J354" s="144"/>
      <c r="K354" s="51"/>
      <c r="L354" s="51">
        <f>SUM(L355:L355)</f>
        <v>0</v>
      </c>
      <c r="M354" s="51"/>
      <c r="N354" s="51"/>
      <c r="O354" s="144"/>
      <c r="P354" s="51"/>
      <c r="Q354" s="51">
        <f>SUM(Q355:Q355)</f>
        <v>0</v>
      </c>
      <c r="R354" s="51"/>
      <c r="S354" s="51"/>
      <c r="T354" s="144"/>
      <c r="U354" s="51"/>
      <c r="V354" s="51">
        <f>SUM(V355:V355)</f>
        <v>0</v>
      </c>
      <c r="W354" s="51"/>
      <c r="X354" s="51"/>
      <c r="Y354" s="144"/>
      <c r="Z354" s="51">
        <f t="shared" ref="Z354:BQ354" si="28">SUM(Z355:Z355)</f>
        <v>0</v>
      </c>
      <c r="AA354" s="51">
        <f>SUM(AA355:AA355)</f>
        <v>0</v>
      </c>
      <c r="AB354" s="51">
        <f t="shared" si="28"/>
        <v>0</v>
      </c>
      <c r="AC354" s="51">
        <f t="shared" si="28"/>
        <v>0</v>
      </c>
      <c r="AD354" s="144">
        <f t="shared" si="28"/>
        <v>0</v>
      </c>
      <c r="AE354" s="51">
        <f t="shared" si="28"/>
        <v>0</v>
      </c>
      <c r="AF354" s="51">
        <f>SUM(AF355:AF355)</f>
        <v>0</v>
      </c>
      <c r="AG354" s="51">
        <f t="shared" si="28"/>
        <v>0</v>
      </c>
      <c r="AH354" s="51">
        <f t="shared" si="28"/>
        <v>0</v>
      </c>
      <c r="AI354" s="144">
        <f t="shared" si="28"/>
        <v>0</v>
      </c>
      <c r="AJ354" s="51">
        <f t="shared" si="28"/>
        <v>0</v>
      </c>
      <c r="AK354" s="51">
        <f>SUM(AK355:AK355)</f>
        <v>0</v>
      </c>
      <c r="AL354" s="51">
        <f t="shared" si="28"/>
        <v>0</v>
      </c>
      <c r="AM354" s="51">
        <f t="shared" si="28"/>
        <v>0</v>
      </c>
      <c r="AN354" s="144">
        <f t="shared" si="28"/>
        <v>0</v>
      </c>
      <c r="AO354" s="51">
        <f t="shared" si="28"/>
        <v>0</v>
      </c>
      <c r="AP354" s="51">
        <f>SUM(AP355:AP355)</f>
        <v>0</v>
      </c>
      <c r="AQ354" s="51">
        <f t="shared" si="28"/>
        <v>0</v>
      </c>
      <c r="AR354" s="51">
        <f t="shared" si="28"/>
        <v>0</v>
      </c>
      <c r="AS354" s="144">
        <f t="shared" si="28"/>
        <v>0</v>
      </c>
      <c r="AT354" s="51">
        <f t="shared" si="28"/>
        <v>0</v>
      </c>
      <c r="AU354" s="51">
        <f>SUM(AU355:AU355)</f>
        <v>0</v>
      </c>
      <c r="AV354" s="51">
        <f t="shared" si="28"/>
        <v>0</v>
      </c>
      <c r="AW354" s="51">
        <f t="shared" si="28"/>
        <v>0</v>
      </c>
      <c r="AX354" s="144">
        <f t="shared" si="28"/>
        <v>0</v>
      </c>
      <c r="AY354" s="51">
        <f t="shared" si="28"/>
        <v>0</v>
      </c>
      <c r="AZ354" s="51">
        <f>SUM(AZ355:AZ355)</f>
        <v>0</v>
      </c>
      <c r="BA354" s="51">
        <f t="shared" si="28"/>
        <v>0</v>
      </c>
      <c r="BB354" s="51">
        <f t="shared" si="28"/>
        <v>0</v>
      </c>
      <c r="BC354" s="144">
        <f t="shared" si="28"/>
        <v>0</v>
      </c>
      <c r="BD354" s="51">
        <f t="shared" si="28"/>
        <v>0</v>
      </c>
      <c r="BE354" s="51">
        <f>SUM(BE355:BE355)</f>
        <v>0</v>
      </c>
      <c r="BF354" s="51">
        <f t="shared" si="28"/>
        <v>0</v>
      </c>
      <c r="BG354" s="51">
        <f t="shared" si="28"/>
        <v>0</v>
      </c>
      <c r="BH354" s="144">
        <f t="shared" si="28"/>
        <v>0</v>
      </c>
      <c r="BI354" s="51">
        <f t="shared" si="28"/>
        <v>0</v>
      </c>
      <c r="BJ354" s="51">
        <f>SUM(BJ355:BJ355)</f>
        <v>0</v>
      </c>
      <c r="BK354" s="51">
        <f t="shared" si="28"/>
        <v>0</v>
      </c>
      <c r="BL354" s="51">
        <f t="shared" si="28"/>
        <v>0</v>
      </c>
      <c r="BM354" s="144">
        <f t="shared" si="28"/>
        <v>0</v>
      </c>
      <c r="BN354" s="51">
        <f t="shared" si="28"/>
        <v>0</v>
      </c>
      <c r="BO354" s="51">
        <f>SUM(BO355:BO355)</f>
        <v>0</v>
      </c>
      <c r="BP354" s="51">
        <f t="shared" si="28"/>
        <v>0</v>
      </c>
      <c r="BQ354" s="51">
        <f t="shared" si="28"/>
        <v>0</v>
      </c>
      <c r="BR354" s="144"/>
      <c r="BS354" s="51"/>
      <c r="BT354" s="51">
        <f>SUM(BT355:BT355)</f>
        <v>0</v>
      </c>
      <c r="BU354" s="51"/>
      <c r="BV354" s="51"/>
      <c r="BW354" s="144"/>
      <c r="BX354" s="51"/>
      <c r="BY354" s="51">
        <f>SUM(BY355:BY355)</f>
        <v>0</v>
      </c>
      <c r="BZ354" s="51"/>
      <c r="CA354" s="51"/>
      <c r="CB354" s="144"/>
      <c r="CC354" s="51"/>
      <c r="CD354" s="317">
        <f>SUM(CD355:CD355)</f>
        <v>0</v>
      </c>
      <c r="CE354" s="51">
        <f>SUM(CE355:CE355)</f>
        <v>0</v>
      </c>
      <c r="CF354" s="51"/>
      <c r="CG354" s="144"/>
      <c r="CH354" s="317"/>
      <c r="CI354" s="317">
        <f>SUM(CI355:CI355)</f>
        <v>0</v>
      </c>
      <c r="CJ354" s="51"/>
      <c r="CK354" s="51"/>
      <c r="CL354" s="144"/>
      <c r="CM354" s="317"/>
      <c r="CN354" s="317">
        <f>SUM(CN355:CN355)</f>
        <v>0</v>
      </c>
      <c r="CO354" s="51"/>
      <c r="CP354" s="51"/>
      <c r="CQ354" s="144"/>
      <c r="CR354" s="317"/>
      <c r="CS354" s="317">
        <f>SUM(CS355:CS355)</f>
        <v>0</v>
      </c>
      <c r="CT354" s="51"/>
      <c r="CU354" s="51"/>
      <c r="CV354" s="144"/>
      <c r="CW354" s="317"/>
      <c r="CX354" s="317">
        <f>SUM(CX355:CX355)</f>
        <v>0</v>
      </c>
      <c r="CY354" s="51"/>
      <c r="CZ354" s="51"/>
      <c r="DA354" s="144"/>
      <c r="DB354" s="317"/>
      <c r="DC354" s="317">
        <f>SUM(DC355:DC355)</f>
        <v>0</v>
      </c>
      <c r="DD354" s="51"/>
      <c r="DE354" s="51"/>
      <c r="DF354" s="144"/>
      <c r="DG354" s="317"/>
      <c r="DH354" s="317">
        <f>SUM(DH355:DH355)</f>
        <v>0</v>
      </c>
      <c r="DI354" s="51"/>
      <c r="DJ354" s="51"/>
      <c r="DK354" s="144"/>
      <c r="DL354" s="317"/>
      <c r="DM354" s="317">
        <f>SUM(DM355:DM355)</f>
        <v>0</v>
      </c>
      <c r="DN354" s="51"/>
      <c r="DO354" s="51"/>
      <c r="DP354" s="144"/>
      <c r="DQ354" s="317"/>
      <c r="DR354" s="317">
        <f>SUM(DR355:DR355)</f>
        <v>0</v>
      </c>
      <c r="DS354" s="51"/>
      <c r="DT354" s="51"/>
      <c r="DU354" s="144"/>
      <c r="DV354" s="317"/>
      <c r="DW354" s="317">
        <f>SUM(DW355:DW355)</f>
        <v>0</v>
      </c>
      <c r="DX354" s="51"/>
      <c r="DY354" s="51"/>
      <c r="DZ354" s="144"/>
      <c r="EA354" s="317"/>
      <c r="EB354" s="317">
        <f>SUM(EB355:EB355)</f>
        <v>0</v>
      </c>
      <c r="EC354" s="51"/>
      <c r="ED354" s="51"/>
      <c r="EE354" s="144"/>
      <c r="EF354" s="317"/>
      <c r="EG354" s="51">
        <f>SUM(EG355:EG355)</f>
        <v>0</v>
      </c>
      <c r="EH354" s="51">
        <f>SUM(EH355:EH355)</f>
        <v>0</v>
      </c>
      <c r="EI354" s="51">
        <f>SUM(EI355:EI355)</f>
        <v>0</v>
      </c>
      <c r="EJ354" s="144"/>
      <c r="EK354" s="51"/>
      <c r="EL354" s="51">
        <f>SUM(EL355:EL355)</f>
        <v>0</v>
      </c>
      <c r="EM354" s="51"/>
      <c r="EN354" s="51"/>
      <c r="EO354" s="340"/>
      <c r="ER354" s="39"/>
      <c r="ES354" s="39"/>
    </row>
    <row r="355" spans="1:149" ht="12.75" hidden="1" customHeight="1" x14ac:dyDescent="0.2">
      <c r="A355" s="317"/>
      <c r="B355" s="317"/>
      <c r="D355" s="340" t="s">
        <v>183</v>
      </c>
      <c r="F355" s="434"/>
      <c r="G355" s="438">
        <v>0</v>
      </c>
      <c r="H355" s="436"/>
      <c r="I355" s="51"/>
      <c r="J355" s="144"/>
      <c r="K355" s="437"/>
      <c r="L355" s="438">
        <v>0</v>
      </c>
      <c r="M355" s="436"/>
      <c r="N355" s="51"/>
      <c r="O355" s="144"/>
      <c r="P355" s="437"/>
      <c r="Q355" s="438">
        <v>0</v>
      </c>
      <c r="R355" s="436"/>
      <c r="S355" s="51"/>
      <c r="T355" s="144"/>
      <c r="U355" s="437"/>
      <c r="V355" s="438">
        <v>0</v>
      </c>
      <c r="W355" s="436"/>
      <c r="X355" s="51"/>
      <c r="Y355" s="144"/>
      <c r="Z355" s="437"/>
      <c r="AA355" s="438">
        <v>0</v>
      </c>
      <c r="AB355" s="436"/>
      <c r="AC355" s="51"/>
      <c r="AD355" s="144"/>
      <c r="AE355" s="437"/>
      <c r="AF355" s="438">
        <v>0</v>
      </c>
      <c r="AG355" s="436"/>
      <c r="AH355" s="51"/>
      <c r="AI355" s="144"/>
      <c r="AJ355" s="437"/>
      <c r="AK355" s="438">
        <v>0</v>
      </c>
      <c r="AL355" s="436"/>
      <c r="AM355" s="51"/>
      <c r="AN355" s="144"/>
      <c r="AO355" s="437"/>
      <c r="AP355" s="438">
        <v>0</v>
      </c>
      <c r="AQ355" s="436"/>
      <c r="AR355" s="51"/>
      <c r="AS355" s="144"/>
      <c r="AT355" s="437"/>
      <c r="AU355" s="438">
        <v>0</v>
      </c>
      <c r="AV355" s="436"/>
      <c r="AW355" s="51"/>
      <c r="AX355" s="144"/>
      <c r="AY355" s="437"/>
      <c r="AZ355" s="438">
        <v>0</v>
      </c>
      <c r="BA355" s="436"/>
      <c r="BB355" s="51"/>
      <c r="BC355" s="144"/>
      <c r="BD355" s="437"/>
      <c r="BE355" s="438">
        <v>0</v>
      </c>
      <c r="BF355" s="436"/>
      <c r="BG355" s="51"/>
      <c r="BH355" s="144"/>
      <c r="BI355" s="437"/>
      <c r="BJ355" s="438">
        <v>0</v>
      </c>
      <c r="BK355" s="436"/>
      <c r="BL355" s="51"/>
      <c r="BM355" s="144"/>
      <c r="BN355" s="437"/>
      <c r="BO355" s="438">
        <v>0</v>
      </c>
      <c r="BP355" s="436"/>
      <c r="BQ355" s="51"/>
      <c r="BR355" s="144"/>
      <c r="BS355" s="437"/>
      <c r="BT355" s="438">
        <f>SUM(L355:BO355)</f>
        <v>0</v>
      </c>
      <c r="BU355" s="436"/>
      <c r="BV355" s="51"/>
      <c r="BW355" s="144"/>
      <c r="BX355" s="437"/>
      <c r="BY355" s="438">
        <v>0</v>
      </c>
      <c r="BZ355" s="436"/>
      <c r="CA355" s="51"/>
      <c r="CB355" s="144"/>
      <c r="CC355" s="437"/>
      <c r="CD355" s="438">
        <v>0</v>
      </c>
      <c r="CE355" s="436"/>
      <c r="CF355" s="47"/>
      <c r="CG355" s="144"/>
      <c r="CH355" s="434"/>
      <c r="CI355" s="438">
        <v>0</v>
      </c>
      <c r="CJ355" s="436"/>
      <c r="CK355" s="51"/>
      <c r="CL355" s="144"/>
      <c r="CM355" s="434"/>
      <c r="CN355" s="438">
        <v>0</v>
      </c>
      <c r="CO355" s="436"/>
      <c r="CP355" s="51"/>
      <c r="CQ355" s="144"/>
      <c r="CR355" s="434"/>
      <c r="CS355" s="438">
        <v>0</v>
      </c>
      <c r="CT355" s="436"/>
      <c r="CU355" s="51"/>
      <c r="CV355" s="144"/>
      <c r="CW355" s="434"/>
      <c r="CX355" s="438">
        <v>0</v>
      </c>
      <c r="CY355" s="436"/>
      <c r="CZ355" s="51"/>
      <c r="DA355" s="144"/>
      <c r="DB355" s="434"/>
      <c r="DC355" s="438">
        <v>0</v>
      </c>
      <c r="DD355" s="436"/>
      <c r="DE355" s="51"/>
      <c r="DF355" s="144"/>
      <c r="DG355" s="434"/>
      <c r="DH355" s="438">
        <v>0</v>
      </c>
      <c r="DI355" s="436"/>
      <c r="DJ355" s="51"/>
      <c r="DK355" s="144"/>
      <c r="DL355" s="434"/>
      <c r="DM355" s="438">
        <v>0</v>
      </c>
      <c r="DN355" s="436"/>
      <c r="DO355" s="51"/>
      <c r="DP355" s="144"/>
      <c r="DQ355" s="434"/>
      <c r="DR355" s="438">
        <v>0</v>
      </c>
      <c r="DS355" s="436"/>
      <c r="DT355" s="51"/>
      <c r="DU355" s="144"/>
      <c r="DV355" s="434"/>
      <c r="DW355" s="438">
        <v>0</v>
      </c>
      <c r="DX355" s="436"/>
      <c r="DY355" s="51"/>
      <c r="DZ355" s="144"/>
      <c r="EA355" s="434"/>
      <c r="EB355" s="438">
        <v>0</v>
      </c>
      <c r="EC355" s="436"/>
      <c r="ED355" s="51"/>
      <c r="EE355" s="144"/>
      <c r="EF355" s="434"/>
      <c r="EG355" s="438">
        <v>0</v>
      </c>
      <c r="EH355" s="436"/>
      <c r="EI355" s="51"/>
      <c r="EJ355" s="144"/>
      <c r="EK355" s="437"/>
      <c r="EL355" s="438">
        <f>SUM(CD355:CN355)</f>
        <v>0</v>
      </c>
      <c r="EM355" s="436"/>
      <c r="EN355" s="51"/>
      <c r="EO355" s="340"/>
      <c r="ER355" s="39"/>
      <c r="ES355" s="39"/>
    </row>
    <row r="356" spans="1:149" ht="12.75" hidden="1" customHeight="1" x14ac:dyDescent="0.2">
      <c r="A356" s="317"/>
      <c r="B356" s="317"/>
      <c r="D356" s="340"/>
      <c r="F356" s="317"/>
      <c r="G356" s="51"/>
      <c r="H356" s="51"/>
      <c r="I356" s="51"/>
      <c r="J356" s="144"/>
      <c r="K356" s="51"/>
      <c r="L356" s="51"/>
      <c r="M356" s="51"/>
      <c r="N356" s="51"/>
      <c r="O356" s="144"/>
      <c r="P356" s="51"/>
      <c r="Q356" s="51"/>
      <c r="R356" s="51"/>
      <c r="S356" s="51"/>
      <c r="T356" s="144"/>
      <c r="U356" s="51"/>
      <c r="V356" s="51"/>
      <c r="W356" s="51"/>
      <c r="X356" s="51"/>
      <c r="Y356" s="144"/>
      <c r="Z356" s="51"/>
      <c r="AA356" s="51"/>
      <c r="AB356" s="51"/>
      <c r="AC356" s="51"/>
      <c r="AD356" s="144"/>
      <c r="AE356" s="51"/>
      <c r="AF356" s="51"/>
      <c r="AG356" s="51"/>
      <c r="AH356" s="51"/>
      <c r="AI356" s="144"/>
      <c r="AJ356" s="51"/>
      <c r="AK356" s="51"/>
      <c r="AL356" s="51"/>
      <c r="AM356" s="51"/>
      <c r="AN356" s="144"/>
      <c r="AO356" s="51"/>
      <c r="AP356" s="51"/>
      <c r="AQ356" s="51"/>
      <c r="AR356" s="51"/>
      <c r="AS356" s="144"/>
      <c r="AT356" s="51"/>
      <c r="AU356" s="51"/>
      <c r="AV356" s="51"/>
      <c r="AW356" s="51"/>
      <c r="AX356" s="144"/>
      <c r="AY356" s="51"/>
      <c r="AZ356" s="51"/>
      <c r="BA356" s="51"/>
      <c r="BB356" s="51"/>
      <c r="BC356" s="144"/>
      <c r="BD356" s="51"/>
      <c r="BE356" s="51"/>
      <c r="BF356" s="51"/>
      <c r="BG356" s="51"/>
      <c r="BH356" s="144"/>
      <c r="BI356" s="51"/>
      <c r="BJ356" s="51"/>
      <c r="BK356" s="51"/>
      <c r="BL356" s="51"/>
      <c r="BM356" s="144"/>
      <c r="BN356" s="51"/>
      <c r="BO356" s="51"/>
      <c r="BP356" s="51"/>
      <c r="BQ356" s="51"/>
      <c r="BR356" s="144"/>
      <c r="BS356" s="51"/>
      <c r="BT356" s="51"/>
      <c r="BU356" s="51"/>
      <c r="BV356" s="51"/>
      <c r="BW356" s="144"/>
      <c r="BX356" s="51"/>
      <c r="BY356" s="51"/>
      <c r="BZ356" s="51"/>
      <c r="CA356" s="51"/>
      <c r="CB356" s="144"/>
      <c r="CC356" s="51"/>
      <c r="CD356" s="465"/>
      <c r="CE356" s="465"/>
      <c r="CF356" s="465"/>
      <c r="CG356" s="466"/>
      <c r="CH356" s="465"/>
      <c r="CI356" s="465"/>
      <c r="CJ356" s="465"/>
      <c r="CK356" s="465"/>
      <c r="CL356" s="466"/>
      <c r="CM356" s="465"/>
      <c r="CN356" s="465"/>
      <c r="CO356" s="465"/>
      <c r="CP356" s="465"/>
      <c r="CQ356" s="466"/>
      <c r="CR356" s="465"/>
      <c r="CS356" s="465"/>
      <c r="CT356" s="465"/>
      <c r="CU356" s="465"/>
      <c r="CV356" s="466"/>
      <c r="CW356" s="465"/>
      <c r="CX356" s="465"/>
      <c r="CY356" s="465"/>
      <c r="CZ356" s="465"/>
      <c r="DA356" s="466"/>
      <c r="DB356" s="465"/>
      <c r="DC356" s="465"/>
      <c r="DD356" s="465"/>
      <c r="DE356" s="465"/>
      <c r="DF356" s="466"/>
      <c r="DG356" s="465"/>
      <c r="DH356" s="465"/>
      <c r="DI356" s="465"/>
      <c r="DJ356" s="465"/>
      <c r="DK356" s="466"/>
      <c r="DL356" s="465"/>
      <c r="DM356" s="465"/>
      <c r="DN356" s="465"/>
      <c r="DO356" s="465"/>
      <c r="DP356" s="466"/>
      <c r="DQ356" s="465"/>
      <c r="DR356" s="465"/>
      <c r="DS356" s="465"/>
      <c r="DT356" s="465"/>
      <c r="DU356" s="466"/>
      <c r="DV356" s="465"/>
      <c r="DW356" s="465"/>
      <c r="DX356" s="465"/>
      <c r="DY356" s="465"/>
      <c r="DZ356" s="466"/>
      <c r="EA356" s="465"/>
      <c r="EB356" s="465"/>
      <c r="EC356" s="465"/>
      <c r="ED356" s="465"/>
      <c r="EE356" s="466"/>
      <c r="EF356" s="465"/>
      <c r="EG356" s="465"/>
      <c r="EH356" s="51"/>
      <c r="EI356" s="51"/>
      <c r="EJ356" s="144"/>
      <c r="EK356" s="51"/>
      <c r="EL356" s="51"/>
      <c r="EM356" s="51"/>
      <c r="EN356" s="51"/>
      <c r="EO356" s="340"/>
      <c r="ER356" s="39"/>
      <c r="ES356" s="39"/>
    </row>
    <row r="357" spans="1:149" ht="12.75" customHeight="1" x14ac:dyDescent="0.2">
      <c r="A357" s="317"/>
      <c r="B357" s="317"/>
      <c r="D357" s="340" t="s">
        <v>227</v>
      </c>
      <c r="F357" s="317"/>
      <c r="G357" s="51">
        <f>SUM(G358:G358)</f>
        <v>1705406</v>
      </c>
      <c r="H357" s="51"/>
      <c r="I357" s="51"/>
      <c r="J357" s="144"/>
      <c r="K357" s="51"/>
      <c r="L357" s="51">
        <f>SUM(L358:L358)</f>
        <v>51405</v>
      </c>
      <c r="M357" s="51"/>
      <c r="N357" s="51"/>
      <c r="O357" s="144"/>
      <c r="P357" s="51"/>
      <c r="Q357" s="51">
        <f>SUM(Q358:Q358)</f>
        <v>1238921</v>
      </c>
      <c r="R357" s="51"/>
      <c r="S357" s="51"/>
      <c r="T357" s="144"/>
      <c r="U357" s="51"/>
      <c r="V357" s="51">
        <f>SUM(V358:V358)</f>
        <v>93254</v>
      </c>
      <c r="W357" s="51"/>
      <c r="X357" s="51"/>
      <c r="Y357" s="144"/>
      <c r="Z357" s="51"/>
      <c r="AA357" s="51">
        <f>SUM(AA358:AA358)</f>
        <v>0</v>
      </c>
      <c r="AB357" s="51"/>
      <c r="AC357" s="51"/>
      <c r="AD357" s="144"/>
      <c r="AE357" s="51"/>
      <c r="AF357" s="51">
        <f>SUM(AF358:AF358)</f>
        <v>246512</v>
      </c>
      <c r="AG357" s="51"/>
      <c r="AH357" s="51"/>
      <c r="AI357" s="144"/>
      <c r="AJ357" s="51"/>
      <c r="AK357" s="51">
        <f>SUM(AK358:AK358)</f>
        <v>75314</v>
      </c>
      <c r="AL357" s="51"/>
      <c r="AM357" s="51"/>
      <c r="AN357" s="144"/>
      <c r="AO357" s="51"/>
      <c r="AP357" s="51">
        <f>SUM(AP358:AP358)</f>
        <v>0</v>
      </c>
      <c r="AQ357" s="51"/>
      <c r="AR357" s="51"/>
      <c r="AS357" s="144"/>
      <c r="AT357" s="51"/>
      <c r="AU357" s="51">
        <f>SUM(AU358:AU358)</f>
        <v>0</v>
      </c>
      <c r="AV357" s="51"/>
      <c r="AW357" s="51"/>
      <c r="AX357" s="144"/>
      <c r="AY357" s="51"/>
      <c r="AZ357" s="51">
        <f>SUM(AZ358:AZ358)</f>
        <v>0</v>
      </c>
      <c r="BA357" s="51"/>
      <c r="BB357" s="51"/>
      <c r="BC357" s="144"/>
      <c r="BD357" s="51"/>
      <c r="BE357" s="51">
        <f>SUM(BE358:BE358)</f>
        <v>0</v>
      </c>
      <c r="BF357" s="51"/>
      <c r="BG357" s="51"/>
      <c r="BH357" s="144"/>
      <c r="BI357" s="51"/>
      <c r="BJ357" s="51">
        <f>SUM(BJ358:BJ358)</f>
        <v>0</v>
      </c>
      <c r="BK357" s="51"/>
      <c r="BL357" s="51"/>
      <c r="BM357" s="144"/>
      <c r="BN357" s="51"/>
      <c r="BO357" s="51">
        <f>SUM(BO358:BO358)</f>
        <v>0</v>
      </c>
      <c r="BP357" s="51"/>
      <c r="BQ357" s="51"/>
      <c r="BR357" s="144"/>
      <c r="BS357" s="51"/>
      <c r="BT357" s="51">
        <f>SUM(BT358:BT358)</f>
        <v>1705406</v>
      </c>
      <c r="BU357" s="51"/>
      <c r="BV357" s="51"/>
      <c r="BW357" s="144"/>
      <c r="BX357" s="51"/>
      <c r="BY357" s="51">
        <f>SUM(BY358:BY358)</f>
        <v>864052</v>
      </c>
      <c r="BZ357" s="51"/>
      <c r="CA357" s="51"/>
      <c r="CB357" s="144"/>
      <c r="CC357" s="51"/>
      <c r="CD357" s="51">
        <f>SUM(CD358:CD358)</f>
        <v>137929</v>
      </c>
      <c r="CE357" s="51"/>
      <c r="CF357" s="51"/>
      <c r="CG357" s="144"/>
      <c r="CH357" s="51"/>
      <c r="CI357" s="51">
        <f>SUM(CI358:CI358)</f>
        <v>0</v>
      </c>
      <c r="CJ357" s="51"/>
      <c r="CK357" s="51"/>
      <c r="CL357" s="144"/>
      <c r="CM357" s="51"/>
      <c r="CN357" s="51">
        <f>SUM(CN358:CN358)</f>
        <v>0</v>
      </c>
      <c r="CO357" s="51"/>
      <c r="CP357" s="51"/>
      <c r="CQ357" s="144"/>
      <c r="CR357" s="51"/>
      <c r="CS357" s="51">
        <f>SUM(CS358:CS358)</f>
        <v>480357</v>
      </c>
      <c r="CT357" s="51"/>
      <c r="CU357" s="51"/>
      <c r="CV357" s="144"/>
      <c r="CW357" s="51"/>
      <c r="CX357" s="51">
        <f>SUM(CX358:CX358)</f>
        <v>0</v>
      </c>
      <c r="CY357" s="51"/>
      <c r="CZ357" s="51"/>
      <c r="DA357" s="144"/>
      <c r="DB357" s="51"/>
      <c r="DC357" s="51">
        <f>SUM(DC358:DC358)</f>
        <v>0</v>
      </c>
      <c r="DD357" s="51"/>
      <c r="DE357" s="51"/>
      <c r="DF357" s="144"/>
      <c r="DG357" s="51"/>
      <c r="DH357" s="51">
        <f>SUM(DH358:DH358)</f>
        <v>0</v>
      </c>
      <c r="DI357" s="51"/>
      <c r="DJ357" s="51"/>
      <c r="DK357" s="144"/>
      <c r="DL357" s="51"/>
      <c r="DM357" s="51">
        <f>SUM(DM358:DM358)</f>
        <v>192876</v>
      </c>
      <c r="DN357" s="51"/>
      <c r="DO357" s="51"/>
      <c r="DP357" s="144"/>
      <c r="DQ357" s="51"/>
      <c r="DR357" s="51">
        <f>SUM(DR358:DR358)</f>
        <v>0</v>
      </c>
      <c r="DS357" s="51"/>
      <c r="DT357" s="51"/>
      <c r="DU357" s="144"/>
      <c r="DV357" s="51"/>
      <c r="DW357" s="51">
        <f>SUM(DW358:DW358)</f>
        <v>0</v>
      </c>
      <c r="DX357" s="51"/>
      <c r="DY357" s="51"/>
      <c r="DZ357" s="144"/>
      <c r="EA357" s="51"/>
      <c r="EB357" s="51">
        <f>SUM(EB358:EB358)</f>
        <v>52890</v>
      </c>
      <c r="EC357" s="51"/>
      <c r="ED357" s="51"/>
      <c r="EE357" s="144"/>
      <c r="EF357" s="51"/>
      <c r="EG357" s="51">
        <f>SUM(EG358:EG358)</f>
        <v>0</v>
      </c>
      <c r="EH357" s="51"/>
      <c r="EI357" s="51"/>
      <c r="EJ357" s="144"/>
      <c r="EK357" s="51"/>
      <c r="EL357" s="51">
        <f>SUM(EL358:EL358)</f>
        <v>618286</v>
      </c>
      <c r="EM357" s="317"/>
      <c r="EN357" s="444"/>
      <c r="EO357" s="340"/>
      <c r="EP357" s="39"/>
      <c r="EQ357" s="39"/>
      <c r="ER357" s="39"/>
      <c r="ES357" s="39"/>
    </row>
    <row r="358" spans="1:149" ht="12.75" customHeight="1" x14ac:dyDescent="0.2">
      <c r="A358" s="317"/>
      <c r="B358" s="317"/>
      <c r="D358" s="340" t="s">
        <v>183</v>
      </c>
      <c r="F358" s="434"/>
      <c r="G358" s="438">
        <v>1705406</v>
      </c>
      <c r="H358" s="436"/>
      <c r="I358" s="51"/>
      <c r="J358" s="144"/>
      <c r="K358" s="437"/>
      <c r="L358" s="438">
        <v>51405</v>
      </c>
      <c r="M358" s="436"/>
      <c r="N358" s="51"/>
      <c r="O358" s="144"/>
      <c r="P358" s="437"/>
      <c r="Q358" s="438">
        <v>1238921</v>
      </c>
      <c r="R358" s="436"/>
      <c r="S358" s="51"/>
      <c r="T358" s="144"/>
      <c r="U358" s="437"/>
      <c r="V358" s="438">
        <v>93254</v>
      </c>
      <c r="W358" s="436"/>
      <c r="X358" s="51"/>
      <c r="Y358" s="144"/>
      <c r="Z358" s="437"/>
      <c r="AA358" s="438">
        <v>0</v>
      </c>
      <c r="AB358" s="436"/>
      <c r="AC358" s="51"/>
      <c r="AD358" s="144"/>
      <c r="AE358" s="437"/>
      <c r="AF358" s="438">
        <v>246512</v>
      </c>
      <c r="AG358" s="436"/>
      <c r="AH358" s="51"/>
      <c r="AI358" s="144"/>
      <c r="AJ358" s="437"/>
      <c r="AK358" s="438">
        <v>75314</v>
      </c>
      <c r="AL358" s="436"/>
      <c r="AM358" s="51"/>
      <c r="AN358" s="144"/>
      <c r="AO358" s="437"/>
      <c r="AP358" s="438">
        <v>0</v>
      </c>
      <c r="AQ358" s="436"/>
      <c r="AR358" s="51"/>
      <c r="AS358" s="144"/>
      <c r="AT358" s="437"/>
      <c r="AU358" s="438">
        <v>0</v>
      </c>
      <c r="AV358" s="436"/>
      <c r="AW358" s="51"/>
      <c r="AX358" s="144"/>
      <c r="AY358" s="437"/>
      <c r="AZ358" s="438">
        <v>0</v>
      </c>
      <c r="BA358" s="436"/>
      <c r="BB358" s="51"/>
      <c r="BC358" s="144"/>
      <c r="BD358" s="437"/>
      <c r="BE358" s="438">
        <v>0</v>
      </c>
      <c r="BF358" s="436"/>
      <c r="BG358" s="51"/>
      <c r="BH358" s="144"/>
      <c r="BI358" s="437"/>
      <c r="BJ358" s="438">
        <v>0</v>
      </c>
      <c r="BK358" s="436"/>
      <c r="BL358" s="51"/>
      <c r="BM358" s="144"/>
      <c r="BN358" s="437"/>
      <c r="BO358" s="438">
        <v>0</v>
      </c>
      <c r="BP358" s="436"/>
      <c r="BQ358" s="51"/>
      <c r="BR358" s="144"/>
      <c r="BS358" s="437"/>
      <c r="BT358" s="438">
        <f>SUM(L358:BO358)</f>
        <v>1705406</v>
      </c>
      <c r="BU358" s="436"/>
      <c r="BV358" s="51"/>
      <c r="BW358" s="144"/>
      <c r="BX358" s="437"/>
      <c r="BY358" s="438">
        <v>864052</v>
      </c>
      <c r="BZ358" s="436"/>
      <c r="CA358" s="51"/>
      <c r="CB358" s="144"/>
      <c r="CC358" s="437"/>
      <c r="CD358" s="438">
        <v>137929</v>
      </c>
      <c r="CE358" s="436"/>
      <c r="CF358" s="51"/>
      <c r="CG358" s="144"/>
      <c r="CH358" s="437"/>
      <c r="CI358" s="438">
        <v>0</v>
      </c>
      <c r="CJ358" s="436"/>
      <c r="CK358" s="51"/>
      <c r="CL358" s="144"/>
      <c r="CM358" s="437"/>
      <c r="CN358" s="438">
        <v>0</v>
      </c>
      <c r="CO358" s="436"/>
      <c r="CP358" s="51"/>
      <c r="CQ358" s="144"/>
      <c r="CR358" s="437"/>
      <c r="CS358" s="438">
        <v>480357</v>
      </c>
      <c r="CT358" s="436"/>
      <c r="CU358" s="51"/>
      <c r="CV358" s="144"/>
      <c r="CW358" s="437"/>
      <c r="CX358" s="438">
        <v>0</v>
      </c>
      <c r="CY358" s="436"/>
      <c r="CZ358" s="51"/>
      <c r="DA358" s="144"/>
      <c r="DB358" s="437"/>
      <c r="DC358" s="438">
        <v>0</v>
      </c>
      <c r="DD358" s="436"/>
      <c r="DE358" s="51"/>
      <c r="DF358" s="144"/>
      <c r="DG358" s="437"/>
      <c r="DH358" s="438">
        <v>0</v>
      </c>
      <c r="DI358" s="436"/>
      <c r="DJ358" s="51"/>
      <c r="DK358" s="144"/>
      <c r="DL358" s="437"/>
      <c r="DM358" s="438">
        <v>192876</v>
      </c>
      <c r="DN358" s="436"/>
      <c r="DO358" s="51"/>
      <c r="DP358" s="144"/>
      <c r="DQ358" s="437"/>
      <c r="DR358" s="438">
        <v>0</v>
      </c>
      <c r="DS358" s="436"/>
      <c r="DT358" s="51"/>
      <c r="DU358" s="144"/>
      <c r="DV358" s="437"/>
      <c r="DW358" s="438">
        <v>0</v>
      </c>
      <c r="DX358" s="436"/>
      <c r="DY358" s="51"/>
      <c r="DZ358" s="144"/>
      <c r="EA358" s="437"/>
      <c r="EB358" s="438">
        <v>52890</v>
      </c>
      <c r="EC358" s="436"/>
      <c r="ED358" s="51"/>
      <c r="EE358" s="144"/>
      <c r="EF358" s="437"/>
      <c r="EG358" s="438">
        <v>0</v>
      </c>
      <c r="EH358" s="436"/>
      <c r="EI358" s="51"/>
      <c r="EJ358" s="144"/>
      <c r="EK358" s="437"/>
      <c r="EL358" s="438">
        <f>SUM(CD358:DH358)</f>
        <v>618286</v>
      </c>
      <c r="EM358" s="469"/>
      <c r="EN358" s="317"/>
      <c r="EO358" s="340"/>
      <c r="EP358" s="39"/>
      <c r="EQ358" s="39"/>
      <c r="ER358" s="39"/>
      <c r="ES358" s="39"/>
    </row>
    <row r="359" spans="1:149" ht="12.75" customHeight="1" x14ac:dyDescent="0.2">
      <c r="A359" s="317"/>
      <c r="B359" s="317"/>
      <c r="D359" s="340"/>
      <c r="F359" s="317"/>
      <c r="G359" s="51"/>
      <c r="H359" s="51"/>
      <c r="I359" s="51"/>
      <c r="J359" s="144"/>
      <c r="K359" s="51"/>
      <c r="L359" s="51"/>
      <c r="M359" s="51"/>
      <c r="N359" s="51"/>
      <c r="O359" s="144"/>
      <c r="P359" s="51"/>
      <c r="Q359" s="51"/>
      <c r="R359" s="51"/>
      <c r="S359" s="51"/>
      <c r="T359" s="144"/>
      <c r="U359" s="51"/>
      <c r="V359" s="51"/>
      <c r="W359" s="51"/>
      <c r="X359" s="51"/>
      <c r="Y359" s="144"/>
      <c r="Z359" s="51"/>
      <c r="AA359" s="51"/>
      <c r="AB359" s="51"/>
      <c r="AC359" s="51"/>
      <c r="AD359" s="144"/>
      <c r="AE359" s="51"/>
      <c r="AF359" s="51"/>
      <c r="AG359" s="51"/>
      <c r="AH359" s="51"/>
      <c r="AI359" s="144"/>
      <c r="AJ359" s="51"/>
      <c r="AK359" s="51"/>
      <c r="AL359" s="51"/>
      <c r="AM359" s="51"/>
      <c r="AN359" s="144"/>
      <c r="AO359" s="51"/>
      <c r="AP359" s="51"/>
      <c r="AQ359" s="51"/>
      <c r="AR359" s="51"/>
      <c r="AS359" s="144"/>
      <c r="AT359" s="51"/>
      <c r="AU359" s="51"/>
      <c r="AV359" s="51"/>
      <c r="AW359" s="51"/>
      <c r="AX359" s="144"/>
      <c r="AY359" s="51"/>
      <c r="AZ359" s="51"/>
      <c r="BA359" s="51"/>
      <c r="BB359" s="51"/>
      <c r="BC359" s="144"/>
      <c r="BD359" s="51"/>
      <c r="BE359" s="51"/>
      <c r="BF359" s="51"/>
      <c r="BG359" s="51"/>
      <c r="BH359" s="144"/>
      <c r="BI359" s="51"/>
      <c r="BJ359" s="51"/>
      <c r="BK359" s="51"/>
      <c r="BL359" s="51"/>
      <c r="BM359" s="144"/>
      <c r="BN359" s="51"/>
      <c r="BO359" s="51"/>
      <c r="BP359" s="51"/>
      <c r="BQ359" s="51"/>
      <c r="BR359" s="144"/>
      <c r="BS359" s="51"/>
      <c r="BT359" s="51"/>
      <c r="BU359" s="51"/>
      <c r="BV359" s="51"/>
      <c r="BW359" s="144"/>
      <c r="BX359" s="51"/>
      <c r="BY359" s="51"/>
      <c r="BZ359" s="51"/>
      <c r="CA359" s="51"/>
      <c r="CB359" s="144"/>
      <c r="CC359" s="51"/>
      <c r="CD359" s="465"/>
      <c r="CE359" s="465"/>
      <c r="CF359" s="465"/>
      <c r="CG359" s="466"/>
      <c r="CH359" s="465"/>
      <c r="CI359" s="465"/>
      <c r="CJ359" s="465"/>
      <c r="CK359" s="465"/>
      <c r="CL359" s="466"/>
      <c r="CM359" s="465"/>
      <c r="CN359" s="465"/>
      <c r="CO359" s="465"/>
      <c r="CP359" s="465"/>
      <c r="CQ359" s="466"/>
      <c r="CR359" s="465"/>
      <c r="CS359" s="465"/>
      <c r="CT359" s="465"/>
      <c r="CU359" s="465"/>
      <c r="CV359" s="466"/>
      <c r="CW359" s="465"/>
      <c r="CX359" s="465"/>
      <c r="CY359" s="465"/>
      <c r="CZ359" s="465"/>
      <c r="DA359" s="466"/>
      <c r="DB359" s="465"/>
      <c r="DC359" s="465"/>
      <c r="DD359" s="465"/>
      <c r="DE359" s="465"/>
      <c r="DF359" s="466"/>
      <c r="DG359" s="465"/>
      <c r="DH359" s="465"/>
      <c r="DI359" s="465"/>
      <c r="DJ359" s="465"/>
      <c r="DK359" s="466"/>
      <c r="DL359" s="465"/>
      <c r="DM359" s="465"/>
      <c r="DN359" s="465"/>
      <c r="DO359" s="465"/>
      <c r="DP359" s="466"/>
      <c r="DQ359" s="465"/>
      <c r="DR359" s="465"/>
      <c r="DS359" s="465"/>
      <c r="DT359" s="465"/>
      <c r="DU359" s="466"/>
      <c r="DV359" s="465"/>
      <c r="DW359" s="465"/>
      <c r="DX359" s="465"/>
      <c r="DY359" s="465"/>
      <c r="DZ359" s="466"/>
      <c r="EA359" s="465"/>
      <c r="EB359" s="465"/>
      <c r="EC359" s="465"/>
      <c r="ED359" s="465"/>
      <c r="EE359" s="466"/>
      <c r="EF359" s="465"/>
      <c r="EG359" s="465"/>
      <c r="EH359" s="51"/>
      <c r="EI359" s="51"/>
      <c r="EJ359" s="144"/>
      <c r="EK359" s="51"/>
      <c r="EL359" s="51"/>
      <c r="EM359" s="51"/>
      <c r="EN359" s="51"/>
      <c r="EO359" s="340"/>
      <c r="ER359" s="39"/>
      <c r="ES359" s="39"/>
    </row>
    <row r="360" spans="1:149" ht="12.75" customHeight="1" x14ac:dyDescent="0.2">
      <c r="A360" s="317"/>
      <c r="B360" s="317"/>
      <c r="D360" s="340" t="s">
        <v>199</v>
      </c>
      <c r="F360" s="317"/>
      <c r="G360" s="51">
        <f>SUM(G361:G361)</f>
        <v>2340630</v>
      </c>
      <c r="H360" s="51"/>
      <c r="I360" s="51"/>
      <c r="J360" s="144"/>
      <c r="K360" s="51"/>
      <c r="L360" s="51">
        <f>SUM(L361:L361)</f>
        <v>354961</v>
      </c>
      <c r="M360" s="51"/>
      <c r="N360" s="51"/>
      <c r="O360" s="144"/>
      <c r="P360" s="51"/>
      <c r="Q360" s="51">
        <f>SUM(Q361:Q361)</f>
        <v>1469964</v>
      </c>
      <c r="R360" s="51"/>
      <c r="S360" s="51"/>
      <c r="T360" s="144"/>
      <c r="U360" s="51"/>
      <c r="V360" s="51">
        <f>SUM(V361:V361)</f>
        <v>362091</v>
      </c>
      <c r="W360" s="51"/>
      <c r="X360" s="51"/>
      <c r="Y360" s="144"/>
      <c r="Z360" s="51"/>
      <c r="AA360" s="51">
        <f>SUM(AA361:AA361)</f>
        <v>0</v>
      </c>
      <c r="AB360" s="51"/>
      <c r="AC360" s="51"/>
      <c r="AD360" s="144"/>
      <c r="AE360" s="51"/>
      <c r="AF360" s="51">
        <f>SUM(AF361:AF361)</f>
        <v>107401</v>
      </c>
      <c r="AG360" s="51"/>
      <c r="AH360" s="51"/>
      <c r="AI360" s="144"/>
      <c r="AJ360" s="51"/>
      <c r="AK360" s="51">
        <f>SUM(AK361:AK361)</f>
        <v>46213</v>
      </c>
      <c r="AL360" s="51"/>
      <c r="AM360" s="51"/>
      <c r="AN360" s="144"/>
      <c r="AO360" s="51"/>
      <c r="AP360" s="51">
        <f>SUM(AP361:AP361)</f>
        <v>0</v>
      </c>
      <c r="AQ360" s="51"/>
      <c r="AR360" s="51"/>
      <c r="AS360" s="144"/>
      <c r="AT360" s="51"/>
      <c r="AU360" s="51">
        <f>SUM(AU361:AU361)</f>
        <v>0</v>
      </c>
      <c r="AV360" s="51"/>
      <c r="AW360" s="51"/>
      <c r="AX360" s="144"/>
      <c r="AY360" s="51"/>
      <c r="AZ360" s="51">
        <f>SUM(AZ361:AZ361)</f>
        <v>0</v>
      </c>
      <c r="BA360" s="51"/>
      <c r="BB360" s="51"/>
      <c r="BC360" s="144"/>
      <c r="BD360" s="51"/>
      <c r="BE360" s="51">
        <f>SUM(BE361:BE361)</f>
        <v>0</v>
      </c>
      <c r="BF360" s="51"/>
      <c r="BG360" s="51"/>
      <c r="BH360" s="144"/>
      <c r="BI360" s="51"/>
      <c r="BJ360" s="51">
        <f>SUM(BJ361:BJ361)</f>
        <v>0</v>
      </c>
      <c r="BK360" s="51"/>
      <c r="BL360" s="51"/>
      <c r="BM360" s="144"/>
      <c r="BN360" s="51"/>
      <c r="BO360" s="51">
        <f>SUM(BO361:BO361)</f>
        <v>0</v>
      </c>
      <c r="BP360" s="51"/>
      <c r="BQ360" s="51"/>
      <c r="BR360" s="144"/>
      <c r="BS360" s="51"/>
      <c r="BT360" s="51">
        <f>SUM(BT361:BT361)</f>
        <v>2340630</v>
      </c>
      <c r="BU360" s="51"/>
      <c r="BV360" s="51"/>
      <c r="BW360" s="144"/>
      <c r="BX360" s="51"/>
      <c r="BY360" s="51">
        <f>SUM(BY361:BY361)</f>
        <v>633846</v>
      </c>
      <c r="BZ360" s="51"/>
      <c r="CA360" s="51"/>
      <c r="CB360" s="144"/>
      <c r="CC360" s="51"/>
      <c r="CD360" s="51">
        <f>SUM(CD361:CD361)</f>
        <v>0</v>
      </c>
      <c r="CE360" s="51"/>
      <c r="CF360" s="51"/>
      <c r="CG360" s="144"/>
      <c r="CH360" s="51"/>
      <c r="CI360" s="51">
        <f>SUM(CI361:CI361)</f>
        <v>0</v>
      </c>
      <c r="CJ360" s="51"/>
      <c r="CK360" s="51"/>
      <c r="CL360" s="144"/>
      <c r="CM360" s="51"/>
      <c r="CN360" s="51">
        <f>SUM(CN361:CN361)</f>
        <v>0</v>
      </c>
      <c r="CO360" s="51"/>
      <c r="CP360" s="51"/>
      <c r="CQ360" s="144"/>
      <c r="CR360" s="51"/>
      <c r="CS360" s="51">
        <f>SUM(CS361:CS361)</f>
        <v>0</v>
      </c>
      <c r="CT360" s="51"/>
      <c r="CU360" s="51"/>
      <c r="CV360" s="144"/>
      <c r="CW360" s="51"/>
      <c r="CX360" s="51">
        <f>SUM(CX361:CX361)</f>
        <v>0</v>
      </c>
      <c r="CY360" s="51"/>
      <c r="CZ360" s="51"/>
      <c r="DA360" s="144"/>
      <c r="DB360" s="51"/>
      <c r="DC360" s="51">
        <f>SUM(DC361:DC361)</f>
        <v>0</v>
      </c>
      <c r="DD360" s="51"/>
      <c r="DE360" s="51"/>
      <c r="DF360" s="144"/>
      <c r="DG360" s="51"/>
      <c r="DH360" s="51">
        <f>SUM(DH361:DH361)</f>
        <v>0</v>
      </c>
      <c r="DI360" s="51"/>
      <c r="DJ360" s="51"/>
      <c r="DK360" s="144"/>
      <c r="DL360" s="51"/>
      <c r="DM360" s="51">
        <f>SUM(DM361:DM361)</f>
        <v>0</v>
      </c>
      <c r="DN360" s="51"/>
      <c r="DO360" s="51"/>
      <c r="DP360" s="144"/>
      <c r="DQ360" s="51"/>
      <c r="DR360" s="51">
        <f>SUM(DR361:DR361)</f>
        <v>115323</v>
      </c>
      <c r="DS360" s="51"/>
      <c r="DT360" s="51"/>
      <c r="DU360" s="144"/>
      <c r="DV360" s="51"/>
      <c r="DW360" s="51">
        <f>SUM(DW361:DW361)</f>
        <v>0</v>
      </c>
      <c r="DX360" s="51"/>
      <c r="DY360" s="51"/>
      <c r="DZ360" s="144"/>
      <c r="EA360" s="51"/>
      <c r="EB360" s="51">
        <f>SUM(EB361:EB361)</f>
        <v>0</v>
      </c>
      <c r="EC360" s="51"/>
      <c r="ED360" s="51"/>
      <c r="EE360" s="144"/>
      <c r="EF360" s="51"/>
      <c r="EG360" s="51">
        <f>SUM(EG361:EG361)</f>
        <v>518523</v>
      </c>
      <c r="EH360" s="51"/>
      <c r="EI360" s="51"/>
      <c r="EJ360" s="144"/>
      <c r="EK360" s="51"/>
      <c r="EL360" s="51">
        <f>SUM(EL361:EL361)</f>
        <v>0</v>
      </c>
      <c r="EM360" s="51"/>
      <c r="EN360" s="51"/>
      <c r="EO360" s="340"/>
      <c r="ER360" s="39"/>
      <c r="ES360" s="39"/>
    </row>
    <row r="361" spans="1:149" ht="12.75" customHeight="1" x14ac:dyDescent="0.2">
      <c r="A361" s="317"/>
      <c r="B361" s="317"/>
      <c r="D361" s="340" t="s">
        <v>183</v>
      </c>
      <c r="F361" s="434"/>
      <c r="G361" s="438">
        <v>2340630</v>
      </c>
      <c r="H361" s="436"/>
      <c r="I361" s="51"/>
      <c r="J361" s="144"/>
      <c r="K361" s="437"/>
      <c r="L361" s="438">
        <v>354961</v>
      </c>
      <c r="M361" s="436"/>
      <c r="N361" s="51"/>
      <c r="O361" s="144"/>
      <c r="P361" s="437"/>
      <c r="Q361" s="438">
        <v>1469964</v>
      </c>
      <c r="R361" s="436"/>
      <c r="S361" s="51"/>
      <c r="T361" s="144"/>
      <c r="U361" s="437"/>
      <c r="V361" s="438">
        <v>362091</v>
      </c>
      <c r="W361" s="436"/>
      <c r="X361" s="51"/>
      <c r="Y361" s="144"/>
      <c r="Z361" s="437"/>
      <c r="AA361" s="438">
        <v>0</v>
      </c>
      <c r="AB361" s="436"/>
      <c r="AC361" s="51"/>
      <c r="AD361" s="144"/>
      <c r="AE361" s="437"/>
      <c r="AF361" s="438">
        <v>107401</v>
      </c>
      <c r="AG361" s="436"/>
      <c r="AH361" s="51"/>
      <c r="AI361" s="144"/>
      <c r="AJ361" s="437"/>
      <c r="AK361" s="438">
        <v>46213</v>
      </c>
      <c r="AL361" s="436"/>
      <c r="AM361" s="51"/>
      <c r="AN361" s="144"/>
      <c r="AO361" s="437"/>
      <c r="AP361" s="438">
        <v>0</v>
      </c>
      <c r="AQ361" s="436"/>
      <c r="AR361" s="51"/>
      <c r="AS361" s="144"/>
      <c r="AT361" s="437"/>
      <c r="AU361" s="438">
        <v>0</v>
      </c>
      <c r="AV361" s="436"/>
      <c r="AW361" s="51"/>
      <c r="AX361" s="144"/>
      <c r="AY361" s="437"/>
      <c r="AZ361" s="438">
        <v>0</v>
      </c>
      <c r="BA361" s="436"/>
      <c r="BB361" s="51"/>
      <c r="BC361" s="144"/>
      <c r="BD361" s="437"/>
      <c r="BE361" s="438">
        <v>0</v>
      </c>
      <c r="BF361" s="436"/>
      <c r="BG361" s="51"/>
      <c r="BH361" s="144"/>
      <c r="BI361" s="437"/>
      <c r="BJ361" s="438">
        <v>0</v>
      </c>
      <c r="BK361" s="436"/>
      <c r="BL361" s="51"/>
      <c r="BM361" s="144"/>
      <c r="BN361" s="437"/>
      <c r="BO361" s="438">
        <v>0</v>
      </c>
      <c r="BP361" s="436"/>
      <c r="BQ361" s="51"/>
      <c r="BR361" s="144"/>
      <c r="BS361" s="437"/>
      <c r="BT361" s="438">
        <f>SUM(L361:BO361)</f>
        <v>2340630</v>
      </c>
      <c r="BU361" s="436"/>
      <c r="BV361" s="51"/>
      <c r="BW361" s="144"/>
      <c r="BX361" s="437"/>
      <c r="BY361" s="438">
        <v>633846</v>
      </c>
      <c r="BZ361" s="436"/>
      <c r="CA361" s="51"/>
      <c r="CB361" s="144"/>
      <c r="CC361" s="437"/>
      <c r="CD361" s="438">
        <v>0</v>
      </c>
      <c r="CE361" s="436"/>
      <c r="CF361" s="51"/>
      <c r="CG361" s="144"/>
      <c r="CH361" s="437"/>
      <c r="CI361" s="438">
        <v>0</v>
      </c>
      <c r="CJ361" s="436"/>
      <c r="CK361" s="51"/>
      <c r="CL361" s="144"/>
      <c r="CM361" s="437"/>
      <c r="CN361" s="438">
        <v>0</v>
      </c>
      <c r="CO361" s="436"/>
      <c r="CP361" s="51"/>
      <c r="CQ361" s="144"/>
      <c r="CR361" s="437"/>
      <c r="CS361" s="438">
        <v>0</v>
      </c>
      <c r="CT361" s="436"/>
      <c r="CU361" s="51"/>
      <c r="CV361" s="144"/>
      <c r="CW361" s="437"/>
      <c r="CX361" s="438">
        <v>0</v>
      </c>
      <c r="CY361" s="436"/>
      <c r="CZ361" s="51"/>
      <c r="DA361" s="144"/>
      <c r="DB361" s="437"/>
      <c r="DC361" s="438">
        <v>0</v>
      </c>
      <c r="DD361" s="436"/>
      <c r="DE361" s="51"/>
      <c r="DF361" s="144"/>
      <c r="DG361" s="437"/>
      <c r="DH361" s="438">
        <v>0</v>
      </c>
      <c r="DI361" s="436"/>
      <c r="DJ361" s="51"/>
      <c r="DK361" s="144"/>
      <c r="DL361" s="437"/>
      <c r="DM361" s="438">
        <v>0</v>
      </c>
      <c r="DN361" s="436"/>
      <c r="DO361" s="51"/>
      <c r="DP361" s="144"/>
      <c r="DQ361" s="437"/>
      <c r="DR361" s="438">
        <v>115323</v>
      </c>
      <c r="DS361" s="436"/>
      <c r="DT361" s="51"/>
      <c r="DU361" s="144"/>
      <c r="DV361" s="437"/>
      <c r="DW361" s="438">
        <v>0</v>
      </c>
      <c r="DX361" s="436"/>
      <c r="DY361" s="51"/>
      <c r="DZ361" s="144"/>
      <c r="EA361" s="437"/>
      <c r="EB361" s="438">
        <v>0</v>
      </c>
      <c r="EC361" s="436"/>
      <c r="ED361" s="51"/>
      <c r="EE361" s="144"/>
      <c r="EF361" s="437"/>
      <c r="EG361" s="438">
        <v>518523</v>
      </c>
      <c r="EH361" s="436"/>
      <c r="EI361" s="51"/>
      <c r="EJ361" s="144"/>
      <c r="EK361" s="437"/>
      <c r="EL361" s="438">
        <f>SUM(CD361:DH361)</f>
        <v>0</v>
      </c>
      <c r="EM361" s="436"/>
      <c r="EN361" s="51"/>
      <c r="EO361" s="340"/>
      <c r="ER361" s="39"/>
      <c r="ES361" s="39"/>
    </row>
    <row r="362" spans="1:149" ht="12.75" customHeight="1" x14ac:dyDescent="0.2">
      <c r="A362" s="317"/>
      <c r="B362" s="317"/>
      <c r="D362" s="340"/>
      <c r="F362" s="317"/>
      <c r="G362" s="51"/>
      <c r="H362" s="51"/>
      <c r="I362" s="51"/>
      <c r="J362" s="144"/>
      <c r="K362" s="51"/>
      <c r="L362" s="51"/>
      <c r="M362" s="51"/>
      <c r="N362" s="51"/>
      <c r="O362" s="144"/>
      <c r="P362" s="51"/>
      <c r="Q362" s="51"/>
      <c r="R362" s="51"/>
      <c r="S362" s="51"/>
      <c r="T362" s="144"/>
      <c r="U362" s="51"/>
      <c r="V362" s="51"/>
      <c r="W362" s="51"/>
      <c r="X362" s="51"/>
      <c r="Y362" s="144"/>
      <c r="Z362" s="51"/>
      <c r="AA362" s="51"/>
      <c r="AB362" s="51"/>
      <c r="AC362" s="51"/>
      <c r="AD362" s="144"/>
      <c r="AE362" s="51"/>
      <c r="AF362" s="51"/>
      <c r="AG362" s="51"/>
      <c r="AH362" s="51"/>
      <c r="AI362" s="144"/>
      <c r="AJ362" s="51"/>
      <c r="AK362" s="51"/>
      <c r="AL362" s="51"/>
      <c r="AM362" s="51"/>
      <c r="AN362" s="144"/>
      <c r="AO362" s="51"/>
      <c r="AP362" s="51"/>
      <c r="AQ362" s="51"/>
      <c r="AR362" s="51"/>
      <c r="AS362" s="144"/>
      <c r="AT362" s="51"/>
      <c r="AU362" s="51"/>
      <c r="AV362" s="51"/>
      <c r="AW362" s="51"/>
      <c r="AX362" s="144"/>
      <c r="AY362" s="51"/>
      <c r="AZ362" s="51"/>
      <c r="BA362" s="51"/>
      <c r="BB362" s="51"/>
      <c r="BC362" s="144"/>
      <c r="BD362" s="51"/>
      <c r="BE362" s="51"/>
      <c r="BF362" s="51"/>
      <c r="BG362" s="51"/>
      <c r="BH362" s="144"/>
      <c r="BI362" s="51"/>
      <c r="BJ362" s="51"/>
      <c r="BK362" s="51"/>
      <c r="BL362" s="51"/>
      <c r="BM362" s="144"/>
      <c r="BN362" s="51"/>
      <c r="BO362" s="51"/>
      <c r="BP362" s="51"/>
      <c r="BQ362" s="51"/>
      <c r="BR362" s="144"/>
      <c r="BS362" s="51"/>
      <c r="BT362" s="51"/>
      <c r="BU362" s="51"/>
      <c r="BV362" s="51"/>
      <c r="BW362" s="144"/>
      <c r="BX362" s="51"/>
      <c r="BY362" s="51"/>
      <c r="BZ362" s="51"/>
      <c r="CA362" s="51"/>
      <c r="CB362" s="144"/>
      <c r="CC362" s="51"/>
      <c r="CD362" s="51"/>
      <c r="CE362" s="51"/>
      <c r="CF362" s="51"/>
      <c r="CG362" s="144"/>
      <c r="CH362" s="51"/>
      <c r="CI362" s="51"/>
      <c r="CJ362" s="51"/>
      <c r="CK362" s="51"/>
      <c r="CL362" s="144"/>
      <c r="CM362" s="51"/>
      <c r="CN362" s="51"/>
      <c r="CO362" s="51"/>
      <c r="CP362" s="51"/>
      <c r="CQ362" s="144"/>
      <c r="CR362" s="51"/>
      <c r="CS362" s="51"/>
      <c r="CT362" s="51"/>
      <c r="CU362" s="51"/>
      <c r="CV362" s="144"/>
      <c r="CW362" s="51"/>
      <c r="CX362" s="51"/>
      <c r="CY362" s="51"/>
      <c r="CZ362" s="51"/>
      <c r="DA362" s="144"/>
      <c r="DB362" s="51"/>
      <c r="DC362" s="51"/>
      <c r="DD362" s="51"/>
      <c r="DE362" s="51"/>
      <c r="DF362" s="144"/>
      <c r="DG362" s="51"/>
      <c r="DH362" s="51"/>
      <c r="DI362" s="51"/>
      <c r="DJ362" s="51"/>
      <c r="DK362" s="144"/>
      <c r="DL362" s="51"/>
      <c r="DM362" s="51"/>
      <c r="DN362" s="51"/>
      <c r="DO362" s="51"/>
      <c r="DP362" s="144"/>
      <c r="DQ362" s="51"/>
      <c r="DR362" s="51"/>
      <c r="DS362" s="51"/>
      <c r="DT362" s="51"/>
      <c r="DU362" s="144"/>
      <c r="DV362" s="51"/>
      <c r="DW362" s="51"/>
      <c r="DX362" s="51"/>
      <c r="DY362" s="51"/>
      <c r="DZ362" s="144"/>
      <c r="EA362" s="51"/>
      <c r="EB362" s="51"/>
      <c r="EC362" s="51"/>
      <c r="ED362" s="51"/>
      <c r="EE362" s="144"/>
      <c r="EF362" s="51"/>
      <c r="EG362" s="51"/>
      <c r="EH362" s="51"/>
      <c r="EI362" s="51"/>
      <c r="EJ362" s="144"/>
      <c r="EK362" s="51"/>
      <c r="EL362" s="51"/>
      <c r="EM362" s="51"/>
      <c r="EN362" s="51"/>
      <c r="EO362" s="340"/>
      <c r="ER362" s="39"/>
      <c r="ES362" s="39"/>
    </row>
    <row r="363" spans="1:149" ht="12.75" customHeight="1" x14ac:dyDescent="0.2">
      <c r="A363" s="317"/>
      <c r="B363" s="317"/>
      <c r="D363" s="340" t="s">
        <v>201</v>
      </c>
      <c r="F363" s="317"/>
      <c r="G363" s="51">
        <f>SUM(G364:G364)</f>
        <v>392001</v>
      </c>
      <c r="H363" s="51"/>
      <c r="I363" s="51"/>
      <c r="J363" s="144"/>
      <c r="K363" s="51"/>
      <c r="L363" s="51">
        <f>SUM(L364:L364)</f>
        <v>0</v>
      </c>
      <c r="M363" s="51"/>
      <c r="N363" s="51"/>
      <c r="O363" s="144"/>
      <c r="P363" s="51"/>
      <c r="Q363" s="51">
        <f>SUM(Q364:Q364)</f>
        <v>55166</v>
      </c>
      <c r="R363" s="51"/>
      <c r="S363" s="51"/>
      <c r="T363" s="144"/>
      <c r="U363" s="51"/>
      <c r="V363" s="51">
        <f>SUM(V364:V364)</f>
        <v>230067</v>
      </c>
      <c r="W363" s="51"/>
      <c r="X363" s="51"/>
      <c r="Y363" s="144"/>
      <c r="Z363" s="51"/>
      <c r="AA363" s="51">
        <f>SUM(AA364:AA364)</f>
        <v>0</v>
      </c>
      <c r="AB363" s="51"/>
      <c r="AC363" s="51"/>
      <c r="AD363" s="144"/>
      <c r="AE363" s="51"/>
      <c r="AF363" s="51">
        <f>SUM(AF364:AF364)</f>
        <v>106768</v>
      </c>
      <c r="AG363" s="51"/>
      <c r="AH363" s="51"/>
      <c r="AI363" s="144"/>
      <c r="AJ363" s="51"/>
      <c r="AK363" s="51">
        <f>SUM(AK364:AK364)</f>
        <v>0</v>
      </c>
      <c r="AL363" s="51"/>
      <c r="AM363" s="51"/>
      <c r="AN363" s="144"/>
      <c r="AO363" s="51"/>
      <c r="AP363" s="51">
        <f>SUM(AP364:AP364)</f>
        <v>176497</v>
      </c>
      <c r="AQ363" s="51"/>
      <c r="AR363" s="51"/>
      <c r="AS363" s="144"/>
      <c r="AT363" s="51"/>
      <c r="AU363" s="51">
        <f>SUM(AU364:AU364)</f>
        <v>0</v>
      </c>
      <c r="AV363" s="51"/>
      <c r="AW363" s="51"/>
      <c r="AX363" s="144"/>
      <c r="AY363" s="51"/>
      <c r="AZ363" s="51">
        <f>SUM(AZ364:AZ364)</f>
        <v>0</v>
      </c>
      <c r="BA363" s="51"/>
      <c r="BB363" s="51"/>
      <c r="BC363" s="144"/>
      <c r="BD363" s="51"/>
      <c r="BE363" s="51">
        <f>SUM(BE364:BE364)</f>
        <v>0</v>
      </c>
      <c r="BF363" s="51"/>
      <c r="BG363" s="51"/>
      <c r="BH363" s="144"/>
      <c r="BI363" s="51"/>
      <c r="BJ363" s="51">
        <f>SUM(BJ364:BJ364)</f>
        <v>0</v>
      </c>
      <c r="BK363" s="51"/>
      <c r="BL363" s="51"/>
      <c r="BM363" s="144"/>
      <c r="BN363" s="51"/>
      <c r="BO363" s="51">
        <f>SUM(BO364:BO364)</f>
        <v>0</v>
      </c>
      <c r="BP363" s="51"/>
      <c r="BQ363" s="51"/>
      <c r="BR363" s="144"/>
      <c r="BS363" s="51"/>
      <c r="BT363" s="51">
        <f>SUM(BT364:BT364)</f>
        <v>568498</v>
      </c>
      <c r="BU363" s="51"/>
      <c r="BV363" s="51"/>
      <c r="BW363" s="144"/>
      <c r="BX363" s="51"/>
      <c r="BY363" s="51">
        <f>SUM(BY364:BY364)</f>
        <v>1256940</v>
      </c>
      <c r="BZ363" s="51"/>
      <c r="CA363" s="51"/>
      <c r="CB363" s="144"/>
      <c r="CC363" s="51"/>
      <c r="CD363" s="51">
        <f>SUM(CD364:CD364)</f>
        <v>15296</v>
      </c>
      <c r="CE363" s="51"/>
      <c r="CF363" s="51"/>
      <c r="CG363" s="144"/>
      <c r="CH363" s="51"/>
      <c r="CI363" s="51">
        <f>SUM(CI364:CI364)</f>
        <v>0</v>
      </c>
      <c r="CJ363" s="51"/>
      <c r="CK363" s="51"/>
      <c r="CL363" s="144"/>
      <c r="CM363" s="51"/>
      <c r="CN363" s="51">
        <f>SUM(CN364:CN364)</f>
        <v>213073</v>
      </c>
      <c r="CO363" s="51"/>
      <c r="CP363" s="51"/>
      <c r="CQ363" s="144"/>
      <c r="CR363" s="51"/>
      <c r="CS363" s="51">
        <f>SUM(CS364:CS364)</f>
        <v>-213073</v>
      </c>
      <c r="CT363" s="51"/>
      <c r="CU363" s="51"/>
      <c r="CV363" s="144"/>
      <c r="CW363" s="51"/>
      <c r="CX363" s="51">
        <f>SUM(CX364:CX364)</f>
        <v>0</v>
      </c>
      <c r="CY363" s="51"/>
      <c r="CZ363" s="51"/>
      <c r="DA363" s="144"/>
      <c r="DB363" s="51"/>
      <c r="DC363" s="51">
        <f>SUM(DC364:DC364)</f>
        <v>0</v>
      </c>
      <c r="DD363" s="51"/>
      <c r="DE363" s="51"/>
      <c r="DF363" s="144"/>
      <c r="DG363" s="51"/>
      <c r="DH363" s="51">
        <f>SUM(DH364:DH364)</f>
        <v>0</v>
      </c>
      <c r="DI363" s="51"/>
      <c r="DJ363" s="51"/>
      <c r="DK363" s="144"/>
      <c r="DL363" s="51"/>
      <c r="DM363" s="51">
        <f>SUM(DM364:DM364)</f>
        <v>0</v>
      </c>
      <c r="DN363" s="51"/>
      <c r="DO363" s="51"/>
      <c r="DP363" s="144"/>
      <c r="DQ363" s="51"/>
      <c r="DR363" s="51">
        <f>SUM(DR364:DR364)</f>
        <v>227461</v>
      </c>
      <c r="DS363" s="51"/>
      <c r="DT363" s="51"/>
      <c r="DU363" s="144"/>
      <c r="DV363" s="51"/>
      <c r="DW363" s="51">
        <f>SUM(DW364:DW364)</f>
        <v>0</v>
      </c>
      <c r="DX363" s="51"/>
      <c r="DY363" s="51"/>
      <c r="DZ363" s="144"/>
      <c r="EA363" s="51"/>
      <c r="EB363" s="51">
        <f>SUM(EB364:EB364)</f>
        <v>232101</v>
      </c>
      <c r="EC363" s="51"/>
      <c r="ED363" s="51"/>
      <c r="EE363" s="144"/>
      <c r="EF363" s="51"/>
      <c r="EG363" s="51">
        <f>SUM(EG364:EG364)</f>
        <v>782082</v>
      </c>
      <c r="EH363" s="51"/>
      <c r="EI363" s="51"/>
      <c r="EJ363" s="144"/>
      <c r="EK363" s="51"/>
      <c r="EL363" s="51">
        <f>SUM(EL364:EL364)</f>
        <v>15296</v>
      </c>
      <c r="EM363" s="51"/>
      <c r="EN363" s="51"/>
      <c r="EO363" s="340"/>
      <c r="ER363" s="39"/>
      <c r="ES363" s="39"/>
    </row>
    <row r="364" spans="1:149" ht="12.75" customHeight="1" x14ac:dyDescent="0.2">
      <c r="A364" s="317"/>
      <c r="B364" s="317"/>
      <c r="D364" s="340" t="s">
        <v>183</v>
      </c>
      <c r="F364" s="434"/>
      <c r="G364" s="438">
        <v>392001</v>
      </c>
      <c r="H364" s="436"/>
      <c r="I364" s="51"/>
      <c r="J364" s="144"/>
      <c r="K364" s="437"/>
      <c r="L364" s="438">
        <v>0</v>
      </c>
      <c r="M364" s="436"/>
      <c r="N364" s="51"/>
      <c r="O364" s="144"/>
      <c r="P364" s="437"/>
      <c r="Q364" s="438">
        <v>55166</v>
      </c>
      <c r="R364" s="436"/>
      <c r="S364" s="51"/>
      <c r="T364" s="144"/>
      <c r="U364" s="437"/>
      <c r="V364" s="438">
        <v>230067</v>
      </c>
      <c r="W364" s="436"/>
      <c r="X364" s="51"/>
      <c r="Y364" s="144"/>
      <c r="Z364" s="437"/>
      <c r="AA364" s="438">
        <v>0</v>
      </c>
      <c r="AB364" s="436"/>
      <c r="AC364" s="51"/>
      <c r="AD364" s="144"/>
      <c r="AE364" s="437"/>
      <c r="AF364" s="438">
        <v>106768</v>
      </c>
      <c r="AG364" s="436"/>
      <c r="AH364" s="51"/>
      <c r="AI364" s="144"/>
      <c r="AJ364" s="437"/>
      <c r="AK364" s="438">
        <v>0</v>
      </c>
      <c r="AL364" s="436"/>
      <c r="AM364" s="51"/>
      <c r="AN364" s="144"/>
      <c r="AO364" s="437"/>
      <c r="AP364" s="438">
        <v>176497</v>
      </c>
      <c r="AQ364" s="436"/>
      <c r="AR364" s="51"/>
      <c r="AS364" s="144"/>
      <c r="AT364" s="437"/>
      <c r="AU364" s="438">
        <v>0</v>
      </c>
      <c r="AV364" s="436"/>
      <c r="AW364" s="51"/>
      <c r="AX364" s="144"/>
      <c r="AY364" s="437"/>
      <c r="AZ364" s="438">
        <v>0</v>
      </c>
      <c r="BA364" s="436"/>
      <c r="BB364" s="51"/>
      <c r="BC364" s="144"/>
      <c r="BD364" s="437"/>
      <c r="BE364" s="438">
        <v>0</v>
      </c>
      <c r="BF364" s="436"/>
      <c r="BG364" s="51"/>
      <c r="BH364" s="144"/>
      <c r="BI364" s="437"/>
      <c r="BJ364" s="438">
        <v>0</v>
      </c>
      <c r="BK364" s="436"/>
      <c r="BL364" s="51"/>
      <c r="BM364" s="144"/>
      <c r="BN364" s="437"/>
      <c r="BO364" s="438">
        <v>0</v>
      </c>
      <c r="BP364" s="436"/>
      <c r="BQ364" s="51"/>
      <c r="BR364" s="144"/>
      <c r="BS364" s="437"/>
      <c r="BT364" s="438">
        <f>SUM(L364:BO364)</f>
        <v>568498</v>
      </c>
      <c r="BU364" s="436"/>
      <c r="BV364" s="51"/>
      <c r="BW364" s="144"/>
      <c r="BX364" s="437"/>
      <c r="BY364" s="438">
        <v>1256940</v>
      </c>
      <c r="BZ364" s="436"/>
      <c r="CA364" s="51"/>
      <c r="CB364" s="144"/>
      <c r="CC364" s="437"/>
      <c r="CD364" s="438">
        <v>15296</v>
      </c>
      <c r="CE364" s="436"/>
      <c r="CF364" s="51"/>
      <c r="CG364" s="144"/>
      <c r="CH364" s="437"/>
      <c r="CI364" s="438">
        <v>0</v>
      </c>
      <c r="CJ364" s="436"/>
      <c r="CK364" s="51"/>
      <c r="CL364" s="144"/>
      <c r="CM364" s="437"/>
      <c r="CN364" s="438">
        <v>213073</v>
      </c>
      <c r="CO364" s="436"/>
      <c r="CP364" s="51"/>
      <c r="CQ364" s="144"/>
      <c r="CR364" s="437"/>
      <c r="CS364" s="438">
        <v>-213073</v>
      </c>
      <c r="CT364" s="436"/>
      <c r="CU364" s="51"/>
      <c r="CV364" s="144"/>
      <c r="CW364" s="437"/>
      <c r="CX364" s="438">
        <v>0</v>
      </c>
      <c r="CY364" s="436"/>
      <c r="CZ364" s="51"/>
      <c r="DA364" s="144"/>
      <c r="DB364" s="437"/>
      <c r="DC364" s="438">
        <v>0</v>
      </c>
      <c r="DD364" s="436"/>
      <c r="DE364" s="51"/>
      <c r="DF364" s="144"/>
      <c r="DG364" s="437"/>
      <c r="DH364" s="438">
        <v>0</v>
      </c>
      <c r="DI364" s="436"/>
      <c r="DJ364" s="51"/>
      <c r="DK364" s="144"/>
      <c r="DL364" s="437"/>
      <c r="DM364" s="438">
        <v>0</v>
      </c>
      <c r="DN364" s="436"/>
      <c r="DO364" s="51"/>
      <c r="DP364" s="144"/>
      <c r="DQ364" s="437"/>
      <c r="DR364" s="438">
        <v>227461</v>
      </c>
      <c r="DS364" s="436"/>
      <c r="DT364" s="51"/>
      <c r="DU364" s="144"/>
      <c r="DV364" s="437"/>
      <c r="DW364" s="438">
        <v>0</v>
      </c>
      <c r="DX364" s="436"/>
      <c r="DY364" s="51"/>
      <c r="DZ364" s="144"/>
      <c r="EA364" s="437"/>
      <c r="EB364" s="438">
        <v>232101</v>
      </c>
      <c r="EC364" s="436"/>
      <c r="ED364" s="51"/>
      <c r="EE364" s="144"/>
      <c r="EF364" s="437"/>
      <c r="EG364" s="438">
        <v>782082</v>
      </c>
      <c r="EH364" s="436"/>
      <c r="EI364" s="51"/>
      <c r="EJ364" s="144"/>
      <c r="EK364" s="437"/>
      <c r="EL364" s="438">
        <f>SUM(CD364:DH364)</f>
        <v>15296</v>
      </c>
      <c r="EM364" s="436"/>
      <c r="EN364" s="51"/>
      <c r="EO364" s="340"/>
      <c r="ER364" s="39"/>
      <c r="ES364" s="39"/>
    </row>
    <row r="365" spans="1:149" ht="12.75" customHeight="1" x14ac:dyDescent="0.2">
      <c r="A365" s="317"/>
      <c r="B365" s="317"/>
      <c r="D365" s="340"/>
      <c r="F365" s="317"/>
      <c r="G365" s="51"/>
      <c r="H365" s="51"/>
      <c r="I365" s="51"/>
      <c r="J365" s="144"/>
      <c r="K365" s="51"/>
      <c r="L365" s="51"/>
      <c r="M365" s="51"/>
      <c r="N365" s="51"/>
      <c r="O365" s="144"/>
      <c r="P365" s="51"/>
      <c r="Q365" s="51"/>
      <c r="R365" s="51"/>
      <c r="S365" s="51"/>
      <c r="T365" s="144"/>
      <c r="U365" s="51"/>
      <c r="V365" s="51"/>
      <c r="W365" s="51"/>
      <c r="X365" s="51"/>
      <c r="Y365" s="144"/>
      <c r="Z365" s="51"/>
      <c r="AA365" s="51"/>
      <c r="AB365" s="51"/>
      <c r="AC365" s="51"/>
      <c r="AD365" s="144"/>
      <c r="AE365" s="51"/>
      <c r="AF365" s="51"/>
      <c r="AG365" s="51"/>
      <c r="AH365" s="51"/>
      <c r="AI365" s="144"/>
      <c r="AJ365" s="51"/>
      <c r="AK365" s="51"/>
      <c r="AL365" s="51"/>
      <c r="AM365" s="51"/>
      <c r="AN365" s="144"/>
      <c r="AO365" s="51"/>
      <c r="AP365" s="51"/>
      <c r="AQ365" s="51"/>
      <c r="AR365" s="51"/>
      <c r="AS365" s="144"/>
      <c r="AT365" s="51"/>
      <c r="AU365" s="51"/>
      <c r="AV365" s="51"/>
      <c r="AW365" s="51"/>
      <c r="AX365" s="144"/>
      <c r="AY365" s="51"/>
      <c r="AZ365" s="51"/>
      <c r="BA365" s="51"/>
      <c r="BB365" s="51"/>
      <c r="BC365" s="144"/>
      <c r="BD365" s="51"/>
      <c r="BE365" s="51"/>
      <c r="BF365" s="51"/>
      <c r="BG365" s="51"/>
      <c r="BH365" s="144"/>
      <c r="BI365" s="51"/>
      <c r="BJ365" s="51"/>
      <c r="BK365" s="51"/>
      <c r="BL365" s="51"/>
      <c r="BM365" s="144"/>
      <c r="BN365" s="51"/>
      <c r="BO365" s="51"/>
      <c r="BP365" s="51"/>
      <c r="BQ365" s="51"/>
      <c r="BR365" s="144"/>
      <c r="BS365" s="51"/>
      <c r="BT365" s="51"/>
      <c r="BU365" s="51"/>
      <c r="BV365" s="51"/>
      <c r="BW365" s="144"/>
      <c r="BX365" s="51"/>
      <c r="BY365" s="51"/>
      <c r="BZ365" s="51"/>
      <c r="CA365" s="51"/>
      <c r="CB365" s="144"/>
      <c r="CC365" s="51"/>
      <c r="CD365" s="51"/>
      <c r="CE365" s="51"/>
      <c r="CF365" s="51"/>
      <c r="CG365" s="144"/>
      <c r="CH365" s="51"/>
      <c r="CI365" s="51"/>
      <c r="CJ365" s="51"/>
      <c r="CK365" s="51"/>
      <c r="CL365" s="144"/>
      <c r="CM365" s="51"/>
      <c r="CN365" s="51"/>
      <c r="CO365" s="51"/>
      <c r="CP365" s="51"/>
      <c r="CQ365" s="144"/>
      <c r="CR365" s="51"/>
      <c r="CS365" s="51"/>
      <c r="CT365" s="51"/>
      <c r="CU365" s="51"/>
      <c r="CV365" s="144"/>
      <c r="CW365" s="51"/>
      <c r="CX365" s="51"/>
      <c r="CY365" s="51"/>
      <c r="CZ365" s="51"/>
      <c r="DA365" s="144"/>
      <c r="DB365" s="51"/>
      <c r="DC365" s="51"/>
      <c r="DD365" s="51"/>
      <c r="DE365" s="51"/>
      <c r="DF365" s="144"/>
      <c r="DG365" s="51"/>
      <c r="DH365" s="51"/>
      <c r="DI365" s="51"/>
      <c r="DJ365" s="51"/>
      <c r="DK365" s="144"/>
      <c r="DL365" s="51"/>
      <c r="DM365" s="51"/>
      <c r="DN365" s="51"/>
      <c r="DO365" s="51"/>
      <c r="DP365" s="144"/>
      <c r="DQ365" s="51"/>
      <c r="DR365" s="51"/>
      <c r="DS365" s="51"/>
      <c r="DT365" s="51"/>
      <c r="DU365" s="144"/>
      <c r="DV365" s="51"/>
      <c r="DW365" s="51"/>
      <c r="DX365" s="51"/>
      <c r="DY365" s="51"/>
      <c r="DZ365" s="144"/>
      <c r="EA365" s="51"/>
      <c r="EB365" s="51"/>
      <c r="EC365" s="51"/>
      <c r="ED365" s="51"/>
      <c r="EE365" s="144"/>
      <c r="EF365" s="51"/>
      <c r="EG365" s="51"/>
      <c r="EH365" s="51"/>
      <c r="EI365" s="51"/>
      <c r="EJ365" s="144"/>
      <c r="EK365" s="51"/>
      <c r="EL365" s="51"/>
      <c r="EM365" s="51"/>
      <c r="EN365" s="51"/>
      <c r="EO365" s="340"/>
      <c r="ER365" s="39"/>
      <c r="ES365" s="39"/>
    </row>
    <row r="366" spans="1:149" ht="12.75" customHeight="1" x14ac:dyDescent="0.2">
      <c r="A366" s="317"/>
      <c r="B366" s="317"/>
      <c r="D366" s="340" t="s">
        <v>202</v>
      </c>
      <c r="F366" s="317"/>
      <c r="G366" s="51">
        <f>SUM(G367:G367)</f>
        <v>0</v>
      </c>
      <c r="H366" s="51"/>
      <c r="I366" s="51"/>
      <c r="J366" s="144"/>
      <c r="K366" s="51"/>
      <c r="L366" s="51">
        <f>SUM(L367:L367)</f>
        <v>0</v>
      </c>
      <c r="M366" s="51"/>
      <c r="N366" s="51"/>
      <c r="O366" s="144"/>
      <c r="P366" s="51"/>
      <c r="Q366" s="51">
        <f>SUM(Q367:Q367)</f>
        <v>0</v>
      </c>
      <c r="R366" s="51"/>
      <c r="S366" s="51"/>
      <c r="T366" s="144"/>
      <c r="U366" s="51"/>
      <c r="V366" s="51">
        <f>SUM(V367:V367)</f>
        <v>0</v>
      </c>
      <c r="W366" s="51"/>
      <c r="X366" s="51"/>
      <c r="Y366" s="144"/>
      <c r="Z366" s="51"/>
      <c r="AA366" s="51">
        <f>SUM(AA367:AA367)</f>
        <v>0</v>
      </c>
      <c r="AB366" s="51"/>
      <c r="AC366" s="51"/>
      <c r="AD366" s="144"/>
      <c r="AE366" s="51"/>
      <c r="AF366" s="51">
        <f>SUM(AF367:AF367)</f>
        <v>0</v>
      </c>
      <c r="AG366" s="51"/>
      <c r="AH366" s="51"/>
      <c r="AI366" s="144"/>
      <c r="AJ366" s="51"/>
      <c r="AK366" s="51">
        <f>SUM(AK367:AK367)</f>
        <v>0</v>
      </c>
      <c r="AL366" s="51"/>
      <c r="AM366" s="51"/>
      <c r="AN366" s="144"/>
      <c r="AO366" s="51"/>
      <c r="AP366" s="51">
        <f>SUM(AP367:AP367)</f>
        <v>0</v>
      </c>
      <c r="AQ366" s="51"/>
      <c r="AR366" s="51"/>
      <c r="AS366" s="144"/>
      <c r="AT366" s="51"/>
      <c r="AU366" s="51">
        <f>SUM(AU367:AU367)</f>
        <v>0</v>
      </c>
      <c r="AV366" s="51"/>
      <c r="AW366" s="51"/>
      <c r="AX366" s="144"/>
      <c r="AY366" s="51"/>
      <c r="AZ366" s="51">
        <f>SUM(AZ367:AZ367)</f>
        <v>0</v>
      </c>
      <c r="BA366" s="51"/>
      <c r="BB366" s="51"/>
      <c r="BC366" s="144"/>
      <c r="BD366" s="51"/>
      <c r="BE366" s="51">
        <f>SUM(BE367:BE367)</f>
        <v>0</v>
      </c>
      <c r="BF366" s="51"/>
      <c r="BG366" s="51"/>
      <c r="BH366" s="144"/>
      <c r="BI366" s="51"/>
      <c r="BJ366" s="51">
        <f>SUM(BJ367:BJ367)</f>
        <v>0</v>
      </c>
      <c r="BK366" s="51"/>
      <c r="BL366" s="51"/>
      <c r="BM366" s="144"/>
      <c r="BN366" s="51"/>
      <c r="BO366" s="51">
        <f>SUM(BO367:BO367)</f>
        <v>0</v>
      </c>
      <c r="BP366" s="51"/>
      <c r="BQ366" s="51"/>
      <c r="BR366" s="144"/>
      <c r="BS366" s="51"/>
      <c r="BT366" s="51">
        <f>SUM(BT367:BT367)</f>
        <v>0</v>
      </c>
      <c r="BU366" s="51"/>
      <c r="BV366" s="51"/>
      <c r="BW366" s="144"/>
      <c r="BX366" s="51"/>
      <c r="BY366" s="51">
        <f>SUM(BY367:BY367)</f>
        <v>203060</v>
      </c>
      <c r="BZ366" s="51"/>
      <c r="CA366" s="51"/>
      <c r="CB366" s="144"/>
      <c r="CC366" s="51"/>
      <c r="CD366" s="51">
        <f>SUM(CD367:CD367)</f>
        <v>41836</v>
      </c>
      <c r="CE366" s="51"/>
      <c r="CF366" s="51"/>
      <c r="CG366" s="144"/>
      <c r="CH366" s="51"/>
      <c r="CI366" s="51">
        <f>SUM(CI367:CI367)</f>
        <v>0</v>
      </c>
      <c r="CJ366" s="51"/>
      <c r="CK366" s="51"/>
      <c r="CL366" s="144"/>
      <c r="CM366" s="51"/>
      <c r="CN366" s="51">
        <f>SUM(CN367:CN367)</f>
        <v>0</v>
      </c>
      <c r="CO366" s="51"/>
      <c r="CP366" s="51"/>
      <c r="CQ366" s="144"/>
      <c r="CR366" s="51"/>
      <c r="CS366" s="51">
        <f>SUM(CS367:CS367)</f>
        <v>0</v>
      </c>
      <c r="CT366" s="51"/>
      <c r="CU366" s="51"/>
      <c r="CV366" s="144"/>
      <c r="CW366" s="51"/>
      <c r="CX366" s="51">
        <f>SUM(CX367:CX367)</f>
        <v>0</v>
      </c>
      <c r="CY366" s="51"/>
      <c r="CZ366" s="51"/>
      <c r="DA366" s="144"/>
      <c r="DB366" s="51"/>
      <c r="DC366" s="51">
        <f>SUM(DC367:DC367)</f>
        <v>0</v>
      </c>
      <c r="DD366" s="51"/>
      <c r="DE366" s="51"/>
      <c r="DF366" s="144"/>
      <c r="DG366" s="51"/>
      <c r="DH366" s="51">
        <f>SUM(DH367:DH367)</f>
        <v>0</v>
      </c>
      <c r="DI366" s="51"/>
      <c r="DJ366" s="51"/>
      <c r="DK366" s="144"/>
      <c r="DL366" s="51"/>
      <c r="DM366" s="51">
        <f>SUM(DM367:DM367)</f>
        <v>0</v>
      </c>
      <c r="DN366" s="51"/>
      <c r="DO366" s="51"/>
      <c r="DP366" s="144"/>
      <c r="DQ366" s="51"/>
      <c r="DR366" s="51">
        <f>SUM(DR367:DR367)</f>
        <v>0</v>
      </c>
      <c r="DS366" s="51"/>
      <c r="DT366" s="51"/>
      <c r="DU366" s="144"/>
      <c r="DV366" s="51"/>
      <c r="DW366" s="51">
        <f>SUM(DW367:DW367)</f>
        <v>0</v>
      </c>
      <c r="DX366" s="51"/>
      <c r="DY366" s="51"/>
      <c r="DZ366" s="144"/>
      <c r="EA366" s="51"/>
      <c r="EB366" s="51">
        <f>SUM(EB367:EB367)</f>
        <v>0</v>
      </c>
      <c r="EC366" s="51"/>
      <c r="ED366" s="51"/>
      <c r="EE366" s="144"/>
      <c r="EF366" s="51"/>
      <c r="EG366" s="51">
        <f>SUM(EG367:EG367)</f>
        <v>161224</v>
      </c>
      <c r="EH366" s="51"/>
      <c r="EI366" s="51"/>
      <c r="EJ366" s="144"/>
      <c r="EK366" s="51"/>
      <c r="EL366" s="51">
        <f>SUM(EL367:EL367)</f>
        <v>41836</v>
      </c>
      <c r="EM366" s="51"/>
      <c r="EN366" s="51"/>
      <c r="EO366" s="340"/>
      <c r="ER366" s="39"/>
      <c r="ES366" s="39"/>
    </row>
    <row r="367" spans="1:149" ht="12.75" customHeight="1" x14ac:dyDescent="0.2">
      <c r="A367" s="317"/>
      <c r="B367" s="317"/>
      <c r="D367" s="340" t="s">
        <v>183</v>
      </c>
      <c r="F367" s="434"/>
      <c r="G367" s="438">
        <v>0</v>
      </c>
      <c r="H367" s="436"/>
      <c r="I367" s="51"/>
      <c r="J367" s="144"/>
      <c r="K367" s="437"/>
      <c r="L367" s="438">
        <v>0</v>
      </c>
      <c r="M367" s="436"/>
      <c r="N367" s="51"/>
      <c r="O367" s="144"/>
      <c r="P367" s="437"/>
      <c r="Q367" s="438">
        <v>0</v>
      </c>
      <c r="R367" s="436"/>
      <c r="S367" s="51"/>
      <c r="T367" s="144"/>
      <c r="U367" s="437"/>
      <c r="V367" s="438">
        <v>0</v>
      </c>
      <c r="W367" s="436"/>
      <c r="X367" s="51"/>
      <c r="Y367" s="144"/>
      <c r="Z367" s="437"/>
      <c r="AA367" s="438">
        <v>0</v>
      </c>
      <c r="AB367" s="436"/>
      <c r="AC367" s="51"/>
      <c r="AD367" s="144"/>
      <c r="AE367" s="437"/>
      <c r="AF367" s="438">
        <v>0</v>
      </c>
      <c r="AG367" s="436"/>
      <c r="AH367" s="51"/>
      <c r="AI367" s="144"/>
      <c r="AJ367" s="437"/>
      <c r="AK367" s="438">
        <v>0</v>
      </c>
      <c r="AL367" s="436"/>
      <c r="AM367" s="51"/>
      <c r="AN367" s="144"/>
      <c r="AO367" s="437"/>
      <c r="AP367" s="438">
        <v>0</v>
      </c>
      <c r="AQ367" s="436"/>
      <c r="AR367" s="51"/>
      <c r="AS367" s="144"/>
      <c r="AT367" s="437"/>
      <c r="AU367" s="438">
        <v>0</v>
      </c>
      <c r="AV367" s="436"/>
      <c r="AW367" s="51"/>
      <c r="AX367" s="144"/>
      <c r="AY367" s="437"/>
      <c r="AZ367" s="438">
        <v>0</v>
      </c>
      <c r="BA367" s="436"/>
      <c r="BB367" s="51"/>
      <c r="BC367" s="144"/>
      <c r="BD367" s="437"/>
      <c r="BE367" s="438">
        <v>0</v>
      </c>
      <c r="BF367" s="436"/>
      <c r="BG367" s="51"/>
      <c r="BH367" s="144"/>
      <c r="BI367" s="437"/>
      <c r="BJ367" s="438">
        <v>0</v>
      </c>
      <c r="BK367" s="436"/>
      <c r="BL367" s="51"/>
      <c r="BM367" s="144"/>
      <c r="BN367" s="437"/>
      <c r="BO367" s="438">
        <v>0</v>
      </c>
      <c r="BP367" s="436"/>
      <c r="BQ367" s="51"/>
      <c r="BR367" s="144"/>
      <c r="BS367" s="437"/>
      <c r="BT367" s="438">
        <f>SUM(L367:BO367)</f>
        <v>0</v>
      </c>
      <c r="BU367" s="436"/>
      <c r="BV367" s="51"/>
      <c r="BW367" s="144"/>
      <c r="BX367" s="437"/>
      <c r="BY367" s="438">
        <v>203060</v>
      </c>
      <c r="BZ367" s="436"/>
      <c r="CA367" s="51"/>
      <c r="CB367" s="144"/>
      <c r="CC367" s="437"/>
      <c r="CD367" s="438">
        <v>41836</v>
      </c>
      <c r="CE367" s="436"/>
      <c r="CF367" s="51"/>
      <c r="CG367" s="144"/>
      <c r="CH367" s="437"/>
      <c r="CI367" s="438">
        <v>0</v>
      </c>
      <c r="CJ367" s="436"/>
      <c r="CK367" s="51"/>
      <c r="CL367" s="144"/>
      <c r="CM367" s="437"/>
      <c r="CN367" s="438">
        <v>0</v>
      </c>
      <c r="CO367" s="436"/>
      <c r="CP367" s="51"/>
      <c r="CQ367" s="144"/>
      <c r="CR367" s="437"/>
      <c r="CS367" s="438">
        <v>0</v>
      </c>
      <c r="CT367" s="436"/>
      <c r="CU367" s="51"/>
      <c r="CV367" s="144"/>
      <c r="CW367" s="437"/>
      <c r="CX367" s="438">
        <v>0</v>
      </c>
      <c r="CY367" s="436"/>
      <c r="CZ367" s="51"/>
      <c r="DA367" s="144"/>
      <c r="DB367" s="437"/>
      <c r="DC367" s="438">
        <v>0</v>
      </c>
      <c r="DD367" s="436"/>
      <c r="DE367" s="51"/>
      <c r="DF367" s="144"/>
      <c r="DG367" s="437"/>
      <c r="DH367" s="438">
        <v>0</v>
      </c>
      <c r="DI367" s="436"/>
      <c r="DJ367" s="51"/>
      <c r="DK367" s="144"/>
      <c r="DL367" s="437"/>
      <c r="DM367" s="438">
        <v>0</v>
      </c>
      <c r="DN367" s="436"/>
      <c r="DO367" s="51"/>
      <c r="DP367" s="144"/>
      <c r="DQ367" s="437"/>
      <c r="DR367" s="438">
        <v>0</v>
      </c>
      <c r="DS367" s="436"/>
      <c r="DT367" s="51"/>
      <c r="DU367" s="144"/>
      <c r="DV367" s="437"/>
      <c r="DW367" s="438">
        <v>0</v>
      </c>
      <c r="DX367" s="436"/>
      <c r="DY367" s="51"/>
      <c r="DZ367" s="144"/>
      <c r="EA367" s="437"/>
      <c r="EB367" s="438">
        <v>0</v>
      </c>
      <c r="EC367" s="436"/>
      <c r="ED367" s="51"/>
      <c r="EE367" s="144"/>
      <c r="EF367" s="437"/>
      <c r="EG367" s="438">
        <v>161224</v>
      </c>
      <c r="EH367" s="436"/>
      <c r="EI367" s="51"/>
      <c r="EJ367" s="144"/>
      <c r="EK367" s="437"/>
      <c r="EL367" s="438">
        <f>SUM(CD367:DH367)</f>
        <v>41836</v>
      </c>
      <c r="EM367" s="436"/>
      <c r="EN367" s="51"/>
      <c r="EO367" s="340"/>
      <c r="ER367" s="39"/>
      <c r="ES367" s="39"/>
    </row>
    <row r="368" spans="1:149" ht="12.75" customHeight="1" x14ac:dyDescent="0.2">
      <c r="A368" s="317"/>
      <c r="B368" s="317"/>
      <c r="D368" s="340"/>
      <c r="F368" s="317"/>
      <c r="G368" s="51"/>
      <c r="H368" s="51"/>
      <c r="I368" s="51"/>
      <c r="J368" s="144"/>
      <c r="K368" s="51"/>
      <c r="L368" s="51"/>
      <c r="M368" s="51"/>
      <c r="N368" s="51"/>
      <c r="O368" s="144"/>
      <c r="P368" s="51"/>
      <c r="Q368" s="51"/>
      <c r="R368" s="51"/>
      <c r="S368" s="51"/>
      <c r="T368" s="144"/>
      <c r="U368" s="51"/>
      <c r="V368" s="51"/>
      <c r="W368" s="51"/>
      <c r="X368" s="51"/>
      <c r="Y368" s="144"/>
      <c r="Z368" s="51"/>
      <c r="AA368" s="51"/>
      <c r="AB368" s="51"/>
      <c r="AC368" s="51"/>
      <c r="AD368" s="144"/>
      <c r="AE368" s="51"/>
      <c r="AF368" s="51"/>
      <c r="AG368" s="51"/>
      <c r="AH368" s="51"/>
      <c r="AI368" s="144"/>
      <c r="AJ368" s="51"/>
      <c r="AK368" s="51"/>
      <c r="AL368" s="51"/>
      <c r="AM368" s="51"/>
      <c r="AN368" s="144"/>
      <c r="AO368" s="51"/>
      <c r="AP368" s="51"/>
      <c r="AQ368" s="51"/>
      <c r="AR368" s="51"/>
      <c r="AS368" s="144"/>
      <c r="AT368" s="51"/>
      <c r="AU368" s="51"/>
      <c r="AV368" s="51"/>
      <c r="AW368" s="51"/>
      <c r="AX368" s="144"/>
      <c r="AY368" s="51"/>
      <c r="AZ368" s="51"/>
      <c r="BA368" s="51"/>
      <c r="BB368" s="51"/>
      <c r="BC368" s="144"/>
      <c r="BD368" s="51"/>
      <c r="BE368" s="51"/>
      <c r="BF368" s="51"/>
      <c r="BG368" s="51"/>
      <c r="BH368" s="144"/>
      <c r="BI368" s="51"/>
      <c r="BJ368" s="51"/>
      <c r="BK368" s="51"/>
      <c r="BL368" s="51"/>
      <c r="BM368" s="144"/>
      <c r="BN368" s="51"/>
      <c r="BO368" s="51"/>
      <c r="BP368" s="51"/>
      <c r="BQ368" s="51"/>
      <c r="BR368" s="144"/>
      <c r="BS368" s="51"/>
      <c r="BT368" s="51"/>
      <c r="BU368" s="51"/>
      <c r="BV368" s="51"/>
      <c r="BW368" s="144"/>
      <c r="BX368" s="51"/>
      <c r="BY368" s="51"/>
      <c r="BZ368" s="51"/>
      <c r="CA368" s="51"/>
      <c r="CB368" s="144"/>
      <c r="CC368" s="51"/>
      <c r="CD368" s="51"/>
      <c r="CE368" s="51"/>
      <c r="CF368" s="51"/>
      <c r="CG368" s="144"/>
      <c r="CH368" s="51"/>
      <c r="CI368" s="51"/>
      <c r="CJ368" s="51"/>
      <c r="CK368" s="51"/>
      <c r="CL368" s="144"/>
      <c r="CM368" s="51"/>
      <c r="CN368" s="51"/>
      <c r="CO368" s="51"/>
      <c r="CP368" s="51"/>
      <c r="CQ368" s="144"/>
      <c r="CR368" s="51"/>
      <c r="CS368" s="51"/>
      <c r="CT368" s="51"/>
      <c r="CU368" s="51"/>
      <c r="CV368" s="144"/>
      <c r="CW368" s="51"/>
      <c r="CX368" s="51"/>
      <c r="CY368" s="51"/>
      <c r="CZ368" s="51"/>
      <c r="DA368" s="144"/>
      <c r="DB368" s="51"/>
      <c r="DC368" s="51"/>
      <c r="DD368" s="51"/>
      <c r="DE368" s="51"/>
      <c r="DF368" s="144"/>
      <c r="DG368" s="51"/>
      <c r="DH368" s="51"/>
      <c r="DI368" s="51"/>
      <c r="DJ368" s="51"/>
      <c r="DK368" s="144"/>
      <c r="DL368" s="51"/>
      <c r="DM368" s="51"/>
      <c r="DN368" s="51"/>
      <c r="DO368" s="51"/>
      <c r="DP368" s="144"/>
      <c r="DQ368" s="51"/>
      <c r="DR368" s="51"/>
      <c r="DS368" s="51"/>
      <c r="DT368" s="51"/>
      <c r="DU368" s="144"/>
      <c r="DV368" s="51"/>
      <c r="DW368" s="51"/>
      <c r="DX368" s="51"/>
      <c r="DY368" s="51"/>
      <c r="DZ368" s="144"/>
      <c r="EA368" s="51"/>
      <c r="EB368" s="51"/>
      <c r="EC368" s="51"/>
      <c r="ED368" s="51"/>
      <c r="EE368" s="144"/>
      <c r="EF368" s="51"/>
      <c r="EG368" s="51"/>
      <c r="EH368" s="51"/>
      <c r="EI368" s="51"/>
      <c r="EJ368" s="144"/>
      <c r="EK368" s="51"/>
      <c r="EL368" s="51"/>
      <c r="EM368" s="51"/>
      <c r="EN368" s="51"/>
      <c r="EO368" s="340"/>
      <c r="ER368" s="39"/>
      <c r="ES368" s="39"/>
    </row>
    <row r="369" spans="1:149" x14ac:dyDescent="0.2">
      <c r="A369" s="317"/>
      <c r="B369" s="317"/>
      <c r="D369" s="340" t="s">
        <v>203</v>
      </c>
      <c r="F369" s="317"/>
      <c r="G369" s="51">
        <f>SUM(G370)</f>
        <v>87218</v>
      </c>
      <c r="H369" s="51"/>
      <c r="I369" s="51"/>
      <c r="J369" s="144"/>
      <c r="K369" s="317"/>
      <c r="L369" s="51">
        <f>SUM(L370)</f>
        <v>0</v>
      </c>
      <c r="M369" s="51"/>
      <c r="N369" s="51"/>
      <c r="O369" s="144"/>
      <c r="P369" s="317"/>
      <c r="Q369" s="51">
        <f>SUM(Q370:Q370)</f>
        <v>87218</v>
      </c>
      <c r="R369" s="51"/>
      <c r="S369" s="51"/>
      <c r="T369" s="144"/>
      <c r="U369" s="317"/>
      <c r="V369" s="51">
        <f>SUM(V370)</f>
        <v>0</v>
      </c>
      <c r="W369" s="51"/>
      <c r="X369" s="51"/>
      <c r="Y369" s="144"/>
      <c r="Z369" s="317"/>
      <c r="AA369" s="51">
        <f>SUM(AA370)</f>
        <v>0</v>
      </c>
      <c r="AB369" s="51"/>
      <c r="AC369" s="51"/>
      <c r="AD369" s="144"/>
      <c r="AE369" s="317"/>
      <c r="AF369" s="51">
        <f>SUM(AF370)</f>
        <v>0</v>
      </c>
      <c r="AG369" s="51"/>
      <c r="AH369" s="51"/>
      <c r="AI369" s="144"/>
      <c r="AJ369" s="317"/>
      <c r="AK369" s="51">
        <f>SUM(AK370)</f>
        <v>0</v>
      </c>
      <c r="AL369" s="51"/>
      <c r="AM369" s="51"/>
      <c r="AN369" s="144"/>
      <c r="AO369" s="317"/>
      <c r="AP369" s="51">
        <f>SUM(AP370)</f>
        <v>0</v>
      </c>
      <c r="AQ369" s="51"/>
      <c r="AR369" s="51"/>
      <c r="AS369" s="144"/>
      <c r="AT369" s="317"/>
      <c r="AU369" s="51">
        <f>SUM(AU370)</f>
        <v>0</v>
      </c>
      <c r="AV369" s="51"/>
      <c r="AW369" s="51"/>
      <c r="AX369" s="144"/>
      <c r="AY369" s="317"/>
      <c r="AZ369" s="51">
        <f>SUM(AZ370)</f>
        <v>0</v>
      </c>
      <c r="BA369" s="51"/>
      <c r="BB369" s="51"/>
      <c r="BC369" s="144"/>
      <c r="BD369" s="317"/>
      <c r="BE369" s="51">
        <f>SUM(BE370)</f>
        <v>0</v>
      </c>
      <c r="BF369" s="51"/>
      <c r="BG369" s="51"/>
      <c r="BH369" s="144"/>
      <c r="BI369" s="317"/>
      <c r="BJ369" s="51">
        <f>SUM(BJ370)</f>
        <v>0</v>
      </c>
      <c r="BK369" s="51"/>
      <c r="BL369" s="51"/>
      <c r="BM369" s="144"/>
      <c r="BN369" s="317"/>
      <c r="BO369" s="51">
        <f>SUM(BO370)</f>
        <v>0</v>
      </c>
      <c r="BP369" s="51"/>
      <c r="BQ369" s="51"/>
      <c r="BR369" s="144"/>
      <c r="BS369" s="317"/>
      <c r="BT369" s="51">
        <f>SUM(BT370:BT370)</f>
        <v>87218</v>
      </c>
      <c r="BU369" s="51"/>
      <c r="BV369" s="51"/>
      <c r="BW369" s="144"/>
      <c r="BX369" s="317"/>
      <c r="BY369" s="51">
        <f>SUM(BY370)</f>
        <v>530579</v>
      </c>
      <c r="BZ369" s="51"/>
      <c r="CA369" s="51"/>
      <c r="CB369" s="144"/>
      <c r="CC369" s="317"/>
      <c r="CD369" s="51">
        <f>SUM(CD370:CD370)</f>
        <v>0</v>
      </c>
      <c r="CE369" s="51"/>
      <c r="CF369" s="51"/>
      <c r="CG369" s="144"/>
      <c r="CH369" s="51"/>
      <c r="CI369" s="51">
        <f>SUM(CI370:CI370)</f>
        <v>0</v>
      </c>
      <c r="CJ369" s="51"/>
      <c r="CK369" s="51"/>
      <c r="CL369" s="144"/>
      <c r="CM369" s="51"/>
      <c r="CN369" s="51">
        <f>SUM(CN370:CN370)</f>
        <v>0</v>
      </c>
      <c r="CO369" s="51"/>
      <c r="CP369" s="51"/>
      <c r="CQ369" s="144"/>
      <c r="CR369" s="51"/>
      <c r="CS369" s="51">
        <f>SUM(CS370:CS370)</f>
        <v>0</v>
      </c>
      <c r="CT369" s="51"/>
      <c r="CU369" s="51"/>
      <c r="CV369" s="144"/>
      <c r="CW369" s="51"/>
      <c r="CX369" s="51">
        <f>SUM(CX370:CX370)</f>
        <v>0</v>
      </c>
      <c r="CY369" s="51"/>
      <c r="CZ369" s="51"/>
      <c r="DA369" s="144"/>
      <c r="DB369" s="51"/>
      <c r="DC369" s="51">
        <f>SUM(DC370:DC370)</f>
        <v>0</v>
      </c>
      <c r="DD369" s="51"/>
      <c r="DE369" s="51"/>
      <c r="DF369" s="144"/>
      <c r="DG369" s="51"/>
      <c r="DH369" s="51">
        <f>SUM(DH370:DH370)</f>
        <v>0</v>
      </c>
      <c r="DI369" s="51"/>
      <c r="DJ369" s="51"/>
      <c r="DK369" s="144"/>
      <c r="DL369" s="51"/>
      <c r="DM369" s="51">
        <f>SUM(DM370:DM370)</f>
        <v>530579</v>
      </c>
      <c r="DN369" s="51"/>
      <c r="DO369" s="51"/>
      <c r="DP369" s="144"/>
      <c r="DQ369" s="51"/>
      <c r="DR369" s="51">
        <f>SUM(DR370:DR370)</f>
        <v>0</v>
      </c>
      <c r="DS369" s="51"/>
      <c r="DT369" s="51"/>
      <c r="DU369" s="144"/>
      <c r="DV369" s="51"/>
      <c r="DW369" s="51">
        <f>SUM(DW370:DW370)</f>
        <v>0</v>
      </c>
      <c r="DX369" s="51"/>
      <c r="DY369" s="51"/>
      <c r="DZ369" s="144"/>
      <c r="EA369" s="51"/>
      <c r="EB369" s="51">
        <f>SUM(EB370:EB370)</f>
        <v>0</v>
      </c>
      <c r="EC369" s="51"/>
      <c r="ED369" s="51"/>
      <c r="EE369" s="144"/>
      <c r="EF369" s="51"/>
      <c r="EG369" s="51">
        <f>SUM(EG370:EG370)</f>
        <v>0</v>
      </c>
      <c r="EH369" s="51"/>
      <c r="EI369" s="51"/>
      <c r="EJ369" s="144"/>
      <c r="EK369" s="317"/>
      <c r="EL369" s="51">
        <f>SUM(EL370:EL370)</f>
        <v>0</v>
      </c>
      <c r="EM369" s="51"/>
      <c r="EN369" s="51"/>
      <c r="EO369" s="340"/>
      <c r="ER369" s="39"/>
      <c r="ES369" s="39"/>
    </row>
    <row r="370" spans="1:149" x14ac:dyDescent="0.2">
      <c r="A370" s="317"/>
      <c r="B370" s="317"/>
      <c r="D370" s="340" t="s">
        <v>183</v>
      </c>
      <c r="F370" s="434"/>
      <c r="G370" s="438">
        <v>87218</v>
      </c>
      <c r="H370" s="436"/>
      <c r="I370" s="51"/>
      <c r="J370" s="144"/>
      <c r="K370" s="434"/>
      <c r="L370" s="438">
        <v>0</v>
      </c>
      <c r="M370" s="436"/>
      <c r="N370" s="51"/>
      <c r="O370" s="144"/>
      <c r="P370" s="434"/>
      <c r="Q370" s="438">
        <v>87218</v>
      </c>
      <c r="R370" s="436"/>
      <c r="S370" s="51"/>
      <c r="T370" s="144"/>
      <c r="U370" s="434"/>
      <c r="V370" s="438">
        <v>0</v>
      </c>
      <c r="W370" s="436"/>
      <c r="X370" s="51"/>
      <c r="Y370" s="144"/>
      <c r="Z370" s="434"/>
      <c r="AA370" s="438">
        <v>0</v>
      </c>
      <c r="AB370" s="436"/>
      <c r="AC370" s="51"/>
      <c r="AD370" s="144"/>
      <c r="AE370" s="434"/>
      <c r="AF370" s="438">
        <v>0</v>
      </c>
      <c r="AG370" s="436"/>
      <c r="AH370" s="51"/>
      <c r="AI370" s="144"/>
      <c r="AJ370" s="434"/>
      <c r="AK370" s="438">
        <v>0</v>
      </c>
      <c r="AL370" s="436"/>
      <c r="AM370" s="51"/>
      <c r="AN370" s="144"/>
      <c r="AO370" s="434"/>
      <c r="AP370" s="438">
        <v>0</v>
      </c>
      <c r="AQ370" s="436"/>
      <c r="AR370" s="51"/>
      <c r="AS370" s="144"/>
      <c r="AT370" s="434"/>
      <c r="AU370" s="438">
        <v>0</v>
      </c>
      <c r="AV370" s="436"/>
      <c r="AW370" s="51"/>
      <c r="AX370" s="144"/>
      <c r="AY370" s="434"/>
      <c r="AZ370" s="438">
        <v>0</v>
      </c>
      <c r="BA370" s="436"/>
      <c r="BB370" s="51"/>
      <c r="BC370" s="144"/>
      <c r="BD370" s="434"/>
      <c r="BE370" s="438">
        <v>0</v>
      </c>
      <c r="BF370" s="436"/>
      <c r="BG370" s="51"/>
      <c r="BH370" s="144"/>
      <c r="BI370" s="434"/>
      <c r="BJ370" s="438">
        <v>0</v>
      </c>
      <c r="BK370" s="436"/>
      <c r="BL370" s="51"/>
      <c r="BM370" s="144"/>
      <c r="BN370" s="434"/>
      <c r="BO370" s="438">
        <v>0</v>
      </c>
      <c r="BP370" s="436"/>
      <c r="BQ370" s="51"/>
      <c r="BR370" s="144"/>
      <c r="BS370" s="434"/>
      <c r="BT370" s="438">
        <f>SUM(L370:BO370)</f>
        <v>87218</v>
      </c>
      <c r="BU370" s="436"/>
      <c r="BV370" s="51"/>
      <c r="BW370" s="144"/>
      <c r="BX370" s="434"/>
      <c r="BY370" s="438">
        <v>530579</v>
      </c>
      <c r="BZ370" s="436"/>
      <c r="CA370" s="51"/>
      <c r="CB370" s="144"/>
      <c r="CC370" s="434"/>
      <c r="CD370" s="438">
        <v>0</v>
      </c>
      <c r="CE370" s="436"/>
      <c r="CF370" s="51"/>
      <c r="CG370" s="144"/>
      <c r="CH370" s="437"/>
      <c r="CI370" s="438">
        <v>0</v>
      </c>
      <c r="CJ370" s="436"/>
      <c r="CK370" s="51"/>
      <c r="CL370" s="144"/>
      <c r="CM370" s="437"/>
      <c r="CN370" s="438">
        <v>0</v>
      </c>
      <c r="CO370" s="436"/>
      <c r="CP370" s="51"/>
      <c r="CQ370" s="144"/>
      <c r="CR370" s="437"/>
      <c r="CS370" s="438">
        <v>0</v>
      </c>
      <c r="CT370" s="436"/>
      <c r="CU370" s="51"/>
      <c r="CV370" s="144"/>
      <c r="CW370" s="437"/>
      <c r="CX370" s="438">
        <v>0</v>
      </c>
      <c r="CY370" s="436"/>
      <c r="CZ370" s="51"/>
      <c r="DA370" s="144"/>
      <c r="DB370" s="437"/>
      <c r="DC370" s="438">
        <v>0</v>
      </c>
      <c r="DD370" s="436"/>
      <c r="DE370" s="51"/>
      <c r="DF370" s="144"/>
      <c r="DG370" s="437"/>
      <c r="DH370" s="438">
        <v>0</v>
      </c>
      <c r="DI370" s="436"/>
      <c r="DJ370" s="51"/>
      <c r="DK370" s="144"/>
      <c r="DL370" s="437"/>
      <c r="DM370" s="438">
        <v>530579</v>
      </c>
      <c r="DN370" s="436"/>
      <c r="DO370" s="51"/>
      <c r="DP370" s="144"/>
      <c r="DQ370" s="437"/>
      <c r="DR370" s="438">
        <v>0</v>
      </c>
      <c r="DS370" s="436"/>
      <c r="DT370" s="51"/>
      <c r="DU370" s="144"/>
      <c r="DV370" s="437"/>
      <c r="DW370" s="438">
        <v>0</v>
      </c>
      <c r="DX370" s="436"/>
      <c r="DY370" s="51"/>
      <c r="DZ370" s="144"/>
      <c r="EA370" s="437"/>
      <c r="EB370" s="438">
        <v>0</v>
      </c>
      <c r="EC370" s="436"/>
      <c r="ED370" s="51"/>
      <c r="EE370" s="144"/>
      <c r="EF370" s="437"/>
      <c r="EG370" s="438">
        <v>0</v>
      </c>
      <c r="EH370" s="436"/>
      <c r="EI370" s="51"/>
      <c r="EJ370" s="144"/>
      <c r="EK370" s="434"/>
      <c r="EL370" s="438">
        <f>SUM(CD370:DH370)</f>
        <v>0</v>
      </c>
      <c r="EM370" s="436"/>
      <c r="EN370" s="51"/>
      <c r="EO370" s="340"/>
      <c r="ER370" s="39"/>
      <c r="ES370" s="39"/>
    </row>
    <row r="371" spans="1:149" x14ac:dyDescent="0.2">
      <c r="A371" s="317"/>
      <c r="B371" s="317"/>
      <c r="D371" s="340"/>
      <c r="F371" s="317"/>
      <c r="G371" s="51"/>
      <c r="H371" s="51"/>
      <c r="I371" s="51"/>
      <c r="J371" s="144"/>
      <c r="K371" s="51"/>
      <c r="L371" s="51"/>
      <c r="M371" s="51"/>
      <c r="N371" s="51"/>
      <c r="O371" s="144"/>
      <c r="P371" s="51"/>
      <c r="Q371" s="51"/>
      <c r="R371" s="51"/>
      <c r="S371" s="51"/>
      <c r="T371" s="144"/>
      <c r="U371" s="51"/>
      <c r="V371" s="51"/>
      <c r="W371" s="51"/>
      <c r="X371" s="51"/>
      <c r="Y371" s="144"/>
      <c r="Z371" s="51"/>
      <c r="AA371" s="51"/>
      <c r="AB371" s="51"/>
      <c r="AC371" s="51"/>
      <c r="AD371" s="144"/>
      <c r="AE371" s="51"/>
      <c r="AF371" s="51"/>
      <c r="AG371" s="51"/>
      <c r="AH371" s="51"/>
      <c r="AI371" s="144"/>
      <c r="AJ371" s="51"/>
      <c r="AK371" s="51"/>
      <c r="AL371" s="51"/>
      <c r="AM371" s="51"/>
      <c r="AN371" s="144"/>
      <c r="AO371" s="51"/>
      <c r="AP371" s="51"/>
      <c r="AQ371" s="51"/>
      <c r="AR371" s="51"/>
      <c r="AS371" s="144"/>
      <c r="AT371" s="51"/>
      <c r="AU371" s="51"/>
      <c r="AV371" s="51"/>
      <c r="AW371" s="51"/>
      <c r="AX371" s="144"/>
      <c r="AY371" s="51"/>
      <c r="AZ371" s="51"/>
      <c r="BA371" s="51"/>
      <c r="BB371" s="51"/>
      <c r="BC371" s="144"/>
      <c r="BD371" s="51"/>
      <c r="BE371" s="51"/>
      <c r="BF371" s="51"/>
      <c r="BG371" s="51"/>
      <c r="BH371" s="144"/>
      <c r="BI371" s="51"/>
      <c r="BJ371" s="51"/>
      <c r="BK371" s="51"/>
      <c r="BL371" s="51"/>
      <c r="BM371" s="144"/>
      <c r="BN371" s="51"/>
      <c r="BO371" s="51"/>
      <c r="BP371" s="51"/>
      <c r="BQ371" s="51"/>
      <c r="BR371" s="144"/>
      <c r="BS371" s="51"/>
      <c r="BT371" s="51"/>
      <c r="BU371" s="51"/>
      <c r="BV371" s="51"/>
      <c r="BW371" s="144"/>
      <c r="BX371" s="51"/>
      <c r="BY371" s="51"/>
      <c r="BZ371" s="51"/>
      <c r="CA371" s="51"/>
      <c r="CB371" s="144"/>
      <c r="CC371" s="51"/>
      <c r="CD371" s="51"/>
      <c r="CE371" s="51"/>
      <c r="CF371" s="51"/>
      <c r="CG371" s="144"/>
      <c r="CH371" s="51"/>
      <c r="CI371" s="51"/>
      <c r="CJ371" s="51"/>
      <c r="CK371" s="51"/>
      <c r="CL371" s="144"/>
      <c r="CM371" s="51"/>
      <c r="CN371" s="51"/>
      <c r="CO371" s="51"/>
      <c r="CP371" s="51"/>
      <c r="CQ371" s="144"/>
      <c r="CR371" s="51"/>
      <c r="CS371" s="51"/>
      <c r="CT371" s="51"/>
      <c r="CU371" s="51"/>
      <c r="CV371" s="144"/>
      <c r="CW371" s="51"/>
      <c r="CX371" s="51"/>
      <c r="CY371" s="51"/>
      <c r="CZ371" s="51"/>
      <c r="DA371" s="144"/>
      <c r="DB371" s="51"/>
      <c r="DC371" s="51"/>
      <c r="DD371" s="51"/>
      <c r="DE371" s="51"/>
      <c r="DF371" s="144"/>
      <c r="DG371" s="51"/>
      <c r="DH371" s="51"/>
      <c r="DI371" s="51"/>
      <c r="DJ371" s="51"/>
      <c r="DK371" s="144"/>
      <c r="DL371" s="51"/>
      <c r="DM371" s="51"/>
      <c r="DN371" s="51"/>
      <c r="DO371" s="51"/>
      <c r="DP371" s="144"/>
      <c r="DQ371" s="51"/>
      <c r="DR371" s="51"/>
      <c r="DS371" s="51"/>
      <c r="DT371" s="51"/>
      <c r="DU371" s="144"/>
      <c r="DV371" s="51"/>
      <c r="DW371" s="51"/>
      <c r="DX371" s="51"/>
      <c r="DY371" s="51"/>
      <c r="DZ371" s="144"/>
      <c r="EA371" s="51"/>
      <c r="EB371" s="51"/>
      <c r="EC371" s="51"/>
      <c r="ED371" s="51"/>
      <c r="EE371" s="144"/>
      <c r="EF371" s="51"/>
      <c r="EG371" s="51"/>
      <c r="EH371" s="51"/>
      <c r="EI371" s="51"/>
      <c r="EJ371" s="144"/>
      <c r="EK371" s="51"/>
      <c r="EL371" s="51"/>
      <c r="EM371" s="51"/>
      <c r="EN371" s="51"/>
      <c r="EO371" s="340"/>
      <c r="ER371" s="39"/>
      <c r="ES371" s="39"/>
    </row>
    <row r="372" spans="1:149" x14ac:dyDescent="0.2">
      <c r="A372" s="317"/>
      <c r="B372" s="317"/>
      <c r="D372" s="340" t="s">
        <v>204</v>
      </c>
      <c r="G372" s="51">
        <f>SUM(G373:G373)</f>
        <v>346817</v>
      </c>
      <c r="I372" s="51"/>
      <c r="J372" s="144"/>
      <c r="K372" s="51"/>
      <c r="L372" s="51">
        <f>SUM(L373:L373)</f>
        <v>0</v>
      </c>
      <c r="M372" s="51"/>
      <c r="N372" s="51"/>
      <c r="O372" s="144"/>
      <c r="P372" s="51"/>
      <c r="Q372" s="51">
        <f>SUM(Q373:Q373)</f>
        <v>88771</v>
      </c>
      <c r="R372" s="51"/>
      <c r="S372" s="51"/>
      <c r="T372" s="144"/>
      <c r="U372" s="51"/>
      <c r="V372" s="51">
        <f>SUM(V373:V373)</f>
        <v>0</v>
      </c>
      <c r="W372" s="51"/>
      <c r="X372" s="51"/>
      <c r="Y372" s="144"/>
      <c r="Z372" s="51"/>
      <c r="AA372" s="51">
        <f>SUM(AA373:AA373)</f>
        <v>0</v>
      </c>
      <c r="AB372" s="51"/>
      <c r="AC372" s="51"/>
      <c r="AD372" s="144"/>
      <c r="AE372" s="51"/>
      <c r="AF372" s="51">
        <f>SUM(AF373:AF373)</f>
        <v>0</v>
      </c>
      <c r="AG372" s="51"/>
      <c r="AH372" s="51"/>
      <c r="AI372" s="144"/>
      <c r="AJ372" s="51"/>
      <c r="AK372" s="51">
        <f>SUM(AK373:AK373)</f>
        <v>258046</v>
      </c>
      <c r="AL372" s="51"/>
      <c r="AM372" s="51"/>
      <c r="AN372" s="144"/>
      <c r="AO372" s="51"/>
      <c r="AP372" s="51">
        <f>SUM(AP373:AP373)</f>
        <v>0</v>
      </c>
      <c r="AQ372" s="51"/>
      <c r="AR372" s="51"/>
      <c r="AS372" s="144"/>
      <c r="AT372" s="51"/>
      <c r="AU372" s="51">
        <f>SUM(AU373:AU373)</f>
        <v>0</v>
      </c>
      <c r="AV372" s="51"/>
      <c r="AW372" s="51"/>
      <c r="AX372" s="144"/>
      <c r="AY372" s="51"/>
      <c r="AZ372" s="51">
        <f>SUM(AZ373:AZ373)</f>
        <v>0</v>
      </c>
      <c r="BA372" s="51"/>
      <c r="BB372" s="51"/>
      <c r="BC372" s="144"/>
      <c r="BD372" s="51"/>
      <c r="BE372" s="51">
        <f>SUM(BE373:BE373)</f>
        <v>0</v>
      </c>
      <c r="BF372" s="51"/>
      <c r="BG372" s="51"/>
      <c r="BH372" s="144"/>
      <c r="BI372" s="51"/>
      <c r="BJ372" s="51">
        <f>SUM(BJ373:BJ373)</f>
        <v>0</v>
      </c>
      <c r="BK372" s="51"/>
      <c r="BL372" s="51"/>
      <c r="BM372" s="144"/>
      <c r="BN372" s="51"/>
      <c r="BO372" s="51">
        <f>SUM(BO373:BO373)</f>
        <v>0</v>
      </c>
      <c r="BP372" s="51"/>
      <c r="BQ372" s="51"/>
      <c r="BR372" s="144"/>
      <c r="BS372" s="51"/>
      <c r="BT372" s="51">
        <f>SUM(BT373:BT373)</f>
        <v>346817</v>
      </c>
      <c r="BU372" s="51"/>
      <c r="BV372" s="51"/>
      <c r="BW372" s="144"/>
      <c r="BX372" s="51"/>
      <c r="BY372" s="51">
        <f>SUM(BY373:BY373)</f>
        <v>881202</v>
      </c>
      <c r="CA372" s="51"/>
      <c r="CB372" s="144"/>
      <c r="CC372" s="51"/>
      <c r="CD372" s="51">
        <f>SUM(CD373:CD373)</f>
        <v>0</v>
      </c>
      <c r="CE372" s="51"/>
      <c r="CF372" s="51"/>
      <c r="CG372" s="144"/>
      <c r="CH372" s="51"/>
      <c r="CI372" s="51">
        <f>SUM(CI373:CI373)</f>
        <v>0</v>
      </c>
      <c r="CJ372" s="51"/>
      <c r="CK372" s="51"/>
      <c r="CL372" s="144"/>
      <c r="CM372" s="51"/>
      <c r="CN372" s="51">
        <f>SUM(CN373:CN373)</f>
        <v>0</v>
      </c>
      <c r="CO372" s="51"/>
      <c r="CP372" s="51"/>
      <c r="CQ372" s="144"/>
      <c r="CR372" s="51"/>
      <c r="CS372" s="51">
        <f>SUM(CS373:CS373)</f>
        <v>0</v>
      </c>
      <c r="CT372" s="51"/>
      <c r="CU372" s="51"/>
      <c r="CV372" s="144"/>
      <c r="CW372" s="51"/>
      <c r="CX372" s="51">
        <f>SUM(CX373:CX373)</f>
        <v>0</v>
      </c>
      <c r="CY372" s="51"/>
      <c r="CZ372" s="51"/>
      <c r="DA372" s="144"/>
      <c r="DB372" s="51"/>
      <c r="DC372" s="51">
        <f>SUM(DC373:DC373)</f>
        <v>0</v>
      </c>
      <c r="DD372" s="51"/>
      <c r="DE372" s="51"/>
      <c r="DF372" s="144"/>
      <c r="DG372" s="51"/>
      <c r="DH372" s="51">
        <f>SUM(DH373:DH373)</f>
        <v>0</v>
      </c>
      <c r="DI372" s="51"/>
      <c r="DJ372" s="51"/>
      <c r="DK372" s="144"/>
      <c r="DL372" s="51"/>
      <c r="DM372" s="51">
        <f>SUM(DM373:DM373)</f>
        <v>179611</v>
      </c>
      <c r="DN372" s="51"/>
      <c r="DO372" s="51"/>
      <c r="DP372" s="144"/>
      <c r="DQ372" s="51"/>
      <c r="DR372" s="51">
        <f>SUM(DR373:DR373)</f>
        <v>0</v>
      </c>
      <c r="DS372" s="51"/>
      <c r="DT372" s="51"/>
      <c r="DU372" s="144"/>
      <c r="DV372" s="51"/>
      <c r="DW372" s="51">
        <f>SUM(DW373:DW373)</f>
        <v>0</v>
      </c>
      <c r="DX372" s="51"/>
      <c r="DY372" s="51"/>
      <c r="DZ372" s="144"/>
      <c r="EA372" s="51"/>
      <c r="EB372" s="51">
        <f>SUM(EB373:EB373)</f>
        <v>0</v>
      </c>
      <c r="EC372" s="51"/>
      <c r="ED372" s="51"/>
      <c r="EE372" s="144"/>
      <c r="EF372" s="51"/>
      <c r="EG372" s="51">
        <f>SUM(EG373:EG373)</f>
        <v>701591</v>
      </c>
      <c r="EH372" s="51"/>
      <c r="EI372" s="51"/>
      <c r="EJ372" s="144"/>
      <c r="EK372" s="51"/>
      <c r="EL372" s="51">
        <f>SUM(EL373:EL373)</f>
        <v>0</v>
      </c>
      <c r="EM372" s="51"/>
      <c r="EN372" s="51"/>
      <c r="EO372" s="340"/>
      <c r="ER372" s="39"/>
      <c r="ES372" s="39"/>
    </row>
    <row r="373" spans="1:149" x14ac:dyDescent="0.2">
      <c r="A373" s="317"/>
      <c r="B373" s="317"/>
      <c r="D373" s="340" t="s">
        <v>183</v>
      </c>
      <c r="F373" s="434"/>
      <c r="G373" s="438">
        <v>346817</v>
      </c>
      <c r="H373" s="436"/>
      <c r="I373" s="51"/>
      <c r="J373" s="144"/>
      <c r="K373" s="434"/>
      <c r="L373" s="438">
        <v>0</v>
      </c>
      <c r="M373" s="436"/>
      <c r="N373" s="51"/>
      <c r="O373" s="144"/>
      <c r="P373" s="434"/>
      <c r="Q373" s="438">
        <v>88771</v>
      </c>
      <c r="R373" s="436"/>
      <c r="S373" s="51"/>
      <c r="T373" s="144"/>
      <c r="U373" s="434"/>
      <c r="V373" s="438">
        <v>0</v>
      </c>
      <c r="W373" s="436"/>
      <c r="X373" s="51"/>
      <c r="Y373" s="144"/>
      <c r="Z373" s="434"/>
      <c r="AA373" s="438">
        <v>0</v>
      </c>
      <c r="AB373" s="436"/>
      <c r="AC373" s="51"/>
      <c r="AD373" s="144"/>
      <c r="AE373" s="434"/>
      <c r="AF373" s="438">
        <v>0</v>
      </c>
      <c r="AG373" s="436"/>
      <c r="AH373" s="51"/>
      <c r="AI373" s="144"/>
      <c r="AJ373" s="434"/>
      <c r="AK373" s="438">
        <v>258046</v>
      </c>
      <c r="AL373" s="436"/>
      <c r="AM373" s="51"/>
      <c r="AN373" s="144"/>
      <c r="AO373" s="434"/>
      <c r="AP373" s="438">
        <v>0</v>
      </c>
      <c r="AQ373" s="436"/>
      <c r="AR373" s="51"/>
      <c r="AS373" s="144"/>
      <c r="AT373" s="434"/>
      <c r="AU373" s="438">
        <v>0</v>
      </c>
      <c r="AV373" s="436"/>
      <c r="AW373" s="51"/>
      <c r="AX373" s="144"/>
      <c r="AY373" s="434"/>
      <c r="AZ373" s="438">
        <v>0</v>
      </c>
      <c r="BA373" s="436"/>
      <c r="BB373" s="51"/>
      <c r="BC373" s="144"/>
      <c r="BD373" s="434"/>
      <c r="BE373" s="438">
        <v>0</v>
      </c>
      <c r="BF373" s="436"/>
      <c r="BG373" s="51"/>
      <c r="BH373" s="144"/>
      <c r="BI373" s="434"/>
      <c r="BJ373" s="438">
        <v>0</v>
      </c>
      <c r="BK373" s="436"/>
      <c r="BL373" s="51"/>
      <c r="BM373" s="144"/>
      <c r="BN373" s="434"/>
      <c r="BO373" s="438">
        <v>0</v>
      </c>
      <c r="BP373" s="436"/>
      <c r="BQ373" s="51"/>
      <c r="BR373" s="144"/>
      <c r="BS373" s="434"/>
      <c r="BT373" s="438">
        <f>SUM(L373:BO373)</f>
        <v>346817</v>
      </c>
      <c r="BU373" s="436"/>
      <c r="BV373" s="51"/>
      <c r="BW373" s="144"/>
      <c r="BX373" s="434"/>
      <c r="BY373" s="438">
        <v>881202</v>
      </c>
      <c r="BZ373" s="436"/>
      <c r="CA373" s="51"/>
      <c r="CB373" s="144"/>
      <c r="CC373" s="434"/>
      <c r="CD373" s="438">
        <v>0</v>
      </c>
      <c r="CE373" s="436"/>
      <c r="CF373" s="51"/>
      <c r="CG373" s="144"/>
      <c r="CH373" s="437"/>
      <c r="CI373" s="438">
        <v>0</v>
      </c>
      <c r="CJ373" s="436"/>
      <c r="CK373" s="51"/>
      <c r="CL373" s="144"/>
      <c r="CM373" s="437"/>
      <c r="CN373" s="438">
        <v>0</v>
      </c>
      <c r="CO373" s="436"/>
      <c r="CP373" s="51"/>
      <c r="CQ373" s="144"/>
      <c r="CR373" s="437"/>
      <c r="CS373" s="438">
        <v>0</v>
      </c>
      <c r="CT373" s="436"/>
      <c r="CU373" s="51"/>
      <c r="CV373" s="144"/>
      <c r="CW373" s="437"/>
      <c r="CX373" s="438">
        <v>0</v>
      </c>
      <c r="CY373" s="436"/>
      <c r="CZ373" s="51"/>
      <c r="DA373" s="144"/>
      <c r="DB373" s="437"/>
      <c r="DC373" s="438">
        <v>0</v>
      </c>
      <c r="DD373" s="436"/>
      <c r="DE373" s="51"/>
      <c r="DF373" s="144"/>
      <c r="DG373" s="437"/>
      <c r="DH373" s="438">
        <v>0</v>
      </c>
      <c r="DI373" s="436"/>
      <c r="DJ373" s="51"/>
      <c r="DK373" s="144"/>
      <c r="DL373" s="437"/>
      <c r="DM373" s="438">
        <v>179611</v>
      </c>
      <c r="DN373" s="436"/>
      <c r="DO373" s="51"/>
      <c r="DP373" s="144"/>
      <c r="DQ373" s="437"/>
      <c r="DR373" s="438">
        <v>0</v>
      </c>
      <c r="DS373" s="436"/>
      <c r="DT373" s="51"/>
      <c r="DU373" s="144"/>
      <c r="DV373" s="437"/>
      <c r="DW373" s="438">
        <v>0</v>
      </c>
      <c r="DX373" s="436"/>
      <c r="DY373" s="51"/>
      <c r="DZ373" s="144"/>
      <c r="EA373" s="437"/>
      <c r="EB373" s="438">
        <v>0</v>
      </c>
      <c r="EC373" s="436"/>
      <c r="ED373" s="51"/>
      <c r="EE373" s="144"/>
      <c r="EF373" s="437"/>
      <c r="EG373" s="438">
        <v>701591</v>
      </c>
      <c r="EH373" s="436"/>
      <c r="EI373" s="51"/>
      <c r="EJ373" s="144"/>
      <c r="EK373" s="434"/>
      <c r="EL373" s="438">
        <f>SUM(CD373:DH373)</f>
        <v>0</v>
      </c>
      <c r="EM373" s="436"/>
      <c r="EN373" s="51"/>
      <c r="EO373" s="340"/>
      <c r="ER373" s="39"/>
      <c r="ES373" s="39"/>
    </row>
    <row r="374" spans="1:149" x14ac:dyDescent="0.2">
      <c r="A374" s="317"/>
      <c r="B374" s="317"/>
      <c r="D374" s="340"/>
      <c r="F374" s="317"/>
      <c r="G374" s="51"/>
      <c r="H374" s="51"/>
      <c r="I374" s="51"/>
      <c r="J374" s="144"/>
      <c r="K374" s="317"/>
      <c r="L374" s="51"/>
      <c r="M374" s="51"/>
      <c r="N374" s="51"/>
      <c r="O374" s="144"/>
      <c r="P374" s="317"/>
      <c r="Q374" s="51"/>
      <c r="R374" s="51"/>
      <c r="S374" s="51"/>
      <c r="T374" s="144"/>
      <c r="U374" s="317"/>
      <c r="V374" s="51"/>
      <c r="W374" s="51"/>
      <c r="X374" s="51"/>
      <c r="Y374" s="144"/>
      <c r="Z374" s="317"/>
      <c r="AA374" s="51"/>
      <c r="AB374" s="51"/>
      <c r="AC374" s="51"/>
      <c r="AD374" s="144"/>
      <c r="AE374" s="317"/>
      <c r="AF374" s="51"/>
      <c r="AG374" s="51"/>
      <c r="AH374" s="51"/>
      <c r="AI374" s="144"/>
      <c r="AJ374" s="317"/>
      <c r="AK374" s="51"/>
      <c r="AL374" s="51"/>
      <c r="AM374" s="51"/>
      <c r="AN374" s="144"/>
      <c r="AO374" s="317"/>
      <c r="AP374" s="51"/>
      <c r="AQ374" s="51"/>
      <c r="AR374" s="51"/>
      <c r="AS374" s="144"/>
      <c r="AT374" s="317"/>
      <c r="AU374" s="51"/>
      <c r="AV374" s="51"/>
      <c r="AW374" s="51"/>
      <c r="AX374" s="144"/>
      <c r="AY374" s="317"/>
      <c r="AZ374" s="51"/>
      <c r="BA374" s="51"/>
      <c r="BB374" s="51"/>
      <c r="BC374" s="144"/>
      <c r="BD374" s="317"/>
      <c r="BE374" s="51"/>
      <c r="BF374" s="51"/>
      <c r="BG374" s="51"/>
      <c r="BH374" s="144"/>
      <c r="BI374" s="317"/>
      <c r="BJ374" s="51"/>
      <c r="BK374" s="51"/>
      <c r="BL374" s="51"/>
      <c r="BM374" s="144"/>
      <c r="BN374" s="317"/>
      <c r="BO374" s="51"/>
      <c r="BP374" s="51"/>
      <c r="BQ374" s="51"/>
      <c r="BR374" s="144"/>
      <c r="BS374" s="317"/>
      <c r="BT374" s="51"/>
      <c r="BU374" s="51"/>
      <c r="BV374" s="51"/>
      <c r="BW374" s="144"/>
      <c r="BX374" s="317"/>
      <c r="BY374" s="51"/>
      <c r="BZ374" s="51"/>
      <c r="CA374" s="51"/>
      <c r="CB374" s="144"/>
      <c r="CC374" s="317"/>
      <c r="CD374" s="51"/>
      <c r="CE374" s="51"/>
      <c r="CF374" s="51"/>
      <c r="CG374" s="144"/>
      <c r="CH374" s="51"/>
      <c r="CI374" s="51"/>
      <c r="CJ374" s="51"/>
      <c r="CK374" s="51"/>
      <c r="CL374" s="144"/>
      <c r="CM374" s="51"/>
      <c r="CN374" s="51"/>
      <c r="CO374" s="51"/>
      <c r="CP374" s="51"/>
      <c r="CQ374" s="144"/>
      <c r="CR374" s="51"/>
      <c r="CS374" s="51"/>
      <c r="CT374" s="51"/>
      <c r="CU374" s="51"/>
      <c r="CV374" s="144"/>
      <c r="CW374" s="51"/>
      <c r="CX374" s="51"/>
      <c r="CY374" s="51"/>
      <c r="CZ374" s="51"/>
      <c r="DA374" s="144"/>
      <c r="DB374" s="51"/>
      <c r="DC374" s="51"/>
      <c r="DD374" s="51"/>
      <c r="DE374" s="51"/>
      <c r="DF374" s="144"/>
      <c r="DG374" s="51"/>
      <c r="DH374" s="51"/>
      <c r="DI374" s="51"/>
      <c r="DJ374" s="51"/>
      <c r="DK374" s="144"/>
      <c r="DL374" s="51"/>
      <c r="DM374" s="51"/>
      <c r="DN374" s="51"/>
      <c r="DO374" s="51"/>
      <c r="DP374" s="144"/>
      <c r="DQ374" s="51"/>
      <c r="DR374" s="51"/>
      <c r="DS374" s="51"/>
      <c r="DT374" s="51"/>
      <c r="DU374" s="144"/>
      <c r="DV374" s="51"/>
      <c r="DW374" s="51"/>
      <c r="DX374" s="51"/>
      <c r="DY374" s="51"/>
      <c r="DZ374" s="144"/>
      <c r="EA374" s="51"/>
      <c r="EB374" s="51"/>
      <c r="EC374" s="51"/>
      <c r="ED374" s="51"/>
      <c r="EE374" s="144"/>
      <c r="EF374" s="51"/>
      <c r="EG374" s="51"/>
      <c r="EH374" s="51"/>
      <c r="EI374" s="51"/>
      <c r="EJ374" s="144"/>
      <c r="EK374" s="317"/>
      <c r="EL374" s="51"/>
      <c r="EM374" s="51"/>
      <c r="EN374" s="51"/>
      <c r="EO374" s="340"/>
      <c r="ER374" s="39"/>
      <c r="ES374" s="39"/>
    </row>
    <row r="375" spans="1:149" x14ac:dyDescent="0.2">
      <c r="A375" s="317"/>
      <c r="B375" s="317"/>
      <c r="D375" s="340" t="s">
        <v>205</v>
      </c>
      <c r="G375" s="51">
        <f>SUM(G376:G376)</f>
        <v>0</v>
      </c>
      <c r="I375" s="51"/>
      <c r="J375" s="144"/>
      <c r="K375" s="51"/>
      <c r="L375" s="51">
        <f>SUM(L376:L376)</f>
        <v>0</v>
      </c>
      <c r="M375" s="51"/>
      <c r="N375" s="51"/>
      <c r="O375" s="144"/>
      <c r="P375" s="51"/>
      <c r="Q375" s="51">
        <f>SUM(Q376:Q376)</f>
        <v>0</v>
      </c>
      <c r="R375" s="51"/>
      <c r="S375" s="51"/>
      <c r="T375" s="144"/>
      <c r="U375" s="51"/>
      <c r="V375" s="51">
        <f>SUM(V376:V376)</f>
        <v>0</v>
      </c>
      <c r="W375" s="51"/>
      <c r="X375" s="51"/>
      <c r="Y375" s="144"/>
      <c r="Z375" s="51"/>
      <c r="AA375" s="51">
        <f>SUM(AA376:AA376)</f>
        <v>0</v>
      </c>
      <c r="AB375" s="51"/>
      <c r="AC375" s="51"/>
      <c r="AD375" s="144"/>
      <c r="AE375" s="51"/>
      <c r="AF375" s="51">
        <f>SUM(AF376:AF376)</f>
        <v>0</v>
      </c>
      <c r="AG375" s="51"/>
      <c r="AH375" s="51"/>
      <c r="AI375" s="144"/>
      <c r="AJ375" s="51"/>
      <c r="AK375" s="51">
        <f>SUM(AK376:AK376)</f>
        <v>0</v>
      </c>
      <c r="AL375" s="51"/>
      <c r="AM375" s="51"/>
      <c r="AN375" s="144"/>
      <c r="AO375" s="51"/>
      <c r="AP375" s="51">
        <f>SUM(AP376:AP376)</f>
        <v>0</v>
      </c>
      <c r="AQ375" s="51"/>
      <c r="AR375" s="51"/>
      <c r="AS375" s="144"/>
      <c r="AT375" s="51"/>
      <c r="AU375" s="51">
        <f>SUM(AU376:AU376)</f>
        <v>0</v>
      </c>
      <c r="AV375" s="51"/>
      <c r="AW375" s="51"/>
      <c r="AX375" s="144"/>
      <c r="AY375" s="51"/>
      <c r="AZ375" s="51">
        <f>SUM(AZ376:AZ376)</f>
        <v>0</v>
      </c>
      <c r="BA375" s="51"/>
      <c r="BB375" s="51"/>
      <c r="BC375" s="144"/>
      <c r="BD375" s="51"/>
      <c r="BE375" s="51">
        <f>SUM(BE376:BE376)</f>
        <v>0</v>
      </c>
      <c r="BF375" s="51"/>
      <c r="BG375" s="51"/>
      <c r="BH375" s="144"/>
      <c r="BI375" s="51"/>
      <c r="BJ375" s="51">
        <f>SUM(BJ376:BJ376)</f>
        <v>0</v>
      </c>
      <c r="BK375" s="51"/>
      <c r="BL375" s="51"/>
      <c r="BM375" s="144"/>
      <c r="BN375" s="51"/>
      <c r="BO375" s="51">
        <f>SUM(BO376:BO376)</f>
        <v>0</v>
      </c>
      <c r="BP375" s="51"/>
      <c r="BQ375" s="51"/>
      <c r="BR375" s="144"/>
      <c r="BS375" s="317"/>
      <c r="BT375" s="51">
        <f>SUM(BT376:BT376)</f>
        <v>0</v>
      </c>
      <c r="BU375" s="51"/>
      <c r="BV375" s="51"/>
      <c r="BW375" s="144"/>
      <c r="BX375" s="317"/>
      <c r="BY375" s="51">
        <f>SUM(BY376:BY376)</f>
        <v>185576</v>
      </c>
      <c r="CA375" s="51"/>
      <c r="CB375" s="144"/>
      <c r="CC375" s="51"/>
      <c r="CD375" s="51">
        <f>SUM(CD376:CD376)</f>
        <v>0</v>
      </c>
      <c r="CE375" s="51"/>
      <c r="CF375" s="51"/>
      <c r="CG375" s="144"/>
      <c r="CH375" s="51"/>
      <c r="CI375" s="51">
        <f>SUM(CI376:CI376)</f>
        <v>0</v>
      </c>
      <c r="CJ375" s="51"/>
      <c r="CK375" s="51"/>
      <c r="CL375" s="144"/>
      <c r="CM375" s="51"/>
      <c r="CN375" s="51">
        <f>SUM(CN376:CN376)</f>
        <v>0</v>
      </c>
      <c r="CO375" s="51"/>
      <c r="CP375" s="51"/>
      <c r="CQ375" s="144"/>
      <c r="CR375" s="51"/>
      <c r="CS375" s="51">
        <f>SUM(CS376:CS376)</f>
        <v>0</v>
      </c>
      <c r="CT375" s="51"/>
      <c r="CU375" s="51"/>
      <c r="CV375" s="144"/>
      <c r="CW375" s="51"/>
      <c r="CX375" s="51">
        <f>SUM(CX376:CX376)</f>
        <v>0</v>
      </c>
      <c r="CY375" s="51"/>
      <c r="CZ375" s="51"/>
      <c r="DA375" s="144"/>
      <c r="DB375" s="51"/>
      <c r="DC375" s="51">
        <f>SUM(DC376:DC376)</f>
        <v>0</v>
      </c>
      <c r="DD375" s="51"/>
      <c r="DE375" s="51"/>
      <c r="DF375" s="144"/>
      <c r="DG375" s="51"/>
      <c r="DH375" s="51">
        <f>SUM(DH376:DH376)</f>
        <v>55605</v>
      </c>
      <c r="DI375" s="51"/>
      <c r="DJ375" s="51"/>
      <c r="DK375" s="144"/>
      <c r="DL375" s="51"/>
      <c r="DM375" s="51">
        <f>SUM(DM376:DM376)</f>
        <v>129971</v>
      </c>
      <c r="DN375" s="51"/>
      <c r="DO375" s="51"/>
      <c r="DP375" s="144"/>
      <c r="DQ375" s="51"/>
      <c r="DR375" s="51">
        <f>SUM(DR376:DR376)</f>
        <v>0</v>
      </c>
      <c r="DS375" s="51"/>
      <c r="DT375" s="51"/>
      <c r="DU375" s="144"/>
      <c r="DV375" s="51"/>
      <c r="DW375" s="51">
        <f>SUM(DW376:DW376)</f>
        <v>0</v>
      </c>
      <c r="DX375" s="51"/>
      <c r="DY375" s="51"/>
      <c r="DZ375" s="144"/>
      <c r="EA375" s="51"/>
      <c r="EB375" s="51">
        <f>SUM(EB376:EB376)</f>
        <v>0</v>
      </c>
      <c r="EC375" s="51"/>
      <c r="ED375" s="51"/>
      <c r="EE375" s="144"/>
      <c r="EF375" s="51"/>
      <c r="EG375" s="51">
        <f>SUM(EG376:EG376)</f>
        <v>0</v>
      </c>
      <c r="EH375" s="51"/>
      <c r="EI375" s="51"/>
      <c r="EJ375" s="144"/>
      <c r="EK375" s="317"/>
      <c r="EL375" s="51">
        <f>SUM(EL376:EL376)</f>
        <v>55605</v>
      </c>
      <c r="EM375" s="51"/>
      <c r="EN375" s="51"/>
      <c r="EO375" s="340"/>
      <c r="ER375" s="39"/>
      <c r="ES375" s="39"/>
    </row>
    <row r="376" spans="1:149" x14ac:dyDescent="0.2">
      <c r="A376" s="317"/>
      <c r="B376" s="317"/>
      <c r="D376" s="340" t="s">
        <v>183</v>
      </c>
      <c r="F376" s="434"/>
      <c r="G376" s="438">
        <v>0</v>
      </c>
      <c r="H376" s="436"/>
      <c r="I376" s="51"/>
      <c r="J376" s="144"/>
      <c r="K376" s="434"/>
      <c r="L376" s="438">
        <v>0</v>
      </c>
      <c r="M376" s="436"/>
      <c r="N376" s="51"/>
      <c r="O376" s="144"/>
      <c r="P376" s="434"/>
      <c r="Q376" s="438">
        <v>0</v>
      </c>
      <c r="R376" s="436"/>
      <c r="S376" s="51"/>
      <c r="T376" s="144"/>
      <c r="U376" s="434"/>
      <c r="V376" s="438">
        <v>0</v>
      </c>
      <c r="W376" s="436"/>
      <c r="X376" s="51"/>
      <c r="Y376" s="144"/>
      <c r="Z376" s="434"/>
      <c r="AA376" s="438">
        <v>0</v>
      </c>
      <c r="AB376" s="436"/>
      <c r="AC376" s="51"/>
      <c r="AD376" s="144"/>
      <c r="AE376" s="434"/>
      <c r="AF376" s="438">
        <v>0</v>
      </c>
      <c r="AG376" s="436"/>
      <c r="AH376" s="51"/>
      <c r="AI376" s="144"/>
      <c r="AJ376" s="434"/>
      <c r="AK376" s="438">
        <v>0</v>
      </c>
      <c r="AL376" s="436"/>
      <c r="AM376" s="51"/>
      <c r="AN376" s="144"/>
      <c r="AO376" s="434"/>
      <c r="AP376" s="438">
        <v>0</v>
      </c>
      <c r="AQ376" s="436"/>
      <c r="AR376" s="51"/>
      <c r="AS376" s="144"/>
      <c r="AT376" s="434"/>
      <c r="AU376" s="438">
        <v>0</v>
      </c>
      <c r="AV376" s="436"/>
      <c r="AW376" s="51"/>
      <c r="AX376" s="144"/>
      <c r="AY376" s="434"/>
      <c r="AZ376" s="438">
        <v>0</v>
      </c>
      <c r="BA376" s="436"/>
      <c r="BB376" s="51"/>
      <c r="BC376" s="144"/>
      <c r="BD376" s="434"/>
      <c r="BE376" s="438">
        <v>0</v>
      </c>
      <c r="BF376" s="436"/>
      <c r="BG376" s="51"/>
      <c r="BH376" s="144"/>
      <c r="BI376" s="434"/>
      <c r="BJ376" s="438">
        <v>0</v>
      </c>
      <c r="BK376" s="436"/>
      <c r="BL376" s="51"/>
      <c r="BM376" s="144"/>
      <c r="BN376" s="434"/>
      <c r="BO376" s="438">
        <v>0</v>
      </c>
      <c r="BP376" s="436"/>
      <c r="BQ376" s="51"/>
      <c r="BR376" s="144"/>
      <c r="BS376" s="434"/>
      <c r="BT376" s="438">
        <f>SUM(L376:BO376)</f>
        <v>0</v>
      </c>
      <c r="BU376" s="436"/>
      <c r="BV376" s="51"/>
      <c r="BW376" s="144"/>
      <c r="BX376" s="434"/>
      <c r="BY376" s="438">
        <v>185576</v>
      </c>
      <c r="BZ376" s="436"/>
      <c r="CA376" s="51"/>
      <c r="CB376" s="144"/>
      <c r="CC376" s="434"/>
      <c r="CD376" s="438">
        <v>0</v>
      </c>
      <c r="CE376" s="436"/>
      <c r="CF376" s="51"/>
      <c r="CG376" s="144"/>
      <c r="CH376" s="437"/>
      <c r="CI376" s="438">
        <v>0</v>
      </c>
      <c r="CJ376" s="436"/>
      <c r="CK376" s="51"/>
      <c r="CL376" s="144"/>
      <c r="CM376" s="437"/>
      <c r="CN376" s="438">
        <v>0</v>
      </c>
      <c r="CO376" s="436"/>
      <c r="CP376" s="51"/>
      <c r="CQ376" s="144"/>
      <c r="CR376" s="437"/>
      <c r="CS376" s="438">
        <v>0</v>
      </c>
      <c r="CT376" s="436"/>
      <c r="CU376" s="51"/>
      <c r="CV376" s="144"/>
      <c r="CW376" s="437"/>
      <c r="CX376" s="438">
        <v>0</v>
      </c>
      <c r="CY376" s="436"/>
      <c r="CZ376" s="51"/>
      <c r="DA376" s="144"/>
      <c r="DB376" s="437"/>
      <c r="DC376" s="438">
        <v>0</v>
      </c>
      <c r="DD376" s="436"/>
      <c r="DE376" s="51"/>
      <c r="DF376" s="144"/>
      <c r="DG376" s="437"/>
      <c r="DH376" s="438">
        <v>55605</v>
      </c>
      <c r="DI376" s="436"/>
      <c r="DJ376" s="51"/>
      <c r="DK376" s="144"/>
      <c r="DL376" s="437"/>
      <c r="DM376" s="438">
        <v>129971</v>
      </c>
      <c r="DN376" s="436"/>
      <c r="DO376" s="51"/>
      <c r="DP376" s="144"/>
      <c r="DQ376" s="437"/>
      <c r="DR376" s="438">
        <v>0</v>
      </c>
      <c r="DS376" s="436"/>
      <c r="DT376" s="51"/>
      <c r="DU376" s="144"/>
      <c r="DV376" s="437"/>
      <c r="DW376" s="438">
        <v>0</v>
      </c>
      <c r="DX376" s="436"/>
      <c r="DY376" s="51"/>
      <c r="DZ376" s="144"/>
      <c r="EA376" s="437"/>
      <c r="EB376" s="438">
        <v>0</v>
      </c>
      <c r="EC376" s="436"/>
      <c r="ED376" s="51"/>
      <c r="EE376" s="144"/>
      <c r="EF376" s="437"/>
      <c r="EG376" s="438">
        <v>0</v>
      </c>
      <c r="EH376" s="436"/>
      <c r="EI376" s="51"/>
      <c r="EJ376" s="144"/>
      <c r="EK376" s="434"/>
      <c r="EL376" s="438">
        <f>SUM(CD376:DH376)</f>
        <v>55605</v>
      </c>
      <c r="EM376" s="436"/>
      <c r="EN376" s="51"/>
      <c r="EO376" s="340"/>
      <c r="ER376" s="39"/>
      <c r="ES376" s="39"/>
    </row>
    <row r="377" spans="1:149" x14ac:dyDescent="0.2">
      <c r="A377" s="317"/>
      <c r="B377" s="317"/>
      <c r="D377" s="340"/>
      <c r="F377" s="317"/>
      <c r="G377" s="51"/>
      <c r="H377" s="51"/>
      <c r="I377" s="51"/>
      <c r="J377" s="144"/>
      <c r="K377" s="317"/>
      <c r="L377" s="51"/>
      <c r="M377" s="51"/>
      <c r="N377" s="51"/>
      <c r="O377" s="144"/>
      <c r="P377" s="317"/>
      <c r="Q377" s="51"/>
      <c r="R377" s="51"/>
      <c r="S377" s="51"/>
      <c r="T377" s="144"/>
      <c r="U377" s="317"/>
      <c r="V377" s="51"/>
      <c r="W377" s="51"/>
      <c r="X377" s="51"/>
      <c r="Y377" s="144"/>
      <c r="Z377" s="317"/>
      <c r="AA377" s="51"/>
      <c r="AB377" s="51"/>
      <c r="AC377" s="51"/>
      <c r="AD377" s="144"/>
      <c r="AE377" s="317"/>
      <c r="AF377" s="51"/>
      <c r="AG377" s="51"/>
      <c r="AH377" s="51"/>
      <c r="AI377" s="144"/>
      <c r="AJ377" s="317"/>
      <c r="AK377" s="51"/>
      <c r="AL377" s="51"/>
      <c r="AM377" s="51"/>
      <c r="AN377" s="144"/>
      <c r="AO377" s="317"/>
      <c r="AP377" s="51"/>
      <c r="AQ377" s="51"/>
      <c r="AR377" s="51"/>
      <c r="AS377" s="144"/>
      <c r="AT377" s="317"/>
      <c r="AU377" s="51"/>
      <c r="AV377" s="51"/>
      <c r="AW377" s="51"/>
      <c r="AX377" s="144"/>
      <c r="AY377" s="317"/>
      <c r="AZ377" s="51"/>
      <c r="BA377" s="51"/>
      <c r="BB377" s="51"/>
      <c r="BC377" s="144"/>
      <c r="BD377" s="317"/>
      <c r="BE377" s="51"/>
      <c r="BF377" s="51"/>
      <c r="BG377" s="51"/>
      <c r="BH377" s="144"/>
      <c r="BI377" s="317"/>
      <c r="BJ377" s="51"/>
      <c r="BK377" s="51"/>
      <c r="BL377" s="51"/>
      <c r="BM377" s="144"/>
      <c r="BN377" s="317"/>
      <c r="BO377" s="51"/>
      <c r="BP377" s="51"/>
      <c r="BQ377" s="51"/>
      <c r="BR377" s="144"/>
      <c r="BS377" s="317"/>
      <c r="BT377" s="51"/>
      <c r="BU377" s="51"/>
      <c r="BV377" s="51"/>
      <c r="BW377" s="144"/>
      <c r="BX377" s="317"/>
      <c r="BY377" s="51"/>
      <c r="BZ377" s="51"/>
      <c r="CA377" s="51"/>
      <c r="CB377" s="144"/>
      <c r="CC377" s="317"/>
      <c r="CD377" s="51"/>
      <c r="CE377" s="51"/>
      <c r="CF377" s="51"/>
      <c r="CG377" s="144"/>
      <c r="CH377" s="51"/>
      <c r="CI377" s="51"/>
      <c r="CJ377" s="51"/>
      <c r="CK377" s="51"/>
      <c r="CL377" s="144"/>
      <c r="CM377" s="51"/>
      <c r="CN377" s="51"/>
      <c r="CO377" s="51"/>
      <c r="CP377" s="51"/>
      <c r="CQ377" s="144"/>
      <c r="CR377" s="51"/>
      <c r="CS377" s="51"/>
      <c r="CT377" s="51"/>
      <c r="CU377" s="51"/>
      <c r="CV377" s="144"/>
      <c r="CW377" s="51"/>
      <c r="CX377" s="51"/>
      <c r="CY377" s="51"/>
      <c r="CZ377" s="51"/>
      <c r="DA377" s="144"/>
      <c r="DB377" s="51"/>
      <c r="DC377" s="51"/>
      <c r="DD377" s="51"/>
      <c r="DE377" s="51"/>
      <c r="DF377" s="144"/>
      <c r="DG377" s="51"/>
      <c r="DH377" s="51"/>
      <c r="DI377" s="51"/>
      <c r="DJ377" s="51"/>
      <c r="DK377" s="144"/>
      <c r="DL377" s="51"/>
      <c r="DM377" s="51"/>
      <c r="DN377" s="51"/>
      <c r="DO377" s="51"/>
      <c r="DP377" s="144"/>
      <c r="DQ377" s="51"/>
      <c r="DR377" s="51"/>
      <c r="DS377" s="51"/>
      <c r="DT377" s="51"/>
      <c r="DU377" s="144"/>
      <c r="DV377" s="51"/>
      <c r="DW377" s="51"/>
      <c r="DX377" s="51"/>
      <c r="DY377" s="51"/>
      <c r="DZ377" s="144"/>
      <c r="EA377" s="51"/>
      <c r="EB377" s="51"/>
      <c r="EC377" s="51"/>
      <c r="ED377" s="51"/>
      <c r="EE377" s="144"/>
      <c r="EF377" s="51"/>
      <c r="EG377" s="51"/>
      <c r="EH377" s="51"/>
      <c r="EI377" s="51"/>
      <c r="EJ377" s="144"/>
      <c r="EK377" s="317"/>
      <c r="EL377" s="51"/>
      <c r="EM377" s="51"/>
      <c r="EN377" s="51"/>
      <c r="EO377" s="340"/>
      <c r="ER377" s="39"/>
      <c r="ES377" s="39"/>
    </row>
    <row r="378" spans="1:149" ht="12.75" customHeight="1" x14ac:dyDescent="0.2">
      <c r="A378" s="317"/>
      <c r="B378" s="317"/>
      <c r="D378" s="340" t="s">
        <v>206</v>
      </c>
      <c r="G378" s="51">
        <f>SUM(G379:G379)</f>
        <v>92637</v>
      </c>
      <c r="I378" s="51"/>
      <c r="J378" s="144"/>
      <c r="K378" s="51"/>
      <c r="L378" s="51">
        <f>SUM(L379:L379)</f>
        <v>0</v>
      </c>
      <c r="M378" s="51"/>
      <c r="N378" s="51"/>
      <c r="O378" s="144"/>
      <c r="P378" s="51"/>
      <c r="Q378" s="51">
        <f>SUM(Q379:Q379)</f>
        <v>46261</v>
      </c>
      <c r="R378" s="51"/>
      <c r="S378" s="51"/>
      <c r="T378" s="144"/>
      <c r="U378" s="51"/>
      <c r="V378" s="51">
        <f>SUM(V379:V379)</f>
        <v>46376</v>
      </c>
      <c r="W378" s="51"/>
      <c r="X378" s="51"/>
      <c r="Y378" s="144"/>
      <c r="Z378" s="51"/>
      <c r="AA378" s="51">
        <f>SUM(AA379:AA379)</f>
        <v>0</v>
      </c>
      <c r="AB378" s="51"/>
      <c r="AC378" s="51"/>
      <c r="AD378" s="144"/>
      <c r="AE378" s="51"/>
      <c r="AF378" s="51">
        <f>SUM(AF379:AF379)</f>
        <v>0</v>
      </c>
      <c r="AG378" s="51"/>
      <c r="AH378" s="51"/>
      <c r="AI378" s="144"/>
      <c r="AJ378" s="51"/>
      <c r="AK378" s="51">
        <f>SUM(AK379:AK379)</f>
        <v>0</v>
      </c>
      <c r="AL378" s="51"/>
      <c r="AM378" s="51"/>
      <c r="AN378" s="144"/>
      <c r="AO378" s="51"/>
      <c r="AP378" s="51">
        <f>SUM(AP379:AP379)</f>
        <v>0</v>
      </c>
      <c r="AQ378" s="51"/>
      <c r="AR378" s="51"/>
      <c r="AS378" s="144"/>
      <c r="AT378" s="51"/>
      <c r="AU378" s="51">
        <f>SUM(AU379:AU379)</f>
        <v>0</v>
      </c>
      <c r="AV378" s="51"/>
      <c r="AW378" s="51"/>
      <c r="AX378" s="144"/>
      <c r="AY378" s="51"/>
      <c r="AZ378" s="51">
        <f>SUM(AZ379:AZ379)</f>
        <v>0</v>
      </c>
      <c r="BA378" s="51"/>
      <c r="BB378" s="51"/>
      <c r="BC378" s="144"/>
      <c r="BD378" s="51"/>
      <c r="BE378" s="51">
        <f>SUM(BE379:BE379)</f>
        <v>0</v>
      </c>
      <c r="BF378" s="51"/>
      <c r="BG378" s="51"/>
      <c r="BH378" s="144"/>
      <c r="BI378" s="51"/>
      <c r="BJ378" s="51">
        <f>SUM(BJ379:BJ379)</f>
        <v>0</v>
      </c>
      <c r="BK378" s="51"/>
      <c r="BL378" s="51"/>
      <c r="BM378" s="144"/>
      <c r="BN378" s="51"/>
      <c r="BO378" s="51">
        <f>SUM(BO379:BO379)</f>
        <v>0</v>
      </c>
      <c r="BP378" s="51"/>
      <c r="BQ378" s="51"/>
      <c r="BR378" s="144"/>
      <c r="BS378" s="317"/>
      <c r="BT378" s="51">
        <f>SUM(BT379:BT379)</f>
        <v>92637</v>
      </c>
      <c r="BU378" s="51"/>
      <c r="BV378" s="51"/>
      <c r="BW378" s="144"/>
      <c r="BX378" s="317"/>
      <c r="BY378" s="51">
        <f>SUM(BY379:BY379)</f>
        <v>56461</v>
      </c>
      <c r="CA378" s="51"/>
      <c r="CB378" s="144"/>
      <c r="CC378" s="51"/>
      <c r="CD378" s="51">
        <f>SUM(CD379:CD379)</f>
        <v>0</v>
      </c>
      <c r="CE378" s="51"/>
      <c r="CF378" s="51"/>
      <c r="CG378" s="144"/>
      <c r="CH378" s="51"/>
      <c r="CI378" s="51">
        <f>SUM(CI379:CI379)</f>
        <v>0</v>
      </c>
      <c r="CJ378" s="51"/>
      <c r="CK378" s="51"/>
      <c r="CL378" s="144"/>
      <c r="CM378" s="51"/>
      <c r="CN378" s="51">
        <f>SUM(CN379:CN379)</f>
        <v>0</v>
      </c>
      <c r="CO378" s="51"/>
      <c r="CP378" s="51"/>
      <c r="CQ378" s="144"/>
      <c r="CR378" s="51"/>
      <c r="CS378" s="51">
        <f>SUM(CS379:CS379)</f>
        <v>0</v>
      </c>
      <c r="CT378" s="51"/>
      <c r="CU378" s="51"/>
      <c r="CV378" s="144"/>
      <c r="CW378" s="51"/>
      <c r="CX378" s="51">
        <f>SUM(CX379:CX379)</f>
        <v>0</v>
      </c>
      <c r="CY378" s="51"/>
      <c r="CZ378" s="51"/>
      <c r="DA378" s="144"/>
      <c r="DB378" s="51"/>
      <c r="DC378" s="51">
        <f>SUM(DC379:DC379)</f>
        <v>0</v>
      </c>
      <c r="DD378" s="51"/>
      <c r="DE378" s="51"/>
      <c r="DF378" s="144"/>
      <c r="DG378" s="51"/>
      <c r="DH378" s="51">
        <f>SUM(DH379:DH379)</f>
        <v>0</v>
      </c>
      <c r="DI378" s="51"/>
      <c r="DJ378" s="51"/>
      <c r="DK378" s="144"/>
      <c r="DL378" s="51"/>
      <c r="DM378" s="51">
        <f>SUM(DM379:DM379)</f>
        <v>0</v>
      </c>
      <c r="DN378" s="51"/>
      <c r="DO378" s="51"/>
      <c r="DP378" s="144"/>
      <c r="DQ378" s="51"/>
      <c r="DR378" s="51">
        <f>SUM(DR379:DR379)</f>
        <v>0</v>
      </c>
      <c r="DS378" s="51"/>
      <c r="DT378" s="51"/>
      <c r="DU378" s="144"/>
      <c r="DV378" s="51"/>
      <c r="DW378" s="51">
        <f>SUM(DW379:DW379)</f>
        <v>0</v>
      </c>
      <c r="DX378" s="51"/>
      <c r="DY378" s="51"/>
      <c r="DZ378" s="144"/>
      <c r="EA378" s="51"/>
      <c r="EB378" s="51">
        <f>SUM(EB379:EB379)</f>
        <v>0</v>
      </c>
      <c r="EC378" s="51"/>
      <c r="ED378" s="51"/>
      <c r="EE378" s="144"/>
      <c r="EF378" s="51"/>
      <c r="EG378" s="51">
        <f>SUM(EG379:EG379)</f>
        <v>56461</v>
      </c>
      <c r="EH378" s="51"/>
      <c r="EI378" s="51"/>
      <c r="EJ378" s="144"/>
      <c r="EK378" s="317"/>
      <c r="EL378" s="51">
        <f>SUM(EL379:EL379)</f>
        <v>0</v>
      </c>
      <c r="EM378" s="51"/>
      <c r="EN378" s="51"/>
      <c r="EO378" s="340"/>
      <c r="ER378" s="39"/>
      <c r="ES378" s="39"/>
    </row>
    <row r="379" spans="1:149" ht="12.75" customHeight="1" x14ac:dyDescent="0.2">
      <c r="A379" s="317"/>
      <c r="B379" s="317"/>
      <c r="D379" s="340" t="s">
        <v>183</v>
      </c>
      <c r="F379" s="434"/>
      <c r="G379" s="438">
        <v>92637</v>
      </c>
      <c r="H379" s="436"/>
      <c r="I379" s="51"/>
      <c r="J379" s="144"/>
      <c r="K379" s="434"/>
      <c r="L379" s="438">
        <v>0</v>
      </c>
      <c r="M379" s="436"/>
      <c r="N379" s="51"/>
      <c r="O379" s="144"/>
      <c r="P379" s="434"/>
      <c r="Q379" s="438">
        <v>46261</v>
      </c>
      <c r="R379" s="436"/>
      <c r="S379" s="51"/>
      <c r="T379" s="144"/>
      <c r="U379" s="434"/>
      <c r="V379" s="438">
        <v>46376</v>
      </c>
      <c r="W379" s="436"/>
      <c r="X379" s="51"/>
      <c r="Y379" s="144"/>
      <c r="Z379" s="434"/>
      <c r="AA379" s="438">
        <v>0</v>
      </c>
      <c r="AB379" s="436"/>
      <c r="AC379" s="51"/>
      <c r="AD379" s="144"/>
      <c r="AE379" s="434"/>
      <c r="AF379" s="438">
        <v>0</v>
      </c>
      <c r="AG379" s="436"/>
      <c r="AH379" s="51"/>
      <c r="AI379" s="144"/>
      <c r="AJ379" s="434"/>
      <c r="AK379" s="438">
        <v>0</v>
      </c>
      <c r="AL379" s="436"/>
      <c r="AM379" s="51"/>
      <c r="AN379" s="144"/>
      <c r="AO379" s="434"/>
      <c r="AP379" s="438">
        <v>0</v>
      </c>
      <c r="AQ379" s="436"/>
      <c r="AR379" s="51"/>
      <c r="AS379" s="144"/>
      <c r="AT379" s="434"/>
      <c r="AU379" s="438">
        <v>0</v>
      </c>
      <c r="AV379" s="436"/>
      <c r="AW379" s="51"/>
      <c r="AX379" s="144"/>
      <c r="AY379" s="434"/>
      <c r="AZ379" s="438">
        <v>0</v>
      </c>
      <c r="BA379" s="436"/>
      <c r="BB379" s="51"/>
      <c r="BC379" s="144"/>
      <c r="BD379" s="434"/>
      <c r="BE379" s="438">
        <v>0</v>
      </c>
      <c r="BF379" s="436"/>
      <c r="BG379" s="51"/>
      <c r="BH379" s="144"/>
      <c r="BI379" s="434"/>
      <c r="BJ379" s="438">
        <v>0</v>
      </c>
      <c r="BK379" s="436"/>
      <c r="BL379" s="51"/>
      <c r="BM379" s="144"/>
      <c r="BN379" s="434"/>
      <c r="BO379" s="438">
        <v>0</v>
      </c>
      <c r="BP379" s="436"/>
      <c r="BQ379" s="51"/>
      <c r="BR379" s="144"/>
      <c r="BS379" s="434"/>
      <c r="BT379" s="438">
        <f>SUM(L379:BO379)</f>
        <v>92637</v>
      </c>
      <c r="BU379" s="436"/>
      <c r="BV379" s="51"/>
      <c r="BW379" s="144"/>
      <c r="BX379" s="434"/>
      <c r="BY379" s="438">
        <v>56461</v>
      </c>
      <c r="BZ379" s="436"/>
      <c r="CA379" s="51"/>
      <c r="CB379" s="144"/>
      <c r="CC379" s="434"/>
      <c r="CD379" s="438">
        <v>0</v>
      </c>
      <c r="CE379" s="436"/>
      <c r="CF379" s="51"/>
      <c r="CG379" s="144"/>
      <c r="CH379" s="437"/>
      <c r="CI379" s="438">
        <v>0</v>
      </c>
      <c r="CJ379" s="436"/>
      <c r="CK379" s="51"/>
      <c r="CL379" s="144"/>
      <c r="CM379" s="437"/>
      <c r="CN379" s="438">
        <v>0</v>
      </c>
      <c r="CO379" s="436"/>
      <c r="CP379" s="51"/>
      <c r="CQ379" s="144"/>
      <c r="CR379" s="437"/>
      <c r="CS379" s="438">
        <v>0</v>
      </c>
      <c r="CT379" s="436"/>
      <c r="CU379" s="51"/>
      <c r="CV379" s="144"/>
      <c r="CW379" s="437"/>
      <c r="CX379" s="438">
        <v>0</v>
      </c>
      <c r="CY379" s="436"/>
      <c r="CZ379" s="51"/>
      <c r="DA379" s="144"/>
      <c r="DB379" s="437"/>
      <c r="DC379" s="438">
        <v>0</v>
      </c>
      <c r="DD379" s="436"/>
      <c r="DE379" s="51"/>
      <c r="DF379" s="144"/>
      <c r="DG379" s="437"/>
      <c r="DH379" s="438">
        <v>0</v>
      </c>
      <c r="DI379" s="436"/>
      <c r="DJ379" s="51"/>
      <c r="DK379" s="144"/>
      <c r="DL379" s="437"/>
      <c r="DM379" s="438">
        <v>0</v>
      </c>
      <c r="DN379" s="436"/>
      <c r="DO379" s="51"/>
      <c r="DP379" s="144"/>
      <c r="DQ379" s="437"/>
      <c r="DR379" s="438">
        <v>0</v>
      </c>
      <c r="DS379" s="436"/>
      <c r="DT379" s="51"/>
      <c r="DU379" s="144"/>
      <c r="DV379" s="437"/>
      <c r="DW379" s="438">
        <v>0</v>
      </c>
      <c r="DX379" s="436"/>
      <c r="DY379" s="51"/>
      <c r="DZ379" s="144"/>
      <c r="EA379" s="437"/>
      <c r="EB379" s="438">
        <v>0</v>
      </c>
      <c r="EC379" s="436"/>
      <c r="ED379" s="51"/>
      <c r="EE379" s="144"/>
      <c r="EF379" s="437"/>
      <c r="EG379" s="438">
        <v>56461</v>
      </c>
      <c r="EH379" s="436"/>
      <c r="EI379" s="51"/>
      <c r="EJ379" s="144"/>
      <c r="EK379" s="434"/>
      <c r="EL379" s="438">
        <f>SUM(CD379:DH379)</f>
        <v>0</v>
      </c>
      <c r="EM379" s="436"/>
      <c r="EN379" s="51"/>
      <c r="EO379" s="340"/>
      <c r="ER379" s="39"/>
      <c r="ES379" s="39"/>
    </row>
    <row r="380" spans="1:149" ht="12.75" customHeight="1" x14ac:dyDescent="0.2">
      <c r="A380" s="317"/>
      <c r="B380" s="317"/>
      <c r="D380" s="340"/>
      <c r="F380" s="317"/>
      <c r="G380" s="51"/>
      <c r="H380" s="51"/>
      <c r="I380" s="51"/>
      <c r="J380" s="144"/>
      <c r="K380" s="317"/>
      <c r="L380" s="51"/>
      <c r="M380" s="51"/>
      <c r="N380" s="51"/>
      <c r="O380" s="144"/>
      <c r="P380" s="317"/>
      <c r="Q380" s="51"/>
      <c r="R380" s="51"/>
      <c r="S380" s="51"/>
      <c r="T380" s="144"/>
      <c r="U380" s="317"/>
      <c r="V380" s="51"/>
      <c r="W380" s="51"/>
      <c r="X380" s="51"/>
      <c r="Y380" s="144"/>
      <c r="Z380" s="317"/>
      <c r="AA380" s="51"/>
      <c r="AB380" s="51"/>
      <c r="AC380" s="51"/>
      <c r="AD380" s="144"/>
      <c r="AE380" s="317"/>
      <c r="AF380" s="51"/>
      <c r="AG380" s="51"/>
      <c r="AH380" s="51"/>
      <c r="AI380" s="144"/>
      <c r="AJ380" s="317"/>
      <c r="AK380" s="51"/>
      <c r="AL380" s="51"/>
      <c r="AM380" s="51"/>
      <c r="AN380" s="144"/>
      <c r="AO380" s="317"/>
      <c r="AP380" s="51"/>
      <c r="AQ380" s="51"/>
      <c r="AR380" s="51"/>
      <c r="AS380" s="144"/>
      <c r="AT380" s="317"/>
      <c r="AU380" s="51"/>
      <c r="AV380" s="51"/>
      <c r="AW380" s="51"/>
      <c r="AX380" s="144"/>
      <c r="AY380" s="317"/>
      <c r="AZ380" s="51"/>
      <c r="BA380" s="51"/>
      <c r="BB380" s="51"/>
      <c r="BC380" s="144"/>
      <c r="BD380" s="317"/>
      <c r="BE380" s="51"/>
      <c r="BF380" s="51"/>
      <c r="BG380" s="51"/>
      <c r="BH380" s="144"/>
      <c r="BI380" s="317"/>
      <c r="BJ380" s="51"/>
      <c r="BK380" s="51"/>
      <c r="BL380" s="51"/>
      <c r="BM380" s="144"/>
      <c r="BN380" s="317"/>
      <c r="BO380" s="51"/>
      <c r="BP380" s="51"/>
      <c r="BQ380" s="51"/>
      <c r="BR380" s="144"/>
      <c r="BS380" s="317"/>
      <c r="BT380" s="51"/>
      <c r="BU380" s="51"/>
      <c r="BV380" s="51"/>
      <c r="BW380" s="144"/>
      <c r="BX380" s="317"/>
      <c r="BY380" s="51"/>
      <c r="BZ380" s="51"/>
      <c r="CA380" s="51"/>
      <c r="CB380" s="144"/>
      <c r="CC380" s="317"/>
      <c r="CD380" s="51"/>
      <c r="CE380" s="51"/>
      <c r="CF380" s="51"/>
      <c r="CG380" s="144"/>
      <c r="CH380" s="51"/>
      <c r="CI380" s="51"/>
      <c r="CJ380" s="51"/>
      <c r="CK380" s="51"/>
      <c r="CL380" s="144"/>
      <c r="CM380" s="51"/>
      <c r="CN380" s="51"/>
      <c r="CO380" s="51"/>
      <c r="CP380" s="51"/>
      <c r="CQ380" s="144"/>
      <c r="CR380" s="51"/>
      <c r="CS380" s="51"/>
      <c r="CT380" s="51"/>
      <c r="CU380" s="51"/>
      <c r="CV380" s="144"/>
      <c r="CW380" s="51"/>
      <c r="CX380" s="51"/>
      <c r="CY380" s="51"/>
      <c r="CZ380" s="51"/>
      <c r="DA380" s="144"/>
      <c r="DB380" s="51"/>
      <c r="DC380" s="51"/>
      <c r="DD380" s="51"/>
      <c r="DE380" s="51"/>
      <c r="DF380" s="144"/>
      <c r="DG380" s="51"/>
      <c r="DH380" s="51"/>
      <c r="DI380" s="51"/>
      <c r="DJ380" s="51"/>
      <c r="DK380" s="144"/>
      <c r="DL380" s="51"/>
      <c r="DM380" s="51"/>
      <c r="DN380" s="51"/>
      <c r="DO380" s="51"/>
      <c r="DP380" s="144"/>
      <c r="DQ380" s="51"/>
      <c r="DR380" s="51"/>
      <c r="DS380" s="51"/>
      <c r="DT380" s="51"/>
      <c r="DU380" s="144"/>
      <c r="DV380" s="51"/>
      <c r="DW380" s="51"/>
      <c r="DX380" s="51"/>
      <c r="DY380" s="51"/>
      <c r="DZ380" s="144"/>
      <c r="EA380" s="51"/>
      <c r="EB380" s="51"/>
      <c r="EC380" s="51"/>
      <c r="ED380" s="51"/>
      <c r="EE380" s="144"/>
      <c r="EF380" s="51"/>
      <c r="EG380" s="51"/>
      <c r="EH380" s="51"/>
      <c r="EI380" s="51"/>
      <c r="EJ380" s="144"/>
      <c r="EK380" s="317"/>
      <c r="EL380" s="51"/>
      <c r="EM380" s="51"/>
      <c r="EN380" s="51"/>
      <c r="EO380" s="340"/>
      <c r="ER380" s="39"/>
      <c r="ES380" s="39"/>
    </row>
    <row r="381" spans="1:149" x14ac:dyDescent="0.2">
      <c r="A381" s="317"/>
      <c r="B381" s="317"/>
      <c r="D381" s="340" t="s">
        <v>207</v>
      </c>
      <c r="G381" s="51">
        <f>SUM(G382:G382)</f>
        <v>385938</v>
      </c>
      <c r="I381" s="51"/>
      <c r="J381" s="144"/>
      <c r="K381" s="51"/>
      <c r="L381" s="51">
        <f>SUM(L382:L382)</f>
        <v>259191</v>
      </c>
      <c r="M381" s="51"/>
      <c r="N381" s="51"/>
      <c r="O381" s="144"/>
      <c r="P381" s="51"/>
      <c r="Q381" s="51">
        <f>SUM(Q382:Q382)</f>
        <v>0</v>
      </c>
      <c r="R381" s="51"/>
      <c r="S381" s="51"/>
      <c r="T381" s="144"/>
      <c r="U381" s="51"/>
      <c r="V381" s="51">
        <f>SUM(V382:V382)</f>
        <v>0</v>
      </c>
      <c r="W381" s="51"/>
      <c r="X381" s="51"/>
      <c r="Y381" s="144"/>
      <c r="Z381" s="51"/>
      <c r="AA381" s="51">
        <f>SUM(AA382:AA382)</f>
        <v>0</v>
      </c>
      <c r="AB381" s="51"/>
      <c r="AC381" s="51"/>
      <c r="AD381" s="144"/>
      <c r="AE381" s="51"/>
      <c r="AF381" s="51">
        <f>SUM(AF382:AF382)</f>
        <v>0</v>
      </c>
      <c r="AG381" s="51"/>
      <c r="AH381" s="51"/>
      <c r="AI381" s="144"/>
      <c r="AJ381" s="51"/>
      <c r="AK381" s="51">
        <f>SUM(AK382:AK382)</f>
        <v>126747</v>
      </c>
      <c r="AL381" s="51"/>
      <c r="AM381" s="51"/>
      <c r="AN381" s="144"/>
      <c r="AO381" s="51"/>
      <c r="AP381" s="51">
        <f>SUM(AP382:AP382)</f>
        <v>55193</v>
      </c>
      <c r="AQ381" s="51"/>
      <c r="AR381" s="51"/>
      <c r="AS381" s="144"/>
      <c r="AT381" s="51"/>
      <c r="AU381" s="51">
        <f>SUM(AU382:AU382)</f>
        <v>0</v>
      </c>
      <c r="AV381" s="51"/>
      <c r="AW381" s="51"/>
      <c r="AX381" s="144"/>
      <c r="AY381" s="51"/>
      <c r="AZ381" s="51">
        <f>SUM(AZ382:AZ382)</f>
        <v>0</v>
      </c>
      <c r="BA381" s="51"/>
      <c r="BB381" s="51"/>
      <c r="BC381" s="144"/>
      <c r="BD381" s="51"/>
      <c r="BE381" s="51">
        <f>SUM(BE382:BE382)</f>
        <v>0</v>
      </c>
      <c r="BF381" s="51"/>
      <c r="BG381" s="51"/>
      <c r="BH381" s="144"/>
      <c r="BI381" s="51"/>
      <c r="BJ381" s="51">
        <f>SUM(BJ382:BJ382)</f>
        <v>0</v>
      </c>
      <c r="BK381" s="51"/>
      <c r="BL381" s="51"/>
      <c r="BM381" s="144"/>
      <c r="BN381" s="51"/>
      <c r="BO381" s="51">
        <f>SUM(BO382:BO382)</f>
        <v>0</v>
      </c>
      <c r="BP381" s="51"/>
      <c r="BQ381" s="51"/>
      <c r="BR381" s="144"/>
      <c r="BS381" s="317"/>
      <c r="BT381" s="51">
        <f>SUM(BT382:BT382)</f>
        <v>441131</v>
      </c>
      <c r="BU381" s="51"/>
      <c r="BV381" s="51"/>
      <c r="BW381" s="144"/>
      <c r="BX381" s="317"/>
      <c r="BY381" s="51">
        <f>SUM(BY382:BY382)</f>
        <v>410666</v>
      </c>
      <c r="CA381" s="51"/>
      <c r="CB381" s="144"/>
      <c r="CC381" s="51"/>
      <c r="CD381" s="51">
        <f>SUM(CD382:CD382)</f>
        <v>0</v>
      </c>
      <c r="CE381" s="51"/>
      <c r="CF381" s="51"/>
      <c r="CG381" s="144"/>
      <c r="CH381" s="51"/>
      <c r="CI381" s="51">
        <f>SUM(CI382:CI382)</f>
        <v>0</v>
      </c>
      <c r="CJ381" s="51"/>
      <c r="CK381" s="51"/>
      <c r="CL381" s="144"/>
      <c r="CM381" s="51"/>
      <c r="CN381" s="51">
        <f>SUM(CN382:CN382)</f>
        <v>0</v>
      </c>
      <c r="CO381" s="51"/>
      <c r="CP381" s="51"/>
      <c r="CQ381" s="144"/>
      <c r="CR381" s="51"/>
      <c r="CS381" s="51">
        <f>SUM(CS382:CS382)</f>
        <v>0</v>
      </c>
      <c r="CT381" s="51"/>
      <c r="CU381" s="51"/>
      <c r="CV381" s="144"/>
      <c r="CW381" s="51"/>
      <c r="CX381" s="51">
        <f>SUM(CX382:CX382)</f>
        <v>0</v>
      </c>
      <c r="CY381" s="51"/>
      <c r="CZ381" s="51"/>
      <c r="DA381" s="144"/>
      <c r="DB381" s="51"/>
      <c r="DC381" s="51">
        <f>SUM(DC382:DC382)</f>
        <v>0</v>
      </c>
      <c r="DD381" s="51"/>
      <c r="DE381" s="51"/>
      <c r="DF381" s="144"/>
      <c r="DG381" s="51"/>
      <c r="DH381" s="51">
        <f>SUM(DH382:DH382)</f>
        <v>0</v>
      </c>
      <c r="DI381" s="51"/>
      <c r="DJ381" s="51"/>
      <c r="DK381" s="144"/>
      <c r="DL381" s="51"/>
      <c r="DM381" s="51">
        <f>SUM(DM382:DM382)</f>
        <v>0</v>
      </c>
      <c r="DN381" s="51"/>
      <c r="DO381" s="51"/>
      <c r="DP381" s="144"/>
      <c r="DQ381" s="51"/>
      <c r="DR381" s="51">
        <f>SUM(DR382:DR382)</f>
        <v>0</v>
      </c>
      <c r="DS381" s="51"/>
      <c r="DT381" s="51"/>
      <c r="DU381" s="144"/>
      <c r="DV381" s="51"/>
      <c r="DW381" s="51">
        <f>SUM(DW382:DW382)</f>
        <v>0</v>
      </c>
      <c r="DX381" s="51"/>
      <c r="DY381" s="51"/>
      <c r="DZ381" s="144"/>
      <c r="EA381" s="51"/>
      <c r="EB381" s="51">
        <f>SUM(EB382:EB382)</f>
        <v>0</v>
      </c>
      <c r="EC381" s="51"/>
      <c r="ED381" s="51"/>
      <c r="EE381" s="144"/>
      <c r="EF381" s="51"/>
      <c r="EG381" s="51">
        <f>SUM(EG382:EG382)</f>
        <v>410666</v>
      </c>
      <c r="EH381" s="51"/>
      <c r="EI381" s="51"/>
      <c r="EJ381" s="144"/>
      <c r="EK381" s="317"/>
      <c r="EL381" s="51">
        <f>SUM(EL382:EL382)</f>
        <v>0</v>
      </c>
      <c r="EM381" s="51"/>
      <c r="EN381" s="51"/>
      <c r="EO381" s="340"/>
      <c r="ER381" s="39"/>
      <c r="ES381" s="39"/>
    </row>
    <row r="382" spans="1:149" x14ac:dyDescent="0.2">
      <c r="A382" s="317"/>
      <c r="B382" s="317"/>
      <c r="D382" s="340" t="s">
        <v>183</v>
      </c>
      <c r="F382" s="434"/>
      <c r="G382" s="438">
        <v>385938</v>
      </c>
      <c r="H382" s="436"/>
      <c r="I382" s="51"/>
      <c r="J382" s="144"/>
      <c r="K382" s="434"/>
      <c r="L382" s="438">
        <v>259191</v>
      </c>
      <c r="M382" s="436"/>
      <c r="N382" s="51"/>
      <c r="O382" s="144"/>
      <c r="P382" s="434"/>
      <c r="Q382" s="438">
        <v>0</v>
      </c>
      <c r="R382" s="436"/>
      <c r="S382" s="51"/>
      <c r="T382" s="144"/>
      <c r="U382" s="434"/>
      <c r="V382" s="438">
        <v>0</v>
      </c>
      <c r="W382" s="436"/>
      <c r="X382" s="51"/>
      <c r="Y382" s="144"/>
      <c r="Z382" s="434"/>
      <c r="AA382" s="438">
        <v>0</v>
      </c>
      <c r="AB382" s="436"/>
      <c r="AC382" s="51"/>
      <c r="AD382" s="144"/>
      <c r="AE382" s="434"/>
      <c r="AF382" s="438">
        <v>0</v>
      </c>
      <c r="AG382" s="436"/>
      <c r="AH382" s="51"/>
      <c r="AI382" s="144"/>
      <c r="AJ382" s="434"/>
      <c r="AK382" s="438">
        <v>126747</v>
      </c>
      <c r="AL382" s="436"/>
      <c r="AM382" s="51"/>
      <c r="AN382" s="144"/>
      <c r="AO382" s="434"/>
      <c r="AP382" s="438">
        <v>55193</v>
      </c>
      <c r="AQ382" s="436"/>
      <c r="AR382" s="51"/>
      <c r="AS382" s="144"/>
      <c r="AT382" s="434"/>
      <c r="AU382" s="438">
        <v>0</v>
      </c>
      <c r="AV382" s="436"/>
      <c r="AW382" s="51"/>
      <c r="AX382" s="144"/>
      <c r="AY382" s="434"/>
      <c r="AZ382" s="438">
        <v>0</v>
      </c>
      <c r="BA382" s="436"/>
      <c r="BB382" s="51"/>
      <c r="BC382" s="144"/>
      <c r="BD382" s="434"/>
      <c r="BE382" s="438">
        <v>0</v>
      </c>
      <c r="BF382" s="436"/>
      <c r="BG382" s="51"/>
      <c r="BH382" s="144"/>
      <c r="BI382" s="434"/>
      <c r="BJ382" s="438">
        <v>0</v>
      </c>
      <c r="BK382" s="436"/>
      <c r="BL382" s="51"/>
      <c r="BM382" s="144"/>
      <c r="BN382" s="434"/>
      <c r="BO382" s="438">
        <v>0</v>
      </c>
      <c r="BP382" s="436"/>
      <c r="BQ382" s="51"/>
      <c r="BR382" s="144"/>
      <c r="BS382" s="434"/>
      <c r="BT382" s="438">
        <f>SUM(L382:BO382)</f>
        <v>441131</v>
      </c>
      <c r="BU382" s="436"/>
      <c r="BV382" s="51"/>
      <c r="BW382" s="144"/>
      <c r="BX382" s="434"/>
      <c r="BY382" s="438">
        <v>410666</v>
      </c>
      <c r="BZ382" s="436"/>
      <c r="CA382" s="51"/>
      <c r="CB382" s="144"/>
      <c r="CC382" s="434"/>
      <c r="CD382" s="438">
        <v>0</v>
      </c>
      <c r="CE382" s="436"/>
      <c r="CF382" s="51"/>
      <c r="CG382" s="144"/>
      <c r="CH382" s="437"/>
      <c r="CI382" s="438">
        <v>0</v>
      </c>
      <c r="CJ382" s="436"/>
      <c r="CK382" s="51"/>
      <c r="CL382" s="144"/>
      <c r="CM382" s="437"/>
      <c r="CN382" s="438">
        <v>0</v>
      </c>
      <c r="CO382" s="436"/>
      <c r="CP382" s="51"/>
      <c r="CQ382" s="144"/>
      <c r="CR382" s="437"/>
      <c r="CS382" s="438">
        <v>0</v>
      </c>
      <c r="CT382" s="436"/>
      <c r="CU382" s="51"/>
      <c r="CV382" s="144"/>
      <c r="CW382" s="437"/>
      <c r="CX382" s="438">
        <v>0</v>
      </c>
      <c r="CY382" s="436"/>
      <c r="CZ382" s="51"/>
      <c r="DA382" s="144"/>
      <c r="DB382" s="437"/>
      <c r="DC382" s="438">
        <v>0</v>
      </c>
      <c r="DD382" s="436"/>
      <c r="DE382" s="51"/>
      <c r="DF382" s="144"/>
      <c r="DG382" s="437"/>
      <c r="DH382" s="438">
        <v>0</v>
      </c>
      <c r="DI382" s="436"/>
      <c r="DJ382" s="51"/>
      <c r="DK382" s="144"/>
      <c r="DL382" s="437"/>
      <c r="DM382" s="438">
        <v>0</v>
      </c>
      <c r="DN382" s="436"/>
      <c r="DO382" s="51"/>
      <c r="DP382" s="144"/>
      <c r="DQ382" s="437"/>
      <c r="DR382" s="438">
        <v>0</v>
      </c>
      <c r="DS382" s="436"/>
      <c r="DT382" s="51"/>
      <c r="DU382" s="144"/>
      <c r="DV382" s="437"/>
      <c r="DW382" s="438">
        <v>0</v>
      </c>
      <c r="DX382" s="436"/>
      <c r="DY382" s="51"/>
      <c r="DZ382" s="144"/>
      <c r="EA382" s="437"/>
      <c r="EB382" s="438">
        <v>0</v>
      </c>
      <c r="EC382" s="436"/>
      <c r="ED382" s="51"/>
      <c r="EE382" s="144"/>
      <c r="EF382" s="437"/>
      <c r="EG382" s="438">
        <v>410666</v>
      </c>
      <c r="EH382" s="436"/>
      <c r="EI382" s="51"/>
      <c r="EJ382" s="144"/>
      <c r="EK382" s="434"/>
      <c r="EL382" s="438">
        <f>SUM(CD382:DH382)</f>
        <v>0</v>
      </c>
      <c r="EM382" s="436"/>
      <c r="EN382" s="51"/>
      <c r="EO382" s="340"/>
      <c r="ER382" s="39"/>
      <c r="ES382" s="39"/>
    </row>
    <row r="383" spans="1:149" x14ac:dyDescent="0.2">
      <c r="A383" s="317"/>
      <c r="B383" s="317"/>
      <c r="D383" s="340"/>
      <c r="F383" s="317"/>
      <c r="G383" s="51"/>
      <c r="H383" s="51"/>
      <c r="I383" s="51"/>
      <c r="J383" s="144"/>
      <c r="K383" s="317"/>
      <c r="L383" s="51"/>
      <c r="M383" s="51"/>
      <c r="N383" s="51"/>
      <c r="O383" s="144"/>
      <c r="P383" s="317"/>
      <c r="Q383" s="51"/>
      <c r="R383" s="51"/>
      <c r="S383" s="51"/>
      <c r="T383" s="144"/>
      <c r="U383" s="317"/>
      <c r="V383" s="51"/>
      <c r="W383" s="51"/>
      <c r="X383" s="51"/>
      <c r="Y383" s="144"/>
      <c r="Z383" s="317"/>
      <c r="AA383" s="51"/>
      <c r="AB383" s="51"/>
      <c r="AC383" s="51"/>
      <c r="AD383" s="144"/>
      <c r="AE383" s="317"/>
      <c r="AF383" s="51"/>
      <c r="AG383" s="51"/>
      <c r="AH383" s="51"/>
      <c r="AI383" s="144"/>
      <c r="AJ383" s="317"/>
      <c r="AK383" s="51"/>
      <c r="AL383" s="51"/>
      <c r="AM383" s="51"/>
      <c r="AN383" s="144"/>
      <c r="AO383" s="317"/>
      <c r="AP383" s="51"/>
      <c r="AQ383" s="51"/>
      <c r="AR383" s="51"/>
      <c r="AS383" s="144"/>
      <c r="AT383" s="317"/>
      <c r="AU383" s="51"/>
      <c r="AV383" s="51"/>
      <c r="AW383" s="51"/>
      <c r="AX383" s="144"/>
      <c r="AY383" s="317"/>
      <c r="AZ383" s="51"/>
      <c r="BA383" s="51"/>
      <c r="BB383" s="51"/>
      <c r="BC383" s="144"/>
      <c r="BD383" s="317"/>
      <c r="BE383" s="51"/>
      <c r="BF383" s="51"/>
      <c r="BG383" s="51"/>
      <c r="BH383" s="144"/>
      <c r="BI383" s="317"/>
      <c r="BJ383" s="51"/>
      <c r="BK383" s="51"/>
      <c r="BL383" s="51"/>
      <c r="BM383" s="144"/>
      <c r="BN383" s="317"/>
      <c r="BO383" s="51"/>
      <c r="BP383" s="51"/>
      <c r="BQ383" s="51"/>
      <c r="BR383" s="144"/>
      <c r="BS383" s="317"/>
      <c r="BT383" s="51"/>
      <c r="BU383" s="51"/>
      <c r="BV383" s="51"/>
      <c r="BW383" s="144"/>
      <c r="BX383" s="317"/>
      <c r="BY383" s="51"/>
      <c r="BZ383" s="51"/>
      <c r="CA383" s="51"/>
      <c r="CB383" s="144"/>
      <c r="CC383" s="317"/>
      <c r="CD383" s="51"/>
      <c r="CE383" s="51"/>
      <c r="CF383" s="51"/>
      <c r="CG383" s="144"/>
      <c r="CH383" s="51"/>
      <c r="CI383" s="51"/>
      <c r="CJ383" s="51"/>
      <c r="CK383" s="51"/>
      <c r="CL383" s="144"/>
      <c r="CM383" s="51"/>
      <c r="CN383" s="51"/>
      <c r="CO383" s="51"/>
      <c r="CP383" s="51"/>
      <c r="CQ383" s="144"/>
      <c r="CR383" s="51"/>
      <c r="CS383" s="51"/>
      <c r="CT383" s="51"/>
      <c r="CU383" s="51"/>
      <c r="CV383" s="144"/>
      <c r="CW383" s="51"/>
      <c r="CX383" s="51"/>
      <c r="CY383" s="51"/>
      <c r="CZ383" s="51"/>
      <c r="DA383" s="144"/>
      <c r="DB383" s="51"/>
      <c r="DC383" s="51"/>
      <c r="DD383" s="51"/>
      <c r="DE383" s="51"/>
      <c r="DF383" s="144"/>
      <c r="DG383" s="51"/>
      <c r="DH383" s="51"/>
      <c r="DI383" s="51"/>
      <c r="DJ383" s="51"/>
      <c r="DK383" s="144"/>
      <c r="DL383" s="51"/>
      <c r="DM383" s="51"/>
      <c r="DN383" s="51"/>
      <c r="DO383" s="51"/>
      <c r="DP383" s="144"/>
      <c r="DQ383" s="51"/>
      <c r="DR383" s="51"/>
      <c r="DS383" s="51"/>
      <c r="DT383" s="51"/>
      <c r="DU383" s="144"/>
      <c r="DV383" s="51"/>
      <c r="DW383" s="51"/>
      <c r="DX383" s="51"/>
      <c r="DY383" s="51"/>
      <c r="DZ383" s="144"/>
      <c r="EA383" s="51"/>
      <c r="EB383" s="51"/>
      <c r="EC383" s="51"/>
      <c r="ED383" s="51"/>
      <c r="EE383" s="144"/>
      <c r="EF383" s="51"/>
      <c r="EG383" s="51"/>
      <c r="EH383" s="51"/>
      <c r="EI383" s="51"/>
      <c r="EJ383" s="144"/>
      <c r="EK383" s="317"/>
      <c r="EL383" s="51"/>
      <c r="EM383" s="51"/>
      <c r="EN383" s="51"/>
      <c r="EO383" s="340"/>
      <c r="ER383" s="39"/>
      <c r="ES383" s="39"/>
    </row>
    <row r="384" spans="1:149" x14ac:dyDescent="0.2">
      <c r="A384" s="317"/>
      <c r="B384" s="317"/>
      <c r="D384" s="340" t="s">
        <v>208</v>
      </c>
      <c r="F384" s="317"/>
      <c r="G384" s="51">
        <f>SUM(G385)</f>
        <v>1619226</v>
      </c>
      <c r="H384" s="51"/>
      <c r="I384" s="51"/>
      <c r="J384" s="144"/>
      <c r="K384" s="317"/>
      <c r="L384" s="51">
        <f>SUM(L385)</f>
        <v>0</v>
      </c>
      <c r="M384" s="51"/>
      <c r="N384" s="51"/>
      <c r="O384" s="144"/>
      <c r="P384" s="317"/>
      <c r="Q384" s="51">
        <f>SUM(Q385)</f>
        <v>0</v>
      </c>
      <c r="R384" s="51"/>
      <c r="S384" s="51"/>
      <c r="T384" s="144"/>
      <c r="U384" s="317"/>
      <c r="V384" s="51">
        <f>SUM(V385)</f>
        <v>129145</v>
      </c>
      <c r="W384" s="51"/>
      <c r="X384" s="51"/>
      <c r="Y384" s="144"/>
      <c r="Z384" s="317"/>
      <c r="AA384" s="51">
        <f>SUM(AA385)</f>
        <v>0</v>
      </c>
      <c r="AB384" s="51"/>
      <c r="AC384" s="51"/>
      <c r="AD384" s="144"/>
      <c r="AE384" s="317"/>
      <c r="AF384" s="51">
        <f>SUM(AF385)</f>
        <v>1490081</v>
      </c>
      <c r="AG384" s="51"/>
      <c r="AH384" s="51"/>
      <c r="AI384" s="144"/>
      <c r="AJ384" s="317"/>
      <c r="AK384" s="51">
        <f>SUM(AK385)</f>
        <v>0</v>
      </c>
      <c r="AL384" s="51"/>
      <c r="AM384" s="51"/>
      <c r="AN384" s="144"/>
      <c r="AO384" s="317"/>
      <c r="AP384" s="51">
        <f>SUM(AP385)</f>
        <v>0</v>
      </c>
      <c r="AQ384" s="51"/>
      <c r="AR384" s="51"/>
      <c r="AS384" s="144"/>
      <c r="AT384" s="317"/>
      <c r="AU384" s="51">
        <f>SUM(AU385)</f>
        <v>0</v>
      </c>
      <c r="AV384" s="51"/>
      <c r="AW384" s="51"/>
      <c r="AX384" s="144"/>
      <c r="AY384" s="317"/>
      <c r="AZ384" s="51">
        <f>SUM(AZ385)</f>
        <v>0</v>
      </c>
      <c r="BA384" s="51"/>
      <c r="BB384" s="51"/>
      <c r="BC384" s="144"/>
      <c r="BD384" s="317"/>
      <c r="BE384" s="51">
        <f>SUM(BE385)</f>
        <v>0</v>
      </c>
      <c r="BF384" s="51"/>
      <c r="BG384" s="51"/>
      <c r="BH384" s="144"/>
      <c r="BI384" s="317"/>
      <c r="BJ384" s="51">
        <f>SUM(BJ385)</f>
        <v>0</v>
      </c>
      <c r="BK384" s="51"/>
      <c r="BL384" s="51"/>
      <c r="BM384" s="144"/>
      <c r="BN384" s="317"/>
      <c r="BO384" s="51">
        <f>SUM(BO385)</f>
        <v>0</v>
      </c>
      <c r="BP384" s="51"/>
      <c r="BQ384" s="51"/>
      <c r="BR384" s="144"/>
      <c r="BS384" s="317"/>
      <c r="BT384" s="51">
        <f>SUM(BT385:BT385)</f>
        <v>1619226</v>
      </c>
      <c r="BU384" s="51"/>
      <c r="BV384" s="51"/>
      <c r="BW384" s="144"/>
      <c r="BX384" s="317"/>
      <c r="BY384" s="51">
        <f>SUM(BY385)</f>
        <v>92640</v>
      </c>
      <c r="BZ384" s="51"/>
      <c r="CA384" s="51"/>
      <c r="CB384" s="144"/>
      <c r="CC384" s="317"/>
      <c r="CD384" s="51">
        <f>SUM(CD385:CD385)</f>
        <v>0</v>
      </c>
      <c r="CE384" s="51"/>
      <c r="CF384" s="51"/>
      <c r="CG384" s="144"/>
      <c r="CH384" s="51"/>
      <c r="CI384" s="51">
        <f>SUM(CI385:CI385)</f>
        <v>0</v>
      </c>
      <c r="CJ384" s="51"/>
      <c r="CK384" s="51"/>
      <c r="CL384" s="144"/>
      <c r="CM384" s="51"/>
      <c r="CN384" s="51">
        <f>SUM(CN385:CN385)</f>
        <v>0</v>
      </c>
      <c r="CO384" s="51"/>
      <c r="CP384" s="51"/>
      <c r="CQ384" s="144"/>
      <c r="CR384" s="51"/>
      <c r="CS384" s="51">
        <f>SUM(CS385:CS385)</f>
        <v>0</v>
      </c>
      <c r="CT384" s="51"/>
      <c r="CU384" s="51"/>
      <c r="CV384" s="144"/>
      <c r="CW384" s="51"/>
      <c r="CX384" s="51">
        <f>SUM(CX385:CX385)</f>
        <v>0</v>
      </c>
      <c r="CY384" s="51"/>
      <c r="CZ384" s="51"/>
      <c r="DA384" s="144"/>
      <c r="DB384" s="51"/>
      <c r="DC384" s="51">
        <f>SUM(DC385:DC385)</f>
        <v>0</v>
      </c>
      <c r="DD384" s="51"/>
      <c r="DE384" s="51"/>
      <c r="DF384" s="144"/>
      <c r="DG384" s="51"/>
      <c r="DH384" s="51">
        <f>SUM(DH385:DH385)</f>
        <v>0</v>
      </c>
      <c r="DI384" s="51"/>
      <c r="DJ384" s="51"/>
      <c r="DK384" s="144"/>
      <c r="DL384" s="51"/>
      <c r="DM384" s="51">
        <f>SUM(DM385:DM385)</f>
        <v>0</v>
      </c>
      <c r="DN384" s="51"/>
      <c r="DO384" s="51"/>
      <c r="DP384" s="144"/>
      <c r="DQ384" s="51"/>
      <c r="DR384" s="51">
        <f>SUM(DR385:DR385)</f>
        <v>0</v>
      </c>
      <c r="DS384" s="51"/>
      <c r="DT384" s="51"/>
      <c r="DU384" s="144"/>
      <c r="DV384" s="51"/>
      <c r="DW384" s="51">
        <f>SUM(DW385:DW385)</f>
        <v>0</v>
      </c>
      <c r="DX384" s="51"/>
      <c r="DY384" s="51"/>
      <c r="DZ384" s="144"/>
      <c r="EA384" s="51"/>
      <c r="EB384" s="51">
        <f>SUM(EB385:EB385)</f>
        <v>92640</v>
      </c>
      <c r="EC384" s="51"/>
      <c r="ED384" s="51"/>
      <c r="EE384" s="144"/>
      <c r="EF384" s="51"/>
      <c r="EG384" s="51">
        <f>SUM(EG385:EG385)</f>
        <v>0</v>
      </c>
      <c r="EH384" s="51"/>
      <c r="EI384" s="51"/>
      <c r="EJ384" s="144"/>
      <c r="EK384" s="317"/>
      <c r="EL384" s="51">
        <f>SUM(EL385:EL385)</f>
        <v>0</v>
      </c>
      <c r="EM384" s="51"/>
      <c r="EN384" s="51"/>
      <c r="EO384" s="340"/>
      <c r="ER384" s="39"/>
      <c r="ES384" s="39"/>
    </row>
    <row r="385" spans="1:149" x14ac:dyDescent="0.2">
      <c r="A385" s="317"/>
      <c r="B385" s="317"/>
      <c r="D385" s="340" t="s">
        <v>183</v>
      </c>
      <c r="F385" s="434"/>
      <c r="G385" s="438">
        <v>1619226</v>
      </c>
      <c r="H385" s="436"/>
      <c r="I385" s="51"/>
      <c r="J385" s="144"/>
      <c r="K385" s="434"/>
      <c r="L385" s="438">
        <v>0</v>
      </c>
      <c r="M385" s="436"/>
      <c r="N385" s="51"/>
      <c r="O385" s="144"/>
      <c r="P385" s="434"/>
      <c r="Q385" s="438">
        <v>0</v>
      </c>
      <c r="R385" s="436"/>
      <c r="S385" s="51"/>
      <c r="T385" s="144"/>
      <c r="U385" s="434"/>
      <c r="V385" s="438">
        <v>129145</v>
      </c>
      <c r="W385" s="436"/>
      <c r="X385" s="51"/>
      <c r="Y385" s="144"/>
      <c r="Z385" s="434"/>
      <c r="AA385" s="438">
        <v>0</v>
      </c>
      <c r="AB385" s="436"/>
      <c r="AC385" s="51"/>
      <c r="AD385" s="144"/>
      <c r="AE385" s="434"/>
      <c r="AF385" s="438">
        <v>1490081</v>
      </c>
      <c r="AG385" s="436"/>
      <c r="AH385" s="51"/>
      <c r="AI385" s="144"/>
      <c r="AJ385" s="434"/>
      <c r="AK385" s="438">
        <v>0</v>
      </c>
      <c r="AL385" s="436"/>
      <c r="AM385" s="51"/>
      <c r="AN385" s="144"/>
      <c r="AO385" s="434"/>
      <c r="AP385" s="438">
        <v>0</v>
      </c>
      <c r="AQ385" s="436"/>
      <c r="AR385" s="51"/>
      <c r="AS385" s="144"/>
      <c r="AT385" s="434"/>
      <c r="AU385" s="438">
        <v>0</v>
      </c>
      <c r="AV385" s="436"/>
      <c r="AW385" s="51"/>
      <c r="AX385" s="144"/>
      <c r="AY385" s="434"/>
      <c r="AZ385" s="438">
        <v>0</v>
      </c>
      <c r="BA385" s="436"/>
      <c r="BB385" s="51"/>
      <c r="BC385" s="144"/>
      <c r="BD385" s="434"/>
      <c r="BE385" s="438">
        <v>0</v>
      </c>
      <c r="BF385" s="436"/>
      <c r="BG385" s="51"/>
      <c r="BH385" s="144"/>
      <c r="BI385" s="434"/>
      <c r="BJ385" s="438">
        <v>0</v>
      </c>
      <c r="BK385" s="436"/>
      <c r="BL385" s="51"/>
      <c r="BM385" s="144"/>
      <c r="BN385" s="434"/>
      <c r="BO385" s="438">
        <v>0</v>
      </c>
      <c r="BP385" s="436"/>
      <c r="BQ385" s="51"/>
      <c r="BR385" s="144"/>
      <c r="BS385" s="434"/>
      <c r="BT385" s="438">
        <f>SUM(L385:BO385)</f>
        <v>1619226</v>
      </c>
      <c r="BU385" s="436"/>
      <c r="BV385" s="51"/>
      <c r="BW385" s="144"/>
      <c r="BX385" s="434"/>
      <c r="BY385" s="438">
        <v>92640</v>
      </c>
      <c r="BZ385" s="436"/>
      <c r="CA385" s="51"/>
      <c r="CB385" s="144"/>
      <c r="CC385" s="434"/>
      <c r="CD385" s="438">
        <v>0</v>
      </c>
      <c r="CE385" s="436"/>
      <c r="CF385" s="51"/>
      <c r="CG385" s="144"/>
      <c r="CH385" s="434"/>
      <c r="CI385" s="438">
        <v>0</v>
      </c>
      <c r="CJ385" s="436"/>
      <c r="CK385" s="51"/>
      <c r="CL385" s="144"/>
      <c r="CM385" s="434"/>
      <c r="CN385" s="438">
        <v>0</v>
      </c>
      <c r="CO385" s="436"/>
      <c r="CP385" s="51"/>
      <c r="CQ385" s="144"/>
      <c r="CR385" s="434"/>
      <c r="CS385" s="438">
        <v>0</v>
      </c>
      <c r="CT385" s="436"/>
      <c r="CU385" s="51"/>
      <c r="CV385" s="144"/>
      <c r="CW385" s="434"/>
      <c r="CX385" s="438">
        <v>0</v>
      </c>
      <c r="CY385" s="436"/>
      <c r="CZ385" s="51"/>
      <c r="DA385" s="144"/>
      <c r="DB385" s="434"/>
      <c r="DC385" s="438">
        <v>0</v>
      </c>
      <c r="DD385" s="436"/>
      <c r="DE385" s="50"/>
      <c r="DF385" s="47"/>
      <c r="DG385" s="434"/>
      <c r="DH385" s="438">
        <v>0</v>
      </c>
      <c r="DI385" s="436"/>
      <c r="DJ385" s="51"/>
      <c r="DK385" s="144"/>
      <c r="DL385" s="434"/>
      <c r="DM385" s="438">
        <v>0</v>
      </c>
      <c r="DN385" s="436"/>
      <c r="DO385" s="51"/>
      <c r="DP385" s="144"/>
      <c r="DQ385" s="434"/>
      <c r="DR385" s="438">
        <v>0</v>
      </c>
      <c r="DS385" s="436"/>
      <c r="DT385" s="51"/>
      <c r="DU385" s="144"/>
      <c r="DV385" s="434"/>
      <c r="DW385" s="438">
        <v>0</v>
      </c>
      <c r="DX385" s="436"/>
      <c r="DY385" s="51"/>
      <c r="DZ385" s="144"/>
      <c r="EA385" s="434"/>
      <c r="EB385" s="438">
        <v>92640</v>
      </c>
      <c r="EC385" s="436"/>
      <c r="ED385" s="51"/>
      <c r="EE385" s="144"/>
      <c r="EF385" s="434"/>
      <c r="EG385" s="438">
        <v>0</v>
      </c>
      <c r="EH385" s="436"/>
      <c r="EI385" s="51"/>
      <c r="EJ385" s="144"/>
      <c r="EK385" s="434"/>
      <c r="EL385" s="438">
        <f>SUM(CD385:DH385)</f>
        <v>0</v>
      </c>
      <c r="EM385" s="436"/>
      <c r="EN385" s="51"/>
      <c r="EO385" s="340"/>
      <c r="ER385" s="39"/>
      <c r="ES385" s="39"/>
    </row>
    <row r="386" spans="1:149" x14ac:dyDescent="0.2">
      <c r="A386" s="317"/>
      <c r="B386" s="317"/>
      <c r="D386" s="340"/>
      <c r="F386" s="317"/>
      <c r="G386" s="51"/>
      <c r="H386" s="51"/>
      <c r="I386" s="51"/>
      <c r="J386" s="144"/>
      <c r="K386" s="51"/>
      <c r="L386" s="51"/>
      <c r="M386" s="51"/>
      <c r="N386" s="51"/>
      <c r="O386" s="144"/>
      <c r="P386" s="51"/>
      <c r="Q386" s="51"/>
      <c r="R386" s="51"/>
      <c r="S386" s="51"/>
      <c r="T386" s="144"/>
      <c r="U386" s="51"/>
      <c r="V386" s="51"/>
      <c r="W386" s="51"/>
      <c r="X386" s="51"/>
      <c r="Y386" s="144"/>
      <c r="Z386" s="51"/>
      <c r="AA386" s="51"/>
      <c r="AB386" s="51"/>
      <c r="AC386" s="51"/>
      <c r="AD386" s="144"/>
      <c r="AE386" s="51"/>
      <c r="AF386" s="51"/>
      <c r="AG386" s="51"/>
      <c r="AH386" s="51"/>
      <c r="AI386" s="144"/>
      <c r="AJ386" s="51"/>
      <c r="AK386" s="51"/>
      <c r="AL386" s="51"/>
      <c r="AM386" s="51"/>
      <c r="AN386" s="144"/>
      <c r="AO386" s="51"/>
      <c r="AP386" s="51"/>
      <c r="AQ386" s="51"/>
      <c r="AR386" s="51"/>
      <c r="AS386" s="144"/>
      <c r="AT386" s="51"/>
      <c r="AU386" s="51"/>
      <c r="AV386" s="51"/>
      <c r="AW386" s="51"/>
      <c r="AX386" s="144"/>
      <c r="AY386" s="51"/>
      <c r="AZ386" s="51"/>
      <c r="BA386" s="51"/>
      <c r="BB386" s="51"/>
      <c r="BC386" s="144"/>
      <c r="BD386" s="51"/>
      <c r="BE386" s="51"/>
      <c r="BF386" s="51"/>
      <c r="BG386" s="51"/>
      <c r="BH386" s="144"/>
      <c r="BI386" s="51"/>
      <c r="BJ386" s="51"/>
      <c r="BK386" s="51"/>
      <c r="BL386" s="51"/>
      <c r="BM386" s="144"/>
      <c r="BN386" s="51"/>
      <c r="BO386" s="51"/>
      <c r="BP386" s="51"/>
      <c r="BQ386" s="51"/>
      <c r="BR386" s="144"/>
      <c r="BS386" s="51"/>
      <c r="BT386" s="51"/>
      <c r="BU386" s="51"/>
      <c r="BV386" s="51"/>
      <c r="BW386" s="144"/>
      <c r="BX386" s="51"/>
      <c r="BY386" s="51"/>
      <c r="BZ386" s="51"/>
      <c r="CA386" s="51"/>
      <c r="CB386" s="144"/>
      <c r="CC386" s="51"/>
      <c r="CD386" s="51"/>
      <c r="CE386" s="51"/>
      <c r="CF386" s="51"/>
      <c r="CG386" s="144"/>
      <c r="CH386" s="317"/>
      <c r="CI386" s="51"/>
      <c r="CJ386" s="51"/>
      <c r="CK386" s="51"/>
      <c r="CL386" s="144"/>
      <c r="CM386" s="317"/>
      <c r="CN386" s="51"/>
      <c r="CO386" s="51"/>
      <c r="CP386" s="51"/>
      <c r="CQ386" s="144"/>
      <c r="CR386" s="317"/>
      <c r="CS386" s="51"/>
      <c r="CT386" s="51"/>
      <c r="CU386" s="51"/>
      <c r="CV386" s="144"/>
      <c r="CW386" s="317"/>
      <c r="CX386" s="51"/>
      <c r="CY386" s="51"/>
      <c r="CZ386" s="51"/>
      <c r="DA386" s="144"/>
      <c r="DB386" s="317"/>
      <c r="DC386" s="51"/>
      <c r="DD386" s="51"/>
      <c r="DE386" s="51"/>
      <c r="DF386" s="144"/>
      <c r="DG386" s="317"/>
      <c r="DH386" s="51"/>
      <c r="DI386" s="51"/>
      <c r="DJ386" s="51"/>
      <c r="DK386" s="144"/>
      <c r="DL386" s="317"/>
      <c r="DM386" s="51"/>
      <c r="DN386" s="51"/>
      <c r="DO386" s="51"/>
      <c r="DP386" s="144"/>
      <c r="DQ386" s="317"/>
      <c r="DR386" s="51"/>
      <c r="DS386" s="51"/>
      <c r="DT386" s="51"/>
      <c r="DU386" s="144"/>
      <c r="DV386" s="317"/>
      <c r="DW386" s="51"/>
      <c r="DX386" s="51"/>
      <c r="DY386" s="51"/>
      <c r="DZ386" s="144"/>
      <c r="EA386" s="317"/>
      <c r="EB386" s="51"/>
      <c r="EC386" s="51"/>
      <c r="ED386" s="51"/>
      <c r="EE386" s="144"/>
      <c r="EF386" s="317"/>
      <c r="EG386" s="51"/>
      <c r="EH386" s="51"/>
      <c r="EI386" s="51"/>
      <c r="EJ386" s="144"/>
      <c r="EK386" s="51"/>
      <c r="EL386" s="51"/>
      <c r="EM386" s="51"/>
      <c r="EN386" s="51"/>
      <c r="EO386" s="340"/>
      <c r="ER386" s="39"/>
      <c r="ES386" s="39"/>
    </row>
    <row r="387" spans="1:149" x14ac:dyDescent="0.2">
      <c r="A387" s="317"/>
      <c r="B387" s="317"/>
      <c r="D387" s="340" t="s">
        <v>209</v>
      </c>
      <c r="G387" s="51">
        <f>SUM(G388:G388)</f>
        <v>39629</v>
      </c>
      <c r="I387" s="51"/>
      <c r="J387" s="144"/>
      <c r="K387" s="51"/>
      <c r="L387" s="51">
        <f>SUM(L388:L388)</f>
        <v>0</v>
      </c>
      <c r="M387" s="51"/>
      <c r="N387" s="51"/>
      <c r="O387" s="144"/>
      <c r="P387" s="51"/>
      <c r="Q387" s="51">
        <f>SUM(Q388:Q388)</f>
        <v>39629</v>
      </c>
      <c r="R387" s="51"/>
      <c r="S387" s="51"/>
      <c r="T387" s="144"/>
      <c r="U387" s="51"/>
      <c r="V387" s="51">
        <f>SUM(V388:V388)</f>
        <v>0</v>
      </c>
      <c r="W387" s="51"/>
      <c r="X387" s="51"/>
      <c r="Y387" s="144"/>
      <c r="Z387" s="51"/>
      <c r="AA387" s="51">
        <f>SUM(AA388:AA388)</f>
        <v>0</v>
      </c>
      <c r="AB387" s="51"/>
      <c r="AC387" s="51"/>
      <c r="AD387" s="144"/>
      <c r="AE387" s="51"/>
      <c r="AF387" s="51">
        <f>SUM(AF388:AF388)</f>
        <v>0</v>
      </c>
      <c r="AG387" s="51"/>
      <c r="AH387" s="51"/>
      <c r="AI387" s="144"/>
      <c r="AJ387" s="51"/>
      <c r="AK387" s="51">
        <f>SUM(AK388:AK388)</f>
        <v>0</v>
      </c>
      <c r="AL387" s="51"/>
      <c r="AM387" s="51"/>
      <c r="AN387" s="144"/>
      <c r="AO387" s="51"/>
      <c r="AP387" s="51">
        <f>SUM(AP388:AP388)</f>
        <v>0</v>
      </c>
      <c r="AQ387" s="51"/>
      <c r="AR387" s="51"/>
      <c r="AS387" s="144"/>
      <c r="AT387" s="51"/>
      <c r="AU387" s="51">
        <f>SUM(AU388:AU388)</f>
        <v>0</v>
      </c>
      <c r="AV387" s="51"/>
      <c r="AW387" s="51"/>
      <c r="AX387" s="144"/>
      <c r="AY387" s="51"/>
      <c r="AZ387" s="51">
        <f>SUM(AZ388:AZ388)</f>
        <v>0</v>
      </c>
      <c r="BA387" s="51"/>
      <c r="BB387" s="51"/>
      <c r="BC387" s="144"/>
      <c r="BD387" s="51"/>
      <c r="BE387" s="51">
        <f>SUM(BE388:BE388)</f>
        <v>0</v>
      </c>
      <c r="BF387" s="51"/>
      <c r="BG387" s="51"/>
      <c r="BH387" s="144"/>
      <c r="BI387" s="51"/>
      <c r="BJ387" s="51">
        <f>SUM(BJ388:BJ388)</f>
        <v>0</v>
      </c>
      <c r="BK387" s="51"/>
      <c r="BL387" s="51"/>
      <c r="BM387" s="144"/>
      <c r="BN387" s="51"/>
      <c r="BO387" s="51">
        <f>SUM(BO388:BO388)</f>
        <v>0</v>
      </c>
      <c r="BP387" s="51"/>
      <c r="BQ387" s="51"/>
      <c r="BR387" s="144"/>
      <c r="BS387" s="51"/>
      <c r="BT387" s="51">
        <f>SUM(BT388:BT388)</f>
        <v>39629</v>
      </c>
      <c r="BU387" s="51"/>
      <c r="BV387" s="51"/>
      <c r="BW387" s="144"/>
      <c r="BX387" s="51"/>
      <c r="BY387" s="51">
        <f>SUM(BY388:BY388)</f>
        <v>256981</v>
      </c>
      <c r="CA387" s="51"/>
      <c r="CB387" s="144"/>
      <c r="CC387" s="51"/>
      <c r="CD387" s="51">
        <f>SUM(CD388:CD388)</f>
        <v>0</v>
      </c>
      <c r="CE387" s="51"/>
      <c r="CF387" s="51"/>
      <c r="CG387" s="144"/>
      <c r="CH387" s="51"/>
      <c r="CI387" s="51">
        <f>SUM(CI388:CI388)</f>
        <v>0</v>
      </c>
      <c r="CJ387" s="51"/>
      <c r="CK387" s="51"/>
      <c r="CL387" s="144"/>
      <c r="CM387" s="51"/>
      <c r="CN387" s="51">
        <f>SUM(CN388:CN388)</f>
        <v>0</v>
      </c>
      <c r="CO387" s="51"/>
      <c r="CP387" s="51"/>
      <c r="CQ387" s="144"/>
      <c r="CR387" s="51"/>
      <c r="CS387" s="51">
        <f>SUM(CS388:CS388)</f>
        <v>0</v>
      </c>
      <c r="CT387" s="51"/>
      <c r="CU387" s="51"/>
      <c r="CV387" s="144"/>
      <c r="CW387" s="51"/>
      <c r="CX387" s="51">
        <f>SUM(CX388:CX388)</f>
        <v>83879</v>
      </c>
      <c r="CY387" s="51"/>
      <c r="CZ387" s="51"/>
      <c r="DA387" s="144"/>
      <c r="DB387" s="51"/>
      <c r="DC387" s="51">
        <f>SUM(DC388:DC388)</f>
        <v>0</v>
      </c>
      <c r="DD387" s="51"/>
      <c r="DE387" s="51"/>
      <c r="DF387" s="144"/>
      <c r="DG387" s="51"/>
      <c r="DH387" s="51">
        <f>SUM(DH388:DH388)</f>
        <v>0</v>
      </c>
      <c r="DI387" s="51"/>
      <c r="DJ387" s="51"/>
      <c r="DK387" s="144"/>
      <c r="DL387" s="51"/>
      <c r="DM387" s="51">
        <f>SUM(DM388:DM388)</f>
        <v>0</v>
      </c>
      <c r="DN387" s="51"/>
      <c r="DO387" s="51"/>
      <c r="DP387" s="144"/>
      <c r="DQ387" s="51"/>
      <c r="DR387" s="51">
        <f>SUM(DR388:DR388)</f>
        <v>0</v>
      </c>
      <c r="DS387" s="51"/>
      <c r="DT387" s="51"/>
      <c r="DU387" s="144"/>
      <c r="DV387" s="51"/>
      <c r="DW387" s="51">
        <f>SUM(DW388:DW388)</f>
        <v>0</v>
      </c>
      <c r="DX387" s="51"/>
      <c r="DY387" s="51"/>
      <c r="DZ387" s="144"/>
      <c r="EA387" s="51"/>
      <c r="EB387" s="51">
        <f>SUM(EB388:EB388)</f>
        <v>0</v>
      </c>
      <c r="EC387" s="51"/>
      <c r="ED387" s="51"/>
      <c r="EE387" s="144"/>
      <c r="EF387" s="51"/>
      <c r="EG387" s="51">
        <f>SUM(EG388:EG388)</f>
        <v>173102</v>
      </c>
      <c r="EH387" s="51"/>
      <c r="EI387" s="51"/>
      <c r="EJ387" s="144"/>
      <c r="EK387" s="51"/>
      <c r="EL387" s="51">
        <f>SUM(EL388:EL388)</f>
        <v>83879</v>
      </c>
      <c r="EM387" s="51"/>
      <c r="EN387" s="51"/>
      <c r="EO387" s="340"/>
      <c r="ER387" s="39"/>
      <c r="ES387" s="39"/>
    </row>
    <row r="388" spans="1:149" x14ac:dyDescent="0.2">
      <c r="A388" s="317"/>
      <c r="B388" s="317"/>
      <c r="D388" s="340" t="s">
        <v>183</v>
      </c>
      <c r="F388" s="434"/>
      <c r="G388" s="438">
        <v>39629</v>
      </c>
      <c r="H388" s="436"/>
      <c r="I388" s="51"/>
      <c r="J388" s="144"/>
      <c r="K388" s="434"/>
      <c r="L388" s="438">
        <v>0</v>
      </c>
      <c r="M388" s="436"/>
      <c r="N388" s="51"/>
      <c r="O388" s="144"/>
      <c r="P388" s="434"/>
      <c r="Q388" s="438">
        <v>39629</v>
      </c>
      <c r="R388" s="436"/>
      <c r="S388" s="51"/>
      <c r="T388" s="144"/>
      <c r="U388" s="434"/>
      <c r="V388" s="438">
        <v>0</v>
      </c>
      <c r="W388" s="436"/>
      <c r="X388" s="51"/>
      <c r="Y388" s="144"/>
      <c r="Z388" s="434"/>
      <c r="AA388" s="438">
        <v>0</v>
      </c>
      <c r="AB388" s="436"/>
      <c r="AC388" s="51"/>
      <c r="AD388" s="144"/>
      <c r="AE388" s="434"/>
      <c r="AF388" s="438">
        <v>0</v>
      </c>
      <c r="AG388" s="436"/>
      <c r="AH388" s="51"/>
      <c r="AI388" s="144"/>
      <c r="AJ388" s="434"/>
      <c r="AK388" s="438">
        <v>0</v>
      </c>
      <c r="AL388" s="436"/>
      <c r="AM388" s="51"/>
      <c r="AN388" s="144"/>
      <c r="AO388" s="434"/>
      <c r="AP388" s="438">
        <v>0</v>
      </c>
      <c r="AQ388" s="436"/>
      <c r="AR388" s="51"/>
      <c r="AS388" s="144"/>
      <c r="AT388" s="434"/>
      <c r="AU388" s="438">
        <v>0</v>
      </c>
      <c r="AV388" s="436"/>
      <c r="AW388" s="51"/>
      <c r="AX388" s="144"/>
      <c r="AY388" s="434"/>
      <c r="AZ388" s="438">
        <v>0</v>
      </c>
      <c r="BA388" s="436"/>
      <c r="BB388" s="51"/>
      <c r="BC388" s="144"/>
      <c r="BD388" s="434"/>
      <c r="BE388" s="438">
        <v>0</v>
      </c>
      <c r="BF388" s="436"/>
      <c r="BG388" s="51"/>
      <c r="BH388" s="144"/>
      <c r="BI388" s="434"/>
      <c r="BJ388" s="438">
        <v>0</v>
      </c>
      <c r="BK388" s="436"/>
      <c r="BL388" s="51"/>
      <c r="BM388" s="144"/>
      <c r="BN388" s="434"/>
      <c r="BO388" s="438">
        <v>0</v>
      </c>
      <c r="BP388" s="436"/>
      <c r="BQ388" s="51"/>
      <c r="BR388" s="144"/>
      <c r="BS388" s="434"/>
      <c r="BT388" s="438">
        <f>SUM(L388:BO388)</f>
        <v>39629</v>
      </c>
      <c r="BU388" s="436"/>
      <c r="BV388" s="51"/>
      <c r="BW388" s="144"/>
      <c r="BX388" s="434"/>
      <c r="BY388" s="438">
        <v>256981</v>
      </c>
      <c r="BZ388" s="436"/>
      <c r="CA388" s="51"/>
      <c r="CB388" s="144"/>
      <c r="CC388" s="434"/>
      <c r="CD388" s="438">
        <v>0</v>
      </c>
      <c r="CE388" s="436"/>
      <c r="CF388" s="51"/>
      <c r="CG388" s="144"/>
      <c r="CH388" s="437"/>
      <c r="CI388" s="438">
        <v>0</v>
      </c>
      <c r="CJ388" s="436"/>
      <c r="CK388" s="51"/>
      <c r="CL388" s="144"/>
      <c r="CM388" s="437"/>
      <c r="CN388" s="438">
        <v>0</v>
      </c>
      <c r="CO388" s="436"/>
      <c r="CP388" s="51"/>
      <c r="CQ388" s="144"/>
      <c r="CR388" s="437"/>
      <c r="CS388" s="438">
        <v>0</v>
      </c>
      <c r="CT388" s="436"/>
      <c r="CU388" s="51"/>
      <c r="CV388" s="144"/>
      <c r="CW388" s="437"/>
      <c r="CX388" s="438">
        <v>83879</v>
      </c>
      <c r="CY388" s="436"/>
      <c r="CZ388" s="51"/>
      <c r="DA388" s="144"/>
      <c r="DB388" s="437"/>
      <c r="DC388" s="438">
        <v>0</v>
      </c>
      <c r="DD388" s="436"/>
      <c r="DE388" s="51"/>
      <c r="DF388" s="144"/>
      <c r="DG388" s="437"/>
      <c r="DH388" s="438">
        <v>0</v>
      </c>
      <c r="DI388" s="436"/>
      <c r="DJ388" s="51"/>
      <c r="DK388" s="144"/>
      <c r="DL388" s="437"/>
      <c r="DM388" s="438">
        <v>0</v>
      </c>
      <c r="DN388" s="436"/>
      <c r="DO388" s="51"/>
      <c r="DP388" s="144"/>
      <c r="DQ388" s="437"/>
      <c r="DR388" s="438">
        <v>0</v>
      </c>
      <c r="DS388" s="436"/>
      <c r="DT388" s="51"/>
      <c r="DU388" s="144"/>
      <c r="DV388" s="437"/>
      <c r="DW388" s="438">
        <v>0</v>
      </c>
      <c r="DX388" s="436"/>
      <c r="DY388" s="51"/>
      <c r="DZ388" s="144"/>
      <c r="EA388" s="437"/>
      <c r="EB388" s="438">
        <v>0</v>
      </c>
      <c r="EC388" s="436"/>
      <c r="ED388" s="51"/>
      <c r="EE388" s="144"/>
      <c r="EF388" s="437"/>
      <c r="EG388" s="438">
        <v>173102</v>
      </c>
      <c r="EH388" s="436"/>
      <c r="EI388" s="51"/>
      <c r="EJ388" s="144"/>
      <c r="EK388" s="434"/>
      <c r="EL388" s="438">
        <f>SUM(CD388:DH388)</f>
        <v>83879</v>
      </c>
      <c r="EM388" s="436"/>
      <c r="EN388" s="51"/>
      <c r="EO388" s="340"/>
      <c r="ER388" s="39"/>
      <c r="ES388" s="39"/>
    </row>
    <row r="389" spans="1:149" x14ac:dyDescent="0.2">
      <c r="A389" s="317"/>
      <c r="B389" s="317"/>
      <c r="D389" s="340"/>
      <c r="F389" s="317"/>
      <c r="G389" s="51"/>
      <c r="H389" s="51"/>
      <c r="I389" s="51"/>
      <c r="J389" s="144"/>
      <c r="K389" s="317"/>
      <c r="L389" s="51"/>
      <c r="M389" s="51"/>
      <c r="N389" s="51"/>
      <c r="O389" s="144"/>
      <c r="P389" s="317"/>
      <c r="Q389" s="51"/>
      <c r="R389" s="51"/>
      <c r="S389" s="51"/>
      <c r="T389" s="144"/>
      <c r="U389" s="317"/>
      <c r="V389" s="51"/>
      <c r="W389" s="51"/>
      <c r="X389" s="51"/>
      <c r="Y389" s="144"/>
      <c r="Z389" s="317"/>
      <c r="AA389" s="51"/>
      <c r="AB389" s="51"/>
      <c r="AC389" s="51"/>
      <c r="AD389" s="144"/>
      <c r="AE389" s="317"/>
      <c r="AF389" s="51"/>
      <c r="AG389" s="51"/>
      <c r="AH389" s="51"/>
      <c r="AI389" s="144"/>
      <c r="AJ389" s="317"/>
      <c r="AK389" s="51"/>
      <c r="AL389" s="51"/>
      <c r="AM389" s="51"/>
      <c r="AN389" s="144"/>
      <c r="AO389" s="317"/>
      <c r="AP389" s="51"/>
      <c r="AQ389" s="51"/>
      <c r="AR389" s="51"/>
      <c r="AS389" s="144"/>
      <c r="AT389" s="317"/>
      <c r="AU389" s="51"/>
      <c r="AV389" s="51"/>
      <c r="AW389" s="51"/>
      <c r="AX389" s="144"/>
      <c r="AY389" s="317"/>
      <c r="AZ389" s="51"/>
      <c r="BA389" s="51"/>
      <c r="BB389" s="51"/>
      <c r="BC389" s="144"/>
      <c r="BD389" s="317"/>
      <c r="BE389" s="51"/>
      <c r="BF389" s="51"/>
      <c r="BG389" s="51"/>
      <c r="BH389" s="144"/>
      <c r="BI389" s="317"/>
      <c r="BJ389" s="51"/>
      <c r="BK389" s="51"/>
      <c r="BL389" s="51"/>
      <c r="BM389" s="144"/>
      <c r="BN389" s="317"/>
      <c r="BO389" s="51"/>
      <c r="BP389" s="51"/>
      <c r="BQ389" s="51"/>
      <c r="BR389" s="144"/>
      <c r="BS389" s="317"/>
      <c r="BT389" s="51"/>
      <c r="BU389" s="51"/>
      <c r="BV389" s="51"/>
      <c r="BW389" s="144"/>
      <c r="BX389" s="317"/>
      <c r="BY389" s="51"/>
      <c r="BZ389" s="51"/>
      <c r="CA389" s="51"/>
      <c r="CB389" s="144"/>
      <c r="CC389" s="317"/>
      <c r="CD389" s="51"/>
      <c r="CE389" s="51"/>
      <c r="CF389" s="51"/>
      <c r="CG389" s="144"/>
      <c r="CH389" s="317"/>
      <c r="CI389" s="51"/>
      <c r="CJ389" s="51"/>
      <c r="CK389" s="51"/>
      <c r="CL389" s="144"/>
      <c r="CM389" s="317"/>
      <c r="CN389" s="51"/>
      <c r="CO389" s="51"/>
      <c r="CP389" s="51"/>
      <c r="CQ389" s="144"/>
      <c r="CR389" s="317"/>
      <c r="CS389" s="51"/>
      <c r="CT389" s="51"/>
      <c r="CU389" s="51"/>
      <c r="CV389" s="144"/>
      <c r="CW389" s="317"/>
      <c r="CX389" s="51"/>
      <c r="CY389" s="51"/>
      <c r="CZ389" s="51"/>
      <c r="DA389" s="144"/>
      <c r="DB389" s="317"/>
      <c r="DC389" s="51"/>
      <c r="DD389" s="51"/>
      <c r="DE389" s="51"/>
      <c r="DF389" s="144"/>
      <c r="DG389" s="317"/>
      <c r="DH389" s="51"/>
      <c r="DI389" s="51"/>
      <c r="DJ389" s="51"/>
      <c r="DK389" s="144"/>
      <c r="DL389" s="317"/>
      <c r="DM389" s="51"/>
      <c r="DN389" s="51"/>
      <c r="DO389" s="51"/>
      <c r="DP389" s="144"/>
      <c r="DQ389" s="317"/>
      <c r="DR389" s="51"/>
      <c r="DS389" s="51"/>
      <c r="DT389" s="51"/>
      <c r="DU389" s="144"/>
      <c r="DV389" s="317"/>
      <c r="DW389" s="51"/>
      <c r="DX389" s="51"/>
      <c r="DY389" s="51"/>
      <c r="DZ389" s="144"/>
      <c r="EA389" s="317"/>
      <c r="EB389" s="51"/>
      <c r="EC389" s="51"/>
      <c r="ED389" s="51"/>
      <c r="EE389" s="144"/>
      <c r="EF389" s="317"/>
      <c r="EG389" s="51"/>
      <c r="EH389" s="51"/>
      <c r="EI389" s="51"/>
      <c r="EJ389" s="144"/>
      <c r="EK389" s="317"/>
      <c r="EL389" s="51"/>
      <c r="EM389" s="51"/>
      <c r="EN389" s="51"/>
      <c r="EO389" s="340"/>
      <c r="ER389" s="39"/>
      <c r="ES389" s="39"/>
    </row>
    <row r="390" spans="1:149" x14ac:dyDescent="0.2">
      <c r="A390" s="317"/>
      <c r="B390" s="317"/>
      <c r="D390" s="340" t="s">
        <v>210</v>
      </c>
      <c r="G390" s="51">
        <f>SUM(G391:G391)</f>
        <v>88512</v>
      </c>
      <c r="I390" s="51"/>
      <c r="J390" s="144"/>
      <c r="K390" s="51"/>
      <c r="L390" s="51">
        <f>SUM(L391:L391)</f>
        <v>0</v>
      </c>
      <c r="M390" s="51"/>
      <c r="N390" s="51"/>
      <c r="O390" s="144"/>
      <c r="P390" s="51"/>
      <c r="Q390" s="51">
        <f>SUM(Q391:Q391)</f>
        <v>88512</v>
      </c>
      <c r="R390" s="51"/>
      <c r="S390" s="51"/>
      <c r="T390" s="144"/>
      <c r="U390" s="51"/>
      <c r="V390" s="51">
        <f>SUM(V391:V391)</f>
        <v>0</v>
      </c>
      <c r="W390" s="51"/>
      <c r="X390" s="51"/>
      <c r="Y390" s="144"/>
      <c r="Z390" s="51"/>
      <c r="AA390" s="51">
        <f>SUM(AA391:AA391)</f>
        <v>0</v>
      </c>
      <c r="AB390" s="51"/>
      <c r="AC390" s="51"/>
      <c r="AD390" s="144"/>
      <c r="AE390" s="51"/>
      <c r="AF390" s="51">
        <f>SUM(AF391:AF391)</f>
        <v>0</v>
      </c>
      <c r="AG390" s="51"/>
      <c r="AH390" s="51"/>
      <c r="AI390" s="144"/>
      <c r="AJ390" s="51"/>
      <c r="AK390" s="51">
        <f>SUM(AK391:AK391)</f>
        <v>0</v>
      </c>
      <c r="AL390" s="51"/>
      <c r="AM390" s="51"/>
      <c r="AN390" s="144"/>
      <c r="AO390" s="51"/>
      <c r="AP390" s="51">
        <f>SUM(AP391:AP391)</f>
        <v>0</v>
      </c>
      <c r="AQ390" s="51"/>
      <c r="AR390" s="51"/>
      <c r="AS390" s="144"/>
      <c r="AT390" s="51"/>
      <c r="AU390" s="51">
        <f>SUM(AU391:AU391)</f>
        <v>0</v>
      </c>
      <c r="AV390" s="51"/>
      <c r="AW390" s="51"/>
      <c r="AX390" s="144"/>
      <c r="AY390" s="51"/>
      <c r="AZ390" s="51">
        <f>SUM(AZ391:AZ391)</f>
        <v>0</v>
      </c>
      <c r="BA390" s="51"/>
      <c r="BB390" s="51"/>
      <c r="BC390" s="144"/>
      <c r="BD390" s="51"/>
      <c r="BE390" s="51">
        <f>SUM(BE391:BE391)</f>
        <v>0</v>
      </c>
      <c r="BF390" s="51"/>
      <c r="BG390" s="51"/>
      <c r="BH390" s="144"/>
      <c r="BI390" s="51"/>
      <c r="BJ390" s="51">
        <f>SUM(BJ391:BJ391)</f>
        <v>0</v>
      </c>
      <c r="BK390" s="51"/>
      <c r="BL390" s="51"/>
      <c r="BM390" s="144"/>
      <c r="BN390" s="51"/>
      <c r="BO390" s="51">
        <f>SUM(BO391:BO391)</f>
        <v>0</v>
      </c>
      <c r="BP390" s="51"/>
      <c r="BQ390" s="51"/>
      <c r="BR390" s="144"/>
      <c r="BS390" s="317"/>
      <c r="BT390" s="51">
        <f>SUM(BT391:BT391)</f>
        <v>88512</v>
      </c>
      <c r="BU390" s="51"/>
      <c r="BV390" s="51"/>
      <c r="BW390" s="144"/>
      <c r="BX390" s="317"/>
      <c r="BY390" s="51">
        <f>SUM(BY391:BY391)</f>
        <v>99343</v>
      </c>
      <c r="CA390" s="51"/>
      <c r="CB390" s="144"/>
      <c r="CC390" s="51"/>
      <c r="CD390" s="51">
        <f>SUM(CD391:CD391)</f>
        <v>0</v>
      </c>
      <c r="CE390" s="51"/>
      <c r="CF390" s="51"/>
      <c r="CG390" s="144"/>
      <c r="CH390" s="51"/>
      <c r="CI390" s="51">
        <f>SUM(CI391:CI391)</f>
        <v>0</v>
      </c>
      <c r="CJ390" s="51"/>
      <c r="CK390" s="51"/>
      <c r="CL390" s="144"/>
      <c r="CM390" s="51"/>
      <c r="CN390" s="51">
        <f>SUM(CN391:CN391)</f>
        <v>0</v>
      </c>
      <c r="CO390" s="51"/>
      <c r="CP390" s="51"/>
      <c r="CQ390" s="144"/>
      <c r="CR390" s="51"/>
      <c r="CS390" s="51">
        <f>SUM(CS391:CS391)</f>
        <v>0</v>
      </c>
      <c r="CT390" s="51"/>
      <c r="CU390" s="51"/>
      <c r="CV390" s="144"/>
      <c r="CW390" s="51"/>
      <c r="CX390" s="51">
        <f>SUM(CX391:CX391)</f>
        <v>0</v>
      </c>
      <c r="CY390" s="51"/>
      <c r="CZ390" s="51"/>
      <c r="DA390" s="144"/>
      <c r="DB390" s="51"/>
      <c r="DC390" s="51">
        <f>SUM(DC391:DC391)</f>
        <v>0</v>
      </c>
      <c r="DD390" s="51"/>
      <c r="DE390" s="51"/>
      <c r="DF390" s="144"/>
      <c r="DG390" s="51"/>
      <c r="DH390" s="51">
        <f>SUM(DH391:DH391)</f>
        <v>0</v>
      </c>
      <c r="DI390" s="51"/>
      <c r="DJ390" s="51"/>
      <c r="DK390" s="144"/>
      <c r="DL390" s="51"/>
      <c r="DM390" s="51">
        <f>SUM(DM391:DM391)</f>
        <v>0</v>
      </c>
      <c r="DN390" s="51"/>
      <c r="DO390" s="51"/>
      <c r="DP390" s="144"/>
      <c r="DQ390" s="51"/>
      <c r="DR390" s="51">
        <f>SUM(DR391:DR391)</f>
        <v>0</v>
      </c>
      <c r="DS390" s="51"/>
      <c r="DT390" s="51"/>
      <c r="DU390" s="144"/>
      <c r="DV390" s="51"/>
      <c r="DW390" s="51">
        <f>SUM(DW391:DW391)</f>
        <v>0</v>
      </c>
      <c r="DX390" s="51"/>
      <c r="DY390" s="51"/>
      <c r="DZ390" s="144"/>
      <c r="EA390" s="51"/>
      <c r="EB390" s="51">
        <f>SUM(EB391:EB391)</f>
        <v>0</v>
      </c>
      <c r="EC390" s="51"/>
      <c r="ED390" s="51"/>
      <c r="EE390" s="144"/>
      <c r="EF390" s="51"/>
      <c r="EG390" s="51">
        <f>SUM(EG391:EG391)</f>
        <v>99343</v>
      </c>
      <c r="EH390" s="51"/>
      <c r="EI390" s="51"/>
      <c r="EJ390" s="144"/>
      <c r="EK390" s="317"/>
      <c r="EL390" s="51">
        <f>SUM(EL391:EL391)</f>
        <v>0</v>
      </c>
      <c r="EM390" s="51"/>
      <c r="EN390" s="51"/>
      <c r="EO390" s="340"/>
      <c r="ER390" s="39"/>
      <c r="ES390" s="39"/>
    </row>
    <row r="391" spans="1:149" x14ac:dyDescent="0.2">
      <c r="A391" s="317"/>
      <c r="B391" s="317"/>
      <c r="D391" s="340" t="s">
        <v>183</v>
      </c>
      <c r="F391" s="434"/>
      <c r="G391" s="438">
        <v>88512</v>
      </c>
      <c r="H391" s="436"/>
      <c r="I391" s="51"/>
      <c r="J391" s="144"/>
      <c r="K391" s="434"/>
      <c r="L391" s="438">
        <v>0</v>
      </c>
      <c r="M391" s="436"/>
      <c r="N391" s="51"/>
      <c r="O391" s="144"/>
      <c r="P391" s="434"/>
      <c r="Q391" s="438">
        <v>88512</v>
      </c>
      <c r="R391" s="436"/>
      <c r="S391" s="51"/>
      <c r="T391" s="144"/>
      <c r="U391" s="434"/>
      <c r="V391" s="438">
        <v>0</v>
      </c>
      <c r="W391" s="436"/>
      <c r="X391" s="51"/>
      <c r="Y391" s="144"/>
      <c r="Z391" s="434"/>
      <c r="AA391" s="438">
        <v>0</v>
      </c>
      <c r="AB391" s="436"/>
      <c r="AC391" s="51"/>
      <c r="AD391" s="144"/>
      <c r="AE391" s="434"/>
      <c r="AF391" s="438">
        <v>0</v>
      </c>
      <c r="AG391" s="436"/>
      <c r="AH391" s="51"/>
      <c r="AI391" s="144"/>
      <c r="AJ391" s="434"/>
      <c r="AK391" s="438">
        <v>0</v>
      </c>
      <c r="AL391" s="436"/>
      <c r="AM391" s="51"/>
      <c r="AN391" s="144"/>
      <c r="AO391" s="434"/>
      <c r="AP391" s="438">
        <v>0</v>
      </c>
      <c r="AQ391" s="436"/>
      <c r="AR391" s="51"/>
      <c r="AS391" s="144"/>
      <c r="AT391" s="434"/>
      <c r="AU391" s="438">
        <v>0</v>
      </c>
      <c r="AV391" s="436"/>
      <c r="AW391" s="51"/>
      <c r="AX391" s="144"/>
      <c r="AY391" s="434"/>
      <c r="AZ391" s="438">
        <v>0</v>
      </c>
      <c r="BA391" s="436"/>
      <c r="BB391" s="51"/>
      <c r="BC391" s="144"/>
      <c r="BD391" s="434"/>
      <c r="BE391" s="438">
        <v>0</v>
      </c>
      <c r="BF391" s="436"/>
      <c r="BG391" s="51"/>
      <c r="BH391" s="144"/>
      <c r="BI391" s="434"/>
      <c r="BJ391" s="438">
        <v>0</v>
      </c>
      <c r="BK391" s="436"/>
      <c r="BL391" s="51"/>
      <c r="BM391" s="144"/>
      <c r="BN391" s="434"/>
      <c r="BO391" s="438">
        <v>0</v>
      </c>
      <c r="BP391" s="436"/>
      <c r="BQ391" s="51"/>
      <c r="BR391" s="144"/>
      <c r="BS391" s="434"/>
      <c r="BT391" s="438">
        <f>SUM(L391:BO391)</f>
        <v>88512</v>
      </c>
      <c r="BU391" s="436"/>
      <c r="BV391" s="51"/>
      <c r="BW391" s="144"/>
      <c r="BX391" s="434"/>
      <c r="BY391" s="438">
        <v>99343</v>
      </c>
      <c r="BZ391" s="436"/>
      <c r="CA391" s="51"/>
      <c r="CB391" s="144"/>
      <c r="CC391" s="434"/>
      <c r="CD391" s="438">
        <v>0</v>
      </c>
      <c r="CE391" s="436"/>
      <c r="CF391" s="51"/>
      <c r="CG391" s="144"/>
      <c r="CH391" s="437"/>
      <c r="CI391" s="438">
        <v>0</v>
      </c>
      <c r="CJ391" s="436"/>
      <c r="CK391" s="51"/>
      <c r="CL391" s="144"/>
      <c r="CM391" s="437"/>
      <c r="CN391" s="438">
        <v>0</v>
      </c>
      <c r="CO391" s="436"/>
      <c r="CP391" s="51"/>
      <c r="CQ391" s="144"/>
      <c r="CR391" s="437"/>
      <c r="CS391" s="438">
        <v>0</v>
      </c>
      <c r="CT391" s="436"/>
      <c r="CU391" s="51"/>
      <c r="CV391" s="144"/>
      <c r="CW391" s="437"/>
      <c r="CX391" s="438">
        <v>0</v>
      </c>
      <c r="CY391" s="436"/>
      <c r="CZ391" s="51"/>
      <c r="DA391" s="144"/>
      <c r="DB391" s="437"/>
      <c r="DC391" s="438">
        <v>0</v>
      </c>
      <c r="DD391" s="436"/>
      <c r="DE391" s="51"/>
      <c r="DF391" s="144"/>
      <c r="DG391" s="437"/>
      <c r="DH391" s="438">
        <v>0</v>
      </c>
      <c r="DI391" s="436"/>
      <c r="DJ391" s="51"/>
      <c r="DK391" s="144"/>
      <c r="DL391" s="437"/>
      <c r="DM391" s="438">
        <v>0</v>
      </c>
      <c r="DN391" s="436"/>
      <c r="DO391" s="51"/>
      <c r="DP391" s="144"/>
      <c r="DQ391" s="437"/>
      <c r="DR391" s="438">
        <v>0</v>
      </c>
      <c r="DS391" s="436"/>
      <c r="DT391" s="51"/>
      <c r="DU391" s="144"/>
      <c r="DV391" s="437"/>
      <c r="DW391" s="438">
        <v>0</v>
      </c>
      <c r="DX391" s="436"/>
      <c r="DY391" s="51"/>
      <c r="DZ391" s="144"/>
      <c r="EA391" s="437"/>
      <c r="EB391" s="438">
        <v>0</v>
      </c>
      <c r="EC391" s="436"/>
      <c r="ED391" s="51"/>
      <c r="EE391" s="144"/>
      <c r="EF391" s="437"/>
      <c r="EG391" s="438">
        <v>99343</v>
      </c>
      <c r="EH391" s="436"/>
      <c r="EI391" s="51"/>
      <c r="EJ391" s="144"/>
      <c r="EK391" s="434"/>
      <c r="EL391" s="438">
        <f>SUM(CD391:DH391)</f>
        <v>0</v>
      </c>
      <c r="EM391" s="436"/>
      <c r="EN391" s="51"/>
      <c r="EO391" s="340"/>
      <c r="ER391" s="39"/>
      <c r="ES391" s="39"/>
    </row>
    <row r="392" spans="1:149" hidden="1" x14ac:dyDescent="0.2">
      <c r="A392" s="317"/>
      <c r="B392" s="317"/>
      <c r="D392" s="340"/>
      <c r="F392" s="317"/>
      <c r="G392" s="51"/>
      <c r="H392" s="51"/>
      <c r="I392" s="51"/>
      <c r="J392" s="144"/>
      <c r="K392" s="317"/>
      <c r="L392" s="51"/>
      <c r="M392" s="51"/>
      <c r="N392" s="51"/>
      <c r="O392" s="144"/>
      <c r="P392" s="317"/>
      <c r="Q392" s="51"/>
      <c r="R392" s="51"/>
      <c r="S392" s="51"/>
      <c r="T392" s="144"/>
      <c r="U392" s="317"/>
      <c r="V392" s="51"/>
      <c r="W392" s="51"/>
      <c r="X392" s="51"/>
      <c r="Y392" s="144"/>
      <c r="Z392" s="317"/>
      <c r="AA392" s="51"/>
      <c r="AB392" s="51"/>
      <c r="AC392" s="51"/>
      <c r="AD392" s="144"/>
      <c r="AE392" s="317"/>
      <c r="AF392" s="51"/>
      <c r="AG392" s="51"/>
      <c r="AH392" s="51"/>
      <c r="AI392" s="144"/>
      <c r="AJ392" s="317"/>
      <c r="AK392" s="51"/>
      <c r="AL392" s="51"/>
      <c r="AM392" s="51"/>
      <c r="AN392" s="144"/>
      <c r="AO392" s="317"/>
      <c r="AP392" s="51"/>
      <c r="AQ392" s="51"/>
      <c r="AR392" s="51"/>
      <c r="AS392" s="144"/>
      <c r="AT392" s="317"/>
      <c r="AU392" s="51"/>
      <c r="AV392" s="51"/>
      <c r="AW392" s="51"/>
      <c r="AX392" s="144"/>
      <c r="AY392" s="317"/>
      <c r="AZ392" s="51"/>
      <c r="BA392" s="51"/>
      <c r="BB392" s="51"/>
      <c r="BC392" s="144"/>
      <c r="BD392" s="317"/>
      <c r="BE392" s="51"/>
      <c r="BF392" s="51"/>
      <c r="BG392" s="51"/>
      <c r="BH392" s="144"/>
      <c r="BI392" s="317"/>
      <c r="BJ392" s="51"/>
      <c r="BK392" s="51"/>
      <c r="BL392" s="51"/>
      <c r="BM392" s="144"/>
      <c r="BN392" s="317"/>
      <c r="BO392" s="51"/>
      <c r="BP392" s="51"/>
      <c r="BQ392" s="51"/>
      <c r="BR392" s="144"/>
      <c r="BS392" s="317"/>
      <c r="BT392" s="51"/>
      <c r="BU392" s="51"/>
      <c r="BV392" s="51"/>
      <c r="BW392" s="144"/>
      <c r="BX392" s="317"/>
      <c r="BY392" s="51"/>
      <c r="BZ392" s="51"/>
      <c r="CA392" s="51"/>
      <c r="CB392" s="144"/>
      <c r="CC392" s="317"/>
      <c r="CD392" s="51"/>
      <c r="CE392" s="51"/>
      <c r="CF392" s="51"/>
      <c r="CG392" s="144"/>
      <c r="CH392" s="317"/>
      <c r="CI392" s="51"/>
      <c r="CJ392" s="51"/>
      <c r="CK392" s="51"/>
      <c r="CL392" s="144"/>
      <c r="CM392" s="317"/>
      <c r="CN392" s="51"/>
      <c r="CO392" s="51"/>
      <c r="CP392" s="51"/>
      <c r="CQ392" s="144"/>
      <c r="CR392" s="317"/>
      <c r="CS392" s="51"/>
      <c r="CT392" s="51"/>
      <c r="CU392" s="51"/>
      <c r="CV392" s="144"/>
      <c r="CW392" s="317"/>
      <c r="CX392" s="51"/>
      <c r="CY392" s="51"/>
      <c r="CZ392" s="51"/>
      <c r="DA392" s="144"/>
      <c r="DB392" s="317"/>
      <c r="DC392" s="51"/>
      <c r="DD392" s="51"/>
      <c r="DE392" s="51"/>
      <c r="DF392" s="144"/>
      <c r="DG392" s="317"/>
      <c r="DH392" s="51"/>
      <c r="DI392" s="51"/>
      <c r="DJ392" s="51"/>
      <c r="DK392" s="144"/>
      <c r="DL392" s="317"/>
      <c r="DM392" s="51"/>
      <c r="DN392" s="51"/>
      <c r="DO392" s="51"/>
      <c r="DP392" s="144"/>
      <c r="DQ392" s="317"/>
      <c r="DR392" s="51"/>
      <c r="DS392" s="51"/>
      <c r="DT392" s="51"/>
      <c r="DU392" s="144"/>
      <c r="DV392" s="317"/>
      <c r="DW392" s="51"/>
      <c r="DX392" s="51"/>
      <c r="DY392" s="51"/>
      <c r="DZ392" s="144"/>
      <c r="EA392" s="317"/>
      <c r="EB392" s="51"/>
      <c r="EC392" s="51"/>
      <c r="ED392" s="51"/>
      <c r="EE392" s="144"/>
      <c r="EF392" s="317"/>
      <c r="EG392" s="51"/>
      <c r="EH392" s="51"/>
      <c r="EI392" s="51"/>
      <c r="EJ392" s="144"/>
      <c r="EK392" s="317"/>
      <c r="EL392" s="51"/>
      <c r="EM392" s="51"/>
      <c r="EN392" s="51"/>
      <c r="EO392" s="340"/>
      <c r="ER392" s="39"/>
      <c r="ES392" s="39"/>
    </row>
    <row r="393" spans="1:149" hidden="1" x14ac:dyDescent="0.2">
      <c r="A393" s="317"/>
      <c r="B393" s="317"/>
      <c r="D393" s="340" t="s">
        <v>212</v>
      </c>
      <c r="G393" s="51">
        <f>SUM(G394:G394)</f>
        <v>0</v>
      </c>
      <c r="I393" s="51"/>
      <c r="J393" s="144"/>
      <c r="K393" s="51"/>
      <c r="L393" s="51">
        <f>SUM(L394:L394)</f>
        <v>0</v>
      </c>
      <c r="M393" s="51"/>
      <c r="N393" s="51"/>
      <c r="O393" s="144"/>
      <c r="P393" s="51"/>
      <c r="Q393" s="51">
        <f>SUM(Q394:Q394)</f>
        <v>0</v>
      </c>
      <c r="R393" s="51"/>
      <c r="S393" s="51"/>
      <c r="T393" s="144"/>
      <c r="U393" s="51"/>
      <c r="V393" s="51">
        <f>SUM(V394:V394)</f>
        <v>0</v>
      </c>
      <c r="W393" s="51"/>
      <c r="X393" s="51"/>
      <c r="Y393" s="144"/>
      <c r="Z393" s="51"/>
      <c r="AA393" s="51">
        <f>SUM(AA394:AA394)</f>
        <v>0</v>
      </c>
      <c r="AB393" s="51"/>
      <c r="AC393" s="51"/>
      <c r="AD393" s="144"/>
      <c r="AE393" s="51"/>
      <c r="AF393" s="51">
        <f>SUM(AF394:AF394)</f>
        <v>0</v>
      </c>
      <c r="AG393" s="51"/>
      <c r="AH393" s="51"/>
      <c r="AI393" s="144"/>
      <c r="AJ393" s="51"/>
      <c r="AK393" s="51">
        <f>SUM(AK394:AK394)</f>
        <v>0</v>
      </c>
      <c r="AL393" s="51"/>
      <c r="AM393" s="51"/>
      <c r="AN393" s="144"/>
      <c r="AO393" s="51"/>
      <c r="AP393" s="51">
        <f>SUM(AP394:AP394)</f>
        <v>0</v>
      </c>
      <c r="AQ393" s="51"/>
      <c r="AR393" s="51"/>
      <c r="AS393" s="144"/>
      <c r="AT393" s="51"/>
      <c r="AU393" s="51">
        <f>SUM(AU394:AU394)</f>
        <v>0</v>
      </c>
      <c r="AV393" s="51"/>
      <c r="AW393" s="51"/>
      <c r="AX393" s="144"/>
      <c r="AY393" s="51"/>
      <c r="AZ393" s="51">
        <f>SUM(AZ394:AZ394)</f>
        <v>0</v>
      </c>
      <c r="BA393" s="51"/>
      <c r="BB393" s="51"/>
      <c r="BC393" s="144"/>
      <c r="BD393" s="51"/>
      <c r="BE393" s="51">
        <f>SUM(BE394:BE394)</f>
        <v>0</v>
      </c>
      <c r="BF393" s="51"/>
      <c r="BG393" s="51"/>
      <c r="BH393" s="144"/>
      <c r="BI393" s="51"/>
      <c r="BJ393" s="51">
        <f>SUM(BJ394:BJ394)</f>
        <v>0</v>
      </c>
      <c r="BK393" s="51"/>
      <c r="BL393" s="51"/>
      <c r="BM393" s="144"/>
      <c r="BN393" s="51"/>
      <c r="BO393" s="51">
        <f>SUM(BO394:BO394)</f>
        <v>0</v>
      </c>
      <c r="BP393" s="51"/>
      <c r="BQ393" s="51"/>
      <c r="BR393" s="144"/>
      <c r="BS393" s="317"/>
      <c r="BT393" s="51">
        <f>SUM(BT394:BT394)</f>
        <v>0</v>
      </c>
      <c r="BU393" s="51"/>
      <c r="BV393" s="51"/>
      <c r="BW393" s="144"/>
      <c r="BX393" s="317"/>
      <c r="BY393" s="51">
        <f>SUM(BY394:BY394)</f>
        <v>0</v>
      </c>
      <c r="CA393" s="51"/>
      <c r="CB393" s="144"/>
      <c r="CC393" s="51"/>
      <c r="CD393" s="51">
        <f>SUM(CD394:CD394)</f>
        <v>0</v>
      </c>
      <c r="CE393" s="51"/>
      <c r="CF393" s="51"/>
      <c r="CG393" s="144"/>
      <c r="CH393" s="51"/>
      <c r="CI393" s="51">
        <f>SUM(CI394:CI394)</f>
        <v>0</v>
      </c>
      <c r="CJ393" s="51"/>
      <c r="CK393" s="51"/>
      <c r="CL393" s="144"/>
      <c r="CM393" s="51"/>
      <c r="CN393" s="51">
        <f>SUM(CN394:CN394)</f>
        <v>0</v>
      </c>
      <c r="CO393" s="51"/>
      <c r="CP393" s="51"/>
      <c r="CQ393" s="144"/>
      <c r="CR393" s="51"/>
      <c r="CS393" s="51">
        <f>SUM(CS394:CS394)</f>
        <v>0</v>
      </c>
      <c r="CT393" s="51"/>
      <c r="CU393" s="51"/>
      <c r="CV393" s="144"/>
      <c r="CW393" s="51"/>
      <c r="CX393" s="51">
        <f>SUM(CX394:CX394)</f>
        <v>0</v>
      </c>
      <c r="CY393" s="51"/>
      <c r="CZ393" s="51"/>
      <c r="DA393" s="144"/>
      <c r="DB393" s="51"/>
      <c r="DC393" s="51">
        <f>SUM(DC394:DC394)</f>
        <v>0</v>
      </c>
      <c r="DD393" s="51"/>
      <c r="DE393" s="51"/>
      <c r="DF393" s="144"/>
      <c r="DG393" s="51"/>
      <c r="DH393" s="51">
        <f>SUM(DH394:DH394)</f>
        <v>0</v>
      </c>
      <c r="DI393" s="51"/>
      <c r="DJ393" s="51"/>
      <c r="DK393" s="144"/>
      <c r="DL393" s="51"/>
      <c r="DM393" s="51">
        <f>SUM(DM394:DM394)</f>
        <v>0</v>
      </c>
      <c r="DN393" s="51"/>
      <c r="DO393" s="51"/>
      <c r="DP393" s="144"/>
      <c r="DQ393" s="51"/>
      <c r="DR393" s="51">
        <f>SUM(DR394:DR394)</f>
        <v>0</v>
      </c>
      <c r="DS393" s="51"/>
      <c r="DT393" s="51"/>
      <c r="DU393" s="144"/>
      <c r="DV393" s="51"/>
      <c r="DW393" s="51">
        <f>SUM(DW394:DW394)</f>
        <v>0</v>
      </c>
      <c r="DX393" s="51"/>
      <c r="DY393" s="51"/>
      <c r="DZ393" s="144"/>
      <c r="EA393" s="51"/>
      <c r="EB393" s="51">
        <f>SUM(EB394:EB394)</f>
        <v>0</v>
      </c>
      <c r="EC393" s="51"/>
      <c r="ED393" s="51"/>
      <c r="EE393" s="144"/>
      <c r="EF393" s="51"/>
      <c r="EG393" s="51">
        <f>SUM(EG394:EG394)</f>
        <v>0</v>
      </c>
      <c r="EH393" s="51"/>
      <c r="EI393" s="51"/>
      <c r="EJ393" s="144"/>
      <c r="EK393" s="317"/>
      <c r="EL393" s="51">
        <f>SUM(EL394:EL394)</f>
        <v>0</v>
      </c>
      <c r="EM393" s="51"/>
      <c r="EN393" s="51"/>
      <c r="EO393" s="340"/>
      <c r="ER393" s="39"/>
      <c r="ES393" s="39"/>
    </row>
    <row r="394" spans="1:149" hidden="1" x14ac:dyDescent="0.2">
      <c r="A394" s="317"/>
      <c r="B394" s="317"/>
      <c r="D394" s="340" t="s">
        <v>183</v>
      </c>
      <c r="F394" s="434"/>
      <c r="G394" s="438">
        <v>0</v>
      </c>
      <c r="H394" s="436"/>
      <c r="I394" s="51"/>
      <c r="J394" s="144"/>
      <c r="K394" s="434"/>
      <c r="L394" s="438">
        <v>0</v>
      </c>
      <c r="M394" s="436"/>
      <c r="N394" s="51"/>
      <c r="O394" s="144"/>
      <c r="P394" s="434"/>
      <c r="Q394" s="438">
        <v>0</v>
      </c>
      <c r="R394" s="436"/>
      <c r="S394" s="51"/>
      <c r="T394" s="144"/>
      <c r="U394" s="434"/>
      <c r="V394" s="438">
        <v>0</v>
      </c>
      <c r="W394" s="436"/>
      <c r="X394" s="51"/>
      <c r="Y394" s="144"/>
      <c r="Z394" s="434"/>
      <c r="AA394" s="438">
        <v>0</v>
      </c>
      <c r="AB394" s="436"/>
      <c r="AC394" s="51"/>
      <c r="AD394" s="144"/>
      <c r="AE394" s="434"/>
      <c r="AF394" s="438">
        <v>0</v>
      </c>
      <c r="AG394" s="436"/>
      <c r="AH394" s="51"/>
      <c r="AI394" s="144"/>
      <c r="AJ394" s="434"/>
      <c r="AK394" s="438">
        <v>0</v>
      </c>
      <c r="AL394" s="436"/>
      <c r="AM394" s="51"/>
      <c r="AN394" s="144"/>
      <c r="AO394" s="434"/>
      <c r="AP394" s="438">
        <v>0</v>
      </c>
      <c r="AQ394" s="436"/>
      <c r="AR394" s="51"/>
      <c r="AS394" s="144"/>
      <c r="AT394" s="434"/>
      <c r="AU394" s="438">
        <v>0</v>
      </c>
      <c r="AV394" s="436"/>
      <c r="AW394" s="51"/>
      <c r="AX394" s="144"/>
      <c r="AY394" s="434"/>
      <c r="AZ394" s="438">
        <v>0</v>
      </c>
      <c r="BA394" s="436"/>
      <c r="BB394" s="51"/>
      <c r="BC394" s="144"/>
      <c r="BD394" s="434"/>
      <c r="BE394" s="438">
        <v>0</v>
      </c>
      <c r="BF394" s="436"/>
      <c r="BG394" s="51"/>
      <c r="BH394" s="144"/>
      <c r="BI394" s="434"/>
      <c r="BJ394" s="438">
        <v>0</v>
      </c>
      <c r="BK394" s="436"/>
      <c r="BL394" s="51"/>
      <c r="BM394" s="144"/>
      <c r="BN394" s="434"/>
      <c r="BO394" s="438">
        <v>0</v>
      </c>
      <c r="BP394" s="436"/>
      <c r="BQ394" s="51"/>
      <c r="BR394" s="144"/>
      <c r="BS394" s="434"/>
      <c r="BT394" s="438">
        <f>SUM(L394:BO394)</f>
        <v>0</v>
      </c>
      <c r="BU394" s="436"/>
      <c r="BV394" s="51"/>
      <c r="BW394" s="144"/>
      <c r="BX394" s="434"/>
      <c r="BY394" s="438">
        <v>0</v>
      </c>
      <c r="BZ394" s="436"/>
      <c r="CA394" s="51"/>
      <c r="CB394" s="144"/>
      <c r="CC394" s="434"/>
      <c r="CD394" s="438">
        <v>0</v>
      </c>
      <c r="CE394" s="436"/>
      <c r="CF394" s="51"/>
      <c r="CG394" s="144"/>
      <c r="CH394" s="434"/>
      <c r="CI394" s="438">
        <v>0</v>
      </c>
      <c r="CJ394" s="436"/>
      <c r="CK394" s="51"/>
      <c r="CL394" s="144"/>
      <c r="CM394" s="434"/>
      <c r="CN394" s="438">
        <v>0</v>
      </c>
      <c r="CO394" s="436"/>
      <c r="CP394" s="51"/>
      <c r="CQ394" s="144"/>
      <c r="CR394" s="434"/>
      <c r="CS394" s="438">
        <v>0</v>
      </c>
      <c r="CT394" s="436"/>
      <c r="CU394" s="51"/>
      <c r="CV394" s="144"/>
      <c r="CW394" s="434"/>
      <c r="CX394" s="438">
        <v>0</v>
      </c>
      <c r="CY394" s="436"/>
      <c r="CZ394" s="51"/>
      <c r="DA394" s="144"/>
      <c r="DB394" s="434"/>
      <c r="DC394" s="438">
        <v>0</v>
      </c>
      <c r="DD394" s="436"/>
      <c r="DE394" s="51"/>
      <c r="DF394" s="144"/>
      <c r="DG394" s="434"/>
      <c r="DH394" s="438">
        <v>0</v>
      </c>
      <c r="DI394" s="436"/>
      <c r="DJ394" s="51"/>
      <c r="DK394" s="144"/>
      <c r="DL394" s="434"/>
      <c r="DM394" s="438">
        <v>0</v>
      </c>
      <c r="DN394" s="436"/>
      <c r="DO394" s="51"/>
      <c r="DP394" s="144"/>
      <c r="DQ394" s="434"/>
      <c r="DR394" s="438">
        <v>0</v>
      </c>
      <c r="DS394" s="436"/>
      <c r="DT394" s="51"/>
      <c r="DU394" s="144"/>
      <c r="DV394" s="434"/>
      <c r="DW394" s="438">
        <v>0</v>
      </c>
      <c r="DX394" s="436"/>
      <c r="DY394" s="51"/>
      <c r="DZ394" s="144"/>
      <c r="EA394" s="434"/>
      <c r="EB394" s="438">
        <v>0</v>
      </c>
      <c r="EC394" s="436"/>
      <c r="ED394" s="51"/>
      <c r="EE394" s="144"/>
      <c r="EF394" s="434"/>
      <c r="EG394" s="438">
        <v>0</v>
      </c>
      <c r="EH394" s="436"/>
      <c r="EI394" s="51"/>
      <c r="EJ394" s="144"/>
      <c r="EK394" s="434"/>
      <c r="EL394" s="438">
        <f>SUM(CD394:EG394)</f>
        <v>0</v>
      </c>
      <c r="EM394" s="436"/>
      <c r="EN394" s="51"/>
      <c r="EO394" s="340"/>
      <c r="ER394" s="39"/>
      <c r="ES394" s="39"/>
    </row>
    <row r="395" spans="1:149" hidden="1" x14ac:dyDescent="0.2">
      <c r="A395" s="317"/>
      <c r="B395" s="317"/>
      <c r="D395" s="340"/>
      <c r="F395" s="317"/>
      <c r="G395" s="51"/>
      <c r="H395" s="51"/>
      <c r="I395" s="51"/>
      <c r="J395" s="144"/>
      <c r="K395" s="317"/>
      <c r="L395" s="51"/>
      <c r="M395" s="51"/>
      <c r="N395" s="51"/>
      <c r="O395" s="144"/>
      <c r="P395" s="317"/>
      <c r="Q395" s="51"/>
      <c r="R395" s="51"/>
      <c r="S395" s="51"/>
      <c r="T395" s="144"/>
      <c r="U395" s="317"/>
      <c r="V395" s="51"/>
      <c r="W395" s="51"/>
      <c r="X395" s="51"/>
      <c r="Y395" s="144"/>
      <c r="Z395" s="317"/>
      <c r="AA395" s="51"/>
      <c r="AB395" s="51"/>
      <c r="AC395" s="51"/>
      <c r="AD395" s="144"/>
      <c r="AE395" s="317"/>
      <c r="AF395" s="51"/>
      <c r="AG395" s="51"/>
      <c r="AH395" s="51"/>
      <c r="AI395" s="144"/>
      <c r="AJ395" s="317"/>
      <c r="AK395" s="51"/>
      <c r="AL395" s="51"/>
      <c r="AM395" s="51"/>
      <c r="AN395" s="144"/>
      <c r="AO395" s="317"/>
      <c r="AP395" s="51"/>
      <c r="AQ395" s="51"/>
      <c r="AR395" s="51"/>
      <c r="AS395" s="144"/>
      <c r="AT395" s="317"/>
      <c r="AU395" s="51"/>
      <c r="AV395" s="51"/>
      <c r="AW395" s="51"/>
      <c r="AX395" s="144"/>
      <c r="AY395" s="317"/>
      <c r="AZ395" s="51"/>
      <c r="BA395" s="51"/>
      <c r="BB395" s="51"/>
      <c r="BC395" s="144"/>
      <c r="BD395" s="317"/>
      <c r="BE395" s="51"/>
      <c r="BF395" s="51"/>
      <c r="BG395" s="51"/>
      <c r="BH395" s="144"/>
      <c r="BI395" s="317"/>
      <c r="BJ395" s="51"/>
      <c r="BK395" s="51"/>
      <c r="BL395" s="51"/>
      <c r="BM395" s="144"/>
      <c r="BN395" s="317"/>
      <c r="BO395" s="51"/>
      <c r="BP395" s="51"/>
      <c r="BQ395" s="51"/>
      <c r="BR395" s="144"/>
      <c r="BS395" s="317"/>
      <c r="BT395" s="51"/>
      <c r="BU395" s="51"/>
      <c r="BV395" s="51"/>
      <c r="BW395" s="144"/>
      <c r="BX395" s="317"/>
      <c r="BY395" s="51"/>
      <c r="BZ395" s="51"/>
      <c r="CA395" s="51"/>
      <c r="CB395" s="144"/>
      <c r="CC395" s="317"/>
      <c r="CD395" s="51"/>
      <c r="CE395" s="51"/>
      <c r="CF395" s="51"/>
      <c r="CG395" s="144"/>
      <c r="CH395" s="317"/>
      <c r="CI395" s="51"/>
      <c r="CJ395" s="51"/>
      <c r="CK395" s="51"/>
      <c r="CL395" s="144"/>
      <c r="CM395" s="317"/>
      <c r="CN395" s="51"/>
      <c r="CO395" s="51"/>
      <c r="CP395" s="51"/>
      <c r="CQ395" s="144"/>
      <c r="CR395" s="317"/>
      <c r="CS395" s="51"/>
      <c r="CT395" s="51"/>
      <c r="CU395" s="51"/>
      <c r="CV395" s="144"/>
      <c r="CW395" s="317"/>
      <c r="CX395" s="51"/>
      <c r="CY395" s="51"/>
      <c r="CZ395" s="51"/>
      <c r="DA395" s="144"/>
      <c r="DB395" s="317"/>
      <c r="DC395" s="51"/>
      <c r="DD395" s="51"/>
      <c r="DE395" s="51"/>
      <c r="DF395" s="144"/>
      <c r="DG395" s="317"/>
      <c r="DH395" s="51"/>
      <c r="DI395" s="51"/>
      <c r="DJ395" s="51"/>
      <c r="DK395" s="144"/>
      <c r="DL395" s="317"/>
      <c r="DM395" s="51"/>
      <c r="DN395" s="51"/>
      <c r="DO395" s="51"/>
      <c r="DP395" s="144"/>
      <c r="DQ395" s="317"/>
      <c r="DR395" s="51"/>
      <c r="DS395" s="51"/>
      <c r="DT395" s="51"/>
      <c r="DU395" s="144"/>
      <c r="DV395" s="317"/>
      <c r="DW395" s="51"/>
      <c r="DX395" s="51"/>
      <c r="DY395" s="51"/>
      <c r="DZ395" s="144"/>
      <c r="EA395" s="317"/>
      <c r="EB395" s="51"/>
      <c r="EC395" s="51"/>
      <c r="ED395" s="51"/>
      <c r="EE395" s="144"/>
      <c r="EF395" s="317"/>
      <c r="EG395" s="51"/>
      <c r="EH395" s="51"/>
      <c r="EI395" s="51"/>
      <c r="EJ395" s="144"/>
      <c r="EK395" s="317"/>
      <c r="EL395" s="51"/>
      <c r="EM395" s="51"/>
      <c r="EN395" s="51"/>
      <c r="EO395" s="340"/>
      <c r="ER395" s="39"/>
      <c r="ES395" s="39"/>
    </row>
    <row r="396" spans="1:149" hidden="1" x14ac:dyDescent="0.2">
      <c r="A396" s="317"/>
      <c r="B396" s="317"/>
      <c r="D396" s="340" t="s">
        <v>212</v>
      </c>
      <c r="G396" s="51">
        <f>SUM(G397:G397)</f>
        <v>0</v>
      </c>
      <c r="I396" s="51"/>
      <c r="J396" s="144"/>
      <c r="K396" s="51"/>
      <c r="L396" s="51">
        <f>SUM(L397:L397)</f>
        <v>0</v>
      </c>
      <c r="M396" s="51"/>
      <c r="N396" s="51"/>
      <c r="O396" s="144"/>
      <c r="P396" s="51"/>
      <c r="Q396" s="51">
        <f>SUM(Q397:Q397)</f>
        <v>0</v>
      </c>
      <c r="R396" s="51"/>
      <c r="S396" s="51"/>
      <c r="T396" s="144"/>
      <c r="U396" s="51"/>
      <c r="V396" s="51">
        <f>SUM(V397:V397)</f>
        <v>0</v>
      </c>
      <c r="W396" s="51"/>
      <c r="X396" s="51"/>
      <c r="Y396" s="144"/>
      <c r="Z396" s="51"/>
      <c r="AA396" s="51">
        <f>SUM(AA397:AA397)</f>
        <v>0</v>
      </c>
      <c r="AB396" s="51"/>
      <c r="AC396" s="51"/>
      <c r="AD396" s="144"/>
      <c r="AE396" s="51"/>
      <c r="AF396" s="51">
        <f>SUM(AF397:AF397)</f>
        <v>0</v>
      </c>
      <c r="AG396" s="51"/>
      <c r="AH396" s="51"/>
      <c r="AI396" s="144"/>
      <c r="AJ396" s="51"/>
      <c r="AK396" s="51">
        <f>SUM(AK397:AK397)</f>
        <v>0</v>
      </c>
      <c r="AL396" s="51"/>
      <c r="AM396" s="51"/>
      <c r="AN396" s="144"/>
      <c r="AO396" s="51"/>
      <c r="AP396" s="51">
        <f>SUM(AP397:AP397)</f>
        <v>0</v>
      </c>
      <c r="AQ396" s="51"/>
      <c r="AR396" s="51"/>
      <c r="AS396" s="144"/>
      <c r="AT396" s="51"/>
      <c r="AU396" s="51">
        <f>SUM(AU397:AU397)</f>
        <v>0</v>
      </c>
      <c r="AV396" s="51"/>
      <c r="AW396" s="51"/>
      <c r="AX396" s="144"/>
      <c r="AY396" s="51"/>
      <c r="AZ396" s="51">
        <f>SUM(AZ397:AZ397)</f>
        <v>0</v>
      </c>
      <c r="BA396" s="51"/>
      <c r="BB396" s="51"/>
      <c r="BC396" s="144"/>
      <c r="BD396" s="51"/>
      <c r="BE396" s="51">
        <f>SUM(BE397:BE397)</f>
        <v>0</v>
      </c>
      <c r="BF396" s="51"/>
      <c r="BG396" s="51"/>
      <c r="BH396" s="144"/>
      <c r="BI396" s="51"/>
      <c r="BJ396" s="51">
        <f>SUM(BJ397:BJ397)</f>
        <v>0</v>
      </c>
      <c r="BK396" s="51"/>
      <c r="BL396" s="51"/>
      <c r="BM396" s="144"/>
      <c r="BN396" s="51"/>
      <c r="BO396" s="51">
        <f>SUM(BO397:BO397)</f>
        <v>0</v>
      </c>
      <c r="BP396" s="51"/>
      <c r="BQ396" s="51"/>
      <c r="BR396" s="144"/>
      <c r="BS396" s="317"/>
      <c r="BT396" s="51">
        <f>SUM(BT397:BT397)</f>
        <v>0</v>
      </c>
      <c r="BU396" s="51"/>
      <c r="BV396" s="51"/>
      <c r="BW396" s="144"/>
      <c r="BX396" s="317"/>
      <c r="BY396" s="51">
        <f>SUM(BY397:BY397)</f>
        <v>0</v>
      </c>
      <c r="CA396" s="51"/>
      <c r="CB396" s="144"/>
      <c r="CC396" s="51"/>
      <c r="CD396" s="51">
        <f>SUM(CD397:CD397)</f>
        <v>0</v>
      </c>
      <c r="CE396" s="51"/>
      <c r="CF396" s="51"/>
      <c r="CG396" s="144"/>
      <c r="CH396" s="51"/>
      <c r="CI396" s="51">
        <f>SUM(CI397:CI397)</f>
        <v>0</v>
      </c>
      <c r="CJ396" s="51"/>
      <c r="CK396" s="51"/>
      <c r="CL396" s="144"/>
      <c r="CM396" s="51"/>
      <c r="CN396" s="51">
        <f>SUM(CN397:CN397)</f>
        <v>0</v>
      </c>
      <c r="CO396" s="51"/>
      <c r="CP396" s="51"/>
      <c r="CQ396" s="144"/>
      <c r="CR396" s="51"/>
      <c r="CS396" s="51">
        <f>SUM(CS397:CS397)</f>
        <v>0</v>
      </c>
      <c r="CT396" s="51"/>
      <c r="CU396" s="51"/>
      <c r="CV396" s="144"/>
      <c r="CW396" s="51"/>
      <c r="CX396" s="51">
        <f>SUM(CX397:CX397)</f>
        <v>0</v>
      </c>
      <c r="CY396" s="51"/>
      <c r="CZ396" s="51"/>
      <c r="DA396" s="144"/>
      <c r="DB396" s="51"/>
      <c r="DC396" s="51">
        <f>SUM(DC397:DC397)</f>
        <v>0</v>
      </c>
      <c r="DD396" s="51"/>
      <c r="DE396" s="51"/>
      <c r="DF396" s="144"/>
      <c r="DG396" s="51"/>
      <c r="DH396" s="51">
        <f>SUM(DH397:DH397)</f>
        <v>0</v>
      </c>
      <c r="DI396" s="51"/>
      <c r="DJ396" s="51"/>
      <c r="DK396" s="144"/>
      <c r="DL396" s="51"/>
      <c r="DM396" s="51">
        <f>SUM(DM397:DM397)</f>
        <v>0</v>
      </c>
      <c r="DN396" s="51"/>
      <c r="DO396" s="51"/>
      <c r="DP396" s="144"/>
      <c r="DQ396" s="51"/>
      <c r="DR396" s="51">
        <f>SUM(DR397:DR397)</f>
        <v>0</v>
      </c>
      <c r="DS396" s="51"/>
      <c r="DT396" s="51"/>
      <c r="DU396" s="144"/>
      <c r="DV396" s="51"/>
      <c r="DW396" s="51">
        <f>SUM(DW397:DW397)</f>
        <v>0</v>
      </c>
      <c r="DX396" s="51"/>
      <c r="DY396" s="51"/>
      <c r="DZ396" s="144"/>
      <c r="EA396" s="51"/>
      <c r="EB396" s="51">
        <f>SUM(EB397:EB397)</f>
        <v>0</v>
      </c>
      <c r="EC396" s="51"/>
      <c r="ED396" s="51"/>
      <c r="EE396" s="144"/>
      <c r="EF396" s="51"/>
      <c r="EG396" s="51">
        <f>SUM(EG397:EG397)</f>
        <v>0</v>
      </c>
      <c r="EH396" s="51"/>
      <c r="EI396" s="51"/>
      <c r="EJ396" s="144"/>
      <c r="EK396" s="317"/>
      <c r="EL396" s="51">
        <f>SUM(EL397:EL397)</f>
        <v>0</v>
      </c>
      <c r="EM396" s="51"/>
      <c r="EN396" s="51"/>
      <c r="EO396" s="340"/>
      <c r="ER396" s="39"/>
      <c r="ES396" s="39"/>
    </row>
    <row r="397" spans="1:149" hidden="1" x14ac:dyDescent="0.2">
      <c r="A397" s="317"/>
      <c r="B397" s="317"/>
      <c r="D397" s="340" t="s">
        <v>183</v>
      </c>
      <c r="F397" s="434"/>
      <c r="G397" s="438">
        <v>0</v>
      </c>
      <c r="H397" s="436"/>
      <c r="I397" s="51"/>
      <c r="J397" s="144"/>
      <c r="K397" s="434"/>
      <c r="L397" s="438">
        <v>0</v>
      </c>
      <c r="M397" s="436"/>
      <c r="N397" s="51"/>
      <c r="O397" s="144"/>
      <c r="P397" s="434"/>
      <c r="Q397" s="438">
        <v>0</v>
      </c>
      <c r="R397" s="436"/>
      <c r="S397" s="51"/>
      <c r="T397" s="144"/>
      <c r="U397" s="434"/>
      <c r="V397" s="438">
        <v>0</v>
      </c>
      <c r="W397" s="436"/>
      <c r="X397" s="51"/>
      <c r="Y397" s="144"/>
      <c r="Z397" s="434"/>
      <c r="AA397" s="438">
        <v>0</v>
      </c>
      <c r="AB397" s="436"/>
      <c r="AC397" s="51"/>
      <c r="AD397" s="144"/>
      <c r="AE397" s="434"/>
      <c r="AF397" s="438">
        <v>0</v>
      </c>
      <c r="AG397" s="436"/>
      <c r="AH397" s="51"/>
      <c r="AI397" s="144"/>
      <c r="AJ397" s="434"/>
      <c r="AK397" s="438">
        <v>0</v>
      </c>
      <c r="AL397" s="436"/>
      <c r="AM397" s="51"/>
      <c r="AN397" s="144"/>
      <c r="AO397" s="434"/>
      <c r="AP397" s="438">
        <v>0</v>
      </c>
      <c r="AQ397" s="436"/>
      <c r="AR397" s="51"/>
      <c r="AS397" s="144"/>
      <c r="AT397" s="434"/>
      <c r="AU397" s="438">
        <v>0</v>
      </c>
      <c r="AV397" s="436"/>
      <c r="AW397" s="51"/>
      <c r="AX397" s="144"/>
      <c r="AY397" s="434"/>
      <c r="AZ397" s="438">
        <v>0</v>
      </c>
      <c r="BA397" s="436"/>
      <c r="BB397" s="51"/>
      <c r="BC397" s="144"/>
      <c r="BD397" s="434"/>
      <c r="BE397" s="438">
        <v>0</v>
      </c>
      <c r="BF397" s="436"/>
      <c r="BG397" s="51"/>
      <c r="BH397" s="144"/>
      <c r="BI397" s="434"/>
      <c r="BJ397" s="438">
        <v>0</v>
      </c>
      <c r="BK397" s="436"/>
      <c r="BL397" s="51"/>
      <c r="BM397" s="144"/>
      <c r="BN397" s="434"/>
      <c r="BO397" s="438">
        <v>0</v>
      </c>
      <c r="BP397" s="436"/>
      <c r="BQ397" s="51"/>
      <c r="BR397" s="144"/>
      <c r="BS397" s="434"/>
      <c r="BT397" s="438">
        <f>SUM(L397:BO397)</f>
        <v>0</v>
      </c>
      <c r="BU397" s="436"/>
      <c r="BV397" s="51"/>
      <c r="BW397" s="144"/>
      <c r="BX397" s="434"/>
      <c r="BY397" s="438">
        <v>0</v>
      </c>
      <c r="BZ397" s="436"/>
      <c r="CA397" s="51"/>
      <c r="CB397" s="144"/>
      <c r="CC397" s="434"/>
      <c r="CD397" s="438">
        <v>0</v>
      </c>
      <c r="CE397" s="436"/>
      <c r="CF397" s="51"/>
      <c r="CG397" s="144"/>
      <c r="CH397" s="434"/>
      <c r="CI397" s="438">
        <v>0</v>
      </c>
      <c r="CJ397" s="436"/>
      <c r="CK397" s="51"/>
      <c r="CL397" s="144"/>
      <c r="CM397" s="434"/>
      <c r="CN397" s="438">
        <v>0</v>
      </c>
      <c r="CO397" s="436"/>
      <c r="CP397" s="51"/>
      <c r="CQ397" s="144"/>
      <c r="CR397" s="434"/>
      <c r="CS397" s="438">
        <v>0</v>
      </c>
      <c r="CT397" s="436"/>
      <c r="CU397" s="51"/>
      <c r="CV397" s="144"/>
      <c r="CW397" s="434"/>
      <c r="CX397" s="438">
        <v>0</v>
      </c>
      <c r="CY397" s="436"/>
      <c r="CZ397" s="51"/>
      <c r="DA397" s="144"/>
      <c r="DB397" s="434"/>
      <c r="DC397" s="438">
        <v>0</v>
      </c>
      <c r="DD397" s="436"/>
      <c r="DE397" s="51"/>
      <c r="DF397" s="144"/>
      <c r="DG397" s="434"/>
      <c r="DH397" s="438">
        <v>0</v>
      </c>
      <c r="DI397" s="436"/>
      <c r="DJ397" s="51"/>
      <c r="DK397" s="144"/>
      <c r="DL397" s="434"/>
      <c r="DM397" s="438">
        <v>0</v>
      </c>
      <c r="DN397" s="436"/>
      <c r="DO397" s="51"/>
      <c r="DP397" s="144"/>
      <c r="DQ397" s="434"/>
      <c r="DR397" s="438">
        <v>0</v>
      </c>
      <c r="DS397" s="436"/>
      <c r="DT397" s="51"/>
      <c r="DU397" s="144"/>
      <c r="DV397" s="434"/>
      <c r="DW397" s="438">
        <v>0</v>
      </c>
      <c r="DX397" s="436"/>
      <c r="DY397" s="51"/>
      <c r="DZ397" s="144"/>
      <c r="EA397" s="434"/>
      <c r="EB397" s="438">
        <v>0</v>
      </c>
      <c r="EC397" s="436"/>
      <c r="ED397" s="51"/>
      <c r="EE397" s="144"/>
      <c r="EF397" s="434"/>
      <c r="EG397" s="438">
        <v>0</v>
      </c>
      <c r="EH397" s="436"/>
      <c r="EI397" s="51"/>
      <c r="EJ397" s="144"/>
      <c r="EK397" s="434"/>
      <c r="EL397" s="438">
        <f>SUM(CD397:EG397)</f>
        <v>0</v>
      </c>
      <c r="EM397" s="436"/>
      <c r="EN397" s="51"/>
      <c r="EO397" s="340"/>
      <c r="ER397" s="39"/>
      <c r="ES397" s="39"/>
    </row>
    <row r="398" spans="1:149" x14ac:dyDescent="0.2">
      <c r="A398" s="317"/>
      <c r="B398" s="317"/>
      <c r="D398" s="445"/>
      <c r="E398" s="446"/>
      <c r="F398" s="331"/>
      <c r="G398" s="102"/>
      <c r="H398" s="102"/>
      <c r="I398" s="102"/>
      <c r="J398" s="447"/>
      <c r="K398" s="102"/>
      <c r="L398" s="102"/>
      <c r="M398" s="102"/>
      <c r="N398" s="102"/>
      <c r="O398" s="447"/>
      <c r="P398" s="102"/>
      <c r="Q398" s="102"/>
      <c r="R398" s="102"/>
      <c r="S398" s="102"/>
      <c r="T398" s="447"/>
      <c r="U398" s="102"/>
      <c r="V398" s="102"/>
      <c r="W398" s="102"/>
      <c r="X398" s="102"/>
      <c r="Y398" s="447"/>
      <c r="Z398" s="102"/>
      <c r="AA398" s="102"/>
      <c r="AB398" s="102"/>
      <c r="AC398" s="102"/>
      <c r="AD398" s="447"/>
      <c r="AE398" s="102"/>
      <c r="AF398" s="102"/>
      <c r="AG398" s="102"/>
      <c r="AH398" s="102"/>
      <c r="AI398" s="447"/>
      <c r="AJ398" s="102"/>
      <c r="AK398" s="102"/>
      <c r="AL398" s="102"/>
      <c r="AM398" s="102"/>
      <c r="AN398" s="447"/>
      <c r="AO398" s="102"/>
      <c r="AP398" s="102"/>
      <c r="AQ398" s="102"/>
      <c r="AR398" s="102"/>
      <c r="AS398" s="447"/>
      <c r="AT398" s="102"/>
      <c r="AU398" s="102"/>
      <c r="AV398" s="102"/>
      <c r="AW398" s="102"/>
      <c r="AX398" s="447"/>
      <c r="AY398" s="102"/>
      <c r="AZ398" s="102"/>
      <c r="BA398" s="102"/>
      <c r="BB398" s="102"/>
      <c r="BC398" s="447"/>
      <c r="BD398" s="102"/>
      <c r="BE398" s="102"/>
      <c r="BF398" s="102"/>
      <c r="BG398" s="102"/>
      <c r="BH398" s="447"/>
      <c r="BI398" s="102"/>
      <c r="BJ398" s="102"/>
      <c r="BK398" s="102"/>
      <c r="BL398" s="102"/>
      <c r="BM398" s="447"/>
      <c r="BN398" s="102"/>
      <c r="BO398" s="102"/>
      <c r="BP398" s="102"/>
      <c r="BQ398" s="102"/>
      <c r="BR398" s="447"/>
      <c r="BS398" s="102"/>
      <c r="BT398" s="102"/>
      <c r="BU398" s="102"/>
      <c r="BV398" s="102"/>
      <c r="BW398" s="447"/>
      <c r="BX398" s="102"/>
      <c r="BY398" s="102"/>
      <c r="BZ398" s="102"/>
      <c r="CA398" s="102"/>
      <c r="CB398" s="447"/>
      <c r="CC398" s="102"/>
      <c r="CD398" s="102"/>
      <c r="CE398" s="102"/>
      <c r="CF398" s="102"/>
      <c r="CG398" s="447"/>
      <c r="CH398" s="102"/>
      <c r="CI398" s="102"/>
      <c r="CJ398" s="102"/>
      <c r="CK398" s="102"/>
      <c r="CL398" s="447"/>
      <c r="CM398" s="102"/>
      <c r="CN398" s="102"/>
      <c r="CO398" s="102"/>
      <c r="CP398" s="102"/>
      <c r="CQ398" s="447"/>
      <c r="CR398" s="102"/>
      <c r="CS398" s="102"/>
      <c r="CT398" s="102"/>
      <c r="CU398" s="102"/>
      <c r="CV398" s="447"/>
      <c r="CW398" s="102"/>
      <c r="CX398" s="102"/>
      <c r="CY398" s="102"/>
      <c r="CZ398" s="102"/>
      <c r="DA398" s="447"/>
      <c r="DB398" s="102"/>
      <c r="DC398" s="102"/>
      <c r="DD398" s="102"/>
      <c r="DE398" s="102"/>
      <c r="DF398" s="447"/>
      <c r="DG398" s="102"/>
      <c r="DH398" s="102"/>
      <c r="DI398" s="102"/>
      <c r="DJ398" s="102"/>
      <c r="DK398" s="447"/>
      <c r="DL398" s="102"/>
      <c r="DM398" s="102"/>
      <c r="DN398" s="102"/>
      <c r="DO398" s="102"/>
      <c r="DP398" s="447"/>
      <c r="DQ398" s="102"/>
      <c r="DR398" s="102"/>
      <c r="DS398" s="102"/>
      <c r="DT398" s="102"/>
      <c r="DU398" s="447"/>
      <c r="DV398" s="102"/>
      <c r="DW398" s="102"/>
      <c r="DX398" s="102"/>
      <c r="DY398" s="102"/>
      <c r="DZ398" s="447"/>
      <c r="EA398" s="102"/>
      <c r="EB398" s="102"/>
      <c r="EC398" s="102"/>
      <c r="ED398" s="102"/>
      <c r="EE398" s="447"/>
      <c r="EF398" s="102"/>
      <c r="EG398" s="102"/>
      <c r="EH398" s="102"/>
      <c r="EI398" s="102"/>
      <c r="EJ398" s="447"/>
      <c r="EK398" s="102"/>
      <c r="EL398" s="102"/>
      <c r="EM398" s="102"/>
      <c r="EN398" s="103"/>
      <c r="EO398" s="340"/>
      <c r="ER398" s="39"/>
      <c r="ES398" s="39"/>
    </row>
    <row r="399" spans="1:149" x14ac:dyDescent="0.2">
      <c r="A399" s="317"/>
      <c r="B399" s="317"/>
      <c r="C399" s="317"/>
      <c r="E399" s="403"/>
      <c r="F399" s="317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317"/>
    </row>
    <row r="400" spans="1:149" x14ac:dyDescent="0.2">
      <c r="D400" s="317"/>
      <c r="E400" s="317"/>
      <c r="EE400" s="317"/>
      <c r="EL400" s="51"/>
    </row>
    <row r="401" spans="4:135" x14ac:dyDescent="0.2">
      <c r="D401" s="317"/>
      <c r="E401" s="317"/>
      <c r="EE401" s="317"/>
    </row>
    <row r="402" spans="4:135" x14ac:dyDescent="0.2">
      <c r="D402" s="317"/>
      <c r="E402" s="317"/>
      <c r="EE402" s="317"/>
    </row>
    <row r="403" spans="4:135" hidden="1" x14ac:dyDescent="0.2">
      <c r="D403" s="317"/>
      <c r="E403" s="317"/>
      <c r="EE403" s="317"/>
    </row>
    <row r="404" spans="4:135" hidden="1" x14ac:dyDescent="0.2">
      <c r="D404" s="317"/>
      <c r="E404" s="317"/>
      <c r="EE404" s="317"/>
    </row>
    <row r="405" spans="4:135" hidden="1" x14ac:dyDescent="0.2">
      <c r="D405" s="317"/>
      <c r="E405" s="317"/>
      <c r="G405" s="315">
        <f t="shared" ref="G405:BR408" si="29">G12-BY12</f>
        <v>-41475858</v>
      </c>
      <c r="H405" s="315">
        <f t="shared" si="29"/>
        <v>0</v>
      </c>
      <c r="I405" s="315">
        <f t="shared" si="29"/>
        <v>0</v>
      </c>
      <c r="J405" s="315">
        <f t="shared" si="29"/>
        <v>0</v>
      </c>
      <c r="K405" s="315">
        <f t="shared" si="29"/>
        <v>0</v>
      </c>
      <c r="L405" s="315">
        <f t="shared" si="29"/>
        <v>-16118850</v>
      </c>
      <c r="M405" s="315">
        <f t="shared" si="29"/>
        <v>0</v>
      </c>
      <c r="N405" s="315">
        <f t="shared" si="29"/>
        <v>0</v>
      </c>
      <c r="O405" s="315">
        <f t="shared" si="29"/>
        <v>0</v>
      </c>
      <c r="P405" s="315">
        <f t="shared" si="29"/>
        <v>0</v>
      </c>
      <c r="Q405" s="315">
        <f t="shared" si="29"/>
        <v>2606398</v>
      </c>
      <c r="R405" s="315">
        <f t="shared" si="29"/>
        <v>0</v>
      </c>
      <c r="S405" s="315">
        <f t="shared" si="29"/>
        <v>0</v>
      </c>
      <c r="T405" s="315">
        <f t="shared" si="29"/>
        <v>0</v>
      </c>
      <c r="U405" s="315">
        <f t="shared" si="29"/>
        <v>0</v>
      </c>
      <c r="V405" s="315">
        <f t="shared" si="29"/>
        <v>-4576012</v>
      </c>
      <c r="W405" s="315">
        <f t="shared" si="29"/>
        <v>0</v>
      </c>
      <c r="X405" s="315">
        <f t="shared" si="29"/>
        <v>0</v>
      </c>
      <c r="Y405" s="315">
        <f t="shared" si="29"/>
        <v>0</v>
      </c>
      <c r="Z405" s="315">
        <f t="shared" si="29"/>
        <v>0</v>
      </c>
      <c r="AA405" s="315">
        <f t="shared" si="29"/>
        <v>15658171</v>
      </c>
      <c r="AB405" s="315">
        <f t="shared" si="29"/>
        <v>0</v>
      </c>
      <c r="AC405" s="315">
        <f t="shared" si="29"/>
        <v>0</v>
      </c>
      <c r="AD405" s="315">
        <f t="shared" si="29"/>
        <v>0</v>
      </c>
      <c r="AE405" s="315">
        <f t="shared" si="29"/>
        <v>0</v>
      </c>
      <c r="AF405" s="315">
        <f t="shared" si="29"/>
        <v>5914294</v>
      </c>
      <c r="AG405" s="315">
        <f t="shared" si="29"/>
        <v>0</v>
      </c>
      <c r="AH405" s="315">
        <f t="shared" si="29"/>
        <v>0</v>
      </c>
      <c r="AI405" s="315">
        <f t="shared" si="29"/>
        <v>0</v>
      </c>
      <c r="AJ405" s="315">
        <f t="shared" si="29"/>
        <v>0</v>
      </c>
      <c r="AK405" s="315">
        <f t="shared" si="29"/>
        <v>11900643</v>
      </c>
      <c r="AL405" s="315">
        <f t="shared" si="29"/>
        <v>0</v>
      </c>
      <c r="AM405" s="315">
        <f t="shared" si="29"/>
        <v>0</v>
      </c>
      <c r="AN405" s="315">
        <f t="shared" si="29"/>
        <v>0</v>
      </c>
      <c r="AO405" s="315">
        <f t="shared" si="29"/>
        <v>0</v>
      </c>
      <c r="AP405" s="315">
        <f t="shared" si="29"/>
        <v>-4342260</v>
      </c>
      <c r="AQ405" s="315">
        <f t="shared" si="29"/>
        <v>0</v>
      </c>
      <c r="AR405" s="315">
        <f t="shared" si="29"/>
        <v>0</v>
      </c>
      <c r="AS405" s="315">
        <f t="shared" si="29"/>
        <v>0</v>
      </c>
      <c r="AT405" s="315">
        <f t="shared" si="29"/>
        <v>0</v>
      </c>
      <c r="AU405" s="315">
        <f t="shared" si="29"/>
        <v>-28616895</v>
      </c>
      <c r="AV405" s="315">
        <f t="shared" si="29"/>
        <v>0</v>
      </c>
      <c r="AW405" s="315">
        <f t="shared" si="29"/>
        <v>0</v>
      </c>
      <c r="AX405" s="315">
        <f t="shared" si="29"/>
        <v>0</v>
      </c>
      <c r="AY405" s="315">
        <f t="shared" si="29"/>
        <v>0</v>
      </c>
      <c r="AZ405" s="315">
        <f t="shared" si="29"/>
        <v>-29014323</v>
      </c>
      <c r="BA405" s="315">
        <f t="shared" si="29"/>
        <v>0</v>
      </c>
      <c r="BB405" s="315">
        <f t="shared" si="29"/>
        <v>0</v>
      </c>
      <c r="BC405" s="315">
        <f t="shared" si="29"/>
        <v>0</v>
      </c>
      <c r="BD405" s="315">
        <f t="shared" si="29"/>
        <v>0</v>
      </c>
      <c r="BE405" s="315">
        <f t="shared" si="29"/>
        <v>-24327297</v>
      </c>
      <c r="BF405" s="315">
        <f t="shared" si="29"/>
        <v>0</v>
      </c>
      <c r="BG405" s="315">
        <f t="shared" si="29"/>
        <v>0</v>
      </c>
      <c r="BH405" s="315">
        <f t="shared" si="29"/>
        <v>0</v>
      </c>
      <c r="BI405" s="315">
        <f t="shared" si="29"/>
        <v>0</v>
      </c>
      <c r="BJ405" s="315">
        <f t="shared" si="29"/>
        <v>-32478299</v>
      </c>
      <c r="BK405" s="315">
        <f t="shared" si="29"/>
        <v>0</v>
      </c>
      <c r="BL405" s="315">
        <f t="shared" si="29"/>
        <v>0</v>
      </c>
      <c r="BM405" s="315">
        <f t="shared" si="29"/>
        <v>0</v>
      </c>
      <c r="BN405" s="315">
        <f t="shared" si="29"/>
        <v>0</v>
      </c>
      <c r="BO405" s="315">
        <f t="shared" si="29"/>
        <v>-33391155</v>
      </c>
      <c r="BP405" s="315">
        <f t="shared" si="29"/>
        <v>0</v>
      </c>
      <c r="BQ405" s="315">
        <f t="shared" si="29"/>
        <v>0</v>
      </c>
      <c r="BR405" s="315">
        <f t="shared" si="29"/>
        <v>0</v>
      </c>
      <c r="BS405" s="315">
        <f t="shared" ref="BO405:BX408" si="30">BS12-EK12</f>
        <v>0</v>
      </c>
      <c r="BT405" s="315">
        <f t="shared" si="30"/>
        <v>11042384</v>
      </c>
      <c r="BU405" s="315">
        <f t="shared" si="30"/>
        <v>0</v>
      </c>
      <c r="BV405" s="315">
        <f t="shared" si="30"/>
        <v>0</v>
      </c>
      <c r="BW405" s="315">
        <f t="shared" si="30"/>
        <v>0</v>
      </c>
      <c r="BX405" s="315">
        <f t="shared" si="30"/>
        <v>0</v>
      </c>
      <c r="BZ405" s="315">
        <f t="shared" ref="BZ405:CA408" si="31">BZ12-ER12</f>
        <v>0</v>
      </c>
      <c r="CA405" s="315">
        <f t="shared" si="31"/>
        <v>0</v>
      </c>
      <c r="EE405" s="317"/>
    </row>
    <row r="406" spans="4:135" hidden="1" x14ac:dyDescent="0.2">
      <c r="D406" s="317"/>
      <c r="E406" s="317"/>
      <c r="G406" s="315">
        <f t="shared" si="29"/>
        <v>2749248</v>
      </c>
      <c r="H406" s="315">
        <f t="shared" si="29"/>
        <v>0</v>
      </c>
      <c r="I406" s="315">
        <f t="shared" si="29"/>
        <v>0</v>
      </c>
      <c r="J406" s="315">
        <f t="shared" si="29"/>
        <v>0</v>
      </c>
      <c r="K406" s="315">
        <f t="shared" si="29"/>
        <v>0</v>
      </c>
      <c r="L406" s="315">
        <f t="shared" si="29"/>
        <v>-8497467</v>
      </c>
      <c r="M406" s="315">
        <f t="shared" si="29"/>
        <v>0</v>
      </c>
      <c r="N406" s="315">
        <f t="shared" si="29"/>
        <v>0</v>
      </c>
      <c r="O406" s="315">
        <f t="shared" si="29"/>
        <v>0</v>
      </c>
      <c r="P406" s="315">
        <f t="shared" si="29"/>
        <v>0</v>
      </c>
      <c r="Q406" s="315">
        <f t="shared" si="29"/>
        <v>-794622</v>
      </c>
      <c r="R406" s="315">
        <f t="shared" si="29"/>
        <v>0</v>
      </c>
      <c r="S406" s="315">
        <f t="shared" si="29"/>
        <v>0</v>
      </c>
      <c r="T406" s="315">
        <f t="shared" si="29"/>
        <v>0</v>
      </c>
      <c r="U406" s="315">
        <f t="shared" si="29"/>
        <v>0</v>
      </c>
      <c r="V406" s="315">
        <f t="shared" si="29"/>
        <v>1818932</v>
      </c>
      <c r="W406" s="315">
        <f t="shared" si="29"/>
        <v>0</v>
      </c>
      <c r="X406" s="315">
        <f t="shared" si="29"/>
        <v>0</v>
      </c>
      <c r="Y406" s="315">
        <f t="shared" si="29"/>
        <v>0</v>
      </c>
      <c r="Z406" s="315">
        <f t="shared" si="29"/>
        <v>0</v>
      </c>
      <c r="AA406" s="315">
        <f t="shared" si="29"/>
        <v>19399721</v>
      </c>
      <c r="AB406" s="315">
        <f t="shared" si="29"/>
        <v>0</v>
      </c>
      <c r="AC406" s="315">
        <f t="shared" si="29"/>
        <v>0</v>
      </c>
      <c r="AD406" s="315">
        <f t="shared" si="29"/>
        <v>0</v>
      </c>
      <c r="AE406" s="315">
        <f t="shared" si="29"/>
        <v>0</v>
      </c>
      <c r="AF406" s="315">
        <f t="shared" si="29"/>
        <v>7888697</v>
      </c>
      <c r="AG406" s="315">
        <f t="shared" si="29"/>
        <v>0</v>
      </c>
      <c r="AH406" s="315">
        <f t="shared" si="29"/>
        <v>0</v>
      </c>
      <c r="AI406" s="315">
        <f t="shared" si="29"/>
        <v>0</v>
      </c>
      <c r="AJ406" s="315">
        <f t="shared" si="29"/>
        <v>0</v>
      </c>
      <c r="AK406" s="315">
        <f t="shared" si="29"/>
        <v>13609131</v>
      </c>
      <c r="AL406" s="315">
        <f t="shared" si="29"/>
        <v>0</v>
      </c>
      <c r="AM406" s="315">
        <f t="shared" si="29"/>
        <v>0</v>
      </c>
      <c r="AN406" s="315">
        <f t="shared" si="29"/>
        <v>0</v>
      </c>
      <c r="AO406" s="315">
        <f t="shared" si="29"/>
        <v>0</v>
      </c>
      <c r="AP406" s="315">
        <f t="shared" si="29"/>
        <v>643936</v>
      </c>
      <c r="AQ406" s="315">
        <f t="shared" si="29"/>
        <v>0</v>
      </c>
      <c r="AR406" s="315">
        <f t="shared" si="29"/>
        <v>0</v>
      </c>
      <c r="AS406" s="315">
        <f t="shared" si="29"/>
        <v>0</v>
      </c>
      <c r="AT406" s="315">
        <f t="shared" si="29"/>
        <v>0</v>
      </c>
      <c r="AU406" s="315">
        <f t="shared" si="29"/>
        <v>-23303905</v>
      </c>
      <c r="AV406" s="315">
        <f t="shared" si="29"/>
        <v>0</v>
      </c>
      <c r="AW406" s="315">
        <f t="shared" si="29"/>
        <v>0</v>
      </c>
      <c r="AX406" s="315">
        <f t="shared" si="29"/>
        <v>0</v>
      </c>
      <c r="AY406" s="315">
        <f t="shared" si="29"/>
        <v>0</v>
      </c>
      <c r="AZ406" s="315">
        <f t="shared" si="29"/>
        <v>-24962859</v>
      </c>
      <c r="BA406" s="315">
        <f t="shared" si="29"/>
        <v>0</v>
      </c>
      <c r="BB406" s="315">
        <f t="shared" si="29"/>
        <v>0</v>
      </c>
      <c r="BC406" s="315">
        <f t="shared" si="29"/>
        <v>0</v>
      </c>
      <c r="BD406" s="315">
        <f t="shared" si="29"/>
        <v>0</v>
      </c>
      <c r="BE406" s="315">
        <f t="shared" si="29"/>
        <v>-21654275</v>
      </c>
      <c r="BF406" s="315">
        <f t="shared" si="29"/>
        <v>0</v>
      </c>
      <c r="BG406" s="315">
        <f t="shared" si="29"/>
        <v>0</v>
      </c>
      <c r="BH406" s="315">
        <f t="shared" si="29"/>
        <v>0</v>
      </c>
      <c r="BI406" s="315">
        <f t="shared" si="29"/>
        <v>0</v>
      </c>
      <c r="BJ406" s="315">
        <f t="shared" si="29"/>
        <v>-28691924</v>
      </c>
      <c r="BK406" s="315">
        <f t="shared" si="29"/>
        <v>0</v>
      </c>
      <c r="BL406" s="315">
        <f t="shared" si="29"/>
        <v>0</v>
      </c>
      <c r="BM406" s="315">
        <f t="shared" si="29"/>
        <v>0</v>
      </c>
      <c r="BN406" s="315">
        <f t="shared" si="29"/>
        <v>0</v>
      </c>
      <c r="BO406" s="315">
        <f t="shared" si="30"/>
        <v>-28529070</v>
      </c>
      <c r="BP406" s="315">
        <f t="shared" si="30"/>
        <v>0</v>
      </c>
      <c r="BQ406" s="315">
        <f t="shared" si="30"/>
        <v>0</v>
      </c>
      <c r="BR406" s="315">
        <f t="shared" si="30"/>
        <v>0</v>
      </c>
      <c r="BS406" s="315">
        <f t="shared" si="30"/>
        <v>0</v>
      </c>
      <c r="BT406" s="315">
        <f t="shared" si="30"/>
        <v>34068328</v>
      </c>
      <c r="BU406" s="315">
        <f t="shared" si="30"/>
        <v>0</v>
      </c>
      <c r="BV406" s="315">
        <f t="shared" si="30"/>
        <v>0</v>
      </c>
      <c r="BW406" s="315">
        <f t="shared" si="30"/>
        <v>0</v>
      </c>
      <c r="BX406" s="315">
        <f t="shared" si="30"/>
        <v>0</v>
      </c>
      <c r="BZ406" s="315">
        <f t="shared" si="31"/>
        <v>0</v>
      </c>
      <c r="CA406" s="315">
        <f t="shared" si="31"/>
        <v>0</v>
      </c>
      <c r="EE406" s="317"/>
    </row>
    <row r="407" spans="4:135" hidden="1" x14ac:dyDescent="0.2">
      <c r="E407" s="315"/>
      <c r="G407" s="315">
        <f t="shared" si="29"/>
        <v>-45097803</v>
      </c>
      <c r="H407" s="315">
        <f t="shared" si="29"/>
        <v>0</v>
      </c>
      <c r="I407" s="315">
        <f t="shared" si="29"/>
        <v>0</v>
      </c>
      <c r="J407" s="315">
        <f t="shared" si="29"/>
        <v>0</v>
      </c>
      <c r="K407" s="315">
        <f t="shared" si="29"/>
        <v>0</v>
      </c>
      <c r="L407" s="315">
        <f t="shared" si="29"/>
        <v>-8253520</v>
      </c>
      <c r="M407" s="315">
        <f t="shared" si="29"/>
        <v>0</v>
      </c>
      <c r="N407" s="315">
        <f t="shared" si="29"/>
        <v>0</v>
      </c>
      <c r="O407" s="315">
        <f t="shared" si="29"/>
        <v>0</v>
      </c>
      <c r="P407" s="315">
        <f t="shared" si="29"/>
        <v>0</v>
      </c>
      <c r="Q407" s="315">
        <f t="shared" si="29"/>
        <v>286578</v>
      </c>
      <c r="R407" s="315">
        <f t="shared" si="29"/>
        <v>0</v>
      </c>
      <c r="S407" s="315">
        <f t="shared" si="29"/>
        <v>0</v>
      </c>
      <c r="T407" s="315">
        <f t="shared" si="29"/>
        <v>0</v>
      </c>
      <c r="U407" s="315">
        <f t="shared" si="29"/>
        <v>0</v>
      </c>
      <c r="V407" s="315">
        <f t="shared" si="29"/>
        <v>-6299769</v>
      </c>
      <c r="W407" s="315">
        <f t="shared" si="29"/>
        <v>0</v>
      </c>
      <c r="X407" s="315">
        <f t="shared" si="29"/>
        <v>0</v>
      </c>
      <c r="Y407" s="315">
        <f t="shared" si="29"/>
        <v>0</v>
      </c>
      <c r="Z407" s="315">
        <f t="shared" si="29"/>
        <v>0</v>
      </c>
      <c r="AA407" s="315">
        <f t="shared" si="29"/>
        <v>-3456518</v>
      </c>
      <c r="AB407" s="315">
        <f t="shared" si="29"/>
        <v>0</v>
      </c>
      <c r="AC407" s="315">
        <f t="shared" si="29"/>
        <v>0</v>
      </c>
      <c r="AD407" s="315">
        <f t="shared" si="29"/>
        <v>0</v>
      </c>
      <c r="AE407" s="315">
        <f t="shared" si="29"/>
        <v>0</v>
      </c>
      <c r="AF407" s="315">
        <f t="shared" si="29"/>
        <v>-4835965</v>
      </c>
      <c r="AG407" s="315">
        <f t="shared" si="29"/>
        <v>0</v>
      </c>
      <c r="AH407" s="315">
        <f t="shared" si="29"/>
        <v>0</v>
      </c>
      <c r="AI407" s="315">
        <f t="shared" si="29"/>
        <v>0</v>
      </c>
      <c r="AJ407" s="315">
        <f t="shared" si="29"/>
        <v>0</v>
      </c>
      <c r="AK407" s="315">
        <f t="shared" si="29"/>
        <v>-2187184</v>
      </c>
      <c r="AL407" s="315">
        <f t="shared" si="29"/>
        <v>0</v>
      </c>
      <c r="AM407" s="315">
        <f t="shared" si="29"/>
        <v>0</v>
      </c>
      <c r="AN407" s="315">
        <f t="shared" si="29"/>
        <v>0</v>
      </c>
      <c r="AO407" s="315">
        <f t="shared" si="29"/>
        <v>0</v>
      </c>
      <c r="AP407" s="315">
        <f t="shared" si="29"/>
        <v>-5017820</v>
      </c>
      <c r="AQ407" s="315">
        <f t="shared" si="29"/>
        <v>0</v>
      </c>
      <c r="AR407" s="315">
        <f t="shared" si="29"/>
        <v>0</v>
      </c>
      <c r="AS407" s="315">
        <f t="shared" si="29"/>
        <v>0</v>
      </c>
      <c r="AT407" s="315">
        <f t="shared" si="29"/>
        <v>0</v>
      </c>
      <c r="AU407" s="315">
        <f t="shared" si="29"/>
        <v>-4108885</v>
      </c>
      <c r="AV407" s="315">
        <f t="shared" si="29"/>
        <v>0</v>
      </c>
      <c r="AW407" s="315">
        <f t="shared" si="29"/>
        <v>0</v>
      </c>
      <c r="AX407" s="315">
        <f t="shared" si="29"/>
        <v>0</v>
      </c>
      <c r="AY407" s="315">
        <f t="shared" si="29"/>
        <v>0</v>
      </c>
      <c r="AZ407" s="315">
        <f t="shared" si="29"/>
        <v>-3708680</v>
      </c>
      <c r="BA407" s="315">
        <f t="shared" si="29"/>
        <v>0</v>
      </c>
      <c r="BB407" s="315">
        <f t="shared" si="29"/>
        <v>0</v>
      </c>
      <c r="BC407" s="315">
        <f t="shared" si="29"/>
        <v>0</v>
      </c>
      <c r="BD407" s="315">
        <f t="shared" si="29"/>
        <v>0</v>
      </c>
      <c r="BE407" s="315">
        <f>BE14-DW14</f>
        <v>-2673022</v>
      </c>
      <c r="BF407" s="315">
        <f>BF14-DX14</f>
        <v>0</v>
      </c>
      <c r="BG407" s="315" t="e">
        <f>#REF!-DY14</f>
        <v>#REF!</v>
      </c>
      <c r="BH407" s="315">
        <f t="shared" si="29"/>
        <v>0</v>
      </c>
      <c r="BI407" s="315">
        <f t="shared" si="29"/>
        <v>0</v>
      </c>
      <c r="BJ407" s="315">
        <f t="shared" si="29"/>
        <v>-3014010</v>
      </c>
      <c r="BK407" s="315">
        <f t="shared" si="29"/>
        <v>0</v>
      </c>
      <c r="BL407" s="315">
        <f t="shared" si="29"/>
        <v>0</v>
      </c>
      <c r="BM407" s="315">
        <f t="shared" si="29"/>
        <v>0</v>
      </c>
      <c r="BN407" s="315">
        <f t="shared" si="29"/>
        <v>0</v>
      </c>
      <c r="BO407" s="315">
        <f t="shared" si="29"/>
        <v>-1829008</v>
      </c>
      <c r="BP407" s="315">
        <f t="shared" si="29"/>
        <v>0</v>
      </c>
      <c r="BQ407" s="315">
        <f t="shared" si="29"/>
        <v>0</v>
      </c>
      <c r="BR407" s="315">
        <f t="shared" si="30"/>
        <v>0</v>
      </c>
      <c r="BS407" s="315">
        <f t="shared" si="30"/>
        <v>0</v>
      </c>
      <c r="BT407" s="315">
        <f t="shared" si="30"/>
        <v>-29764198</v>
      </c>
      <c r="BU407" s="315">
        <f t="shared" si="30"/>
        <v>0</v>
      </c>
      <c r="BV407" s="315">
        <f t="shared" si="30"/>
        <v>0</v>
      </c>
      <c r="BW407" s="315">
        <f t="shared" si="30"/>
        <v>0</v>
      </c>
      <c r="BX407" s="315">
        <f t="shared" si="30"/>
        <v>0</v>
      </c>
      <c r="BZ407" s="315">
        <f t="shared" si="31"/>
        <v>0</v>
      </c>
      <c r="CA407" s="315">
        <f t="shared" si="31"/>
        <v>0</v>
      </c>
      <c r="EE407" s="317"/>
    </row>
    <row r="408" spans="4:135" hidden="1" x14ac:dyDescent="0.2">
      <c r="G408" s="315">
        <f t="shared" si="29"/>
        <v>872697</v>
      </c>
      <c r="H408" s="315">
        <f t="shared" si="29"/>
        <v>0</v>
      </c>
      <c r="I408" s="315">
        <f t="shared" si="29"/>
        <v>0</v>
      </c>
      <c r="J408" s="315">
        <f t="shared" si="29"/>
        <v>0</v>
      </c>
      <c r="K408" s="315">
        <f t="shared" si="29"/>
        <v>0</v>
      </c>
      <c r="L408" s="315">
        <f t="shared" si="29"/>
        <v>632137</v>
      </c>
      <c r="M408" s="315">
        <f t="shared" si="29"/>
        <v>0</v>
      </c>
      <c r="N408" s="315">
        <f t="shared" si="29"/>
        <v>0</v>
      </c>
      <c r="O408" s="315">
        <f t="shared" si="29"/>
        <v>0</v>
      </c>
      <c r="P408" s="315">
        <f t="shared" si="29"/>
        <v>0</v>
      </c>
      <c r="Q408" s="315">
        <f t="shared" si="29"/>
        <v>3114442</v>
      </c>
      <c r="R408" s="315">
        <f t="shared" si="29"/>
        <v>0</v>
      </c>
      <c r="S408" s="315">
        <f t="shared" si="29"/>
        <v>0</v>
      </c>
      <c r="T408" s="315">
        <f t="shared" si="29"/>
        <v>0</v>
      </c>
      <c r="U408" s="315">
        <f t="shared" si="29"/>
        <v>0</v>
      </c>
      <c r="V408" s="315">
        <f t="shared" si="29"/>
        <v>-95175</v>
      </c>
      <c r="W408" s="315">
        <f t="shared" si="29"/>
        <v>0</v>
      </c>
      <c r="X408" s="315">
        <f t="shared" si="29"/>
        <v>0</v>
      </c>
      <c r="Y408" s="315">
        <f t="shared" si="29"/>
        <v>0</v>
      </c>
      <c r="Z408" s="315">
        <f t="shared" si="29"/>
        <v>0</v>
      </c>
      <c r="AA408" s="315">
        <f t="shared" si="29"/>
        <v>-285032</v>
      </c>
      <c r="AB408" s="315">
        <f t="shared" si="29"/>
        <v>0</v>
      </c>
      <c r="AC408" s="315">
        <f t="shared" si="29"/>
        <v>0</v>
      </c>
      <c r="AD408" s="315">
        <f t="shared" si="29"/>
        <v>0</v>
      </c>
      <c r="AE408" s="315">
        <f t="shared" si="29"/>
        <v>0</v>
      </c>
      <c r="AF408" s="315">
        <f t="shared" si="29"/>
        <v>2861562</v>
      </c>
      <c r="AG408" s="315">
        <f t="shared" si="29"/>
        <v>0</v>
      </c>
      <c r="AH408" s="315">
        <f t="shared" si="29"/>
        <v>0</v>
      </c>
      <c r="AI408" s="315">
        <f t="shared" si="29"/>
        <v>0</v>
      </c>
      <c r="AJ408" s="315">
        <f t="shared" si="29"/>
        <v>0</v>
      </c>
      <c r="AK408" s="315">
        <f t="shared" si="29"/>
        <v>478696</v>
      </c>
      <c r="AL408" s="315">
        <f t="shared" si="29"/>
        <v>0</v>
      </c>
      <c r="AM408" s="315">
        <f t="shared" si="29"/>
        <v>0</v>
      </c>
      <c r="AN408" s="315">
        <f t="shared" si="29"/>
        <v>0</v>
      </c>
      <c r="AO408" s="315">
        <f t="shared" si="29"/>
        <v>0</v>
      </c>
      <c r="AP408" s="315">
        <f t="shared" si="29"/>
        <v>31624</v>
      </c>
      <c r="AQ408" s="315">
        <f t="shared" si="29"/>
        <v>0</v>
      </c>
      <c r="AR408" s="315">
        <f t="shared" si="29"/>
        <v>0</v>
      </c>
      <c r="AS408" s="315">
        <f t="shared" si="29"/>
        <v>0</v>
      </c>
      <c r="AT408" s="315">
        <f t="shared" si="29"/>
        <v>0</v>
      </c>
      <c r="AU408" s="315">
        <f t="shared" si="29"/>
        <v>-1204105</v>
      </c>
      <c r="AV408" s="315">
        <f t="shared" si="29"/>
        <v>0</v>
      </c>
      <c r="AW408" s="315">
        <f t="shared" si="29"/>
        <v>0</v>
      </c>
      <c r="AX408" s="315">
        <f t="shared" si="29"/>
        <v>0</v>
      </c>
      <c r="AY408" s="315">
        <f t="shared" si="29"/>
        <v>0</v>
      </c>
      <c r="AZ408" s="315">
        <f t="shared" si="29"/>
        <v>-342784</v>
      </c>
      <c r="BA408" s="315">
        <f t="shared" si="29"/>
        <v>0</v>
      </c>
      <c r="BB408" s="315">
        <f t="shared" si="29"/>
        <v>0</v>
      </c>
      <c r="BC408" s="315">
        <f t="shared" si="29"/>
        <v>0</v>
      </c>
      <c r="BD408" s="315">
        <f t="shared" si="29"/>
        <v>0</v>
      </c>
      <c r="BE408" s="315">
        <f>BE15-DW15</f>
        <v>0</v>
      </c>
      <c r="BF408" s="315">
        <f>BF15-DX15</f>
        <v>0</v>
      </c>
      <c r="BG408" s="315">
        <f>BG15-DY15</f>
        <v>0</v>
      </c>
      <c r="BH408" s="315">
        <f t="shared" si="29"/>
        <v>0</v>
      </c>
      <c r="BI408" s="315">
        <f t="shared" si="29"/>
        <v>0</v>
      </c>
      <c r="BJ408" s="315">
        <f t="shared" si="29"/>
        <v>-772365</v>
      </c>
      <c r="BK408" s="315">
        <f t="shared" si="29"/>
        <v>0</v>
      </c>
      <c r="BL408" s="315">
        <f t="shared" si="29"/>
        <v>0</v>
      </c>
      <c r="BM408" s="315">
        <f t="shared" si="29"/>
        <v>0</v>
      </c>
      <c r="BN408" s="315">
        <f t="shared" si="29"/>
        <v>0</v>
      </c>
      <c r="BO408" s="315">
        <f t="shared" si="29"/>
        <v>-3033077</v>
      </c>
      <c r="BP408" s="315">
        <f t="shared" si="29"/>
        <v>0</v>
      </c>
      <c r="BQ408" s="315">
        <f t="shared" si="29"/>
        <v>0</v>
      </c>
      <c r="BR408" s="315">
        <f t="shared" si="30"/>
        <v>0</v>
      </c>
      <c r="BS408" s="315">
        <f t="shared" si="30"/>
        <v>0</v>
      </c>
      <c r="BT408" s="315">
        <f t="shared" si="30"/>
        <v>6738254</v>
      </c>
      <c r="BU408" s="315">
        <f t="shared" si="30"/>
        <v>0</v>
      </c>
      <c r="BV408" s="315">
        <f t="shared" si="30"/>
        <v>0</v>
      </c>
      <c r="BW408" s="315">
        <f t="shared" si="30"/>
        <v>0</v>
      </c>
      <c r="BX408" s="315">
        <f t="shared" si="30"/>
        <v>0</v>
      </c>
      <c r="BZ408" s="315">
        <f t="shared" si="31"/>
        <v>0</v>
      </c>
      <c r="CA408" s="315">
        <f t="shared" si="31"/>
        <v>0</v>
      </c>
    </row>
    <row r="409" spans="4:135" hidden="1" x14ac:dyDescent="0.2">
      <c r="G409" s="315" t="e">
        <f>#REF!-#REF!</f>
        <v>#REF!</v>
      </c>
      <c r="H409" s="315" t="e">
        <f>#REF!-#REF!</f>
        <v>#REF!</v>
      </c>
      <c r="I409" s="315" t="e">
        <f>#REF!-#REF!</f>
        <v>#REF!</v>
      </c>
      <c r="J409" s="315" t="e">
        <f>#REF!-#REF!</f>
        <v>#REF!</v>
      </c>
      <c r="K409" s="315" t="e">
        <f>#REF!-#REF!</f>
        <v>#REF!</v>
      </c>
      <c r="L409" s="315" t="e">
        <f>#REF!-#REF!</f>
        <v>#REF!</v>
      </c>
      <c r="M409" s="315" t="e">
        <f>#REF!-#REF!</f>
        <v>#REF!</v>
      </c>
      <c r="N409" s="315" t="e">
        <f>#REF!-#REF!</f>
        <v>#REF!</v>
      </c>
      <c r="O409" s="315" t="e">
        <f>#REF!-#REF!</f>
        <v>#REF!</v>
      </c>
      <c r="P409" s="315" t="e">
        <f>#REF!-#REF!</f>
        <v>#REF!</v>
      </c>
      <c r="Q409" s="315" t="e">
        <f>#REF!-#REF!</f>
        <v>#REF!</v>
      </c>
      <c r="R409" s="315" t="e">
        <f>#REF!-#REF!</f>
        <v>#REF!</v>
      </c>
      <c r="S409" s="315" t="e">
        <f>#REF!-#REF!</f>
        <v>#REF!</v>
      </c>
      <c r="T409" s="315" t="e">
        <f>#REF!-#REF!</f>
        <v>#REF!</v>
      </c>
      <c r="U409" s="315" t="e">
        <f>#REF!-#REF!</f>
        <v>#REF!</v>
      </c>
      <c r="V409" s="315" t="e">
        <f>#REF!-#REF!</f>
        <v>#REF!</v>
      </c>
      <c r="W409" s="315" t="e">
        <f>#REF!-#REF!</f>
        <v>#REF!</v>
      </c>
      <c r="X409" s="315" t="e">
        <f>#REF!-#REF!</f>
        <v>#REF!</v>
      </c>
      <c r="Y409" s="315" t="e">
        <f>#REF!-#REF!</f>
        <v>#REF!</v>
      </c>
      <c r="Z409" s="315" t="e">
        <f>#REF!-#REF!</f>
        <v>#REF!</v>
      </c>
      <c r="AA409" s="315" t="e">
        <f>#REF!-#REF!</f>
        <v>#REF!</v>
      </c>
      <c r="AB409" s="315" t="e">
        <f>#REF!-#REF!</f>
        <v>#REF!</v>
      </c>
      <c r="AC409" s="315" t="e">
        <f>#REF!-#REF!</f>
        <v>#REF!</v>
      </c>
      <c r="AD409" s="315" t="e">
        <f>#REF!-#REF!</f>
        <v>#REF!</v>
      </c>
      <c r="AE409" s="315" t="e">
        <f>#REF!-#REF!</f>
        <v>#REF!</v>
      </c>
      <c r="AF409" s="315" t="e">
        <f>#REF!-#REF!</f>
        <v>#REF!</v>
      </c>
      <c r="AG409" s="315" t="e">
        <f>#REF!-#REF!</f>
        <v>#REF!</v>
      </c>
      <c r="AH409" s="315" t="e">
        <f>#REF!-#REF!</f>
        <v>#REF!</v>
      </c>
      <c r="AI409" s="315" t="e">
        <f>#REF!-#REF!</f>
        <v>#REF!</v>
      </c>
      <c r="AJ409" s="315" t="e">
        <f>#REF!-#REF!</f>
        <v>#REF!</v>
      </c>
      <c r="AK409" s="315" t="e">
        <f>#REF!-#REF!</f>
        <v>#REF!</v>
      </c>
      <c r="AL409" s="315" t="e">
        <f>#REF!-#REF!</f>
        <v>#REF!</v>
      </c>
      <c r="AM409" s="315" t="e">
        <f>#REF!-#REF!</f>
        <v>#REF!</v>
      </c>
      <c r="AN409" s="315" t="e">
        <f>#REF!-#REF!</f>
        <v>#REF!</v>
      </c>
      <c r="AO409" s="315" t="e">
        <f>#REF!-#REF!</f>
        <v>#REF!</v>
      </c>
      <c r="AP409" s="315" t="e">
        <f>#REF!-#REF!</f>
        <v>#REF!</v>
      </c>
      <c r="AQ409" s="315" t="e">
        <f>#REF!-#REF!</f>
        <v>#REF!</v>
      </c>
      <c r="AR409" s="315" t="e">
        <f>#REF!-#REF!</f>
        <v>#REF!</v>
      </c>
      <c r="AS409" s="315" t="e">
        <f>#REF!-#REF!</f>
        <v>#REF!</v>
      </c>
      <c r="AT409" s="315" t="e">
        <f>#REF!-#REF!</f>
        <v>#REF!</v>
      </c>
      <c r="AU409" s="315" t="e">
        <f>#REF!-#REF!</f>
        <v>#REF!</v>
      </c>
      <c r="AV409" s="315" t="e">
        <f>#REF!-#REF!</f>
        <v>#REF!</v>
      </c>
      <c r="AW409" s="315" t="e">
        <f>#REF!-#REF!</f>
        <v>#REF!</v>
      </c>
      <c r="AX409" s="315" t="e">
        <f>#REF!-#REF!</f>
        <v>#REF!</v>
      </c>
      <c r="AY409" s="315" t="e">
        <f>#REF!-#REF!</f>
        <v>#REF!</v>
      </c>
      <c r="AZ409" s="315" t="e">
        <f>#REF!-#REF!</f>
        <v>#REF!</v>
      </c>
      <c r="BA409" s="315" t="e">
        <f>#REF!-#REF!</f>
        <v>#REF!</v>
      </c>
      <c r="BB409" s="315" t="e">
        <f>#REF!-#REF!</f>
        <v>#REF!</v>
      </c>
      <c r="BC409" s="315" t="e">
        <f>#REF!-#REF!</f>
        <v>#REF!</v>
      </c>
      <c r="BD409" s="315" t="e">
        <f>#REF!-#REF!</f>
        <v>#REF!</v>
      </c>
      <c r="BE409" s="315" t="e">
        <f>#REF!-#REF!</f>
        <v>#REF!</v>
      </c>
      <c r="BF409" s="315" t="e">
        <f>#REF!-#REF!</f>
        <v>#REF!</v>
      </c>
      <c r="BG409" s="315" t="e">
        <f>#REF!-#REF!</f>
        <v>#REF!</v>
      </c>
      <c r="BH409" s="315" t="e">
        <f>#REF!-#REF!</f>
        <v>#REF!</v>
      </c>
      <c r="BI409" s="315" t="e">
        <f>#REF!-#REF!</f>
        <v>#REF!</v>
      </c>
      <c r="BJ409" s="315" t="e">
        <f>#REF!-#REF!</f>
        <v>#REF!</v>
      </c>
      <c r="BK409" s="315" t="e">
        <f>#REF!-#REF!</f>
        <v>#REF!</v>
      </c>
      <c r="BL409" s="315" t="e">
        <f>#REF!-#REF!</f>
        <v>#REF!</v>
      </c>
      <c r="BM409" s="315" t="e">
        <f>#REF!-#REF!</f>
        <v>#REF!</v>
      </c>
      <c r="BN409" s="315" t="e">
        <f>#REF!-#REF!</f>
        <v>#REF!</v>
      </c>
      <c r="BO409" s="315" t="e">
        <f>#REF!-#REF!</f>
        <v>#REF!</v>
      </c>
      <c r="BP409" s="315" t="e">
        <f>#REF!-#REF!</f>
        <v>#REF!</v>
      </c>
      <c r="BQ409" s="315" t="e">
        <f>#REF!-#REF!</f>
        <v>#REF!</v>
      </c>
      <c r="BR409" s="315" t="e">
        <f>#REF!-#REF!</f>
        <v>#REF!</v>
      </c>
      <c r="BS409" s="315" t="e">
        <f>#REF!-#REF!</f>
        <v>#REF!</v>
      </c>
      <c r="BT409" s="315" t="e">
        <f>#REF!-#REF!</f>
        <v>#REF!</v>
      </c>
      <c r="BU409" s="315" t="e">
        <f>#REF!-#REF!</f>
        <v>#REF!</v>
      </c>
      <c r="BV409" s="315" t="e">
        <f>#REF!-#REF!</f>
        <v>#REF!</v>
      </c>
      <c r="BW409" s="315" t="e">
        <f>#REF!-#REF!</f>
        <v>#REF!</v>
      </c>
      <c r="BX409" s="315" t="e">
        <f>#REF!-#REF!</f>
        <v>#REF!</v>
      </c>
      <c r="BZ409" s="315" t="e">
        <f>#REF!-#REF!</f>
        <v>#REF!</v>
      </c>
      <c r="CA409" s="315" t="e">
        <f>#REF!-#REF!</f>
        <v>#REF!</v>
      </c>
    </row>
    <row r="410" spans="4:135" hidden="1" x14ac:dyDescent="0.2">
      <c r="G410" s="315">
        <f t="shared" ref="G410:BR413" si="32">G16-BY16</f>
        <v>0</v>
      </c>
      <c r="H410" s="315">
        <f t="shared" si="32"/>
        <v>0</v>
      </c>
      <c r="I410" s="315">
        <f t="shared" si="32"/>
        <v>0</v>
      </c>
      <c r="J410" s="315">
        <f t="shared" si="32"/>
        <v>0</v>
      </c>
      <c r="K410" s="315">
        <f t="shared" si="32"/>
        <v>0</v>
      </c>
      <c r="L410" s="315">
        <f t="shared" si="32"/>
        <v>0</v>
      </c>
      <c r="M410" s="315">
        <f t="shared" si="32"/>
        <v>0</v>
      </c>
      <c r="N410" s="315">
        <f t="shared" si="32"/>
        <v>0</v>
      </c>
      <c r="O410" s="315">
        <f t="shared" si="32"/>
        <v>0</v>
      </c>
      <c r="P410" s="315">
        <f t="shared" si="32"/>
        <v>0</v>
      </c>
      <c r="Q410" s="315">
        <f t="shared" si="32"/>
        <v>0</v>
      </c>
      <c r="R410" s="315">
        <f t="shared" si="32"/>
        <v>0</v>
      </c>
      <c r="S410" s="315">
        <f t="shared" si="32"/>
        <v>0</v>
      </c>
      <c r="T410" s="315">
        <f t="shared" si="32"/>
        <v>0</v>
      </c>
      <c r="U410" s="315">
        <f t="shared" si="32"/>
        <v>0</v>
      </c>
      <c r="V410" s="315">
        <f t="shared" si="32"/>
        <v>0</v>
      </c>
      <c r="W410" s="315">
        <f t="shared" si="32"/>
        <v>0</v>
      </c>
      <c r="X410" s="315">
        <f t="shared" si="32"/>
        <v>0</v>
      </c>
      <c r="Y410" s="315">
        <f t="shared" si="32"/>
        <v>0</v>
      </c>
      <c r="Z410" s="315">
        <f t="shared" si="32"/>
        <v>0</v>
      </c>
      <c r="AA410" s="315">
        <f t="shared" si="32"/>
        <v>0</v>
      </c>
      <c r="AB410" s="315">
        <f t="shared" si="32"/>
        <v>0</v>
      </c>
      <c r="AC410" s="315">
        <f t="shared" si="32"/>
        <v>0</v>
      </c>
      <c r="AD410" s="315">
        <f t="shared" si="32"/>
        <v>0</v>
      </c>
      <c r="AE410" s="315">
        <f t="shared" si="32"/>
        <v>0</v>
      </c>
      <c r="AF410" s="315">
        <f t="shared" si="32"/>
        <v>0</v>
      </c>
      <c r="AG410" s="315">
        <f t="shared" si="32"/>
        <v>0</v>
      </c>
      <c r="AH410" s="315">
        <f t="shared" si="32"/>
        <v>0</v>
      </c>
      <c r="AI410" s="315">
        <f t="shared" si="32"/>
        <v>0</v>
      </c>
      <c r="AJ410" s="315">
        <f t="shared" si="32"/>
        <v>0</v>
      </c>
      <c r="AK410" s="315">
        <f t="shared" si="32"/>
        <v>0</v>
      </c>
      <c r="AL410" s="315">
        <f t="shared" si="32"/>
        <v>0</v>
      </c>
      <c r="AM410" s="315">
        <f t="shared" si="32"/>
        <v>0</v>
      </c>
      <c r="AN410" s="315">
        <f t="shared" si="32"/>
        <v>0</v>
      </c>
      <c r="AO410" s="315">
        <f t="shared" si="32"/>
        <v>0</v>
      </c>
      <c r="AP410" s="315">
        <f t="shared" si="32"/>
        <v>0</v>
      </c>
      <c r="AQ410" s="315">
        <f t="shared" si="32"/>
        <v>0</v>
      </c>
      <c r="AR410" s="315">
        <f t="shared" si="32"/>
        <v>0</v>
      </c>
      <c r="AS410" s="315">
        <f t="shared" si="32"/>
        <v>0</v>
      </c>
      <c r="AT410" s="315">
        <f t="shared" si="32"/>
        <v>0</v>
      </c>
      <c r="AU410" s="315">
        <f t="shared" si="32"/>
        <v>0</v>
      </c>
      <c r="AV410" s="315">
        <f t="shared" si="32"/>
        <v>0</v>
      </c>
      <c r="AW410" s="315">
        <f t="shared" si="32"/>
        <v>0</v>
      </c>
      <c r="AX410" s="315">
        <f t="shared" si="32"/>
        <v>0</v>
      </c>
      <c r="AY410" s="315">
        <f t="shared" si="32"/>
        <v>0</v>
      </c>
      <c r="AZ410" s="315">
        <f t="shared" si="32"/>
        <v>0</v>
      </c>
      <c r="BA410" s="315">
        <f t="shared" si="32"/>
        <v>0</v>
      </c>
      <c r="BB410" s="315">
        <f t="shared" si="32"/>
        <v>0</v>
      </c>
      <c r="BC410" s="315">
        <f t="shared" si="32"/>
        <v>0</v>
      </c>
      <c r="BD410" s="315">
        <f t="shared" si="32"/>
        <v>0</v>
      </c>
      <c r="BE410" s="315">
        <f t="shared" si="32"/>
        <v>0</v>
      </c>
      <c r="BF410" s="315">
        <f t="shared" si="32"/>
        <v>0</v>
      </c>
      <c r="BG410" s="315">
        <f t="shared" si="32"/>
        <v>0</v>
      </c>
      <c r="BH410" s="315">
        <f t="shared" si="32"/>
        <v>0</v>
      </c>
      <c r="BI410" s="315">
        <f t="shared" si="32"/>
        <v>0</v>
      </c>
      <c r="BJ410" s="315">
        <f t="shared" si="32"/>
        <v>0</v>
      </c>
      <c r="BK410" s="315">
        <f t="shared" si="32"/>
        <v>0</v>
      </c>
      <c r="BL410" s="315">
        <f t="shared" si="32"/>
        <v>0</v>
      </c>
      <c r="BM410" s="315">
        <f t="shared" si="32"/>
        <v>0</v>
      </c>
      <c r="BN410" s="315">
        <f t="shared" si="32"/>
        <v>0</v>
      </c>
      <c r="BO410" s="315">
        <f t="shared" si="32"/>
        <v>0</v>
      </c>
      <c r="BP410" s="315">
        <f t="shared" si="32"/>
        <v>0</v>
      </c>
      <c r="BQ410" s="315">
        <f t="shared" si="32"/>
        <v>0</v>
      </c>
      <c r="BR410" s="315">
        <f t="shared" si="32"/>
        <v>0</v>
      </c>
      <c r="BS410" s="315">
        <f t="shared" ref="BS410:BX418" si="33">BS16-EK16</f>
        <v>0</v>
      </c>
      <c r="BT410" s="315">
        <f t="shared" si="33"/>
        <v>0</v>
      </c>
      <c r="BU410" s="315">
        <f t="shared" si="33"/>
        <v>0</v>
      </c>
      <c r="BV410" s="315">
        <f t="shared" si="33"/>
        <v>0</v>
      </c>
      <c r="BW410" s="315">
        <f t="shared" si="33"/>
        <v>0</v>
      </c>
      <c r="BX410" s="315">
        <f t="shared" si="33"/>
        <v>0</v>
      </c>
      <c r="BZ410" s="315">
        <f t="shared" ref="BZ410:CA418" si="34">BZ16-ER16</f>
        <v>0</v>
      </c>
      <c r="CA410" s="315">
        <f t="shared" si="34"/>
        <v>0</v>
      </c>
    </row>
    <row r="411" spans="4:135" hidden="1" x14ac:dyDescent="0.2">
      <c r="G411" s="315">
        <f t="shared" si="32"/>
        <v>2749248</v>
      </c>
      <c r="H411" s="315">
        <f t="shared" si="32"/>
        <v>0</v>
      </c>
      <c r="I411" s="315">
        <f t="shared" si="32"/>
        <v>0</v>
      </c>
      <c r="J411" s="315">
        <f t="shared" si="32"/>
        <v>0</v>
      </c>
      <c r="K411" s="315">
        <f t="shared" si="32"/>
        <v>0</v>
      </c>
      <c r="L411" s="315">
        <f t="shared" si="32"/>
        <v>-8497467</v>
      </c>
      <c r="M411" s="315">
        <f t="shared" si="32"/>
        <v>0</v>
      </c>
      <c r="N411" s="315">
        <f t="shared" si="32"/>
        <v>0</v>
      </c>
      <c r="O411" s="315">
        <f t="shared" si="32"/>
        <v>0</v>
      </c>
      <c r="P411" s="315">
        <f t="shared" si="32"/>
        <v>0</v>
      </c>
      <c r="Q411" s="315">
        <f t="shared" si="32"/>
        <v>-794622</v>
      </c>
      <c r="R411" s="315">
        <f t="shared" si="32"/>
        <v>0</v>
      </c>
      <c r="S411" s="315">
        <f t="shared" si="32"/>
        <v>0</v>
      </c>
      <c r="T411" s="315">
        <f t="shared" si="32"/>
        <v>0</v>
      </c>
      <c r="U411" s="315">
        <f t="shared" si="32"/>
        <v>0</v>
      </c>
      <c r="V411" s="315">
        <f t="shared" si="32"/>
        <v>1818932</v>
      </c>
      <c r="W411" s="315">
        <f t="shared" si="32"/>
        <v>0</v>
      </c>
      <c r="X411" s="315">
        <f t="shared" si="32"/>
        <v>0</v>
      </c>
      <c r="Y411" s="315">
        <f t="shared" si="32"/>
        <v>0</v>
      </c>
      <c r="Z411" s="315">
        <f t="shared" si="32"/>
        <v>0</v>
      </c>
      <c r="AA411" s="315">
        <f t="shared" si="32"/>
        <v>19399721</v>
      </c>
      <c r="AB411" s="315">
        <f t="shared" si="32"/>
        <v>0</v>
      </c>
      <c r="AC411" s="315">
        <f t="shared" si="32"/>
        <v>0</v>
      </c>
      <c r="AD411" s="315">
        <f t="shared" si="32"/>
        <v>0</v>
      </c>
      <c r="AE411" s="315">
        <f t="shared" si="32"/>
        <v>0</v>
      </c>
      <c r="AF411" s="315">
        <f t="shared" si="32"/>
        <v>7888697</v>
      </c>
      <c r="AG411" s="315">
        <f t="shared" si="32"/>
        <v>0</v>
      </c>
      <c r="AH411" s="315">
        <f t="shared" si="32"/>
        <v>0</v>
      </c>
      <c r="AI411" s="315">
        <f t="shared" si="32"/>
        <v>0</v>
      </c>
      <c r="AJ411" s="315">
        <f t="shared" si="32"/>
        <v>0</v>
      </c>
      <c r="AK411" s="315">
        <f t="shared" si="32"/>
        <v>13609131</v>
      </c>
      <c r="AL411" s="315">
        <f t="shared" si="32"/>
        <v>0</v>
      </c>
      <c r="AM411" s="315">
        <f t="shared" si="32"/>
        <v>0</v>
      </c>
      <c r="AN411" s="315">
        <f t="shared" si="32"/>
        <v>0</v>
      </c>
      <c r="AO411" s="315">
        <f t="shared" si="32"/>
        <v>0</v>
      </c>
      <c r="AP411" s="315">
        <f t="shared" si="32"/>
        <v>643936</v>
      </c>
      <c r="AQ411" s="315">
        <f t="shared" si="32"/>
        <v>0</v>
      </c>
      <c r="AR411" s="315">
        <f t="shared" si="32"/>
        <v>0</v>
      </c>
      <c r="AS411" s="315">
        <f t="shared" si="32"/>
        <v>0</v>
      </c>
      <c r="AT411" s="315">
        <f t="shared" si="32"/>
        <v>0</v>
      </c>
      <c r="AU411" s="315">
        <f t="shared" si="32"/>
        <v>-23303905</v>
      </c>
      <c r="AV411" s="315">
        <f t="shared" si="32"/>
        <v>0</v>
      </c>
      <c r="AW411" s="315">
        <f t="shared" si="32"/>
        <v>0</v>
      </c>
      <c r="AX411" s="315">
        <f t="shared" si="32"/>
        <v>0</v>
      </c>
      <c r="AY411" s="315">
        <f t="shared" si="32"/>
        <v>0</v>
      </c>
      <c r="AZ411" s="315">
        <f t="shared" si="32"/>
        <v>-24962859</v>
      </c>
      <c r="BA411" s="315">
        <f t="shared" si="32"/>
        <v>0</v>
      </c>
      <c r="BB411" s="315">
        <f t="shared" si="32"/>
        <v>0</v>
      </c>
      <c r="BC411" s="315">
        <f t="shared" si="32"/>
        <v>0</v>
      </c>
      <c r="BD411" s="315">
        <f t="shared" si="32"/>
        <v>0</v>
      </c>
      <c r="BE411" s="315">
        <f t="shared" si="32"/>
        <v>-21654275</v>
      </c>
      <c r="BF411" s="315">
        <f t="shared" si="32"/>
        <v>0</v>
      </c>
      <c r="BG411" s="315">
        <f t="shared" si="32"/>
        <v>0</v>
      </c>
      <c r="BH411" s="315">
        <f t="shared" si="32"/>
        <v>0</v>
      </c>
      <c r="BI411" s="315">
        <f t="shared" si="32"/>
        <v>0</v>
      </c>
      <c r="BJ411" s="315">
        <f t="shared" si="32"/>
        <v>-28691924</v>
      </c>
      <c r="BK411" s="315">
        <f t="shared" si="32"/>
        <v>0</v>
      </c>
      <c r="BL411" s="315">
        <f t="shared" si="32"/>
        <v>0</v>
      </c>
      <c r="BM411" s="315">
        <f t="shared" si="32"/>
        <v>0</v>
      </c>
      <c r="BN411" s="315">
        <f t="shared" si="32"/>
        <v>0</v>
      </c>
      <c r="BO411" s="315">
        <f t="shared" si="32"/>
        <v>-28529070</v>
      </c>
      <c r="BP411" s="315">
        <f t="shared" si="32"/>
        <v>0</v>
      </c>
      <c r="BQ411" s="315">
        <f t="shared" si="32"/>
        <v>0</v>
      </c>
      <c r="BR411" s="315">
        <f t="shared" si="32"/>
        <v>0</v>
      </c>
      <c r="BS411" s="315">
        <f t="shared" si="33"/>
        <v>0</v>
      </c>
      <c r="BT411" s="315">
        <f t="shared" si="33"/>
        <v>34068328</v>
      </c>
      <c r="BU411" s="315">
        <f t="shared" si="33"/>
        <v>0</v>
      </c>
      <c r="BV411" s="315">
        <f t="shared" si="33"/>
        <v>0</v>
      </c>
      <c r="BW411" s="315">
        <f t="shared" si="33"/>
        <v>0</v>
      </c>
      <c r="BX411" s="315">
        <f t="shared" si="33"/>
        <v>0</v>
      </c>
      <c r="BZ411" s="315">
        <f t="shared" si="34"/>
        <v>0</v>
      </c>
      <c r="CA411" s="315">
        <f t="shared" si="34"/>
        <v>0</v>
      </c>
    </row>
    <row r="412" spans="4:135" hidden="1" x14ac:dyDescent="0.2">
      <c r="G412" s="315">
        <f t="shared" si="32"/>
        <v>28912355</v>
      </c>
      <c r="H412" s="315">
        <f t="shared" si="32"/>
        <v>0</v>
      </c>
      <c r="I412" s="315">
        <f t="shared" si="32"/>
        <v>0</v>
      </c>
      <c r="J412" s="315">
        <f t="shared" si="32"/>
        <v>0</v>
      </c>
      <c r="K412" s="315">
        <f t="shared" si="32"/>
        <v>0</v>
      </c>
      <c r="L412" s="315">
        <f t="shared" si="32"/>
        <v>-6823405</v>
      </c>
      <c r="M412" s="315">
        <f t="shared" si="32"/>
        <v>0</v>
      </c>
      <c r="N412" s="315">
        <f t="shared" si="32"/>
        <v>0</v>
      </c>
      <c r="O412" s="315">
        <f t="shared" si="32"/>
        <v>0</v>
      </c>
      <c r="P412" s="315">
        <f t="shared" si="32"/>
        <v>0</v>
      </c>
      <c r="Q412" s="315">
        <f t="shared" si="32"/>
        <v>-34740</v>
      </c>
      <c r="R412" s="315">
        <f t="shared" si="32"/>
        <v>0</v>
      </c>
      <c r="S412" s="315">
        <f t="shared" si="32"/>
        <v>0</v>
      </c>
      <c r="T412" s="315">
        <f t="shared" si="32"/>
        <v>0</v>
      </c>
      <c r="U412" s="315">
        <f t="shared" si="32"/>
        <v>0</v>
      </c>
      <c r="V412" s="315">
        <f t="shared" si="32"/>
        <v>-106065</v>
      </c>
      <c r="W412" s="315">
        <f t="shared" si="32"/>
        <v>0</v>
      </c>
      <c r="X412" s="315">
        <f t="shared" si="32"/>
        <v>0</v>
      </c>
      <c r="Y412" s="315">
        <f t="shared" si="32"/>
        <v>0</v>
      </c>
      <c r="Z412" s="315">
        <f t="shared" si="32"/>
        <v>0</v>
      </c>
      <c r="AA412" s="315">
        <f t="shared" si="32"/>
        <v>17260702</v>
      </c>
      <c r="AB412" s="315">
        <f t="shared" si="32"/>
        <v>0</v>
      </c>
      <c r="AC412" s="315">
        <f t="shared" si="32"/>
        <v>0</v>
      </c>
      <c r="AD412" s="315">
        <f t="shared" si="32"/>
        <v>0</v>
      </c>
      <c r="AE412" s="315">
        <f t="shared" si="32"/>
        <v>0</v>
      </c>
      <c r="AF412" s="315">
        <f t="shared" si="32"/>
        <v>5688535</v>
      </c>
      <c r="AG412" s="315">
        <f t="shared" si="32"/>
        <v>0</v>
      </c>
      <c r="AH412" s="315">
        <f t="shared" si="32"/>
        <v>0</v>
      </c>
      <c r="AI412" s="315">
        <f t="shared" si="32"/>
        <v>0</v>
      </c>
      <c r="AJ412" s="315">
        <f t="shared" si="32"/>
        <v>0</v>
      </c>
      <c r="AK412" s="315">
        <f t="shared" si="32"/>
        <v>12213987</v>
      </c>
      <c r="AL412" s="315">
        <f t="shared" si="32"/>
        <v>0</v>
      </c>
      <c r="AM412" s="315">
        <f t="shared" si="32"/>
        <v>0</v>
      </c>
      <c r="AN412" s="315">
        <f t="shared" si="32"/>
        <v>0</v>
      </c>
      <c r="AO412" s="315">
        <f t="shared" si="32"/>
        <v>0</v>
      </c>
      <c r="AP412" s="315">
        <f t="shared" si="32"/>
        <v>679460</v>
      </c>
      <c r="AQ412" s="315">
        <f t="shared" si="32"/>
        <v>0</v>
      </c>
      <c r="AR412" s="315">
        <f t="shared" si="32"/>
        <v>0</v>
      </c>
      <c r="AS412" s="315">
        <f t="shared" si="32"/>
        <v>0</v>
      </c>
      <c r="AT412" s="315">
        <f t="shared" si="32"/>
        <v>0</v>
      </c>
      <c r="AU412" s="315">
        <f t="shared" si="32"/>
        <v>-18397319</v>
      </c>
      <c r="AV412" s="315">
        <f t="shared" si="32"/>
        <v>0</v>
      </c>
      <c r="AW412" s="315">
        <f t="shared" si="32"/>
        <v>0</v>
      </c>
      <c r="AX412" s="315">
        <f t="shared" si="32"/>
        <v>0</v>
      </c>
      <c r="AY412" s="315">
        <f t="shared" si="32"/>
        <v>0</v>
      </c>
      <c r="AZ412" s="315">
        <f t="shared" si="32"/>
        <v>-18587367</v>
      </c>
      <c r="BA412" s="315">
        <f t="shared" si="32"/>
        <v>0</v>
      </c>
      <c r="BB412" s="315">
        <f t="shared" si="32"/>
        <v>0</v>
      </c>
      <c r="BC412" s="315">
        <f t="shared" si="32"/>
        <v>0</v>
      </c>
      <c r="BD412" s="315">
        <f t="shared" si="32"/>
        <v>0</v>
      </c>
      <c r="BE412" s="315">
        <f t="shared" si="32"/>
        <v>-17193465</v>
      </c>
      <c r="BF412" s="315">
        <f t="shared" si="32"/>
        <v>0</v>
      </c>
      <c r="BG412" s="315">
        <f t="shared" si="32"/>
        <v>0</v>
      </c>
      <c r="BH412" s="315">
        <f t="shared" si="32"/>
        <v>0</v>
      </c>
      <c r="BI412" s="315">
        <f t="shared" si="32"/>
        <v>0</v>
      </c>
      <c r="BJ412" s="315">
        <f t="shared" si="32"/>
        <v>-23509279</v>
      </c>
      <c r="BK412" s="315">
        <f t="shared" si="32"/>
        <v>0</v>
      </c>
      <c r="BL412" s="315">
        <f t="shared" si="32"/>
        <v>0</v>
      </c>
      <c r="BM412" s="315">
        <f t="shared" si="32"/>
        <v>0</v>
      </c>
      <c r="BN412" s="315">
        <f t="shared" si="32"/>
        <v>0</v>
      </c>
      <c r="BO412" s="315">
        <f t="shared" si="32"/>
        <v>-23579973</v>
      </c>
      <c r="BP412" s="315">
        <f t="shared" si="32"/>
        <v>0</v>
      </c>
      <c r="BQ412" s="315">
        <f t="shared" si="32"/>
        <v>0</v>
      </c>
      <c r="BR412" s="315">
        <f t="shared" si="32"/>
        <v>0</v>
      </c>
      <c r="BS412" s="315">
        <f t="shared" si="33"/>
        <v>0</v>
      </c>
      <c r="BT412" s="315">
        <f t="shared" si="33"/>
        <v>28878474</v>
      </c>
      <c r="BU412" s="315">
        <f t="shared" si="33"/>
        <v>0</v>
      </c>
      <c r="BV412" s="315">
        <f t="shared" si="33"/>
        <v>0</v>
      </c>
      <c r="BW412" s="315">
        <f t="shared" si="33"/>
        <v>0</v>
      </c>
      <c r="BX412" s="315">
        <f t="shared" si="33"/>
        <v>0</v>
      </c>
      <c r="BZ412" s="315">
        <f t="shared" si="34"/>
        <v>0</v>
      </c>
      <c r="CA412" s="315">
        <f t="shared" si="34"/>
        <v>0</v>
      </c>
    </row>
    <row r="413" spans="4:135" hidden="1" x14ac:dyDescent="0.2">
      <c r="G413" s="315">
        <f t="shared" si="32"/>
        <v>-3217626</v>
      </c>
      <c r="H413" s="315">
        <f t="shared" si="32"/>
        <v>0</v>
      </c>
      <c r="I413" s="315">
        <f t="shared" si="32"/>
        <v>0</v>
      </c>
      <c r="J413" s="315">
        <f t="shared" si="32"/>
        <v>0</v>
      </c>
      <c r="K413" s="315">
        <f t="shared" si="32"/>
        <v>0</v>
      </c>
      <c r="L413" s="315">
        <f t="shared" si="32"/>
        <v>-2287368</v>
      </c>
      <c r="M413" s="315">
        <f t="shared" si="32"/>
        <v>0</v>
      </c>
      <c r="N413" s="315">
        <f t="shared" si="32"/>
        <v>0</v>
      </c>
      <c r="O413" s="315">
        <f t="shared" si="32"/>
        <v>0</v>
      </c>
      <c r="P413" s="315">
        <f t="shared" si="32"/>
        <v>0</v>
      </c>
      <c r="Q413" s="315">
        <f t="shared" si="32"/>
        <v>-129454</v>
      </c>
      <c r="R413" s="315">
        <f t="shared" si="32"/>
        <v>0</v>
      </c>
      <c r="S413" s="315">
        <f t="shared" si="32"/>
        <v>0</v>
      </c>
      <c r="T413" s="315">
        <f t="shared" si="32"/>
        <v>0</v>
      </c>
      <c r="U413" s="315">
        <f t="shared" si="32"/>
        <v>0</v>
      </c>
      <c r="V413" s="315">
        <f t="shared" si="32"/>
        <v>1502564</v>
      </c>
      <c r="W413" s="315">
        <f t="shared" si="32"/>
        <v>0</v>
      </c>
      <c r="X413" s="315">
        <f t="shared" si="32"/>
        <v>0</v>
      </c>
      <c r="Y413" s="315">
        <f t="shared" si="32"/>
        <v>0</v>
      </c>
      <c r="Z413" s="315">
        <f t="shared" si="32"/>
        <v>0</v>
      </c>
      <c r="AA413" s="315">
        <f t="shared" si="32"/>
        <v>2134378</v>
      </c>
      <c r="AB413" s="315">
        <f t="shared" si="32"/>
        <v>0</v>
      </c>
      <c r="AC413" s="315">
        <f t="shared" si="32"/>
        <v>0</v>
      </c>
      <c r="AD413" s="315">
        <f t="shared" si="32"/>
        <v>0</v>
      </c>
      <c r="AE413" s="315">
        <f t="shared" si="32"/>
        <v>0</v>
      </c>
      <c r="AF413" s="315">
        <f t="shared" si="32"/>
        <v>1459595</v>
      </c>
      <c r="AG413" s="315">
        <f t="shared" si="32"/>
        <v>0</v>
      </c>
      <c r="AH413" s="315">
        <f t="shared" si="32"/>
        <v>0</v>
      </c>
      <c r="AI413" s="315">
        <f t="shared" si="32"/>
        <v>0</v>
      </c>
      <c r="AJ413" s="315">
        <f t="shared" si="32"/>
        <v>0</v>
      </c>
      <c r="AK413" s="315">
        <f t="shared" si="32"/>
        <v>1506772</v>
      </c>
      <c r="AL413" s="315">
        <f t="shared" si="32"/>
        <v>0</v>
      </c>
      <c r="AM413" s="315">
        <f t="shared" si="32"/>
        <v>0</v>
      </c>
      <c r="AN413" s="315">
        <f t="shared" si="32"/>
        <v>0</v>
      </c>
      <c r="AO413" s="315">
        <f t="shared" si="32"/>
        <v>0</v>
      </c>
      <c r="AP413" s="315">
        <f t="shared" si="32"/>
        <v>-304560</v>
      </c>
      <c r="AQ413" s="315">
        <f t="shared" si="32"/>
        <v>0</v>
      </c>
      <c r="AR413" s="315">
        <f t="shared" si="32"/>
        <v>0</v>
      </c>
      <c r="AS413" s="315">
        <f t="shared" si="32"/>
        <v>0</v>
      </c>
      <c r="AT413" s="315">
        <f t="shared" si="32"/>
        <v>0</v>
      </c>
      <c r="AU413" s="315">
        <f t="shared" si="32"/>
        <v>-3339881</v>
      </c>
      <c r="AV413" s="315">
        <f t="shared" si="32"/>
        <v>0</v>
      </c>
      <c r="AW413" s="315">
        <f t="shared" si="32"/>
        <v>0</v>
      </c>
      <c r="AX413" s="315">
        <f t="shared" si="32"/>
        <v>0</v>
      </c>
      <c r="AY413" s="315">
        <f t="shared" si="32"/>
        <v>0</v>
      </c>
      <c r="AZ413" s="315">
        <f t="shared" si="32"/>
        <v>-4186870</v>
      </c>
      <c r="BA413" s="315">
        <f t="shared" si="32"/>
        <v>0</v>
      </c>
      <c r="BB413" s="315">
        <f t="shared" si="32"/>
        <v>0</v>
      </c>
      <c r="BC413" s="315">
        <f t="shared" si="32"/>
        <v>0</v>
      </c>
      <c r="BD413" s="315">
        <f t="shared" si="32"/>
        <v>0</v>
      </c>
      <c r="BE413" s="315">
        <f t="shared" si="32"/>
        <v>-2875651</v>
      </c>
      <c r="BF413" s="315">
        <f t="shared" si="32"/>
        <v>0</v>
      </c>
      <c r="BG413" s="315">
        <f t="shared" si="32"/>
        <v>0</v>
      </c>
      <c r="BH413" s="315">
        <f t="shared" si="32"/>
        <v>0</v>
      </c>
      <c r="BI413" s="315">
        <f t="shared" si="32"/>
        <v>0</v>
      </c>
      <c r="BJ413" s="315">
        <f t="shared" si="32"/>
        <v>-3208682</v>
      </c>
      <c r="BK413" s="315">
        <f t="shared" si="32"/>
        <v>0</v>
      </c>
      <c r="BL413" s="315">
        <f t="shared" si="32"/>
        <v>0</v>
      </c>
      <c r="BM413" s="315">
        <f t="shared" si="32"/>
        <v>0</v>
      </c>
      <c r="BN413" s="315">
        <f t="shared" si="32"/>
        <v>0</v>
      </c>
      <c r="BO413" s="315">
        <f t="shared" si="32"/>
        <v>-3095740</v>
      </c>
      <c r="BP413" s="315">
        <f t="shared" si="32"/>
        <v>0</v>
      </c>
      <c r="BQ413" s="315">
        <f t="shared" si="32"/>
        <v>0</v>
      </c>
      <c r="BR413" s="315">
        <f t="shared" ref="BR413:BR418" si="35">BR19-EJ19</f>
        <v>0</v>
      </c>
      <c r="BS413" s="315">
        <f t="shared" si="33"/>
        <v>0</v>
      </c>
      <c r="BT413" s="315">
        <f t="shared" si="33"/>
        <v>3881927</v>
      </c>
      <c r="BU413" s="315">
        <f t="shared" si="33"/>
        <v>0</v>
      </c>
      <c r="BV413" s="315">
        <f t="shared" si="33"/>
        <v>0</v>
      </c>
      <c r="BW413" s="315">
        <f t="shared" si="33"/>
        <v>0</v>
      </c>
      <c r="BX413" s="315">
        <f t="shared" si="33"/>
        <v>0</v>
      </c>
      <c r="BZ413" s="315">
        <f t="shared" si="34"/>
        <v>0</v>
      </c>
      <c r="CA413" s="315">
        <f t="shared" si="34"/>
        <v>0</v>
      </c>
    </row>
    <row r="414" spans="4:135" hidden="1" x14ac:dyDescent="0.2">
      <c r="G414" s="315">
        <f t="shared" ref="G414:BQ418" si="36">G20-BY20</f>
        <v>1380512</v>
      </c>
      <c r="H414" s="315">
        <f t="shared" si="36"/>
        <v>0</v>
      </c>
      <c r="I414" s="315">
        <f t="shared" si="36"/>
        <v>0</v>
      </c>
      <c r="J414" s="315">
        <f t="shared" si="36"/>
        <v>0</v>
      </c>
      <c r="K414" s="315">
        <f t="shared" si="36"/>
        <v>0</v>
      </c>
      <c r="L414" s="315">
        <f t="shared" si="36"/>
        <v>493</v>
      </c>
      <c r="M414" s="315">
        <f t="shared" si="36"/>
        <v>0</v>
      </c>
      <c r="N414" s="315">
        <f t="shared" si="36"/>
        <v>0</v>
      </c>
      <c r="O414" s="315">
        <f t="shared" si="36"/>
        <v>0</v>
      </c>
      <c r="P414" s="315">
        <f t="shared" si="36"/>
        <v>0</v>
      </c>
      <c r="Q414" s="315">
        <f t="shared" si="36"/>
        <v>193807</v>
      </c>
      <c r="R414" s="315">
        <f t="shared" si="36"/>
        <v>0</v>
      </c>
      <c r="S414" s="315">
        <f t="shared" si="36"/>
        <v>0</v>
      </c>
      <c r="T414" s="315">
        <f t="shared" si="36"/>
        <v>0</v>
      </c>
      <c r="U414" s="315">
        <f t="shared" si="36"/>
        <v>0</v>
      </c>
      <c r="V414" s="315">
        <f t="shared" si="36"/>
        <v>200</v>
      </c>
      <c r="W414" s="315">
        <f t="shared" si="36"/>
        <v>0</v>
      </c>
      <c r="X414" s="315">
        <f t="shared" si="36"/>
        <v>0</v>
      </c>
      <c r="Y414" s="315">
        <f t="shared" si="36"/>
        <v>0</v>
      </c>
      <c r="Z414" s="315">
        <f t="shared" si="36"/>
        <v>0</v>
      </c>
      <c r="AA414" s="315">
        <f t="shared" si="36"/>
        <v>182826</v>
      </c>
      <c r="AB414" s="315">
        <f t="shared" si="36"/>
        <v>0</v>
      </c>
      <c r="AC414" s="315">
        <f t="shared" si="36"/>
        <v>0</v>
      </c>
      <c r="AD414" s="315">
        <f t="shared" si="36"/>
        <v>0</v>
      </c>
      <c r="AE414" s="315">
        <f t="shared" si="36"/>
        <v>0</v>
      </c>
      <c r="AF414" s="315">
        <f t="shared" si="36"/>
        <v>-27779</v>
      </c>
      <c r="AG414" s="315">
        <f t="shared" si="36"/>
        <v>0</v>
      </c>
      <c r="AH414" s="315">
        <f t="shared" si="36"/>
        <v>0</v>
      </c>
      <c r="AI414" s="315">
        <f t="shared" si="36"/>
        <v>0</v>
      </c>
      <c r="AJ414" s="315">
        <f t="shared" si="36"/>
        <v>0</v>
      </c>
      <c r="AK414" s="315">
        <f t="shared" si="36"/>
        <v>-116280</v>
      </c>
      <c r="AL414" s="315">
        <f t="shared" si="36"/>
        <v>0</v>
      </c>
      <c r="AM414" s="315">
        <f t="shared" si="36"/>
        <v>0</v>
      </c>
      <c r="AN414" s="315">
        <f t="shared" si="36"/>
        <v>0</v>
      </c>
      <c r="AO414" s="315">
        <f t="shared" si="36"/>
        <v>0</v>
      </c>
      <c r="AP414" s="315">
        <f t="shared" si="36"/>
        <v>-158830</v>
      </c>
      <c r="AQ414" s="315">
        <f t="shared" si="36"/>
        <v>0</v>
      </c>
      <c r="AR414" s="315">
        <f t="shared" si="36"/>
        <v>0</v>
      </c>
      <c r="AS414" s="315">
        <f t="shared" si="36"/>
        <v>0</v>
      </c>
      <c r="AT414" s="315">
        <f t="shared" si="36"/>
        <v>0</v>
      </c>
      <c r="AU414" s="315">
        <f t="shared" si="36"/>
        <v>18</v>
      </c>
      <c r="AV414" s="315">
        <f t="shared" si="36"/>
        <v>0</v>
      </c>
      <c r="AW414" s="315">
        <f t="shared" si="36"/>
        <v>0</v>
      </c>
      <c r="AX414" s="315">
        <f t="shared" si="36"/>
        <v>0</v>
      </c>
      <c r="AY414" s="315">
        <f t="shared" si="36"/>
        <v>0</v>
      </c>
      <c r="AZ414" s="315">
        <f t="shared" si="36"/>
        <v>0</v>
      </c>
      <c r="BA414" s="315">
        <f t="shared" si="36"/>
        <v>0</v>
      </c>
      <c r="BB414" s="315">
        <f t="shared" si="36"/>
        <v>0</v>
      </c>
      <c r="BC414" s="315">
        <f t="shared" si="36"/>
        <v>0</v>
      </c>
      <c r="BD414" s="315">
        <f t="shared" si="36"/>
        <v>0</v>
      </c>
      <c r="BE414" s="315">
        <f t="shared" si="36"/>
        <v>361232</v>
      </c>
      <c r="BF414" s="315">
        <f t="shared" si="36"/>
        <v>0</v>
      </c>
      <c r="BG414" s="315">
        <f t="shared" si="36"/>
        <v>0</v>
      </c>
      <c r="BH414" s="315">
        <f t="shared" si="36"/>
        <v>0</v>
      </c>
      <c r="BI414" s="315">
        <f t="shared" si="36"/>
        <v>0</v>
      </c>
      <c r="BJ414" s="315">
        <f t="shared" si="36"/>
        <v>209896</v>
      </c>
      <c r="BK414" s="315">
        <f t="shared" si="36"/>
        <v>0</v>
      </c>
      <c r="BL414" s="315">
        <f t="shared" si="36"/>
        <v>0</v>
      </c>
      <c r="BM414" s="315">
        <f t="shared" si="36"/>
        <v>0</v>
      </c>
      <c r="BN414" s="315">
        <f t="shared" si="36"/>
        <v>0</v>
      </c>
      <c r="BO414" s="315">
        <f t="shared" si="36"/>
        <v>432040</v>
      </c>
      <c r="BP414" s="315">
        <f t="shared" si="36"/>
        <v>0</v>
      </c>
      <c r="BQ414" s="315">
        <f t="shared" si="36"/>
        <v>0</v>
      </c>
      <c r="BR414" s="315">
        <f t="shared" si="35"/>
        <v>0</v>
      </c>
      <c r="BS414" s="315">
        <f t="shared" si="33"/>
        <v>0</v>
      </c>
      <c r="BT414" s="315">
        <f t="shared" si="33"/>
        <v>74437</v>
      </c>
      <c r="BU414" s="315">
        <f t="shared" si="33"/>
        <v>0</v>
      </c>
      <c r="BV414" s="315">
        <f t="shared" si="33"/>
        <v>0</v>
      </c>
      <c r="BW414" s="315">
        <f t="shared" si="33"/>
        <v>0</v>
      </c>
      <c r="BX414" s="315">
        <f t="shared" si="33"/>
        <v>0</v>
      </c>
      <c r="BZ414" s="315">
        <f t="shared" si="34"/>
        <v>0</v>
      </c>
      <c r="CA414" s="315">
        <f t="shared" si="34"/>
        <v>0</v>
      </c>
    </row>
    <row r="415" spans="4:135" hidden="1" x14ac:dyDescent="0.2">
      <c r="G415" s="315">
        <f t="shared" si="36"/>
        <v>-24325993</v>
      </c>
      <c r="H415" s="315">
        <f t="shared" si="36"/>
        <v>0</v>
      </c>
      <c r="I415" s="315">
        <f t="shared" si="36"/>
        <v>0</v>
      </c>
      <c r="J415" s="315">
        <f t="shared" si="36"/>
        <v>0</v>
      </c>
      <c r="K415" s="315">
        <f t="shared" si="36"/>
        <v>0</v>
      </c>
      <c r="L415" s="315">
        <f t="shared" si="36"/>
        <v>612813</v>
      </c>
      <c r="M415" s="315">
        <f t="shared" si="36"/>
        <v>0</v>
      </c>
      <c r="N415" s="315">
        <f t="shared" si="36"/>
        <v>0</v>
      </c>
      <c r="O415" s="315">
        <f t="shared" si="36"/>
        <v>0</v>
      </c>
      <c r="P415" s="315">
        <f t="shared" si="36"/>
        <v>0</v>
      </c>
      <c r="Q415" s="315">
        <f t="shared" si="36"/>
        <v>-824235</v>
      </c>
      <c r="R415" s="315">
        <f t="shared" si="36"/>
        <v>0</v>
      </c>
      <c r="S415" s="315">
        <f t="shared" si="36"/>
        <v>0</v>
      </c>
      <c r="T415" s="315">
        <f t="shared" si="36"/>
        <v>0</v>
      </c>
      <c r="U415" s="315">
        <f t="shared" si="36"/>
        <v>0</v>
      </c>
      <c r="V415" s="315">
        <f t="shared" si="36"/>
        <v>422233</v>
      </c>
      <c r="W415" s="315">
        <f t="shared" si="36"/>
        <v>0</v>
      </c>
      <c r="X415" s="315">
        <f t="shared" si="36"/>
        <v>0</v>
      </c>
      <c r="Y415" s="315">
        <f t="shared" si="36"/>
        <v>0</v>
      </c>
      <c r="Z415" s="315">
        <f t="shared" si="36"/>
        <v>0</v>
      </c>
      <c r="AA415" s="315">
        <f t="shared" si="36"/>
        <v>-178185</v>
      </c>
      <c r="AB415" s="315">
        <f t="shared" si="36"/>
        <v>0</v>
      </c>
      <c r="AC415" s="315">
        <f t="shared" si="36"/>
        <v>0</v>
      </c>
      <c r="AD415" s="315">
        <f t="shared" si="36"/>
        <v>0</v>
      </c>
      <c r="AE415" s="315">
        <f t="shared" si="36"/>
        <v>0</v>
      </c>
      <c r="AF415" s="315">
        <f t="shared" si="36"/>
        <v>768346</v>
      </c>
      <c r="AG415" s="315">
        <f t="shared" si="36"/>
        <v>0</v>
      </c>
      <c r="AH415" s="315">
        <f t="shared" si="36"/>
        <v>0</v>
      </c>
      <c r="AI415" s="315">
        <f t="shared" si="36"/>
        <v>0</v>
      </c>
      <c r="AJ415" s="315">
        <f t="shared" si="36"/>
        <v>0</v>
      </c>
      <c r="AK415" s="315">
        <f t="shared" si="36"/>
        <v>4652</v>
      </c>
      <c r="AL415" s="315">
        <f t="shared" si="36"/>
        <v>0</v>
      </c>
      <c r="AM415" s="315">
        <f t="shared" si="36"/>
        <v>0</v>
      </c>
      <c r="AN415" s="315">
        <f t="shared" si="36"/>
        <v>0</v>
      </c>
      <c r="AO415" s="315">
        <f t="shared" si="36"/>
        <v>0</v>
      </c>
      <c r="AP415" s="315">
        <f t="shared" si="36"/>
        <v>427866</v>
      </c>
      <c r="AQ415" s="315">
        <f t="shared" si="36"/>
        <v>0</v>
      </c>
      <c r="AR415" s="315">
        <f t="shared" si="36"/>
        <v>0</v>
      </c>
      <c r="AS415" s="315">
        <f t="shared" si="36"/>
        <v>0</v>
      </c>
      <c r="AT415" s="315">
        <f t="shared" si="36"/>
        <v>0</v>
      </c>
      <c r="AU415" s="315">
        <f t="shared" si="36"/>
        <v>-1566723</v>
      </c>
      <c r="AV415" s="315">
        <f t="shared" si="36"/>
        <v>0</v>
      </c>
      <c r="AW415" s="315">
        <f t="shared" si="36"/>
        <v>0</v>
      </c>
      <c r="AX415" s="315">
        <f t="shared" si="36"/>
        <v>0</v>
      </c>
      <c r="AY415" s="315">
        <f t="shared" si="36"/>
        <v>0</v>
      </c>
      <c r="AZ415" s="315">
        <f t="shared" si="36"/>
        <v>-2188622</v>
      </c>
      <c r="BA415" s="315">
        <f t="shared" si="36"/>
        <v>0</v>
      </c>
      <c r="BB415" s="315">
        <f t="shared" si="36"/>
        <v>0</v>
      </c>
      <c r="BC415" s="315">
        <f t="shared" si="36"/>
        <v>0</v>
      </c>
      <c r="BD415" s="315">
        <f t="shared" si="36"/>
        <v>0</v>
      </c>
      <c r="BE415" s="315">
        <f t="shared" si="36"/>
        <v>-1946391</v>
      </c>
      <c r="BF415" s="315">
        <f t="shared" si="36"/>
        <v>0</v>
      </c>
      <c r="BG415" s="315">
        <f t="shared" si="36"/>
        <v>0</v>
      </c>
      <c r="BH415" s="315">
        <f t="shared" si="36"/>
        <v>0</v>
      </c>
      <c r="BI415" s="315">
        <f t="shared" si="36"/>
        <v>0</v>
      </c>
      <c r="BJ415" s="315">
        <f t="shared" si="36"/>
        <v>-2183859</v>
      </c>
      <c r="BK415" s="315">
        <f t="shared" si="36"/>
        <v>0</v>
      </c>
      <c r="BL415" s="315">
        <f t="shared" si="36"/>
        <v>0</v>
      </c>
      <c r="BM415" s="315">
        <f t="shared" si="36"/>
        <v>0</v>
      </c>
      <c r="BN415" s="315">
        <f t="shared" si="36"/>
        <v>0</v>
      </c>
      <c r="BO415" s="315">
        <f t="shared" si="36"/>
        <v>-2285397</v>
      </c>
      <c r="BP415" s="315">
        <f t="shared" si="36"/>
        <v>0</v>
      </c>
      <c r="BQ415" s="315">
        <f t="shared" si="36"/>
        <v>0</v>
      </c>
      <c r="BR415" s="315">
        <f t="shared" si="35"/>
        <v>0</v>
      </c>
      <c r="BS415" s="315">
        <f t="shared" si="33"/>
        <v>0</v>
      </c>
      <c r="BT415" s="315">
        <f t="shared" si="33"/>
        <v>1233490</v>
      </c>
      <c r="BU415" s="315">
        <f t="shared" si="33"/>
        <v>0</v>
      </c>
      <c r="BV415" s="315">
        <f t="shared" si="33"/>
        <v>0</v>
      </c>
      <c r="BW415" s="315">
        <f t="shared" si="33"/>
        <v>0</v>
      </c>
      <c r="BX415" s="315">
        <f t="shared" si="33"/>
        <v>0</v>
      </c>
      <c r="BZ415" s="315">
        <f t="shared" si="34"/>
        <v>0</v>
      </c>
      <c r="CA415" s="315">
        <f t="shared" si="34"/>
        <v>0</v>
      </c>
    </row>
    <row r="416" spans="4:135" hidden="1" x14ac:dyDescent="0.2">
      <c r="G416" s="315">
        <f t="shared" si="36"/>
        <v>0</v>
      </c>
      <c r="H416" s="315">
        <f t="shared" si="36"/>
        <v>0</v>
      </c>
      <c r="I416" s="315">
        <f t="shared" si="36"/>
        <v>0</v>
      </c>
      <c r="J416" s="315">
        <f t="shared" si="36"/>
        <v>0</v>
      </c>
      <c r="K416" s="315">
        <f t="shared" si="36"/>
        <v>0</v>
      </c>
      <c r="L416" s="315">
        <f t="shared" si="36"/>
        <v>0</v>
      </c>
      <c r="M416" s="315">
        <f t="shared" si="36"/>
        <v>0</v>
      </c>
      <c r="N416" s="315">
        <f t="shared" si="36"/>
        <v>0</v>
      </c>
      <c r="O416" s="315">
        <f t="shared" si="36"/>
        <v>0</v>
      </c>
      <c r="P416" s="315">
        <f t="shared" si="36"/>
        <v>0</v>
      </c>
      <c r="Q416" s="315">
        <f t="shared" si="36"/>
        <v>0</v>
      </c>
      <c r="R416" s="315">
        <f t="shared" si="36"/>
        <v>0</v>
      </c>
      <c r="S416" s="315">
        <f t="shared" si="36"/>
        <v>0</v>
      </c>
      <c r="T416" s="315">
        <f t="shared" si="36"/>
        <v>0</v>
      </c>
      <c r="U416" s="315">
        <f t="shared" si="36"/>
        <v>0</v>
      </c>
      <c r="V416" s="315">
        <f t="shared" si="36"/>
        <v>0</v>
      </c>
      <c r="W416" s="315">
        <f t="shared" si="36"/>
        <v>0</v>
      </c>
      <c r="X416" s="315">
        <f t="shared" si="36"/>
        <v>0</v>
      </c>
      <c r="Y416" s="315">
        <f t="shared" si="36"/>
        <v>0</v>
      </c>
      <c r="Z416" s="315">
        <f t="shared" si="36"/>
        <v>0</v>
      </c>
      <c r="AA416" s="315">
        <f t="shared" si="36"/>
        <v>0</v>
      </c>
      <c r="AB416" s="315">
        <f t="shared" si="36"/>
        <v>0</v>
      </c>
      <c r="AC416" s="315">
        <f t="shared" si="36"/>
        <v>0</v>
      </c>
      <c r="AD416" s="315">
        <f t="shared" si="36"/>
        <v>0</v>
      </c>
      <c r="AE416" s="315">
        <f t="shared" si="36"/>
        <v>0</v>
      </c>
      <c r="AF416" s="315">
        <f t="shared" si="36"/>
        <v>0</v>
      </c>
      <c r="AG416" s="315">
        <f t="shared" si="36"/>
        <v>0</v>
      </c>
      <c r="AH416" s="315">
        <f t="shared" si="36"/>
        <v>0</v>
      </c>
      <c r="AI416" s="315">
        <f t="shared" si="36"/>
        <v>0</v>
      </c>
      <c r="AJ416" s="315">
        <f t="shared" si="36"/>
        <v>0</v>
      </c>
      <c r="AK416" s="315">
        <f t="shared" si="36"/>
        <v>0</v>
      </c>
      <c r="AL416" s="315">
        <f t="shared" si="36"/>
        <v>0</v>
      </c>
      <c r="AM416" s="315">
        <f t="shared" si="36"/>
        <v>0</v>
      </c>
      <c r="AN416" s="315">
        <f t="shared" si="36"/>
        <v>0</v>
      </c>
      <c r="AO416" s="315">
        <f t="shared" si="36"/>
        <v>0</v>
      </c>
      <c r="AP416" s="315">
        <f t="shared" si="36"/>
        <v>0</v>
      </c>
      <c r="AQ416" s="315">
        <f t="shared" si="36"/>
        <v>0</v>
      </c>
      <c r="AR416" s="315">
        <f t="shared" si="36"/>
        <v>0</v>
      </c>
      <c r="AS416" s="315">
        <f t="shared" si="36"/>
        <v>0</v>
      </c>
      <c r="AT416" s="315">
        <f t="shared" si="36"/>
        <v>0</v>
      </c>
      <c r="AU416" s="315">
        <f t="shared" si="36"/>
        <v>0</v>
      </c>
      <c r="AV416" s="315">
        <f t="shared" si="36"/>
        <v>0</v>
      </c>
      <c r="AW416" s="315">
        <f t="shared" si="36"/>
        <v>0</v>
      </c>
      <c r="AX416" s="315">
        <f t="shared" si="36"/>
        <v>0</v>
      </c>
      <c r="AY416" s="315">
        <f t="shared" si="36"/>
        <v>0</v>
      </c>
      <c r="AZ416" s="315">
        <f t="shared" si="36"/>
        <v>0</v>
      </c>
      <c r="BA416" s="315">
        <f t="shared" si="36"/>
        <v>0</v>
      </c>
      <c r="BB416" s="315">
        <f t="shared" si="36"/>
        <v>0</v>
      </c>
      <c r="BC416" s="315">
        <f t="shared" si="36"/>
        <v>0</v>
      </c>
      <c r="BD416" s="315">
        <f t="shared" si="36"/>
        <v>0</v>
      </c>
      <c r="BE416" s="315">
        <f t="shared" si="36"/>
        <v>0</v>
      </c>
      <c r="BF416" s="315">
        <f t="shared" si="36"/>
        <v>0</v>
      </c>
      <c r="BG416" s="315">
        <f t="shared" si="36"/>
        <v>0</v>
      </c>
      <c r="BH416" s="315">
        <f t="shared" si="36"/>
        <v>0</v>
      </c>
      <c r="BI416" s="315">
        <f t="shared" si="36"/>
        <v>0</v>
      </c>
      <c r="BJ416" s="315">
        <f t="shared" si="36"/>
        <v>0</v>
      </c>
      <c r="BK416" s="315">
        <f t="shared" si="36"/>
        <v>0</v>
      </c>
      <c r="BL416" s="315">
        <f t="shared" si="36"/>
        <v>0</v>
      </c>
      <c r="BM416" s="315">
        <f t="shared" si="36"/>
        <v>0</v>
      </c>
      <c r="BN416" s="315">
        <f t="shared" si="36"/>
        <v>0</v>
      </c>
      <c r="BO416" s="315">
        <f t="shared" si="36"/>
        <v>0</v>
      </c>
      <c r="BP416" s="315">
        <f t="shared" si="36"/>
        <v>0</v>
      </c>
      <c r="BQ416" s="315">
        <f t="shared" si="36"/>
        <v>0</v>
      </c>
      <c r="BR416" s="315">
        <f t="shared" si="35"/>
        <v>0</v>
      </c>
      <c r="BS416" s="315">
        <f t="shared" si="33"/>
        <v>0</v>
      </c>
      <c r="BT416" s="315">
        <f t="shared" si="33"/>
        <v>0</v>
      </c>
      <c r="BU416" s="315">
        <f t="shared" si="33"/>
        <v>0</v>
      </c>
      <c r="BV416" s="315">
        <f t="shared" si="33"/>
        <v>0</v>
      </c>
      <c r="BW416" s="315">
        <f t="shared" si="33"/>
        <v>0</v>
      </c>
      <c r="BX416" s="315">
        <f t="shared" si="33"/>
        <v>0</v>
      </c>
      <c r="BZ416" s="315">
        <f t="shared" si="34"/>
        <v>0</v>
      </c>
      <c r="CA416" s="315">
        <f t="shared" si="34"/>
        <v>0</v>
      </c>
    </row>
    <row r="417" spans="7:79" hidden="1" x14ac:dyDescent="0.2">
      <c r="G417" s="315">
        <f t="shared" si="36"/>
        <v>-2643108</v>
      </c>
      <c r="H417" s="315">
        <f t="shared" si="36"/>
        <v>0</v>
      </c>
      <c r="I417" s="315">
        <f t="shared" si="36"/>
        <v>0</v>
      </c>
      <c r="J417" s="315">
        <f t="shared" si="36"/>
        <v>0</v>
      </c>
      <c r="K417" s="315">
        <f t="shared" si="36"/>
        <v>0</v>
      </c>
      <c r="L417" s="315">
        <f t="shared" si="36"/>
        <v>503583</v>
      </c>
      <c r="M417" s="315">
        <f t="shared" si="36"/>
        <v>0</v>
      </c>
      <c r="N417" s="315">
        <f t="shared" si="36"/>
        <v>0</v>
      </c>
      <c r="O417" s="315">
        <f t="shared" si="36"/>
        <v>0</v>
      </c>
      <c r="P417" s="315">
        <f t="shared" si="36"/>
        <v>0</v>
      </c>
      <c r="Q417" s="315">
        <f t="shared" si="36"/>
        <v>425590</v>
      </c>
      <c r="R417" s="315">
        <f t="shared" si="36"/>
        <v>0</v>
      </c>
      <c r="S417" s="315">
        <f t="shared" si="36"/>
        <v>0</v>
      </c>
      <c r="T417" s="315">
        <f t="shared" si="36"/>
        <v>0</v>
      </c>
      <c r="U417" s="315">
        <f t="shared" si="36"/>
        <v>0</v>
      </c>
      <c r="V417" s="315">
        <f t="shared" si="36"/>
        <v>301699</v>
      </c>
      <c r="W417" s="315">
        <f t="shared" si="36"/>
        <v>0</v>
      </c>
      <c r="X417" s="315">
        <f t="shared" si="36"/>
        <v>0</v>
      </c>
      <c r="Y417" s="315">
        <f t="shared" si="36"/>
        <v>0</v>
      </c>
      <c r="Z417" s="315">
        <f t="shared" si="36"/>
        <v>0</v>
      </c>
      <c r="AA417" s="315">
        <f t="shared" si="36"/>
        <v>398906</v>
      </c>
      <c r="AB417" s="315">
        <f t="shared" si="36"/>
        <v>0</v>
      </c>
      <c r="AC417" s="315">
        <f t="shared" si="36"/>
        <v>0</v>
      </c>
      <c r="AD417" s="315">
        <f t="shared" si="36"/>
        <v>0</v>
      </c>
      <c r="AE417" s="315">
        <f t="shared" si="36"/>
        <v>0</v>
      </c>
      <c r="AF417" s="315">
        <f t="shared" si="36"/>
        <v>1322351</v>
      </c>
      <c r="AG417" s="315">
        <f t="shared" si="36"/>
        <v>0</v>
      </c>
      <c r="AH417" s="315">
        <f t="shared" si="36"/>
        <v>0</v>
      </c>
      <c r="AI417" s="315">
        <f t="shared" si="36"/>
        <v>0</v>
      </c>
      <c r="AJ417" s="315">
        <f t="shared" si="36"/>
        <v>0</v>
      </c>
      <c r="AK417" s="315">
        <f t="shared" si="36"/>
        <v>385479</v>
      </c>
      <c r="AL417" s="315">
        <f t="shared" si="36"/>
        <v>0</v>
      </c>
      <c r="AM417" s="315">
        <f t="shared" si="36"/>
        <v>0</v>
      </c>
      <c r="AN417" s="315">
        <f t="shared" si="36"/>
        <v>0</v>
      </c>
      <c r="AO417" s="315">
        <f t="shared" si="36"/>
        <v>0</v>
      </c>
      <c r="AP417" s="315">
        <f t="shared" si="36"/>
        <v>1160070</v>
      </c>
      <c r="AQ417" s="315">
        <f t="shared" si="36"/>
        <v>0</v>
      </c>
      <c r="AR417" s="315">
        <f t="shared" si="36"/>
        <v>0</v>
      </c>
      <c r="AS417" s="315">
        <f t="shared" si="36"/>
        <v>0</v>
      </c>
      <c r="AT417" s="315">
        <f t="shared" si="36"/>
        <v>0</v>
      </c>
      <c r="AU417" s="315">
        <f t="shared" si="36"/>
        <v>-628069</v>
      </c>
      <c r="AV417" s="315">
        <f t="shared" si="36"/>
        <v>0</v>
      </c>
      <c r="AW417" s="315">
        <f t="shared" si="36"/>
        <v>0</v>
      </c>
      <c r="AX417" s="315">
        <f t="shared" si="36"/>
        <v>0</v>
      </c>
      <c r="AY417" s="315">
        <f t="shared" si="36"/>
        <v>0</v>
      </c>
      <c r="AZ417" s="315">
        <f t="shared" si="36"/>
        <v>-721031</v>
      </c>
      <c r="BA417" s="315">
        <f t="shared" si="36"/>
        <v>0</v>
      </c>
      <c r="BB417" s="315">
        <f t="shared" si="36"/>
        <v>0</v>
      </c>
      <c r="BC417" s="315">
        <f t="shared" si="36"/>
        <v>0</v>
      </c>
      <c r="BD417" s="315">
        <f t="shared" si="36"/>
        <v>0</v>
      </c>
      <c r="BE417" s="315">
        <f t="shared" si="36"/>
        <v>-488907</v>
      </c>
      <c r="BF417" s="315">
        <f t="shared" si="36"/>
        <v>0</v>
      </c>
      <c r="BG417" s="315">
        <f t="shared" si="36"/>
        <v>0</v>
      </c>
      <c r="BH417" s="315">
        <f t="shared" si="36"/>
        <v>0</v>
      </c>
      <c r="BI417" s="315">
        <f t="shared" si="36"/>
        <v>0</v>
      </c>
      <c r="BJ417" s="315">
        <f t="shared" si="36"/>
        <v>-545495</v>
      </c>
      <c r="BK417" s="315">
        <f t="shared" si="36"/>
        <v>0</v>
      </c>
      <c r="BL417" s="315">
        <f t="shared" si="36"/>
        <v>0</v>
      </c>
      <c r="BM417" s="315">
        <f t="shared" si="36"/>
        <v>0</v>
      </c>
      <c r="BN417" s="315">
        <f t="shared" si="36"/>
        <v>0</v>
      </c>
      <c r="BO417" s="315">
        <f t="shared" si="36"/>
        <v>-523673</v>
      </c>
      <c r="BP417" s="315">
        <f t="shared" si="36"/>
        <v>0</v>
      </c>
      <c r="BQ417" s="315">
        <f t="shared" si="36"/>
        <v>0</v>
      </c>
      <c r="BR417" s="315">
        <f t="shared" si="35"/>
        <v>0</v>
      </c>
      <c r="BS417" s="315">
        <f t="shared" si="33"/>
        <v>0</v>
      </c>
      <c r="BT417" s="315">
        <f t="shared" si="33"/>
        <v>4497678</v>
      </c>
      <c r="BU417" s="315">
        <f t="shared" si="33"/>
        <v>0</v>
      </c>
      <c r="BV417" s="315">
        <f t="shared" si="33"/>
        <v>0</v>
      </c>
      <c r="BW417" s="315">
        <f t="shared" si="33"/>
        <v>0</v>
      </c>
      <c r="BX417" s="315">
        <f t="shared" si="33"/>
        <v>0</v>
      </c>
      <c r="BZ417" s="315">
        <f t="shared" si="34"/>
        <v>0</v>
      </c>
      <c r="CA417" s="315">
        <f t="shared" si="34"/>
        <v>0</v>
      </c>
    </row>
    <row r="418" spans="7:79" hidden="1" x14ac:dyDescent="0.2">
      <c r="G418" s="315">
        <f t="shared" si="36"/>
        <v>-2643108</v>
      </c>
      <c r="H418" s="315">
        <f t="shared" si="36"/>
        <v>0</v>
      </c>
      <c r="I418" s="315">
        <f t="shared" si="36"/>
        <v>0</v>
      </c>
      <c r="J418" s="315">
        <f t="shared" ref="J418:BQ418" si="37">J24-CB24</f>
        <v>0</v>
      </c>
      <c r="K418" s="315">
        <f t="shared" si="37"/>
        <v>0</v>
      </c>
      <c r="L418" s="315">
        <f t="shared" si="37"/>
        <v>503583</v>
      </c>
      <c r="M418" s="315">
        <f t="shared" si="37"/>
        <v>0</v>
      </c>
      <c r="N418" s="315">
        <f t="shared" si="37"/>
        <v>0</v>
      </c>
      <c r="O418" s="315">
        <f t="shared" si="37"/>
        <v>0</v>
      </c>
      <c r="P418" s="315">
        <f t="shared" si="37"/>
        <v>0</v>
      </c>
      <c r="Q418" s="315">
        <f t="shared" si="37"/>
        <v>425590</v>
      </c>
      <c r="R418" s="315">
        <f t="shared" si="37"/>
        <v>0</v>
      </c>
      <c r="S418" s="315">
        <f t="shared" si="37"/>
        <v>0</v>
      </c>
      <c r="T418" s="315">
        <f t="shared" si="37"/>
        <v>0</v>
      </c>
      <c r="U418" s="315">
        <f t="shared" si="37"/>
        <v>0</v>
      </c>
      <c r="V418" s="315">
        <f t="shared" si="37"/>
        <v>301699</v>
      </c>
      <c r="W418" s="315">
        <f t="shared" si="37"/>
        <v>0</v>
      </c>
      <c r="X418" s="315">
        <f t="shared" si="37"/>
        <v>0</v>
      </c>
      <c r="Y418" s="315">
        <f t="shared" si="37"/>
        <v>0</v>
      </c>
      <c r="Z418" s="315">
        <f t="shared" si="37"/>
        <v>0</v>
      </c>
      <c r="AA418" s="315">
        <f t="shared" si="37"/>
        <v>398906</v>
      </c>
      <c r="AB418" s="315">
        <f t="shared" si="37"/>
        <v>0</v>
      </c>
      <c r="AC418" s="315">
        <f t="shared" si="37"/>
        <v>0</v>
      </c>
      <c r="AD418" s="315">
        <f t="shared" si="37"/>
        <v>0</v>
      </c>
      <c r="AE418" s="315">
        <f t="shared" si="37"/>
        <v>0</v>
      </c>
      <c r="AF418" s="315">
        <f t="shared" si="37"/>
        <v>1322351</v>
      </c>
      <c r="AG418" s="315">
        <f t="shared" si="37"/>
        <v>0</v>
      </c>
      <c r="AH418" s="315">
        <f t="shared" si="37"/>
        <v>0</v>
      </c>
      <c r="AI418" s="315">
        <f t="shared" si="37"/>
        <v>0</v>
      </c>
      <c r="AJ418" s="315">
        <f t="shared" si="37"/>
        <v>0</v>
      </c>
      <c r="AK418" s="315">
        <f t="shared" si="37"/>
        <v>385479</v>
      </c>
      <c r="AL418" s="315">
        <f t="shared" si="37"/>
        <v>0</v>
      </c>
      <c r="AM418" s="315">
        <f t="shared" si="37"/>
        <v>0</v>
      </c>
      <c r="AN418" s="315">
        <f t="shared" si="37"/>
        <v>0</v>
      </c>
      <c r="AO418" s="315">
        <f t="shared" si="37"/>
        <v>0</v>
      </c>
      <c r="AP418" s="315">
        <f t="shared" si="37"/>
        <v>1160070</v>
      </c>
      <c r="AQ418" s="315">
        <f t="shared" si="37"/>
        <v>0</v>
      </c>
      <c r="AR418" s="315">
        <f t="shared" si="37"/>
        <v>0</v>
      </c>
      <c r="AS418" s="315">
        <f t="shared" si="37"/>
        <v>0</v>
      </c>
      <c r="AT418" s="315">
        <f t="shared" si="37"/>
        <v>0</v>
      </c>
      <c r="AU418" s="315">
        <f t="shared" si="37"/>
        <v>-628069</v>
      </c>
      <c r="AV418" s="315">
        <f t="shared" si="37"/>
        <v>0</v>
      </c>
      <c r="AW418" s="315">
        <f t="shared" si="37"/>
        <v>0</v>
      </c>
      <c r="AX418" s="315">
        <f t="shared" si="37"/>
        <v>0</v>
      </c>
      <c r="AY418" s="315">
        <f t="shared" si="37"/>
        <v>0</v>
      </c>
      <c r="AZ418" s="315">
        <f t="shared" si="37"/>
        <v>-721031</v>
      </c>
      <c r="BA418" s="315">
        <f t="shared" si="37"/>
        <v>0</v>
      </c>
      <c r="BB418" s="315">
        <f t="shared" si="37"/>
        <v>0</v>
      </c>
      <c r="BC418" s="315">
        <f t="shared" si="37"/>
        <v>0</v>
      </c>
      <c r="BD418" s="315">
        <f t="shared" si="37"/>
        <v>0</v>
      </c>
      <c r="BE418" s="315">
        <f t="shared" si="37"/>
        <v>-488907</v>
      </c>
      <c r="BF418" s="315">
        <f t="shared" si="37"/>
        <v>0</v>
      </c>
      <c r="BG418" s="315">
        <f t="shared" si="37"/>
        <v>0</v>
      </c>
      <c r="BH418" s="315">
        <f t="shared" si="37"/>
        <v>0</v>
      </c>
      <c r="BI418" s="315">
        <f t="shared" si="37"/>
        <v>0</v>
      </c>
      <c r="BJ418" s="315">
        <f t="shared" si="37"/>
        <v>-545495</v>
      </c>
      <c r="BK418" s="315">
        <f t="shared" si="37"/>
        <v>0</v>
      </c>
      <c r="BL418" s="315">
        <f t="shared" si="37"/>
        <v>0</v>
      </c>
      <c r="BM418" s="315">
        <f t="shared" si="37"/>
        <v>0</v>
      </c>
      <c r="BN418" s="315">
        <f t="shared" si="37"/>
        <v>0</v>
      </c>
      <c r="BO418" s="315">
        <f t="shared" si="37"/>
        <v>-523673</v>
      </c>
      <c r="BP418" s="315">
        <f t="shared" si="37"/>
        <v>0</v>
      </c>
      <c r="BQ418" s="315">
        <f t="shared" si="37"/>
        <v>0</v>
      </c>
      <c r="BR418" s="315">
        <f t="shared" si="35"/>
        <v>0</v>
      </c>
      <c r="BS418" s="315">
        <f t="shared" si="33"/>
        <v>0</v>
      </c>
      <c r="BT418" s="315">
        <f t="shared" si="33"/>
        <v>4497678</v>
      </c>
      <c r="BU418" s="315">
        <f t="shared" si="33"/>
        <v>0</v>
      </c>
      <c r="BV418" s="315">
        <f t="shared" si="33"/>
        <v>0</v>
      </c>
      <c r="BW418" s="315">
        <f t="shared" si="33"/>
        <v>0</v>
      </c>
      <c r="BX418" s="315">
        <f t="shared" si="33"/>
        <v>0</v>
      </c>
      <c r="BZ418" s="315">
        <f t="shared" si="34"/>
        <v>0</v>
      </c>
      <c r="CA418" s="315">
        <f t="shared" si="34"/>
        <v>0</v>
      </c>
    </row>
    <row r="419" spans="7:79" hidden="1" x14ac:dyDescent="0.2">
      <c r="G419" s="315">
        <f t="shared" ref="G419:BR422" si="38">G26-BY26</f>
        <v>0</v>
      </c>
      <c r="H419" s="315">
        <f t="shared" si="38"/>
        <v>0</v>
      </c>
      <c r="I419" s="315">
        <f t="shared" si="38"/>
        <v>0</v>
      </c>
      <c r="J419" s="315">
        <f t="shared" si="38"/>
        <v>0</v>
      </c>
      <c r="K419" s="315">
        <f t="shared" si="38"/>
        <v>0</v>
      </c>
      <c r="L419" s="315">
        <f t="shared" si="38"/>
        <v>0</v>
      </c>
      <c r="M419" s="315">
        <f t="shared" si="38"/>
        <v>0</v>
      </c>
      <c r="N419" s="315">
        <f t="shared" si="38"/>
        <v>0</v>
      </c>
      <c r="O419" s="315">
        <f t="shared" si="38"/>
        <v>0</v>
      </c>
      <c r="P419" s="315">
        <f t="shared" si="38"/>
        <v>0</v>
      </c>
      <c r="Q419" s="315">
        <f t="shared" si="38"/>
        <v>0</v>
      </c>
      <c r="R419" s="315">
        <f t="shared" si="38"/>
        <v>0</v>
      </c>
      <c r="S419" s="315">
        <f t="shared" si="38"/>
        <v>0</v>
      </c>
      <c r="T419" s="315">
        <f t="shared" si="38"/>
        <v>0</v>
      </c>
      <c r="U419" s="315">
        <f t="shared" si="38"/>
        <v>0</v>
      </c>
      <c r="V419" s="315">
        <f t="shared" si="38"/>
        <v>0</v>
      </c>
      <c r="W419" s="315">
        <f t="shared" si="38"/>
        <v>0</v>
      </c>
      <c r="X419" s="315">
        <f t="shared" si="38"/>
        <v>0</v>
      </c>
      <c r="Y419" s="315">
        <f t="shared" si="38"/>
        <v>0</v>
      </c>
      <c r="Z419" s="315">
        <f t="shared" si="38"/>
        <v>0</v>
      </c>
      <c r="AA419" s="315">
        <f t="shared" si="38"/>
        <v>0</v>
      </c>
      <c r="AB419" s="315">
        <f t="shared" si="38"/>
        <v>0</v>
      </c>
      <c r="AC419" s="315">
        <f t="shared" si="38"/>
        <v>0</v>
      </c>
      <c r="AD419" s="315">
        <f t="shared" si="38"/>
        <v>0</v>
      </c>
      <c r="AE419" s="315">
        <f t="shared" si="38"/>
        <v>0</v>
      </c>
      <c r="AF419" s="315">
        <f t="shared" si="38"/>
        <v>0</v>
      </c>
      <c r="AG419" s="315">
        <f t="shared" si="38"/>
        <v>0</v>
      </c>
      <c r="AH419" s="315">
        <f t="shared" si="38"/>
        <v>0</v>
      </c>
      <c r="AI419" s="315">
        <f t="shared" si="38"/>
        <v>0</v>
      </c>
      <c r="AJ419" s="315">
        <f t="shared" si="38"/>
        <v>0</v>
      </c>
      <c r="AK419" s="315">
        <f t="shared" si="38"/>
        <v>0</v>
      </c>
      <c r="AL419" s="315">
        <f t="shared" si="38"/>
        <v>0</v>
      </c>
      <c r="AM419" s="315">
        <f t="shared" si="38"/>
        <v>0</v>
      </c>
      <c r="AN419" s="315">
        <f t="shared" si="38"/>
        <v>0</v>
      </c>
      <c r="AO419" s="315">
        <f t="shared" si="38"/>
        <v>0</v>
      </c>
      <c r="AP419" s="315">
        <f t="shared" si="38"/>
        <v>0</v>
      </c>
      <c r="AQ419" s="315">
        <f t="shared" si="38"/>
        <v>0</v>
      </c>
      <c r="AR419" s="315">
        <f t="shared" si="38"/>
        <v>0</v>
      </c>
      <c r="AS419" s="315">
        <f t="shared" si="38"/>
        <v>0</v>
      </c>
      <c r="AT419" s="315">
        <f t="shared" si="38"/>
        <v>0</v>
      </c>
      <c r="AU419" s="315">
        <f t="shared" si="38"/>
        <v>0</v>
      </c>
      <c r="AV419" s="315">
        <f t="shared" si="38"/>
        <v>0</v>
      </c>
      <c r="AW419" s="315">
        <f t="shared" si="38"/>
        <v>0</v>
      </c>
      <c r="AX419" s="315">
        <f t="shared" si="38"/>
        <v>0</v>
      </c>
      <c r="AY419" s="315">
        <f t="shared" si="38"/>
        <v>0</v>
      </c>
      <c r="AZ419" s="315">
        <f t="shared" si="38"/>
        <v>0</v>
      </c>
      <c r="BA419" s="315">
        <f t="shared" si="38"/>
        <v>0</v>
      </c>
      <c r="BB419" s="315">
        <f t="shared" si="38"/>
        <v>0</v>
      </c>
      <c r="BC419" s="315">
        <f t="shared" si="38"/>
        <v>0</v>
      </c>
      <c r="BD419" s="315">
        <f t="shared" si="38"/>
        <v>0</v>
      </c>
      <c r="BE419" s="315">
        <f t="shared" si="38"/>
        <v>0</v>
      </c>
      <c r="BF419" s="315">
        <f t="shared" si="38"/>
        <v>0</v>
      </c>
      <c r="BG419" s="315">
        <f t="shared" si="38"/>
        <v>0</v>
      </c>
      <c r="BH419" s="315">
        <f t="shared" si="38"/>
        <v>0</v>
      </c>
      <c r="BI419" s="315">
        <f t="shared" si="38"/>
        <v>0</v>
      </c>
      <c r="BJ419" s="315">
        <f t="shared" si="38"/>
        <v>0</v>
      </c>
      <c r="BK419" s="315">
        <f t="shared" si="38"/>
        <v>0</v>
      </c>
      <c r="BL419" s="315">
        <f t="shared" si="38"/>
        <v>0</v>
      </c>
      <c r="BM419" s="315">
        <f t="shared" si="38"/>
        <v>0</v>
      </c>
      <c r="BN419" s="315">
        <f t="shared" si="38"/>
        <v>0</v>
      </c>
      <c r="BO419" s="315">
        <f t="shared" si="38"/>
        <v>0</v>
      </c>
      <c r="BP419" s="315">
        <f t="shared" si="38"/>
        <v>0</v>
      </c>
      <c r="BQ419" s="315">
        <f t="shared" si="38"/>
        <v>0</v>
      </c>
      <c r="BR419" s="315">
        <f t="shared" si="38"/>
        <v>0</v>
      </c>
      <c r="BS419" s="315">
        <f t="shared" ref="BS419:BX434" si="39">BS26-EK26</f>
        <v>0</v>
      </c>
      <c r="BT419" s="315">
        <f t="shared" si="39"/>
        <v>0</v>
      </c>
      <c r="BU419" s="315">
        <f t="shared" si="39"/>
        <v>0</v>
      </c>
      <c r="BV419" s="315">
        <f t="shared" si="39"/>
        <v>0</v>
      </c>
      <c r="BW419" s="315">
        <f t="shared" si="39"/>
        <v>0</v>
      </c>
      <c r="BX419" s="315">
        <f t="shared" si="39"/>
        <v>0</v>
      </c>
      <c r="BZ419" s="315">
        <f t="shared" ref="BZ419:CA434" si="40">BZ26-ER26</f>
        <v>0</v>
      </c>
      <c r="CA419" s="315">
        <f t="shared" si="40"/>
        <v>0</v>
      </c>
    </row>
    <row r="420" spans="7:79" hidden="1" x14ac:dyDescent="0.2">
      <c r="G420" s="315">
        <f t="shared" si="38"/>
        <v>0</v>
      </c>
      <c r="H420" s="315">
        <f t="shared" si="38"/>
        <v>0</v>
      </c>
      <c r="I420" s="315">
        <f t="shared" si="38"/>
        <v>0</v>
      </c>
      <c r="J420" s="315">
        <f t="shared" si="38"/>
        <v>0</v>
      </c>
      <c r="K420" s="315">
        <f t="shared" si="38"/>
        <v>0</v>
      </c>
      <c r="L420" s="315">
        <f t="shared" si="38"/>
        <v>0</v>
      </c>
      <c r="M420" s="315">
        <f t="shared" si="38"/>
        <v>0</v>
      </c>
      <c r="N420" s="315">
        <f t="shared" si="38"/>
        <v>0</v>
      </c>
      <c r="O420" s="315">
        <f t="shared" si="38"/>
        <v>0</v>
      </c>
      <c r="P420" s="315">
        <f t="shared" si="38"/>
        <v>0</v>
      </c>
      <c r="Q420" s="315">
        <f t="shared" si="38"/>
        <v>0</v>
      </c>
      <c r="R420" s="315">
        <f t="shared" si="38"/>
        <v>0</v>
      </c>
      <c r="S420" s="315">
        <f t="shared" si="38"/>
        <v>0</v>
      </c>
      <c r="T420" s="315">
        <f t="shared" si="38"/>
        <v>0</v>
      </c>
      <c r="U420" s="315">
        <f t="shared" si="38"/>
        <v>0</v>
      </c>
      <c r="V420" s="315">
        <f t="shared" si="38"/>
        <v>0</v>
      </c>
      <c r="W420" s="315">
        <f t="shared" si="38"/>
        <v>0</v>
      </c>
      <c r="X420" s="315">
        <f t="shared" si="38"/>
        <v>0</v>
      </c>
      <c r="Y420" s="315">
        <f t="shared" si="38"/>
        <v>0</v>
      </c>
      <c r="Z420" s="315">
        <f t="shared" si="38"/>
        <v>0</v>
      </c>
      <c r="AA420" s="315">
        <f t="shared" si="38"/>
        <v>0</v>
      </c>
      <c r="AB420" s="315">
        <f t="shared" si="38"/>
        <v>0</v>
      </c>
      <c r="AC420" s="315">
        <f t="shared" si="38"/>
        <v>0</v>
      </c>
      <c r="AD420" s="315">
        <f t="shared" si="38"/>
        <v>0</v>
      </c>
      <c r="AE420" s="315">
        <f t="shared" si="38"/>
        <v>0</v>
      </c>
      <c r="AF420" s="315">
        <f t="shared" si="38"/>
        <v>0</v>
      </c>
      <c r="AG420" s="315">
        <f t="shared" si="38"/>
        <v>0</v>
      </c>
      <c r="AH420" s="315">
        <f t="shared" si="38"/>
        <v>0</v>
      </c>
      <c r="AI420" s="315">
        <f t="shared" si="38"/>
        <v>0</v>
      </c>
      <c r="AJ420" s="315">
        <f t="shared" si="38"/>
        <v>0</v>
      </c>
      <c r="AK420" s="315">
        <f t="shared" si="38"/>
        <v>0</v>
      </c>
      <c r="AL420" s="315">
        <f t="shared" si="38"/>
        <v>0</v>
      </c>
      <c r="AM420" s="315">
        <f t="shared" si="38"/>
        <v>0</v>
      </c>
      <c r="AN420" s="315">
        <f t="shared" si="38"/>
        <v>0</v>
      </c>
      <c r="AO420" s="315">
        <f t="shared" si="38"/>
        <v>0</v>
      </c>
      <c r="AP420" s="315">
        <f t="shared" si="38"/>
        <v>0</v>
      </c>
      <c r="AQ420" s="315">
        <f t="shared" si="38"/>
        <v>0</v>
      </c>
      <c r="AR420" s="315">
        <f t="shared" si="38"/>
        <v>0</v>
      </c>
      <c r="AS420" s="315">
        <f t="shared" si="38"/>
        <v>0</v>
      </c>
      <c r="AT420" s="315">
        <f t="shared" si="38"/>
        <v>0</v>
      </c>
      <c r="AU420" s="315">
        <f t="shared" si="38"/>
        <v>0</v>
      </c>
      <c r="AV420" s="315">
        <f t="shared" si="38"/>
        <v>0</v>
      </c>
      <c r="AW420" s="315">
        <f t="shared" si="38"/>
        <v>0</v>
      </c>
      <c r="AX420" s="315">
        <f t="shared" si="38"/>
        <v>0</v>
      </c>
      <c r="AY420" s="315">
        <f t="shared" si="38"/>
        <v>0</v>
      </c>
      <c r="AZ420" s="315">
        <f t="shared" si="38"/>
        <v>0</v>
      </c>
      <c r="BA420" s="315">
        <f t="shared" si="38"/>
        <v>0</v>
      </c>
      <c r="BB420" s="315">
        <f t="shared" si="38"/>
        <v>0</v>
      </c>
      <c r="BC420" s="315">
        <f t="shared" si="38"/>
        <v>0</v>
      </c>
      <c r="BD420" s="315">
        <f t="shared" si="38"/>
        <v>0</v>
      </c>
      <c r="BE420" s="315">
        <f t="shared" si="38"/>
        <v>0</v>
      </c>
      <c r="BF420" s="315">
        <f t="shared" si="38"/>
        <v>0</v>
      </c>
      <c r="BG420" s="315">
        <f t="shared" si="38"/>
        <v>0</v>
      </c>
      <c r="BH420" s="315">
        <f t="shared" si="38"/>
        <v>0</v>
      </c>
      <c r="BI420" s="315">
        <f t="shared" si="38"/>
        <v>0</v>
      </c>
      <c r="BJ420" s="315">
        <f t="shared" si="38"/>
        <v>0</v>
      </c>
      <c r="BK420" s="315">
        <f t="shared" si="38"/>
        <v>0</v>
      </c>
      <c r="BL420" s="315">
        <f t="shared" si="38"/>
        <v>0</v>
      </c>
      <c r="BM420" s="315">
        <f t="shared" si="38"/>
        <v>0</v>
      </c>
      <c r="BN420" s="315">
        <f t="shared" si="38"/>
        <v>0</v>
      </c>
      <c r="BO420" s="315">
        <f t="shared" si="38"/>
        <v>0</v>
      </c>
      <c r="BP420" s="315">
        <f t="shared" si="38"/>
        <v>0</v>
      </c>
      <c r="BQ420" s="315">
        <f t="shared" si="38"/>
        <v>0</v>
      </c>
      <c r="BR420" s="315">
        <f t="shared" si="38"/>
        <v>0</v>
      </c>
      <c r="BS420" s="315">
        <f t="shared" si="39"/>
        <v>0</v>
      </c>
      <c r="BT420" s="315">
        <f t="shared" si="39"/>
        <v>0</v>
      </c>
      <c r="BU420" s="315">
        <f t="shared" si="39"/>
        <v>0</v>
      </c>
      <c r="BV420" s="315">
        <f t="shared" si="39"/>
        <v>0</v>
      </c>
      <c r="BW420" s="315">
        <f t="shared" si="39"/>
        <v>0</v>
      </c>
      <c r="BX420" s="315">
        <f t="shared" si="39"/>
        <v>0</v>
      </c>
      <c r="BZ420" s="315">
        <f t="shared" si="40"/>
        <v>0</v>
      </c>
      <c r="CA420" s="315">
        <f t="shared" si="40"/>
        <v>0</v>
      </c>
    </row>
    <row r="421" spans="7:79" hidden="1" x14ac:dyDescent="0.2">
      <c r="G421" s="315">
        <f t="shared" si="38"/>
        <v>0</v>
      </c>
      <c r="H421" s="315">
        <f t="shared" si="38"/>
        <v>0</v>
      </c>
      <c r="I421" s="315">
        <f t="shared" si="38"/>
        <v>0</v>
      </c>
      <c r="J421" s="315">
        <f t="shared" si="38"/>
        <v>0</v>
      </c>
      <c r="K421" s="315">
        <f t="shared" si="38"/>
        <v>0</v>
      </c>
      <c r="L421" s="315">
        <f t="shared" si="38"/>
        <v>0</v>
      </c>
      <c r="M421" s="315">
        <f t="shared" si="38"/>
        <v>0</v>
      </c>
      <c r="N421" s="315">
        <f t="shared" si="38"/>
        <v>0</v>
      </c>
      <c r="O421" s="315">
        <f t="shared" si="38"/>
        <v>0</v>
      </c>
      <c r="P421" s="315">
        <f t="shared" si="38"/>
        <v>0</v>
      </c>
      <c r="Q421" s="315">
        <f t="shared" si="38"/>
        <v>0</v>
      </c>
      <c r="R421" s="315">
        <f t="shared" si="38"/>
        <v>0</v>
      </c>
      <c r="S421" s="315">
        <f t="shared" si="38"/>
        <v>0</v>
      </c>
      <c r="T421" s="315">
        <f t="shared" si="38"/>
        <v>0</v>
      </c>
      <c r="U421" s="315">
        <f t="shared" si="38"/>
        <v>0</v>
      </c>
      <c r="V421" s="315">
        <f t="shared" si="38"/>
        <v>0</v>
      </c>
      <c r="W421" s="315">
        <f t="shared" si="38"/>
        <v>0</v>
      </c>
      <c r="X421" s="315">
        <f t="shared" si="38"/>
        <v>0</v>
      </c>
      <c r="Y421" s="315">
        <f t="shared" si="38"/>
        <v>0</v>
      </c>
      <c r="Z421" s="315">
        <f t="shared" si="38"/>
        <v>0</v>
      </c>
      <c r="AA421" s="315">
        <f t="shared" si="38"/>
        <v>0</v>
      </c>
      <c r="AB421" s="315">
        <f t="shared" si="38"/>
        <v>0</v>
      </c>
      <c r="AC421" s="315">
        <f t="shared" si="38"/>
        <v>0</v>
      </c>
      <c r="AD421" s="315">
        <f t="shared" si="38"/>
        <v>0</v>
      </c>
      <c r="AE421" s="315">
        <f t="shared" si="38"/>
        <v>0</v>
      </c>
      <c r="AF421" s="315">
        <f t="shared" si="38"/>
        <v>0</v>
      </c>
      <c r="AG421" s="315">
        <f t="shared" si="38"/>
        <v>0</v>
      </c>
      <c r="AH421" s="315">
        <f t="shared" si="38"/>
        <v>0</v>
      </c>
      <c r="AI421" s="315">
        <f t="shared" si="38"/>
        <v>0</v>
      </c>
      <c r="AJ421" s="315">
        <f t="shared" si="38"/>
        <v>0</v>
      </c>
      <c r="AK421" s="315">
        <f t="shared" si="38"/>
        <v>0</v>
      </c>
      <c r="AL421" s="315">
        <f t="shared" si="38"/>
        <v>0</v>
      </c>
      <c r="AM421" s="315">
        <f t="shared" si="38"/>
        <v>0</v>
      </c>
      <c r="AN421" s="315">
        <f t="shared" si="38"/>
        <v>0</v>
      </c>
      <c r="AO421" s="315">
        <f t="shared" si="38"/>
        <v>0</v>
      </c>
      <c r="AP421" s="315">
        <f t="shared" si="38"/>
        <v>0</v>
      </c>
      <c r="AQ421" s="315">
        <f t="shared" si="38"/>
        <v>0</v>
      </c>
      <c r="AR421" s="315">
        <f t="shared" si="38"/>
        <v>0</v>
      </c>
      <c r="AS421" s="315">
        <f t="shared" si="38"/>
        <v>0</v>
      </c>
      <c r="AT421" s="315">
        <f t="shared" si="38"/>
        <v>0</v>
      </c>
      <c r="AU421" s="315">
        <f t="shared" si="38"/>
        <v>0</v>
      </c>
      <c r="AV421" s="315">
        <f t="shared" si="38"/>
        <v>0</v>
      </c>
      <c r="AW421" s="315">
        <f t="shared" si="38"/>
        <v>0</v>
      </c>
      <c r="AX421" s="315">
        <f t="shared" si="38"/>
        <v>0</v>
      </c>
      <c r="AY421" s="315">
        <f t="shared" si="38"/>
        <v>0</v>
      </c>
      <c r="AZ421" s="315">
        <f t="shared" si="38"/>
        <v>0</v>
      </c>
      <c r="BA421" s="315">
        <f t="shared" si="38"/>
        <v>0</v>
      </c>
      <c r="BB421" s="315">
        <f t="shared" si="38"/>
        <v>0</v>
      </c>
      <c r="BC421" s="315">
        <f t="shared" si="38"/>
        <v>0</v>
      </c>
      <c r="BD421" s="315">
        <f t="shared" si="38"/>
        <v>0</v>
      </c>
      <c r="BE421" s="315">
        <f t="shared" si="38"/>
        <v>0</v>
      </c>
      <c r="BF421" s="315">
        <f t="shared" si="38"/>
        <v>0</v>
      </c>
      <c r="BG421" s="315">
        <f t="shared" si="38"/>
        <v>0</v>
      </c>
      <c r="BH421" s="315">
        <f t="shared" si="38"/>
        <v>0</v>
      </c>
      <c r="BI421" s="315">
        <f t="shared" si="38"/>
        <v>0</v>
      </c>
      <c r="BJ421" s="315">
        <f t="shared" si="38"/>
        <v>0</v>
      </c>
      <c r="BK421" s="315">
        <f t="shared" si="38"/>
        <v>0</v>
      </c>
      <c r="BL421" s="315">
        <f t="shared" si="38"/>
        <v>0</v>
      </c>
      <c r="BM421" s="315">
        <f t="shared" si="38"/>
        <v>0</v>
      </c>
      <c r="BN421" s="315">
        <f t="shared" si="38"/>
        <v>0</v>
      </c>
      <c r="BO421" s="315">
        <f t="shared" si="38"/>
        <v>0</v>
      </c>
      <c r="BP421" s="315">
        <f t="shared" si="38"/>
        <v>0</v>
      </c>
      <c r="BQ421" s="315">
        <f t="shared" si="38"/>
        <v>0</v>
      </c>
      <c r="BR421" s="315">
        <f t="shared" si="38"/>
        <v>0</v>
      </c>
      <c r="BS421" s="315">
        <f t="shared" si="39"/>
        <v>0</v>
      </c>
      <c r="BT421" s="315">
        <f t="shared" si="39"/>
        <v>0</v>
      </c>
      <c r="BU421" s="315">
        <f t="shared" si="39"/>
        <v>0</v>
      </c>
      <c r="BV421" s="315">
        <f t="shared" si="39"/>
        <v>0</v>
      </c>
      <c r="BW421" s="315">
        <f t="shared" si="39"/>
        <v>0</v>
      </c>
      <c r="BX421" s="315">
        <f t="shared" si="39"/>
        <v>0</v>
      </c>
      <c r="BZ421" s="315">
        <f t="shared" si="40"/>
        <v>0</v>
      </c>
      <c r="CA421" s="315">
        <f t="shared" si="40"/>
        <v>0</v>
      </c>
    </row>
    <row r="422" spans="7:79" hidden="1" x14ac:dyDescent="0.2">
      <c r="G422" s="315">
        <f t="shared" si="38"/>
        <v>0</v>
      </c>
      <c r="H422" s="315">
        <f t="shared" si="38"/>
        <v>0</v>
      </c>
      <c r="I422" s="315">
        <f t="shared" si="38"/>
        <v>0</v>
      </c>
      <c r="J422" s="315">
        <f t="shared" si="38"/>
        <v>0</v>
      </c>
      <c r="K422" s="315">
        <f t="shared" si="38"/>
        <v>0</v>
      </c>
      <c r="L422" s="315">
        <f t="shared" si="38"/>
        <v>0</v>
      </c>
      <c r="M422" s="315">
        <f t="shared" si="38"/>
        <v>0</v>
      </c>
      <c r="N422" s="315">
        <f t="shared" si="38"/>
        <v>0</v>
      </c>
      <c r="O422" s="315">
        <f t="shared" si="38"/>
        <v>0</v>
      </c>
      <c r="P422" s="315">
        <f t="shared" si="38"/>
        <v>0</v>
      </c>
      <c r="Q422" s="315">
        <f t="shared" si="38"/>
        <v>0</v>
      </c>
      <c r="R422" s="315">
        <f t="shared" si="38"/>
        <v>0</v>
      </c>
      <c r="S422" s="315">
        <f t="shared" si="38"/>
        <v>0</v>
      </c>
      <c r="T422" s="315">
        <f t="shared" si="38"/>
        <v>0</v>
      </c>
      <c r="U422" s="315">
        <f t="shared" si="38"/>
        <v>0</v>
      </c>
      <c r="V422" s="315">
        <f t="shared" si="38"/>
        <v>0</v>
      </c>
      <c r="W422" s="315">
        <f t="shared" si="38"/>
        <v>0</v>
      </c>
      <c r="X422" s="315">
        <f t="shared" si="38"/>
        <v>0</v>
      </c>
      <c r="Y422" s="315">
        <f t="shared" si="38"/>
        <v>0</v>
      </c>
      <c r="Z422" s="315">
        <f t="shared" si="38"/>
        <v>0</v>
      </c>
      <c r="AA422" s="315">
        <f t="shared" si="38"/>
        <v>0</v>
      </c>
      <c r="AB422" s="315">
        <f t="shared" si="38"/>
        <v>0</v>
      </c>
      <c r="AC422" s="315">
        <f t="shared" si="38"/>
        <v>0</v>
      </c>
      <c r="AD422" s="315">
        <f t="shared" si="38"/>
        <v>0</v>
      </c>
      <c r="AE422" s="315">
        <f t="shared" si="38"/>
        <v>0</v>
      </c>
      <c r="AF422" s="315">
        <f t="shared" si="38"/>
        <v>0</v>
      </c>
      <c r="AG422" s="315">
        <f t="shared" si="38"/>
        <v>0</v>
      </c>
      <c r="AH422" s="315">
        <f t="shared" si="38"/>
        <v>0</v>
      </c>
      <c r="AI422" s="315">
        <f t="shared" si="38"/>
        <v>0</v>
      </c>
      <c r="AJ422" s="315">
        <f t="shared" si="38"/>
        <v>0</v>
      </c>
      <c r="AK422" s="315">
        <f t="shared" si="38"/>
        <v>0</v>
      </c>
      <c r="AL422" s="315">
        <f t="shared" si="38"/>
        <v>0</v>
      </c>
      <c r="AM422" s="315">
        <f t="shared" si="38"/>
        <v>0</v>
      </c>
      <c r="AN422" s="315">
        <f t="shared" si="38"/>
        <v>0</v>
      </c>
      <c r="AO422" s="315">
        <f t="shared" si="38"/>
        <v>0</v>
      </c>
      <c r="AP422" s="315">
        <f t="shared" si="38"/>
        <v>0</v>
      </c>
      <c r="AQ422" s="315">
        <f t="shared" si="38"/>
        <v>0</v>
      </c>
      <c r="AR422" s="315">
        <f t="shared" si="38"/>
        <v>0</v>
      </c>
      <c r="AS422" s="315">
        <f t="shared" si="38"/>
        <v>0</v>
      </c>
      <c r="AT422" s="315">
        <f t="shared" si="38"/>
        <v>0</v>
      </c>
      <c r="AU422" s="315">
        <f t="shared" si="38"/>
        <v>0</v>
      </c>
      <c r="AV422" s="315">
        <f t="shared" si="38"/>
        <v>0</v>
      </c>
      <c r="AW422" s="315">
        <f t="shared" si="38"/>
        <v>0</v>
      </c>
      <c r="AX422" s="315">
        <f t="shared" si="38"/>
        <v>0</v>
      </c>
      <c r="AY422" s="315">
        <f t="shared" si="38"/>
        <v>0</v>
      </c>
      <c r="AZ422" s="315">
        <f t="shared" si="38"/>
        <v>0</v>
      </c>
      <c r="BA422" s="315">
        <f t="shared" si="38"/>
        <v>0</v>
      </c>
      <c r="BB422" s="315">
        <f t="shared" si="38"/>
        <v>0</v>
      </c>
      <c r="BC422" s="315">
        <f t="shared" si="38"/>
        <v>0</v>
      </c>
      <c r="BD422" s="315">
        <f t="shared" si="38"/>
        <v>0</v>
      </c>
      <c r="BE422" s="315">
        <f t="shared" si="38"/>
        <v>0</v>
      </c>
      <c r="BF422" s="315">
        <f t="shared" si="38"/>
        <v>0</v>
      </c>
      <c r="BG422" s="315">
        <f t="shared" si="38"/>
        <v>0</v>
      </c>
      <c r="BH422" s="315">
        <f t="shared" si="38"/>
        <v>0</v>
      </c>
      <c r="BI422" s="315">
        <f t="shared" si="38"/>
        <v>0</v>
      </c>
      <c r="BJ422" s="315">
        <f t="shared" si="38"/>
        <v>0</v>
      </c>
      <c r="BK422" s="315">
        <f t="shared" si="38"/>
        <v>0</v>
      </c>
      <c r="BL422" s="315">
        <f t="shared" si="38"/>
        <v>0</v>
      </c>
      <c r="BM422" s="315">
        <f t="shared" si="38"/>
        <v>0</v>
      </c>
      <c r="BN422" s="315">
        <f t="shared" si="38"/>
        <v>0</v>
      </c>
      <c r="BO422" s="315">
        <f t="shared" si="38"/>
        <v>0</v>
      </c>
      <c r="BP422" s="315">
        <f t="shared" si="38"/>
        <v>0</v>
      </c>
      <c r="BQ422" s="315">
        <f t="shared" si="38"/>
        <v>0</v>
      </c>
      <c r="BR422" s="315">
        <f t="shared" ref="BR422:BX437" si="41">BR29-EJ29</f>
        <v>0</v>
      </c>
      <c r="BS422" s="315">
        <f t="shared" si="39"/>
        <v>0</v>
      </c>
      <c r="BT422" s="315">
        <f t="shared" si="39"/>
        <v>0</v>
      </c>
      <c r="BU422" s="315">
        <f t="shared" si="39"/>
        <v>0</v>
      </c>
      <c r="BV422" s="315">
        <f t="shared" si="39"/>
        <v>0</v>
      </c>
      <c r="BW422" s="315">
        <f t="shared" si="39"/>
        <v>0</v>
      </c>
      <c r="BX422" s="315">
        <f t="shared" si="39"/>
        <v>0</v>
      </c>
      <c r="BZ422" s="315">
        <f t="shared" si="40"/>
        <v>0</v>
      </c>
      <c r="CA422" s="315">
        <f t="shared" si="40"/>
        <v>0</v>
      </c>
    </row>
    <row r="423" spans="7:79" hidden="1" x14ac:dyDescent="0.2">
      <c r="G423" s="315">
        <f t="shared" ref="G423:BQ427" si="42">G30-BY30</f>
        <v>0</v>
      </c>
      <c r="H423" s="315">
        <f t="shared" si="42"/>
        <v>0</v>
      </c>
      <c r="I423" s="315">
        <f t="shared" si="42"/>
        <v>0</v>
      </c>
      <c r="J423" s="315">
        <f t="shared" si="42"/>
        <v>0</v>
      </c>
      <c r="K423" s="315">
        <f t="shared" si="42"/>
        <v>0</v>
      </c>
      <c r="L423" s="315">
        <f t="shared" si="42"/>
        <v>0</v>
      </c>
      <c r="M423" s="315">
        <f t="shared" si="42"/>
        <v>0</v>
      </c>
      <c r="N423" s="315">
        <f t="shared" si="42"/>
        <v>0</v>
      </c>
      <c r="O423" s="315">
        <f t="shared" si="42"/>
        <v>0</v>
      </c>
      <c r="P423" s="315">
        <f t="shared" si="42"/>
        <v>0</v>
      </c>
      <c r="Q423" s="315">
        <f t="shared" si="42"/>
        <v>0</v>
      </c>
      <c r="R423" s="315">
        <f t="shared" si="42"/>
        <v>0</v>
      </c>
      <c r="S423" s="315">
        <f t="shared" si="42"/>
        <v>0</v>
      </c>
      <c r="T423" s="315">
        <f t="shared" si="42"/>
        <v>0</v>
      </c>
      <c r="U423" s="315">
        <f t="shared" si="42"/>
        <v>0</v>
      </c>
      <c r="V423" s="315">
        <f t="shared" si="42"/>
        <v>0</v>
      </c>
      <c r="W423" s="315">
        <f t="shared" si="42"/>
        <v>0</v>
      </c>
      <c r="X423" s="315">
        <f t="shared" si="42"/>
        <v>0</v>
      </c>
      <c r="Y423" s="315">
        <f t="shared" si="42"/>
        <v>0</v>
      </c>
      <c r="Z423" s="315">
        <f t="shared" si="42"/>
        <v>0</v>
      </c>
      <c r="AA423" s="315">
        <f t="shared" si="42"/>
        <v>0</v>
      </c>
      <c r="AB423" s="315">
        <f t="shared" si="42"/>
        <v>0</v>
      </c>
      <c r="AC423" s="315">
        <f t="shared" si="42"/>
        <v>0</v>
      </c>
      <c r="AD423" s="315">
        <f t="shared" si="42"/>
        <v>0</v>
      </c>
      <c r="AE423" s="315">
        <f t="shared" si="42"/>
        <v>0</v>
      </c>
      <c r="AF423" s="315">
        <f t="shared" si="42"/>
        <v>0</v>
      </c>
      <c r="AG423" s="315">
        <f t="shared" si="42"/>
        <v>0</v>
      </c>
      <c r="AH423" s="315">
        <f t="shared" si="42"/>
        <v>0</v>
      </c>
      <c r="AI423" s="315">
        <f t="shared" si="42"/>
        <v>0</v>
      </c>
      <c r="AJ423" s="315">
        <f t="shared" si="42"/>
        <v>0</v>
      </c>
      <c r="AK423" s="315">
        <f t="shared" si="42"/>
        <v>0</v>
      </c>
      <c r="AL423" s="315">
        <f t="shared" si="42"/>
        <v>0</v>
      </c>
      <c r="AM423" s="315">
        <f t="shared" si="42"/>
        <v>0</v>
      </c>
      <c r="AN423" s="315">
        <f t="shared" si="42"/>
        <v>0</v>
      </c>
      <c r="AO423" s="315">
        <f t="shared" si="42"/>
        <v>0</v>
      </c>
      <c r="AP423" s="315">
        <f t="shared" si="42"/>
        <v>0</v>
      </c>
      <c r="AQ423" s="315">
        <f t="shared" si="42"/>
        <v>0</v>
      </c>
      <c r="AR423" s="315">
        <f t="shared" si="42"/>
        <v>0</v>
      </c>
      <c r="AS423" s="315">
        <f t="shared" si="42"/>
        <v>0</v>
      </c>
      <c r="AT423" s="315">
        <f t="shared" si="42"/>
        <v>0</v>
      </c>
      <c r="AU423" s="315">
        <f t="shared" si="42"/>
        <v>0</v>
      </c>
      <c r="AV423" s="315">
        <f t="shared" si="42"/>
        <v>0</v>
      </c>
      <c r="AW423" s="315">
        <f t="shared" si="42"/>
        <v>0</v>
      </c>
      <c r="AX423" s="315">
        <f t="shared" si="42"/>
        <v>0</v>
      </c>
      <c r="AY423" s="315">
        <f t="shared" si="42"/>
        <v>0</v>
      </c>
      <c r="AZ423" s="315">
        <f t="shared" si="42"/>
        <v>0</v>
      </c>
      <c r="BA423" s="315">
        <f t="shared" si="42"/>
        <v>0</v>
      </c>
      <c r="BB423" s="315">
        <f t="shared" si="42"/>
        <v>0</v>
      </c>
      <c r="BC423" s="315">
        <f t="shared" si="42"/>
        <v>0</v>
      </c>
      <c r="BD423" s="315">
        <f t="shared" si="42"/>
        <v>0</v>
      </c>
      <c r="BE423" s="315">
        <f t="shared" si="42"/>
        <v>0</v>
      </c>
      <c r="BF423" s="315">
        <f t="shared" si="42"/>
        <v>0</v>
      </c>
      <c r="BG423" s="315">
        <f t="shared" si="42"/>
        <v>0</v>
      </c>
      <c r="BH423" s="315">
        <f t="shared" si="42"/>
        <v>0</v>
      </c>
      <c r="BI423" s="315">
        <f t="shared" si="42"/>
        <v>0</v>
      </c>
      <c r="BJ423" s="315">
        <f t="shared" si="42"/>
        <v>0</v>
      </c>
      <c r="BK423" s="315">
        <f t="shared" si="42"/>
        <v>0</v>
      </c>
      <c r="BL423" s="315">
        <f t="shared" si="42"/>
        <v>0</v>
      </c>
      <c r="BM423" s="315">
        <f t="shared" si="42"/>
        <v>0</v>
      </c>
      <c r="BN423" s="315">
        <f t="shared" si="42"/>
        <v>0</v>
      </c>
      <c r="BO423" s="315">
        <f t="shared" si="42"/>
        <v>0</v>
      </c>
      <c r="BP423" s="315">
        <f t="shared" si="42"/>
        <v>0</v>
      </c>
      <c r="BQ423" s="315">
        <f t="shared" si="42"/>
        <v>0</v>
      </c>
      <c r="BR423" s="315">
        <f t="shared" si="41"/>
        <v>0</v>
      </c>
      <c r="BS423" s="315">
        <f t="shared" si="39"/>
        <v>0</v>
      </c>
      <c r="BT423" s="315">
        <f t="shared" si="39"/>
        <v>0</v>
      </c>
      <c r="BU423" s="315">
        <f t="shared" si="39"/>
        <v>0</v>
      </c>
      <c r="BV423" s="315">
        <f t="shared" si="39"/>
        <v>0</v>
      </c>
      <c r="BW423" s="315">
        <f t="shared" si="39"/>
        <v>0</v>
      </c>
      <c r="BX423" s="315">
        <f t="shared" si="39"/>
        <v>0</v>
      </c>
      <c r="BZ423" s="315">
        <f t="shared" si="40"/>
        <v>0</v>
      </c>
      <c r="CA423" s="315">
        <f t="shared" si="40"/>
        <v>0</v>
      </c>
    </row>
    <row r="424" spans="7:79" hidden="1" x14ac:dyDescent="0.2">
      <c r="G424" s="315">
        <f t="shared" si="42"/>
        <v>0</v>
      </c>
      <c r="H424" s="315">
        <f t="shared" si="42"/>
        <v>0</v>
      </c>
      <c r="I424" s="315">
        <f t="shared" si="42"/>
        <v>0</v>
      </c>
      <c r="J424" s="315">
        <f t="shared" si="42"/>
        <v>0</v>
      </c>
      <c r="K424" s="315">
        <f t="shared" si="42"/>
        <v>0</v>
      </c>
      <c r="L424" s="315">
        <f t="shared" si="42"/>
        <v>0</v>
      </c>
      <c r="M424" s="315">
        <f t="shared" si="42"/>
        <v>0</v>
      </c>
      <c r="N424" s="315">
        <f t="shared" si="42"/>
        <v>0</v>
      </c>
      <c r="O424" s="315">
        <f t="shared" si="42"/>
        <v>0</v>
      </c>
      <c r="P424" s="315">
        <f t="shared" si="42"/>
        <v>0</v>
      </c>
      <c r="Q424" s="315">
        <f t="shared" si="42"/>
        <v>0</v>
      </c>
      <c r="R424" s="315">
        <f t="shared" si="42"/>
        <v>0</v>
      </c>
      <c r="S424" s="315">
        <f t="shared" si="42"/>
        <v>0</v>
      </c>
      <c r="T424" s="315">
        <f t="shared" si="42"/>
        <v>0</v>
      </c>
      <c r="U424" s="315">
        <f t="shared" si="42"/>
        <v>0</v>
      </c>
      <c r="V424" s="315">
        <f t="shared" si="42"/>
        <v>0</v>
      </c>
      <c r="W424" s="315">
        <f t="shared" si="42"/>
        <v>0</v>
      </c>
      <c r="X424" s="315">
        <f t="shared" si="42"/>
        <v>0</v>
      </c>
      <c r="Y424" s="315">
        <f t="shared" si="42"/>
        <v>0</v>
      </c>
      <c r="Z424" s="315">
        <f t="shared" si="42"/>
        <v>0</v>
      </c>
      <c r="AA424" s="315">
        <f t="shared" si="42"/>
        <v>0</v>
      </c>
      <c r="AB424" s="315">
        <f t="shared" si="42"/>
        <v>0</v>
      </c>
      <c r="AC424" s="315">
        <f t="shared" si="42"/>
        <v>0</v>
      </c>
      <c r="AD424" s="315">
        <f t="shared" si="42"/>
        <v>0</v>
      </c>
      <c r="AE424" s="315">
        <f t="shared" si="42"/>
        <v>0</v>
      </c>
      <c r="AF424" s="315">
        <f t="shared" si="42"/>
        <v>0</v>
      </c>
      <c r="AG424" s="315">
        <f t="shared" si="42"/>
        <v>0</v>
      </c>
      <c r="AH424" s="315">
        <f t="shared" si="42"/>
        <v>0</v>
      </c>
      <c r="AI424" s="315">
        <f t="shared" si="42"/>
        <v>0</v>
      </c>
      <c r="AJ424" s="315">
        <f t="shared" si="42"/>
        <v>0</v>
      </c>
      <c r="AK424" s="315">
        <f t="shared" si="42"/>
        <v>0</v>
      </c>
      <c r="AL424" s="315">
        <f t="shared" si="42"/>
        <v>0</v>
      </c>
      <c r="AM424" s="315">
        <f t="shared" si="42"/>
        <v>0</v>
      </c>
      <c r="AN424" s="315">
        <f t="shared" si="42"/>
        <v>0</v>
      </c>
      <c r="AO424" s="315">
        <f t="shared" si="42"/>
        <v>0</v>
      </c>
      <c r="AP424" s="315">
        <f t="shared" si="42"/>
        <v>0</v>
      </c>
      <c r="AQ424" s="315">
        <f t="shared" si="42"/>
        <v>0</v>
      </c>
      <c r="AR424" s="315">
        <f t="shared" si="42"/>
        <v>0</v>
      </c>
      <c r="AS424" s="315">
        <f t="shared" si="42"/>
        <v>0</v>
      </c>
      <c r="AT424" s="315">
        <f t="shared" si="42"/>
        <v>0</v>
      </c>
      <c r="AU424" s="315">
        <f t="shared" si="42"/>
        <v>0</v>
      </c>
      <c r="AV424" s="315">
        <f t="shared" si="42"/>
        <v>0</v>
      </c>
      <c r="AW424" s="315">
        <f t="shared" si="42"/>
        <v>0</v>
      </c>
      <c r="AX424" s="315">
        <f t="shared" si="42"/>
        <v>0</v>
      </c>
      <c r="AY424" s="315">
        <f t="shared" si="42"/>
        <v>0</v>
      </c>
      <c r="AZ424" s="315">
        <f t="shared" si="42"/>
        <v>0</v>
      </c>
      <c r="BA424" s="315">
        <f t="shared" si="42"/>
        <v>0</v>
      </c>
      <c r="BB424" s="315">
        <f t="shared" si="42"/>
        <v>0</v>
      </c>
      <c r="BC424" s="315">
        <f t="shared" si="42"/>
        <v>0</v>
      </c>
      <c r="BD424" s="315">
        <f t="shared" si="42"/>
        <v>0</v>
      </c>
      <c r="BE424" s="315">
        <f t="shared" si="42"/>
        <v>0</v>
      </c>
      <c r="BF424" s="315">
        <f t="shared" si="42"/>
        <v>0</v>
      </c>
      <c r="BG424" s="315">
        <f t="shared" si="42"/>
        <v>0</v>
      </c>
      <c r="BH424" s="315">
        <f t="shared" si="42"/>
        <v>0</v>
      </c>
      <c r="BI424" s="315">
        <f t="shared" si="42"/>
        <v>0</v>
      </c>
      <c r="BJ424" s="315">
        <f t="shared" si="42"/>
        <v>0</v>
      </c>
      <c r="BK424" s="315">
        <f t="shared" si="42"/>
        <v>0</v>
      </c>
      <c r="BL424" s="315">
        <f t="shared" si="42"/>
        <v>0</v>
      </c>
      <c r="BM424" s="315">
        <f t="shared" si="42"/>
        <v>0</v>
      </c>
      <c r="BN424" s="315">
        <f t="shared" si="42"/>
        <v>0</v>
      </c>
      <c r="BO424" s="315">
        <f t="shared" si="42"/>
        <v>0</v>
      </c>
      <c r="BP424" s="315">
        <f t="shared" si="42"/>
        <v>0</v>
      </c>
      <c r="BQ424" s="315">
        <f t="shared" si="42"/>
        <v>0</v>
      </c>
      <c r="BR424" s="315">
        <f t="shared" si="41"/>
        <v>0</v>
      </c>
      <c r="BS424" s="315">
        <f t="shared" si="39"/>
        <v>0</v>
      </c>
      <c r="BT424" s="315">
        <f t="shared" si="39"/>
        <v>0</v>
      </c>
      <c r="BU424" s="315">
        <f t="shared" si="39"/>
        <v>0</v>
      </c>
      <c r="BV424" s="315">
        <f t="shared" si="39"/>
        <v>0</v>
      </c>
      <c r="BW424" s="315">
        <f t="shared" si="39"/>
        <v>0</v>
      </c>
      <c r="BX424" s="315">
        <f t="shared" si="39"/>
        <v>0</v>
      </c>
      <c r="BZ424" s="315">
        <f t="shared" si="40"/>
        <v>0</v>
      </c>
      <c r="CA424" s="315">
        <f t="shared" si="40"/>
        <v>0</v>
      </c>
    </row>
    <row r="425" spans="7:79" hidden="1" x14ac:dyDescent="0.2">
      <c r="G425" s="315">
        <f t="shared" si="42"/>
        <v>0</v>
      </c>
      <c r="H425" s="315">
        <f t="shared" si="42"/>
        <v>0</v>
      </c>
      <c r="I425" s="315">
        <f t="shared" si="42"/>
        <v>0</v>
      </c>
      <c r="J425" s="315">
        <f t="shared" si="42"/>
        <v>0</v>
      </c>
      <c r="K425" s="315">
        <f t="shared" si="42"/>
        <v>0</v>
      </c>
      <c r="L425" s="315">
        <f t="shared" si="42"/>
        <v>0</v>
      </c>
      <c r="M425" s="315">
        <f t="shared" si="42"/>
        <v>0</v>
      </c>
      <c r="N425" s="315">
        <f t="shared" si="42"/>
        <v>0</v>
      </c>
      <c r="O425" s="315">
        <f t="shared" si="42"/>
        <v>0</v>
      </c>
      <c r="P425" s="315">
        <f t="shared" si="42"/>
        <v>0</v>
      </c>
      <c r="Q425" s="315">
        <f t="shared" si="42"/>
        <v>0</v>
      </c>
      <c r="R425" s="315">
        <f t="shared" si="42"/>
        <v>0</v>
      </c>
      <c r="S425" s="315">
        <f t="shared" si="42"/>
        <v>0</v>
      </c>
      <c r="T425" s="315">
        <f t="shared" si="42"/>
        <v>0</v>
      </c>
      <c r="U425" s="315">
        <f t="shared" si="42"/>
        <v>0</v>
      </c>
      <c r="V425" s="315">
        <f t="shared" si="42"/>
        <v>0</v>
      </c>
      <c r="W425" s="315">
        <f t="shared" si="42"/>
        <v>0</v>
      </c>
      <c r="X425" s="315">
        <f t="shared" si="42"/>
        <v>0</v>
      </c>
      <c r="Y425" s="315">
        <f t="shared" si="42"/>
        <v>0</v>
      </c>
      <c r="Z425" s="315">
        <f t="shared" si="42"/>
        <v>0</v>
      </c>
      <c r="AA425" s="315">
        <f t="shared" si="42"/>
        <v>0</v>
      </c>
      <c r="AB425" s="315">
        <f t="shared" si="42"/>
        <v>0</v>
      </c>
      <c r="AC425" s="315">
        <f t="shared" si="42"/>
        <v>0</v>
      </c>
      <c r="AD425" s="315">
        <f t="shared" si="42"/>
        <v>0</v>
      </c>
      <c r="AE425" s="315">
        <f t="shared" si="42"/>
        <v>0</v>
      </c>
      <c r="AF425" s="315">
        <f t="shared" si="42"/>
        <v>0</v>
      </c>
      <c r="AG425" s="315">
        <f t="shared" si="42"/>
        <v>0</v>
      </c>
      <c r="AH425" s="315">
        <f t="shared" si="42"/>
        <v>0</v>
      </c>
      <c r="AI425" s="315">
        <f t="shared" si="42"/>
        <v>0</v>
      </c>
      <c r="AJ425" s="315">
        <f t="shared" si="42"/>
        <v>0</v>
      </c>
      <c r="AK425" s="315">
        <f t="shared" si="42"/>
        <v>0</v>
      </c>
      <c r="AL425" s="315">
        <f t="shared" si="42"/>
        <v>0</v>
      </c>
      <c r="AM425" s="315">
        <f t="shared" si="42"/>
        <v>0</v>
      </c>
      <c r="AN425" s="315">
        <f t="shared" si="42"/>
        <v>0</v>
      </c>
      <c r="AO425" s="315">
        <f t="shared" si="42"/>
        <v>0</v>
      </c>
      <c r="AP425" s="315">
        <f t="shared" si="42"/>
        <v>0</v>
      </c>
      <c r="AQ425" s="315">
        <f t="shared" si="42"/>
        <v>0</v>
      </c>
      <c r="AR425" s="315">
        <f t="shared" si="42"/>
        <v>0</v>
      </c>
      <c r="AS425" s="315">
        <f t="shared" si="42"/>
        <v>0</v>
      </c>
      <c r="AT425" s="315">
        <f t="shared" si="42"/>
        <v>0</v>
      </c>
      <c r="AU425" s="315">
        <f t="shared" si="42"/>
        <v>0</v>
      </c>
      <c r="AV425" s="315">
        <f t="shared" si="42"/>
        <v>0</v>
      </c>
      <c r="AW425" s="315">
        <f t="shared" si="42"/>
        <v>0</v>
      </c>
      <c r="AX425" s="315">
        <f t="shared" si="42"/>
        <v>0</v>
      </c>
      <c r="AY425" s="315">
        <f t="shared" si="42"/>
        <v>0</v>
      </c>
      <c r="AZ425" s="315">
        <f t="shared" si="42"/>
        <v>0</v>
      </c>
      <c r="BA425" s="315">
        <f t="shared" si="42"/>
        <v>0</v>
      </c>
      <c r="BB425" s="315">
        <f t="shared" si="42"/>
        <v>0</v>
      </c>
      <c r="BC425" s="315">
        <f t="shared" si="42"/>
        <v>0</v>
      </c>
      <c r="BD425" s="315">
        <f t="shared" si="42"/>
        <v>0</v>
      </c>
      <c r="BE425" s="315">
        <f t="shared" si="42"/>
        <v>0</v>
      </c>
      <c r="BF425" s="315">
        <f t="shared" si="42"/>
        <v>0</v>
      </c>
      <c r="BG425" s="315">
        <f t="shared" si="42"/>
        <v>0</v>
      </c>
      <c r="BH425" s="315">
        <f t="shared" si="42"/>
        <v>0</v>
      </c>
      <c r="BI425" s="315">
        <f t="shared" si="42"/>
        <v>0</v>
      </c>
      <c r="BJ425" s="315">
        <f t="shared" si="42"/>
        <v>0</v>
      </c>
      <c r="BK425" s="315">
        <f t="shared" si="42"/>
        <v>0</v>
      </c>
      <c r="BL425" s="315">
        <f t="shared" si="42"/>
        <v>0</v>
      </c>
      <c r="BM425" s="315">
        <f t="shared" si="42"/>
        <v>0</v>
      </c>
      <c r="BN425" s="315">
        <f t="shared" si="42"/>
        <v>0</v>
      </c>
      <c r="BO425" s="315">
        <f t="shared" si="42"/>
        <v>0</v>
      </c>
      <c r="BP425" s="315">
        <f t="shared" si="42"/>
        <v>0</v>
      </c>
      <c r="BQ425" s="315">
        <f t="shared" si="42"/>
        <v>0</v>
      </c>
      <c r="BR425" s="315">
        <f t="shared" si="41"/>
        <v>0</v>
      </c>
      <c r="BS425" s="315">
        <f t="shared" si="39"/>
        <v>0</v>
      </c>
      <c r="BT425" s="315">
        <f t="shared" si="39"/>
        <v>0</v>
      </c>
      <c r="BU425" s="315">
        <f t="shared" si="39"/>
        <v>0</v>
      </c>
      <c r="BV425" s="315">
        <f t="shared" si="39"/>
        <v>0</v>
      </c>
      <c r="BW425" s="315">
        <f t="shared" si="39"/>
        <v>0</v>
      </c>
      <c r="BX425" s="315">
        <f t="shared" si="39"/>
        <v>0</v>
      </c>
      <c r="BZ425" s="315">
        <f t="shared" si="40"/>
        <v>0</v>
      </c>
      <c r="CA425" s="315">
        <f t="shared" si="40"/>
        <v>0</v>
      </c>
    </row>
    <row r="426" spans="7:79" hidden="1" x14ac:dyDescent="0.2">
      <c r="G426" s="315">
        <f t="shared" si="42"/>
        <v>-6825659</v>
      </c>
      <c r="H426" s="315">
        <f t="shared" si="42"/>
        <v>0</v>
      </c>
      <c r="I426" s="315">
        <f t="shared" si="42"/>
        <v>0</v>
      </c>
      <c r="J426" s="315">
        <f t="shared" si="42"/>
        <v>0</v>
      </c>
      <c r="K426" s="315">
        <f t="shared" si="42"/>
        <v>0</v>
      </c>
      <c r="L426" s="315">
        <f t="shared" si="42"/>
        <v>-484328</v>
      </c>
      <c r="M426" s="315">
        <f t="shared" si="42"/>
        <v>0</v>
      </c>
      <c r="N426" s="315">
        <f t="shared" si="42"/>
        <v>0</v>
      </c>
      <c r="O426" s="315">
        <f t="shared" si="42"/>
        <v>0</v>
      </c>
      <c r="P426" s="315">
        <f t="shared" si="42"/>
        <v>0</v>
      </c>
      <c r="Q426" s="315">
        <f t="shared" si="42"/>
        <v>-850726</v>
      </c>
      <c r="R426" s="315">
        <f t="shared" si="42"/>
        <v>0</v>
      </c>
      <c r="S426" s="315">
        <f t="shared" si="42"/>
        <v>0</v>
      </c>
      <c r="T426" s="315">
        <f t="shared" si="42"/>
        <v>0</v>
      </c>
      <c r="U426" s="315">
        <f t="shared" si="42"/>
        <v>0</v>
      </c>
      <c r="V426" s="315">
        <f t="shared" si="42"/>
        <v>-390117</v>
      </c>
      <c r="W426" s="315">
        <f t="shared" si="42"/>
        <v>0</v>
      </c>
      <c r="X426" s="315">
        <f t="shared" si="42"/>
        <v>0</v>
      </c>
      <c r="Y426" s="315">
        <f t="shared" si="42"/>
        <v>0</v>
      </c>
      <c r="Z426" s="315">
        <f t="shared" si="42"/>
        <v>0</v>
      </c>
      <c r="AA426" s="315">
        <f t="shared" si="42"/>
        <v>0</v>
      </c>
      <c r="AB426" s="315">
        <f t="shared" si="42"/>
        <v>0</v>
      </c>
      <c r="AC426" s="315">
        <f t="shared" si="42"/>
        <v>0</v>
      </c>
      <c r="AD426" s="315">
        <f t="shared" si="42"/>
        <v>0</v>
      </c>
      <c r="AE426" s="315">
        <f t="shared" si="42"/>
        <v>0</v>
      </c>
      <c r="AF426" s="315">
        <f t="shared" si="42"/>
        <v>-286240</v>
      </c>
      <c r="AG426" s="315">
        <f t="shared" si="42"/>
        <v>0</v>
      </c>
      <c r="AH426" s="315">
        <f t="shared" si="42"/>
        <v>0</v>
      </c>
      <c r="AI426" s="315">
        <f t="shared" si="42"/>
        <v>0</v>
      </c>
      <c r="AJ426" s="315">
        <f t="shared" si="42"/>
        <v>0</v>
      </c>
      <c r="AK426" s="315">
        <f t="shared" si="42"/>
        <v>-123945</v>
      </c>
      <c r="AL426" s="315">
        <f t="shared" si="42"/>
        <v>0</v>
      </c>
      <c r="AM426" s="315">
        <f t="shared" si="42"/>
        <v>0</v>
      </c>
      <c r="AN426" s="315">
        <f t="shared" si="42"/>
        <v>0</v>
      </c>
      <c r="AO426" s="315">
        <f t="shared" si="42"/>
        <v>0</v>
      </c>
      <c r="AP426" s="315">
        <f t="shared" si="42"/>
        <v>-15625</v>
      </c>
      <c r="AQ426" s="315">
        <f t="shared" si="42"/>
        <v>0</v>
      </c>
      <c r="AR426" s="315">
        <f t="shared" si="42"/>
        <v>0</v>
      </c>
      <c r="AS426" s="315">
        <f t="shared" si="42"/>
        <v>0</v>
      </c>
      <c r="AT426" s="315">
        <f t="shared" si="42"/>
        <v>0</v>
      </c>
      <c r="AU426" s="315">
        <f t="shared" si="42"/>
        <v>0</v>
      </c>
      <c r="AV426" s="315">
        <f t="shared" si="42"/>
        <v>0</v>
      </c>
      <c r="AW426" s="315">
        <f t="shared" si="42"/>
        <v>0</v>
      </c>
      <c r="AX426" s="315">
        <f t="shared" si="42"/>
        <v>0</v>
      </c>
      <c r="AY426" s="315">
        <f t="shared" si="42"/>
        <v>0</v>
      </c>
      <c r="AZ426" s="315">
        <f t="shared" si="42"/>
        <v>0</v>
      </c>
      <c r="BA426" s="315">
        <f t="shared" si="42"/>
        <v>0</v>
      </c>
      <c r="BB426" s="315">
        <f t="shared" si="42"/>
        <v>0</v>
      </c>
      <c r="BC426" s="315">
        <f t="shared" si="42"/>
        <v>0</v>
      </c>
      <c r="BD426" s="315">
        <f t="shared" si="42"/>
        <v>0</v>
      </c>
      <c r="BE426" s="315">
        <f t="shared" si="42"/>
        <v>0</v>
      </c>
      <c r="BF426" s="315">
        <f t="shared" si="42"/>
        <v>0</v>
      </c>
      <c r="BG426" s="315">
        <f t="shared" si="42"/>
        <v>0</v>
      </c>
      <c r="BH426" s="315">
        <f t="shared" si="42"/>
        <v>0</v>
      </c>
      <c r="BI426" s="315">
        <f t="shared" si="42"/>
        <v>0</v>
      </c>
      <c r="BJ426" s="315">
        <f t="shared" si="42"/>
        <v>-1079385</v>
      </c>
      <c r="BK426" s="315">
        <f t="shared" si="42"/>
        <v>0</v>
      </c>
      <c r="BL426" s="315">
        <f t="shared" si="42"/>
        <v>0</v>
      </c>
      <c r="BM426" s="315">
        <f t="shared" si="42"/>
        <v>0</v>
      </c>
      <c r="BN426" s="315">
        <f t="shared" si="42"/>
        <v>0</v>
      </c>
      <c r="BO426" s="315">
        <f t="shared" si="42"/>
        <v>-3595293</v>
      </c>
      <c r="BP426" s="315">
        <f t="shared" si="42"/>
        <v>0</v>
      </c>
      <c r="BQ426" s="315">
        <f t="shared" si="42"/>
        <v>0</v>
      </c>
      <c r="BR426" s="315">
        <f t="shared" si="41"/>
        <v>0</v>
      </c>
      <c r="BS426" s="315">
        <f t="shared" si="39"/>
        <v>0</v>
      </c>
      <c r="BT426" s="315">
        <f t="shared" si="39"/>
        <v>-2150981</v>
      </c>
      <c r="BU426" s="315">
        <f t="shared" si="39"/>
        <v>0</v>
      </c>
      <c r="BV426" s="315">
        <f t="shared" si="39"/>
        <v>0</v>
      </c>
      <c r="BW426" s="315">
        <f t="shared" si="39"/>
        <v>0</v>
      </c>
      <c r="BX426" s="315">
        <f t="shared" si="39"/>
        <v>0</v>
      </c>
      <c r="BZ426" s="315">
        <f t="shared" si="40"/>
        <v>0</v>
      </c>
      <c r="CA426" s="315">
        <f t="shared" si="40"/>
        <v>0</v>
      </c>
    </row>
    <row r="427" spans="7:79" hidden="1" x14ac:dyDescent="0.2">
      <c r="G427" s="315">
        <f t="shared" si="42"/>
        <v>-4283892</v>
      </c>
      <c r="H427" s="315">
        <f t="shared" si="42"/>
        <v>0</v>
      </c>
      <c r="I427" s="315">
        <f t="shared" si="42"/>
        <v>0</v>
      </c>
      <c r="J427" s="315">
        <f t="shared" ref="J427:BQ431" si="43">J34-CB34</f>
        <v>0</v>
      </c>
      <c r="K427" s="315">
        <f t="shared" si="43"/>
        <v>0</v>
      </c>
      <c r="L427" s="315">
        <f t="shared" si="43"/>
        <v>-314427</v>
      </c>
      <c r="M427" s="315">
        <f t="shared" si="43"/>
        <v>0</v>
      </c>
      <c r="N427" s="315">
        <f t="shared" si="43"/>
        <v>0</v>
      </c>
      <c r="O427" s="315">
        <f t="shared" si="43"/>
        <v>0</v>
      </c>
      <c r="P427" s="315">
        <f t="shared" si="43"/>
        <v>0</v>
      </c>
      <c r="Q427" s="315">
        <f t="shared" si="43"/>
        <v>-556283</v>
      </c>
      <c r="R427" s="315">
        <f t="shared" si="43"/>
        <v>0</v>
      </c>
      <c r="S427" s="315">
        <f t="shared" si="43"/>
        <v>0</v>
      </c>
      <c r="T427" s="315">
        <f t="shared" si="43"/>
        <v>0</v>
      </c>
      <c r="U427" s="315">
        <f t="shared" si="43"/>
        <v>0</v>
      </c>
      <c r="V427" s="315">
        <f t="shared" si="43"/>
        <v>-254616</v>
      </c>
      <c r="W427" s="315">
        <f t="shared" si="43"/>
        <v>0</v>
      </c>
      <c r="X427" s="315">
        <f t="shared" si="43"/>
        <v>0</v>
      </c>
      <c r="Y427" s="315">
        <f t="shared" si="43"/>
        <v>0</v>
      </c>
      <c r="Z427" s="315">
        <f t="shared" si="43"/>
        <v>0</v>
      </c>
      <c r="AA427" s="315">
        <f t="shared" si="43"/>
        <v>0</v>
      </c>
      <c r="AB427" s="315">
        <f t="shared" si="43"/>
        <v>0</v>
      </c>
      <c r="AC427" s="315">
        <f t="shared" si="43"/>
        <v>0</v>
      </c>
      <c r="AD427" s="315">
        <f t="shared" si="43"/>
        <v>0</v>
      </c>
      <c r="AE427" s="315">
        <f t="shared" si="43"/>
        <v>0</v>
      </c>
      <c r="AF427" s="315">
        <f t="shared" si="43"/>
        <v>-182136</v>
      </c>
      <c r="AG427" s="315">
        <f t="shared" si="43"/>
        <v>0</v>
      </c>
      <c r="AH427" s="315">
        <f t="shared" si="43"/>
        <v>0</v>
      </c>
      <c r="AI427" s="315">
        <f t="shared" si="43"/>
        <v>0</v>
      </c>
      <c r="AJ427" s="315">
        <f t="shared" si="43"/>
        <v>0</v>
      </c>
      <c r="AK427" s="315">
        <f t="shared" si="43"/>
        <v>-79180</v>
      </c>
      <c r="AL427" s="315">
        <f t="shared" si="43"/>
        <v>0</v>
      </c>
      <c r="AM427" s="315">
        <f t="shared" si="43"/>
        <v>0</v>
      </c>
      <c r="AN427" s="315">
        <f t="shared" si="43"/>
        <v>0</v>
      </c>
      <c r="AO427" s="315">
        <f t="shared" si="43"/>
        <v>0</v>
      </c>
      <c r="AP427" s="315">
        <f t="shared" si="43"/>
        <v>-9828</v>
      </c>
      <c r="AQ427" s="315">
        <f t="shared" si="43"/>
        <v>0</v>
      </c>
      <c r="AR427" s="315">
        <f t="shared" si="43"/>
        <v>0</v>
      </c>
      <c r="AS427" s="315">
        <f t="shared" si="43"/>
        <v>0</v>
      </c>
      <c r="AT427" s="315">
        <f t="shared" si="43"/>
        <v>0</v>
      </c>
      <c r="AU427" s="315">
        <f t="shared" si="43"/>
        <v>0</v>
      </c>
      <c r="AV427" s="315">
        <f t="shared" si="43"/>
        <v>0</v>
      </c>
      <c r="AW427" s="315">
        <f t="shared" si="43"/>
        <v>0</v>
      </c>
      <c r="AX427" s="315">
        <f t="shared" si="43"/>
        <v>0</v>
      </c>
      <c r="AY427" s="315">
        <f t="shared" si="43"/>
        <v>0</v>
      </c>
      <c r="AZ427" s="315">
        <f t="shared" si="43"/>
        <v>0</v>
      </c>
      <c r="BA427" s="315">
        <f t="shared" si="43"/>
        <v>0</v>
      </c>
      <c r="BB427" s="315">
        <f t="shared" si="43"/>
        <v>0</v>
      </c>
      <c r="BC427" s="315">
        <f t="shared" si="43"/>
        <v>0</v>
      </c>
      <c r="BD427" s="315">
        <f t="shared" si="43"/>
        <v>0</v>
      </c>
      <c r="BE427" s="315">
        <f t="shared" si="43"/>
        <v>0</v>
      </c>
      <c r="BF427" s="315">
        <f t="shared" si="43"/>
        <v>0</v>
      </c>
      <c r="BG427" s="315">
        <f t="shared" si="43"/>
        <v>0</v>
      </c>
      <c r="BH427" s="315">
        <f t="shared" si="43"/>
        <v>0</v>
      </c>
      <c r="BI427" s="315">
        <f t="shared" si="43"/>
        <v>0</v>
      </c>
      <c r="BJ427" s="315">
        <f t="shared" si="43"/>
        <v>-664717</v>
      </c>
      <c r="BK427" s="315">
        <f t="shared" si="43"/>
        <v>0</v>
      </c>
      <c r="BL427" s="315">
        <f t="shared" si="43"/>
        <v>0</v>
      </c>
      <c r="BM427" s="315">
        <f t="shared" si="43"/>
        <v>0</v>
      </c>
      <c r="BN427" s="315">
        <f t="shared" si="43"/>
        <v>0</v>
      </c>
      <c r="BO427" s="315">
        <f t="shared" si="43"/>
        <v>-2222705</v>
      </c>
      <c r="BP427" s="315">
        <f t="shared" si="43"/>
        <v>0</v>
      </c>
      <c r="BQ427" s="315">
        <f t="shared" si="43"/>
        <v>0</v>
      </c>
      <c r="BR427" s="315">
        <f t="shared" si="41"/>
        <v>0</v>
      </c>
      <c r="BS427" s="315">
        <f t="shared" si="39"/>
        <v>0</v>
      </c>
      <c r="BT427" s="315">
        <f t="shared" si="39"/>
        <v>-1396470</v>
      </c>
      <c r="BU427" s="315">
        <f t="shared" si="39"/>
        <v>0</v>
      </c>
      <c r="BV427" s="315">
        <f t="shared" si="39"/>
        <v>0</v>
      </c>
      <c r="BW427" s="315">
        <f t="shared" si="39"/>
        <v>0</v>
      </c>
      <c r="BX427" s="315">
        <f t="shared" si="39"/>
        <v>0</v>
      </c>
      <c r="BZ427" s="315">
        <f t="shared" si="40"/>
        <v>0</v>
      </c>
      <c r="CA427" s="315">
        <f t="shared" si="40"/>
        <v>0</v>
      </c>
    </row>
    <row r="428" spans="7:79" hidden="1" x14ac:dyDescent="0.2">
      <c r="G428" s="315">
        <f t="shared" ref="G428:V443" si="44">G35-BY35</f>
        <v>-61308</v>
      </c>
      <c r="H428" s="315">
        <f t="shared" si="44"/>
        <v>0</v>
      </c>
      <c r="I428" s="315">
        <f t="shared" si="44"/>
        <v>0</v>
      </c>
      <c r="J428" s="315">
        <f t="shared" si="43"/>
        <v>0</v>
      </c>
      <c r="K428" s="315">
        <f t="shared" si="43"/>
        <v>0</v>
      </c>
      <c r="L428" s="315">
        <f t="shared" si="43"/>
        <v>-5573</v>
      </c>
      <c r="M428" s="315">
        <f t="shared" si="43"/>
        <v>0</v>
      </c>
      <c r="N428" s="315">
        <f t="shared" si="43"/>
        <v>0</v>
      </c>
      <c r="O428" s="315">
        <f t="shared" si="43"/>
        <v>0</v>
      </c>
      <c r="P428" s="315">
        <f t="shared" si="43"/>
        <v>0</v>
      </c>
      <c r="Q428" s="315">
        <f t="shared" si="43"/>
        <v>-3717</v>
      </c>
      <c r="R428" s="315">
        <f t="shared" si="43"/>
        <v>0</v>
      </c>
      <c r="S428" s="315">
        <f t="shared" si="43"/>
        <v>0</v>
      </c>
      <c r="T428" s="315">
        <f t="shared" si="43"/>
        <v>0</v>
      </c>
      <c r="U428" s="315">
        <f t="shared" si="43"/>
        <v>0</v>
      </c>
      <c r="V428" s="315">
        <f t="shared" si="43"/>
        <v>-584</v>
      </c>
      <c r="W428" s="315">
        <f t="shared" si="43"/>
        <v>0</v>
      </c>
      <c r="X428" s="315">
        <f t="shared" si="43"/>
        <v>0</v>
      </c>
      <c r="Y428" s="315">
        <f t="shared" si="43"/>
        <v>0</v>
      </c>
      <c r="Z428" s="315">
        <f t="shared" si="43"/>
        <v>0</v>
      </c>
      <c r="AA428" s="315">
        <f t="shared" si="43"/>
        <v>0</v>
      </c>
      <c r="AB428" s="315">
        <f t="shared" si="43"/>
        <v>0</v>
      </c>
      <c r="AC428" s="315">
        <f t="shared" si="43"/>
        <v>0</v>
      </c>
      <c r="AD428" s="315">
        <f t="shared" si="43"/>
        <v>0</v>
      </c>
      <c r="AE428" s="315">
        <f t="shared" si="43"/>
        <v>0</v>
      </c>
      <c r="AF428" s="315">
        <f t="shared" si="43"/>
        <v>-2864</v>
      </c>
      <c r="AG428" s="315">
        <f t="shared" si="43"/>
        <v>0</v>
      </c>
      <c r="AH428" s="315">
        <f t="shared" si="43"/>
        <v>0</v>
      </c>
      <c r="AI428" s="315">
        <f t="shared" si="43"/>
        <v>0</v>
      </c>
      <c r="AJ428" s="315">
        <f t="shared" si="43"/>
        <v>0</v>
      </c>
      <c r="AK428" s="315">
        <f t="shared" si="43"/>
        <v>-820</v>
      </c>
      <c r="AL428" s="315">
        <f t="shared" si="43"/>
        <v>0</v>
      </c>
      <c r="AM428" s="315">
        <f t="shared" si="43"/>
        <v>0</v>
      </c>
      <c r="AN428" s="315">
        <f t="shared" si="43"/>
        <v>0</v>
      </c>
      <c r="AO428" s="315">
        <f t="shared" si="43"/>
        <v>0</v>
      </c>
      <c r="AP428" s="315">
        <f t="shared" si="43"/>
        <v>-172</v>
      </c>
      <c r="AQ428" s="315">
        <f t="shared" si="43"/>
        <v>0</v>
      </c>
      <c r="AR428" s="315">
        <f t="shared" si="43"/>
        <v>0</v>
      </c>
      <c r="AS428" s="315">
        <f t="shared" si="43"/>
        <v>0</v>
      </c>
      <c r="AT428" s="315">
        <f t="shared" si="43"/>
        <v>0</v>
      </c>
      <c r="AU428" s="315">
        <f t="shared" si="43"/>
        <v>0</v>
      </c>
      <c r="AV428" s="315">
        <f t="shared" si="43"/>
        <v>0</v>
      </c>
      <c r="AW428" s="315">
        <f t="shared" si="43"/>
        <v>0</v>
      </c>
      <c r="AX428" s="315">
        <f t="shared" si="43"/>
        <v>0</v>
      </c>
      <c r="AY428" s="315">
        <f t="shared" si="43"/>
        <v>0</v>
      </c>
      <c r="AZ428" s="315">
        <f t="shared" si="43"/>
        <v>0</v>
      </c>
      <c r="BA428" s="315">
        <f t="shared" si="43"/>
        <v>0</v>
      </c>
      <c r="BB428" s="315">
        <f t="shared" si="43"/>
        <v>0</v>
      </c>
      <c r="BC428" s="315">
        <f t="shared" si="43"/>
        <v>0</v>
      </c>
      <c r="BD428" s="315">
        <f t="shared" si="43"/>
        <v>0</v>
      </c>
      <c r="BE428" s="315">
        <f t="shared" si="43"/>
        <v>0</v>
      </c>
      <c r="BF428" s="315">
        <f t="shared" si="43"/>
        <v>0</v>
      </c>
      <c r="BG428" s="315">
        <f t="shared" si="43"/>
        <v>0</v>
      </c>
      <c r="BH428" s="315">
        <f t="shared" si="43"/>
        <v>0</v>
      </c>
      <c r="BI428" s="315">
        <f t="shared" si="43"/>
        <v>0</v>
      </c>
      <c r="BJ428" s="315">
        <f t="shared" si="43"/>
        <v>-15283</v>
      </c>
      <c r="BK428" s="315">
        <f t="shared" si="43"/>
        <v>0</v>
      </c>
      <c r="BL428" s="315">
        <f t="shared" si="43"/>
        <v>0</v>
      </c>
      <c r="BM428" s="315">
        <f t="shared" si="43"/>
        <v>0</v>
      </c>
      <c r="BN428" s="315">
        <f t="shared" si="43"/>
        <v>0</v>
      </c>
      <c r="BO428" s="315">
        <f t="shared" si="43"/>
        <v>-32295</v>
      </c>
      <c r="BP428" s="315">
        <f t="shared" si="43"/>
        <v>0</v>
      </c>
      <c r="BQ428" s="315">
        <f t="shared" si="43"/>
        <v>0</v>
      </c>
      <c r="BR428" s="315">
        <f t="shared" si="41"/>
        <v>0</v>
      </c>
      <c r="BS428" s="315">
        <f t="shared" si="39"/>
        <v>0</v>
      </c>
      <c r="BT428" s="315">
        <f t="shared" si="39"/>
        <v>-13730</v>
      </c>
      <c r="BU428" s="315">
        <f t="shared" si="39"/>
        <v>0</v>
      </c>
      <c r="BV428" s="315">
        <f t="shared" si="39"/>
        <v>0</v>
      </c>
      <c r="BW428" s="315">
        <f t="shared" si="39"/>
        <v>0</v>
      </c>
      <c r="BX428" s="315">
        <f t="shared" si="39"/>
        <v>0</v>
      </c>
      <c r="BZ428" s="315">
        <f t="shared" si="40"/>
        <v>0</v>
      </c>
      <c r="CA428" s="315">
        <f t="shared" si="40"/>
        <v>0</v>
      </c>
    </row>
    <row r="429" spans="7:79" hidden="1" x14ac:dyDescent="0.2">
      <c r="G429" s="315">
        <f t="shared" si="44"/>
        <v>200</v>
      </c>
      <c r="H429" s="315">
        <f t="shared" si="44"/>
        <v>0</v>
      </c>
      <c r="I429" s="315">
        <f t="shared" si="44"/>
        <v>0</v>
      </c>
      <c r="J429" s="315">
        <f t="shared" si="43"/>
        <v>0</v>
      </c>
      <c r="K429" s="315">
        <f t="shared" si="43"/>
        <v>0</v>
      </c>
      <c r="L429" s="315">
        <f t="shared" si="43"/>
        <v>0</v>
      </c>
      <c r="M429" s="315">
        <f t="shared" si="43"/>
        <v>0</v>
      </c>
      <c r="N429" s="315">
        <f t="shared" si="43"/>
        <v>0</v>
      </c>
      <c r="O429" s="315">
        <f t="shared" si="43"/>
        <v>0</v>
      </c>
      <c r="P429" s="315">
        <f t="shared" si="43"/>
        <v>0</v>
      </c>
      <c r="Q429" s="315">
        <f t="shared" si="43"/>
        <v>0</v>
      </c>
      <c r="R429" s="315">
        <f t="shared" si="43"/>
        <v>0</v>
      </c>
      <c r="S429" s="315">
        <f t="shared" si="43"/>
        <v>0</v>
      </c>
      <c r="T429" s="315">
        <f t="shared" si="43"/>
        <v>0</v>
      </c>
      <c r="U429" s="315">
        <f t="shared" si="43"/>
        <v>0</v>
      </c>
      <c r="V429" s="315">
        <f t="shared" si="43"/>
        <v>200</v>
      </c>
      <c r="W429" s="315">
        <f t="shared" si="43"/>
        <v>0</v>
      </c>
      <c r="X429" s="315">
        <f t="shared" si="43"/>
        <v>0</v>
      </c>
      <c r="Y429" s="315">
        <f t="shared" si="43"/>
        <v>0</v>
      </c>
      <c r="Z429" s="315">
        <f t="shared" si="43"/>
        <v>0</v>
      </c>
      <c r="AA429" s="315">
        <f t="shared" si="43"/>
        <v>0</v>
      </c>
      <c r="AB429" s="315">
        <f t="shared" si="43"/>
        <v>0</v>
      </c>
      <c r="AC429" s="315">
        <f t="shared" si="43"/>
        <v>0</v>
      </c>
      <c r="AD429" s="315">
        <f t="shared" si="43"/>
        <v>0</v>
      </c>
      <c r="AE429" s="315">
        <f t="shared" si="43"/>
        <v>0</v>
      </c>
      <c r="AF429" s="315">
        <f t="shared" si="43"/>
        <v>0</v>
      </c>
      <c r="AG429" s="315">
        <f t="shared" si="43"/>
        <v>0</v>
      </c>
      <c r="AH429" s="315">
        <f t="shared" si="43"/>
        <v>0</v>
      </c>
      <c r="AI429" s="315">
        <f t="shared" si="43"/>
        <v>0</v>
      </c>
      <c r="AJ429" s="315">
        <f t="shared" si="43"/>
        <v>0</v>
      </c>
      <c r="AK429" s="315">
        <f t="shared" si="43"/>
        <v>0</v>
      </c>
      <c r="AL429" s="315">
        <f t="shared" si="43"/>
        <v>0</v>
      </c>
      <c r="AM429" s="315">
        <f t="shared" si="43"/>
        <v>0</v>
      </c>
      <c r="AN429" s="315">
        <f t="shared" si="43"/>
        <v>0</v>
      </c>
      <c r="AO429" s="315">
        <f t="shared" si="43"/>
        <v>0</v>
      </c>
      <c r="AP429" s="315">
        <f t="shared" si="43"/>
        <v>0</v>
      </c>
      <c r="AQ429" s="315">
        <f t="shared" si="43"/>
        <v>0</v>
      </c>
      <c r="AR429" s="315">
        <f t="shared" si="43"/>
        <v>0</v>
      </c>
      <c r="AS429" s="315">
        <f t="shared" si="43"/>
        <v>0</v>
      </c>
      <c r="AT429" s="315">
        <f t="shared" si="43"/>
        <v>0</v>
      </c>
      <c r="AU429" s="315">
        <f t="shared" si="43"/>
        <v>0</v>
      </c>
      <c r="AV429" s="315">
        <f t="shared" si="43"/>
        <v>0</v>
      </c>
      <c r="AW429" s="315">
        <f t="shared" si="43"/>
        <v>0</v>
      </c>
      <c r="AX429" s="315">
        <f t="shared" si="43"/>
        <v>0</v>
      </c>
      <c r="AY429" s="315">
        <f t="shared" si="43"/>
        <v>0</v>
      </c>
      <c r="AZ429" s="315">
        <f t="shared" si="43"/>
        <v>0</v>
      </c>
      <c r="BA429" s="315">
        <f t="shared" si="43"/>
        <v>0</v>
      </c>
      <c r="BB429" s="315">
        <f t="shared" si="43"/>
        <v>0</v>
      </c>
      <c r="BC429" s="315">
        <f t="shared" si="43"/>
        <v>0</v>
      </c>
      <c r="BD429" s="315">
        <f t="shared" si="43"/>
        <v>0</v>
      </c>
      <c r="BE429" s="315">
        <f t="shared" si="43"/>
        <v>0</v>
      </c>
      <c r="BF429" s="315">
        <f t="shared" si="43"/>
        <v>0</v>
      </c>
      <c r="BG429" s="315">
        <f t="shared" si="43"/>
        <v>0</v>
      </c>
      <c r="BH429" s="315">
        <f t="shared" si="43"/>
        <v>0</v>
      </c>
      <c r="BI429" s="315">
        <f t="shared" si="43"/>
        <v>0</v>
      </c>
      <c r="BJ429" s="315">
        <f t="shared" si="43"/>
        <v>0</v>
      </c>
      <c r="BK429" s="315">
        <f t="shared" si="43"/>
        <v>0</v>
      </c>
      <c r="BL429" s="315">
        <f t="shared" si="43"/>
        <v>0</v>
      </c>
      <c r="BM429" s="315">
        <f t="shared" si="43"/>
        <v>0</v>
      </c>
      <c r="BN429" s="315">
        <f t="shared" si="43"/>
        <v>0</v>
      </c>
      <c r="BO429" s="315">
        <f t="shared" si="43"/>
        <v>0</v>
      </c>
      <c r="BP429" s="315">
        <f t="shared" si="43"/>
        <v>0</v>
      </c>
      <c r="BQ429" s="315">
        <f t="shared" si="43"/>
        <v>0</v>
      </c>
      <c r="BR429" s="315">
        <f t="shared" si="41"/>
        <v>0</v>
      </c>
      <c r="BS429" s="315">
        <f t="shared" si="39"/>
        <v>0</v>
      </c>
      <c r="BT429" s="315">
        <f t="shared" si="39"/>
        <v>200</v>
      </c>
      <c r="BU429" s="315">
        <f t="shared" si="39"/>
        <v>0</v>
      </c>
      <c r="BV429" s="315">
        <f t="shared" si="39"/>
        <v>0</v>
      </c>
      <c r="BW429" s="315">
        <f t="shared" si="39"/>
        <v>0</v>
      </c>
      <c r="BX429" s="315">
        <f t="shared" si="39"/>
        <v>0</v>
      </c>
      <c r="BZ429" s="315">
        <f t="shared" si="40"/>
        <v>0</v>
      </c>
      <c r="CA429" s="315">
        <f t="shared" si="40"/>
        <v>0</v>
      </c>
    </row>
    <row r="430" spans="7:79" hidden="1" x14ac:dyDescent="0.2">
      <c r="G430" s="315">
        <f t="shared" si="44"/>
        <v>-2480659</v>
      </c>
      <c r="H430" s="315">
        <f t="shared" si="44"/>
        <v>0</v>
      </c>
      <c r="I430" s="315">
        <f t="shared" si="44"/>
        <v>0</v>
      </c>
      <c r="J430" s="315">
        <f t="shared" si="43"/>
        <v>0</v>
      </c>
      <c r="K430" s="315">
        <f t="shared" si="43"/>
        <v>0</v>
      </c>
      <c r="L430" s="315">
        <f t="shared" si="43"/>
        <v>-164328</v>
      </c>
      <c r="M430" s="315">
        <f t="shared" si="43"/>
        <v>0</v>
      </c>
      <c r="N430" s="315">
        <f t="shared" si="43"/>
        <v>0</v>
      </c>
      <c r="O430" s="315">
        <f t="shared" si="43"/>
        <v>0</v>
      </c>
      <c r="P430" s="315">
        <f t="shared" si="43"/>
        <v>0</v>
      </c>
      <c r="Q430" s="315">
        <f t="shared" si="43"/>
        <v>-290726</v>
      </c>
      <c r="R430" s="315">
        <f t="shared" si="43"/>
        <v>0</v>
      </c>
      <c r="S430" s="315">
        <f t="shared" si="43"/>
        <v>0</v>
      </c>
      <c r="T430" s="315">
        <f t="shared" si="43"/>
        <v>0</v>
      </c>
      <c r="U430" s="315">
        <f t="shared" si="43"/>
        <v>0</v>
      </c>
      <c r="V430" s="315">
        <f t="shared" si="43"/>
        <v>-135117</v>
      </c>
      <c r="W430" s="315">
        <f t="shared" si="43"/>
        <v>0</v>
      </c>
      <c r="X430" s="315">
        <f t="shared" si="43"/>
        <v>0</v>
      </c>
      <c r="Y430" s="315">
        <f t="shared" si="43"/>
        <v>0</v>
      </c>
      <c r="Z430" s="315">
        <f t="shared" si="43"/>
        <v>0</v>
      </c>
      <c r="AA430" s="315">
        <f t="shared" si="43"/>
        <v>0</v>
      </c>
      <c r="AB430" s="315">
        <f t="shared" si="43"/>
        <v>0</v>
      </c>
      <c r="AC430" s="315">
        <f t="shared" si="43"/>
        <v>0</v>
      </c>
      <c r="AD430" s="315">
        <f t="shared" si="43"/>
        <v>0</v>
      </c>
      <c r="AE430" s="315">
        <f t="shared" si="43"/>
        <v>0</v>
      </c>
      <c r="AF430" s="315">
        <f t="shared" si="43"/>
        <v>-101240</v>
      </c>
      <c r="AG430" s="315">
        <f t="shared" si="43"/>
        <v>0</v>
      </c>
      <c r="AH430" s="315">
        <f t="shared" si="43"/>
        <v>0</v>
      </c>
      <c r="AI430" s="315">
        <f t="shared" si="43"/>
        <v>0</v>
      </c>
      <c r="AJ430" s="315">
        <f t="shared" si="43"/>
        <v>0</v>
      </c>
      <c r="AK430" s="315">
        <f t="shared" si="43"/>
        <v>-43945</v>
      </c>
      <c r="AL430" s="315">
        <f t="shared" si="43"/>
        <v>0</v>
      </c>
      <c r="AM430" s="315">
        <f t="shared" si="43"/>
        <v>0</v>
      </c>
      <c r="AN430" s="315">
        <f t="shared" si="43"/>
        <v>0</v>
      </c>
      <c r="AO430" s="315">
        <f t="shared" si="43"/>
        <v>0</v>
      </c>
      <c r="AP430" s="315">
        <f t="shared" si="43"/>
        <v>-5625</v>
      </c>
      <c r="AQ430" s="315">
        <f t="shared" si="43"/>
        <v>0</v>
      </c>
      <c r="AR430" s="315">
        <f t="shared" si="43"/>
        <v>0</v>
      </c>
      <c r="AS430" s="315">
        <f t="shared" si="43"/>
        <v>0</v>
      </c>
      <c r="AT430" s="315">
        <f t="shared" si="43"/>
        <v>0</v>
      </c>
      <c r="AU430" s="315">
        <f t="shared" si="43"/>
        <v>0</v>
      </c>
      <c r="AV430" s="315">
        <f t="shared" si="43"/>
        <v>0</v>
      </c>
      <c r="AW430" s="315">
        <f t="shared" si="43"/>
        <v>0</v>
      </c>
      <c r="AX430" s="315">
        <f t="shared" si="43"/>
        <v>0</v>
      </c>
      <c r="AY430" s="315">
        <f t="shared" si="43"/>
        <v>0</v>
      </c>
      <c r="AZ430" s="315">
        <f t="shared" si="43"/>
        <v>0</v>
      </c>
      <c r="BA430" s="315">
        <f t="shared" si="43"/>
        <v>0</v>
      </c>
      <c r="BB430" s="315">
        <f t="shared" si="43"/>
        <v>0</v>
      </c>
      <c r="BC430" s="315">
        <f t="shared" si="43"/>
        <v>0</v>
      </c>
      <c r="BD430" s="315">
        <f t="shared" si="43"/>
        <v>0</v>
      </c>
      <c r="BE430" s="315">
        <f t="shared" si="43"/>
        <v>0</v>
      </c>
      <c r="BF430" s="315">
        <f t="shared" si="43"/>
        <v>0</v>
      </c>
      <c r="BG430" s="315">
        <f t="shared" si="43"/>
        <v>0</v>
      </c>
      <c r="BH430" s="315">
        <f t="shared" si="43"/>
        <v>0</v>
      </c>
      <c r="BI430" s="315">
        <f t="shared" si="43"/>
        <v>0</v>
      </c>
      <c r="BJ430" s="315">
        <f t="shared" si="43"/>
        <v>-399385</v>
      </c>
      <c r="BK430" s="315">
        <f t="shared" si="43"/>
        <v>0</v>
      </c>
      <c r="BL430" s="315">
        <f t="shared" si="43"/>
        <v>0</v>
      </c>
      <c r="BM430" s="315">
        <f t="shared" si="43"/>
        <v>0</v>
      </c>
      <c r="BN430" s="315">
        <f t="shared" si="43"/>
        <v>0</v>
      </c>
      <c r="BO430" s="315">
        <f t="shared" si="43"/>
        <v>-1340293</v>
      </c>
      <c r="BP430" s="315">
        <f t="shared" si="43"/>
        <v>0</v>
      </c>
      <c r="BQ430" s="315">
        <f t="shared" si="43"/>
        <v>0</v>
      </c>
      <c r="BR430" s="315">
        <f t="shared" si="41"/>
        <v>0</v>
      </c>
      <c r="BS430" s="315">
        <f t="shared" si="39"/>
        <v>0</v>
      </c>
      <c r="BT430" s="315">
        <f t="shared" si="39"/>
        <v>-740981</v>
      </c>
      <c r="BU430" s="315">
        <f t="shared" si="39"/>
        <v>0</v>
      </c>
      <c r="BV430" s="315">
        <f t="shared" si="39"/>
        <v>0</v>
      </c>
      <c r="BW430" s="315">
        <f t="shared" si="39"/>
        <v>0</v>
      </c>
      <c r="BX430" s="315">
        <f t="shared" si="39"/>
        <v>0</v>
      </c>
      <c r="BZ430" s="315">
        <f t="shared" si="40"/>
        <v>0</v>
      </c>
      <c r="CA430" s="315">
        <f t="shared" si="40"/>
        <v>0</v>
      </c>
    </row>
    <row r="431" spans="7:79" hidden="1" x14ac:dyDescent="0.2">
      <c r="G431" s="315">
        <f t="shared" si="44"/>
        <v>0</v>
      </c>
      <c r="H431" s="315">
        <f t="shared" si="44"/>
        <v>0</v>
      </c>
      <c r="I431" s="315">
        <f t="shared" si="44"/>
        <v>0</v>
      </c>
      <c r="J431" s="315">
        <f t="shared" si="43"/>
        <v>0</v>
      </c>
      <c r="K431" s="315">
        <f t="shared" si="43"/>
        <v>0</v>
      </c>
      <c r="L431" s="315">
        <f t="shared" si="43"/>
        <v>0</v>
      </c>
      <c r="M431" s="315">
        <f t="shared" si="43"/>
        <v>0</v>
      </c>
      <c r="N431" s="315">
        <f t="shared" si="43"/>
        <v>0</v>
      </c>
      <c r="O431" s="315">
        <f t="shared" si="43"/>
        <v>0</v>
      </c>
      <c r="P431" s="315">
        <f t="shared" si="43"/>
        <v>0</v>
      </c>
      <c r="Q431" s="315">
        <f t="shared" si="43"/>
        <v>0</v>
      </c>
      <c r="R431" s="315">
        <f t="shared" si="43"/>
        <v>0</v>
      </c>
      <c r="S431" s="315">
        <f t="shared" si="43"/>
        <v>0</v>
      </c>
      <c r="T431" s="315">
        <f t="shared" si="43"/>
        <v>0</v>
      </c>
      <c r="U431" s="315">
        <f t="shared" si="43"/>
        <v>0</v>
      </c>
      <c r="V431" s="315">
        <f t="shared" si="43"/>
        <v>0</v>
      </c>
      <c r="W431" s="315">
        <f t="shared" si="43"/>
        <v>0</v>
      </c>
      <c r="X431" s="315">
        <f t="shared" si="43"/>
        <v>0</v>
      </c>
      <c r="Y431" s="315">
        <f t="shared" ref="Y431:BQ436" si="45">Y38-CQ38</f>
        <v>0</v>
      </c>
      <c r="Z431" s="315">
        <f t="shared" si="45"/>
        <v>0</v>
      </c>
      <c r="AA431" s="315">
        <f t="shared" si="45"/>
        <v>0</v>
      </c>
      <c r="AB431" s="315">
        <f t="shared" si="45"/>
        <v>0</v>
      </c>
      <c r="AC431" s="315">
        <f t="shared" si="45"/>
        <v>0</v>
      </c>
      <c r="AD431" s="315">
        <f t="shared" si="45"/>
        <v>0</v>
      </c>
      <c r="AE431" s="315">
        <f t="shared" si="45"/>
        <v>0</v>
      </c>
      <c r="AF431" s="315">
        <f t="shared" si="45"/>
        <v>0</v>
      </c>
      <c r="AG431" s="315">
        <f t="shared" si="45"/>
        <v>0</v>
      </c>
      <c r="AH431" s="315">
        <f t="shared" si="45"/>
        <v>0</v>
      </c>
      <c r="AI431" s="315">
        <f t="shared" si="45"/>
        <v>0</v>
      </c>
      <c r="AJ431" s="315">
        <f t="shared" si="45"/>
        <v>0</v>
      </c>
      <c r="AK431" s="315">
        <f t="shared" si="45"/>
        <v>0</v>
      </c>
      <c r="AL431" s="315">
        <f t="shared" si="45"/>
        <v>0</v>
      </c>
      <c r="AM431" s="315">
        <f t="shared" si="45"/>
        <v>0</v>
      </c>
      <c r="AN431" s="315">
        <f t="shared" si="45"/>
        <v>0</v>
      </c>
      <c r="AO431" s="315">
        <f t="shared" si="45"/>
        <v>0</v>
      </c>
      <c r="AP431" s="315">
        <f t="shared" si="45"/>
        <v>0</v>
      </c>
      <c r="AQ431" s="315">
        <f t="shared" si="45"/>
        <v>0</v>
      </c>
      <c r="AR431" s="315">
        <f t="shared" si="45"/>
        <v>0</v>
      </c>
      <c r="AS431" s="315">
        <f t="shared" si="45"/>
        <v>0</v>
      </c>
      <c r="AT431" s="315">
        <f t="shared" si="45"/>
        <v>0</v>
      </c>
      <c r="AU431" s="315">
        <f t="shared" si="45"/>
        <v>0</v>
      </c>
      <c r="AV431" s="315">
        <f t="shared" si="45"/>
        <v>0</v>
      </c>
      <c r="AW431" s="315">
        <f t="shared" si="45"/>
        <v>0</v>
      </c>
      <c r="AX431" s="315">
        <f t="shared" si="45"/>
        <v>0</v>
      </c>
      <c r="AY431" s="315">
        <f t="shared" si="45"/>
        <v>0</v>
      </c>
      <c r="AZ431" s="315">
        <f t="shared" si="45"/>
        <v>0</v>
      </c>
      <c r="BA431" s="315">
        <f t="shared" si="45"/>
        <v>0</v>
      </c>
      <c r="BB431" s="315">
        <f t="shared" si="45"/>
        <v>0</v>
      </c>
      <c r="BC431" s="315">
        <f t="shared" si="45"/>
        <v>0</v>
      </c>
      <c r="BD431" s="315">
        <f t="shared" si="45"/>
        <v>0</v>
      </c>
      <c r="BE431" s="315">
        <f t="shared" si="45"/>
        <v>0</v>
      </c>
      <c r="BF431" s="315">
        <f t="shared" si="45"/>
        <v>0</v>
      </c>
      <c r="BG431" s="315">
        <f t="shared" si="45"/>
        <v>0</v>
      </c>
      <c r="BH431" s="315">
        <f t="shared" si="45"/>
        <v>0</v>
      </c>
      <c r="BI431" s="315">
        <f t="shared" si="45"/>
        <v>0</v>
      </c>
      <c r="BJ431" s="315">
        <f t="shared" si="45"/>
        <v>0</v>
      </c>
      <c r="BK431" s="315">
        <f t="shared" si="45"/>
        <v>0</v>
      </c>
      <c r="BL431" s="315">
        <f t="shared" si="45"/>
        <v>0</v>
      </c>
      <c r="BM431" s="315">
        <f t="shared" si="45"/>
        <v>0</v>
      </c>
      <c r="BN431" s="315">
        <f t="shared" si="45"/>
        <v>0</v>
      </c>
      <c r="BO431" s="315">
        <f t="shared" si="45"/>
        <v>0</v>
      </c>
      <c r="BP431" s="315">
        <f t="shared" si="45"/>
        <v>0</v>
      </c>
      <c r="BQ431" s="315">
        <f t="shared" si="45"/>
        <v>0</v>
      </c>
      <c r="BR431" s="315">
        <f t="shared" si="41"/>
        <v>0</v>
      </c>
      <c r="BS431" s="315">
        <f t="shared" si="39"/>
        <v>0</v>
      </c>
      <c r="BT431" s="315">
        <f t="shared" si="39"/>
        <v>0</v>
      </c>
      <c r="BU431" s="315">
        <f t="shared" si="39"/>
        <v>0</v>
      </c>
      <c r="BV431" s="315">
        <f t="shared" si="39"/>
        <v>0</v>
      </c>
      <c r="BW431" s="315">
        <f t="shared" si="39"/>
        <v>0</v>
      </c>
      <c r="BX431" s="315">
        <f t="shared" si="39"/>
        <v>0</v>
      </c>
      <c r="BZ431" s="315">
        <f t="shared" si="40"/>
        <v>0</v>
      </c>
      <c r="CA431" s="315">
        <f t="shared" si="40"/>
        <v>0</v>
      </c>
    </row>
    <row r="432" spans="7:79" hidden="1" x14ac:dyDescent="0.2">
      <c r="G432" s="315">
        <f t="shared" si="44"/>
        <v>0</v>
      </c>
      <c r="H432" s="315">
        <f t="shared" si="44"/>
        <v>0</v>
      </c>
      <c r="I432" s="315">
        <f t="shared" si="44"/>
        <v>0</v>
      </c>
      <c r="J432" s="315">
        <f t="shared" si="44"/>
        <v>0</v>
      </c>
      <c r="K432" s="315">
        <f t="shared" si="44"/>
        <v>0</v>
      </c>
      <c r="L432" s="315">
        <f t="shared" si="44"/>
        <v>0</v>
      </c>
      <c r="M432" s="315">
        <f t="shared" si="44"/>
        <v>0</v>
      </c>
      <c r="N432" s="315">
        <f t="shared" si="44"/>
        <v>0</v>
      </c>
      <c r="O432" s="315">
        <f t="shared" si="44"/>
        <v>0</v>
      </c>
      <c r="P432" s="315">
        <f t="shared" si="44"/>
        <v>0</v>
      </c>
      <c r="Q432" s="315">
        <f t="shared" si="44"/>
        <v>0</v>
      </c>
      <c r="R432" s="315">
        <f t="shared" si="44"/>
        <v>0</v>
      </c>
      <c r="S432" s="315">
        <f t="shared" si="44"/>
        <v>0</v>
      </c>
      <c r="T432" s="315">
        <f t="shared" si="44"/>
        <v>0</v>
      </c>
      <c r="U432" s="315">
        <f t="shared" si="44"/>
        <v>0</v>
      </c>
      <c r="V432" s="315">
        <f t="shared" si="44"/>
        <v>0</v>
      </c>
      <c r="W432" s="315">
        <f t="shared" ref="W432:AL447" si="46">W39-CO39</f>
        <v>0</v>
      </c>
      <c r="X432" s="315">
        <f t="shared" si="46"/>
        <v>0</v>
      </c>
      <c r="Y432" s="315">
        <f t="shared" si="45"/>
        <v>0</v>
      </c>
      <c r="Z432" s="315">
        <f t="shared" si="45"/>
        <v>0</v>
      </c>
      <c r="AA432" s="315">
        <f t="shared" si="45"/>
        <v>0</v>
      </c>
      <c r="AB432" s="315">
        <f t="shared" si="45"/>
        <v>0</v>
      </c>
      <c r="AC432" s="315">
        <f t="shared" si="45"/>
        <v>0</v>
      </c>
      <c r="AD432" s="315">
        <f t="shared" si="45"/>
        <v>0</v>
      </c>
      <c r="AE432" s="315">
        <f t="shared" si="45"/>
        <v>0</v>
      </c>
      <c r="AF432" s="315">
        <f t="shared" si="45"/>
        <v>0</v>
      </c>
      <c r="AG432" s="315">
        <f t="shared" si="45"/>
        <v>0</v>
      </c>
      <c r="AH432" s="315">
        <f t="shared" si="45"/>
        <v>0</v>
      </c>
      <c r="AI432" s="315">
        <f t="shared" si="45"/>
        <v>0</v>
      </c>
      <c r="AJ432" s="315">
        <f t="shared" si="45"/>
        <v>0</v>
      </c>
      <c r="AK432" s="315">
        <f t="shared" si="45"/>
        <v>0</v>
      </c>
      <c r="AL432" s="315">
        <f t="shared" si="45"/>
        <v>0</v>
      </c>
      <c r="AM432" s="315">
        <f t="shared" si="45"/>
        <v>0</v>
      </c>
      <c r="AN432" s="315">
        <f t="shared" si="45"/>
        <v>0</v>
      </c>
      <c r="AO432" s="315">
        <f t="shared" si="45"/>
        <v>0</v>
      </c>
      <c r="AP432" s="315">
        <f t="shared" si="45"/>
        <v>0</v>
      </c>
      <c r="AQ432" s="315">
        <f t="shared" si="45"/>
        <v>0</v>
      </c>
      <c r="AR432" s="315">
        <f t="shared" si="45"/>
        <v>0</v>
      </c>
      <c r="AS432" s="315">
        <f t="shared" si="45"/>
        <v>0</v>
      </c>
      <c r="AT432" s="315">
        <f t="shared" si="45"/>
        <v>0</v>
      </c>
      <c r="AU432" s="315">
        <f t="shared" si="45"/>
        <v>0</v>
      </c>
      <c r="AV432" s="315">
        <f t="shared" si="45"/>
        <v>0</v>
      </c>
      <c r="AW432" s="315">
        <f t="shared" si="45"/>
        <v>0</v>
      </c>
      <c r="AX432" s="315">
        <f t="shared" si="45"/>
        <v>0</v>
      </c>
      <c r="AY432" s="315">
        <f t="shared" si="45"/>
        <v>0</v>
      </c>
      <c r="AZ432" s="315">
        <f t="shared" si="45"/>
        <v>0</v>
      </c>
      <c r="BA432" s="315">
        <f t="shared" si="45"/>
        <v>0</v>
      </c>
      <c r="BB432" s="315">
        <f t="shared" si="45"/>
        <v>0</v>
      </c>
      <c r="BC432" s="315">
        <f t="shared" si="45"/>
        <v>0</v>
      </c>
      <c r="BD432" s="315">
        <f t="shared" si="45"/>
        <v>0</v>
      </c>
      <c r="BE432" s="315">
        <f t="shared" si="45"/>
        <v>0</v>
      </c>
      <c r="BF432" s="315">
        <f t="shared" si="45"/>
        <v>0</v>
      </c>
      <c r="BG432" s="315">
        <f t="shared" si="45"/>
        <v>0</v>
      </c>
      <c r="BH432" s="315">
        <f t="shared" si="45"/>
        <v>0</v>
      </c>
      <c r="BI432" s="315">
        <f t="shared" si="45"/>
        <v>0</v>
      </c>
      <c r="BJ432" s="315">
        <f t="shared" si="45"/>
        <v>0</v>
      </c>
      <c r="BK432" s="315">
        <f t="shared" si="45"/>
        <v>0</v>
      </c>
      <c r="BL432" s="315">
        <f t="shared" si="45"/>
        <v>0</v>
      </c>
      <c r="BM432" s="315">
        <f t="shared" si="45"/>
        <v>0</v>
      </c>
      <c r="BN432" s="315">
        <f t="shared" si="45"/>
        <v>0</v>
      </c>
      <c r="BO432" s="315">
        <f t="shared" si="45"/>
        <v>0</v>
      </c>
      <c r="BP432" s="315">
        <f t="shared" si="45"/>
        <v>0</v>
      </c>
      <c r="BQ432" s="315">
        <f t="shared" si="45"/>
        <v>0</v>
      </c>
      <c r="BR432" s="315">
        <f t="shared" si="41"/>
        <v>0</v>
      </c>
      <c r="BS432" s="315">
        <f t="shared" si="39"/>
        <v>0</v>
      </c>
      <c r="BT432" s="315">
        <f t="shared" si="39"/>
        <v>0</v>
      </c>
      <c r="BU432" s="315">
        <f t="shared" si="39"/>
        <v>0</v>
      </c>
      <c r="BV432" s="315">
        <f t="shared" si="39"/>
        <v>0</v>
      </c>
      <c r="BW432" s="315">
        <f t="shared" si="39"/>
        <v>0</v>
      </c>
      <c r="BX432" s="315">
        <f t="shared" si="39"/>
        <v>0</v>
      </c>
      <c r="BZ432" s="315">
        <f t="shared" si="40"/>
        <v>0</v>
      </c>
      <c r="CA432" s="315">
        <f t="shared" si="40"/>
        <v>0</v>
      </c>
    </row>
    <row r="433" spans="7:79" hidden="1" x14ac:dyDescent="0.2">
      <c r="G433" s="315">
        <f t="shared" si="44"/>
        <v>0</v>
      </c>
      <c r="H433" s="315">
        <f t="shared" si="44"/>
        <v>0</v>
      </c>
      <c r="I433" s="315">
        <f t="shared" si="44"/>
        <v>0</v>
      </c>
      <c r="J433" s="315">
        <f t="shared" si="44"/>
        <v>0</v>
      </c>
      <c r="K433" s="315">
        <f t="shared" si="44"/>
        <v>0</v>
      </c>
      <c r="L433" s="315">
        <f t="shared" si="44"/>
        <v>0</v>
      </c>
      <c r="M433" s="315">
        <f t="shared" si="44"/>
        <v>0</v>
      </c>
      <c r="N433" s="315">
        <f t="shared" si="44"/>
        <v>0</v>
      </c>
      <c r="O433" s="315">
        <f t="shared" si="44"/>
        <v>0</v>
      </c>
      <c r="P433" s="315">
        <f t="shared" si="44"/>
        <v>0</v>
      </c>
      <c r="Q433" s="315">
        <f t="shared" si="44"/>
        <v>0</v>
      </c>
      <c r="R433" s="315">
        <f t="shared" si="44"/>
        <v>0</v>
      </c>
      <c r="S433" s="315">
        <f t="shared" si="44"/>
        <v>0</v>
      </c>
      <c r="T433" s="315">
        <f t="shared" si="44"/>
        <v>0</v>
      </c>
      <c r="U433" s="315">
        <f t="shared" si="44"/>
        <v>0</v>
      </c>
      <c r="V433" s="315">
        <f t="shared" si="44"/>
        <v>0</v>
      </c>
      <c r="W433" s="315">
        <f t="shared" si="46"/>
        <v>0</v>
      </c>
      <c r="X433" s="315">
        <f t="shared" si="46"/>
        <v>0</v>
      </c>
      <c r="Y433" s="315">
        <f t="shared" si="45"/>
        <v>0</v>
      </c>
      <c r="Z433" s="315">
        <f t="shared" si="45"/>
        <v>0</v>
      </c>
      <c r="AA433" s="315">
        <f t="shared" si="45"/>
        <v>0</v>
      </c>
      <c r="AB433" s="315">
        <f t="shared" si="45"/>
        <v>0</v>
      </c>
      <c r="AC433" s="315">
        <f t="shared" si="45"/>
        <v>0</v>
      </c>
      <c r="AD433" s="315">
        <f t="shared" si="45"/>
        <v>0</v>
      </c>
      <c r="AE433" s="315">
        <f t="shared" si="45"/>
        <v>0</v>
      </c>
      <c r="AF433" s="315">
        <f t="shared" si="45"/>
        <v>0</v>
      </c>
      <c r="AG433" s="315">
        <f t="shared" si="45"/>
        <v>0</v>
      </c>
      <c r="AH433" s="315">
        <f t="shared" si="45"/>
        <v>0</v>
      </c>
      <c r="AI433" s="315">
        <f t="shared" si="45"/>
        <v>0</v>
      </c>
      <c r="AJ433" s="315">
        <f t="shared" si="45"/>
        <v>0</v>
      </c>
      <c r="AK433" s="315">
        <f t="shared" si="45"/>
        <v>0</v>
      </c>
      <c r="AL433" s="315">
        <f t="shared" si="45"/>
        <v>0</v>
      </c>
      <c r="AM433" s="315">
        <f t="shared" si="45"/>
        <v>0</v>
      </c>
      <c r="AN433" s="315">
        <f t="shared" si="45"/>
        <v>0</v>
      </c>
      <c r="AO433" s="315">
        <f t="shared" si="45"/>
        <v>0</v>
      </c>
      <c r="AP433" s="315">
        <f t="shared" si="45"/>
        <v>0</v>
      </c>
      <c r="AQ433" s="315">
        <f t="shared" si="45"/>
        <v>0</v>
      </c>
      <c r="AR433" s="315">
        <f t="shared" si="45"/>
        <v>0</v>
      </c>
      <c r="AS433" s="315">
        <f t="shared" si="45"/>
        <v>0</v>
      </c>
      <c r="AT433" s="315">
        <f t="shared" si="45"/>
        <v>0</v>
      </c>
      <c r="AU433" s="315">
        <f t="shared" si="45"/>
        <v>0</v>
      </c>
      <c r="AV433" s="315">
        <f t="shared" si="45"/>
        <v>0</v>
      </c>
      <c r="AW433" s="315">
        <f t="shared" si="45"/>
        <v>0</v>
      </c>
      <c r="AX433" s="315">
        <f t="shared" si="45"/>
        <v>0</v>
      </c>
      <c r="AY433" s="315">
        <f t="shared" si="45"/>
        <v>0</v>
      </c>
      <c r="AZ433" s="315">
        <f t="shared" si="45"/>
        <v>0</v>
      </c>
      <c r="BA433" s="315">
        <f t="shared" si="45"/>
        <v>0</v>
      </c>
      <c r="BB433" s="315">
        <f t="shared" si="45"/>
        <v>0</v>
      </c>
      <c r="BC433" s="315">
        <f t="shared" si="45"/>
        <v>0</v>
      </c>
      <c r="BD433" s="315">
        <f t="shared" si="45"/>
        <v>0</v>
      </c>
      <c r="BE433" s="315">
        <f t="shared" si="45"/>
        <v>0</v>
      </c>
      <c r="BF433" s="315">
        <f t="shared" si="45"/>
        <v>0</v>
      </c>
      <c r="BG433" s="315">
        <f t="shared" si="45"/>
        <v>0</v>
      </c>
      <c r="BH433" s="315">
        <f t="shared" si="45"/>
        <v>0</v>
      </c>
      <c r="BI433" s="315">
        <f t="shared" si="45"/>
        <v>0</v>
      </c>
      <c r="BJ433" s="315">
        <f t="shared" si="45"/>
        <v>0</v>
      </c>
      <c r="BK433" s="315">
        <f t="shared" si="45"/>
        <v>0</v>
      </c>
      <c r="BL433" s="315">
        <f t="shared" si="45"/>
        <v>0</v>
      </c>
      <c r="BM433" s="315">
        <f t="shared" si="45"/>
        <v>0</v>
      </c>
      <c r="BN433" s="315">
        <f t="shared" si="45"/>
        <v>0</v>
      </c>
      <c r="BO433" s="315">
        <f t="shared" si="45"/>
        <v>0</v>
      </c>
      <c r="BP433" s="315">
        <f t="shared" si="45"/>
        <v>0</v>
      </c>
      <c r="BQ433" s="315">
        <f t="shared" si="45"/>
        <v>0</v>
      </c>
      <c r="BR433" s="315">
        <f t="shared" si="41"/>
        <v>0</v>
      </c>
      <c r="BS433" s="315">
        <f t="shared" si="39"/>
        <v>0</v>
      </c>
      <c r="BT433" s="315">
        <f t="shared" si="39"/>
        <v>0</v>
      </c>
      <c r="BU433" s="315">
        <f t="shared" si="39"/>
        <v>0</v>
      </c>
      <c r="BV433" s="315">
        <f t="shared" si="39"/>
        <v>0</v>
      </c>
      <c r="BW433" s="315">
        <f t="shared" si="39"/>
        <v>0</v>
      </c>
      <c r="BX433" s="315">
        <f t="shared" si="39"/>
        <v>0</v>
      </c>
      <c r="BZ433" s="315">
        <f t="shared" si="40"/>
        <v>0</v>
      </c>
      <c r="CA433" s="315">
        <f t="shared" si="40"/>
        <v>0</v>
      </c>
    </row>
    <row r="434" spans="7:79" hidden="1" x14ac:dyDescent="0.2">
      <c r="G434" s="315">
        <f t="shared" si="44"/>
        <v>0</v>
      </c>
      <c r="H434" s="315">
        <f t="shared" si="44"/>
        <v>0</v>
      </c>
      <c r="I434" s="315">
        <f t="shared" si="44"/>
        <v>0</v>
      </c>
      <c r="J434" s="315">
        <f t="shared" si="44"/>
        <v>0</v>
      </c>
      <c r="K434" s="315">
        <f t="shared" si="44"/>
        <v>0</v>
      </c>
      <c r="L434" s="315">
        <f t="shared" si="44"/>
        <v>0</v>
      </c>
      <c r="M434" s="315">
        <f t="shared" si="44"/>
        <v>0</v>
      </c>
      <c r="N434" s="315">
        <f t="shared" si="44"/>
        <v>0</v>
      </c>
      <c r="O434" s="315">
        <f t="shared" si="44"/>
        <v>0</v>
      </c>
      <c r="P434" s="315">
        <f t="shared" si="44"/>
        <v>0</v>
      </c>
      <c r="Q434" s="315">
        <f t="shared" si="44"/>
        <v>0</v>
      </c>
      <c r="R434" s="315">
        <f t="shared" si="44"/>
        <v>0</v>
      </c>
      <c r="S434" s="315">
        <f t="shared" si="44"/>
        <v>0</v>
      </c>
      <c r="T434" s="315">
        <f t="shared" si="44"/>
        <v>0</v>
      </c>
      <c r="U434" s="315">
        <f t="shared" si="44"/>
        <v>0</v>
      </c>
      <c r="V434" s="315">
        <f t="shared" si="44"/>
        <v>0</v>
      </c>
      <c r="W434" s="315">
        <f t="shared" si="46"/>
        <v>0</v>
      </c>
      <c r="X434" s="315">
        <f t="shared" si="46"/>
        <v>0</v>
      </c>
      <c r="Y434" s="315">
        <f t="shared" si="45"/>
        <v>0</v>
      </c>
      <c r="Z434" s="315">
        <f t="shared" si="45"/>
        <v>0</v>
      </c>
      <c r="AA434" s="315">
        <f t="shared" si="45"/>
        <v>0</v>
      </c>
      <c r="AB434" s="315">
        <f t="shared" si="45"/>
        <v>0</v>
      </c>
      <c r="AC434" s="315">
        <f t="shared" si="45"/>
        <v>0</v>
      </c>
      <c r="AD434" s="315">
        <f t="shared" si="45"/>
        <v>0</v>
      </c>
      <c r="AE434" s="315">
        <f t="shared" si="45"/>
        <v>0</v>
      </c>
      <c r="AF434" s="315">
        <f t="shared" si="45"/>
        <v>0</v>
      </c>
      <c r="AG434" s="315">
        <f t="shared" si="45"/>
        <v>0</v>
      </c>
      <c r="AH434" s="315">
        <f t="shared" si="45"/>
        <v>0</v>
      </c>
      <c r="AI434" s="315">
        <f t="shared" si="45"/>
        <v>0</v>
      </c>
      <c r="AJ434" s="315">
        <f t="shared" si="45"/>
        <v>0</v>
      </c>
      <c r="AK434" s="315">
        <f t="shared" si="45"/>
        <v>0</v>
      </c>
      <c r="AL434" s="315">
        <f t="shared" si="45"/>
        <v>0</v>
      </c>
      <c r="AM434" s="315">
        <f t="shared" si="45"/>
        <v>0</v>
      </c>
      <c r="AN434" s="315">
        <f t="shared" si="45"/>
        <v>0</v>
      </c>
      <c r="AO434" s="315">
        <f t="shared" si="45"/>
        <v>0</v>
      </c>
      <c r="AP434" s="315">
        <f t="shared" si="45"/>
        <v>0</v>
      </c>
      <c r="AQ434" s="315">
        <f t="shared" si="45"/>
        <v>0</v>
      </c>
      <c r="AR434" s="315">
        <f t="shared" si="45"/>
        <v>0</v>
      </c>
      <c r="AS434" s="315">
        <f t="shared" si="45"/>
        <v>0</v>
      </c>
      <c r="AT434" s="315">
        <f t="shared" si="45"/>
        <v>0</v>
      </c>
      <c r="AU434" s="315">
        <f t="shared" si="45"/>
        <v>0</v>
      </c>
      <c r="AV434" s="315">
        <f t="shared" si="45"/>
        <v>0</v>
      </c>
      <c r="AW434" s="315">
        <f t="shared" si="45"/>
        <v>0</v>
      </c>
      <c r="AX434" s="315">
        <f t="shared" si="45"/>
        <v>0</v>
      </c>
      <c r="AY434" s="315">
        <f t="shared" si="45"/>
        <v>0</v>
      </c>
      <c r="AZ434" s="315">
        <f t="shared" si="45"/>
        <v>0</v>
      </c>
      <c r="BA434" s="315">
        <f t="shared" si="45"/>
        <v>0</v>
      </c>
      <c r="BB434" s="315">
        <f t="shared" si="45"/>
        <v>0</v>
      </c>
      <c r="BC434" s="315">
        <f t="shared" si="45"/>
        <v>0</v>
      </c>
      <c r="BD434" s="315">
        <f t="shared" si="45"/>
        <v>0</v>
      </c>
      <c r="BE434" s="315">
        <f t="shared" si="45"/>
        <v>0</v>
      </c>
      <c r="BF434" s="315">
        <f t="shared" si="45"/>
        <v>0</v>
      </c>
      <c r="BG434" s="315">
        <f t="shared" si="45"/>
        <v>0</v>
      </c>
      <c r="BH434" s="315">
        <f t="shared" si="45"/>
        <v>0</v>
      </c>
      <c r="BI434" s="315">
        <f t="shared" si="45"/>
        <v>0</v>
      </c>
      <c r="BJ434" s="315">
        <f t="shared" si="45"/>
        <v>0</v>
      </c>
      <c r="BK434" s="315">
        <f t="shared" si="45"/>
        <v>0</v>
      </c>
      <c r="BL434" s="315">
        <f t="shared" si="45"/>
        <v>0</v>
      </c>
      <c r="BM434" s="315">
        <f t="shared" si="45"/>
        <v>0</v>
      </c>
      <c r="BN434" s="315">
        <f t="shared" si="45"/>
        <v>0</v>
      </c>
      <c r="BO434" s="315">
        <f t="shared" si="45"/>
        <v>0</v>
      </c>
      <c r="BP434" s="315">
        <f t="shared" si="45"/>
        <v>0</v>
      </c>
      <c r="BQ434" s="315">
        <f t="shared" si="45"/>
        <v>0</v>
      </c>
      <c r="BR434" s="315">
        <f t="shared" si="41"/>
        <v>0</v>
      </c>
      <c r="BS434" s="315">
        <f t="shared" si="39"/>
        <v>0</v>
      </c>
      <c r="BT434" s="315">
        <f t="shared" si="39"/>
        <v>0</v>
      </c>
      <c r="BU434" s="315">
        <f t="shared" si="39"/>
        <v>0</v>
      </c>
      <c r="BV434" s="315">
        <f t="shared" si="39"/>
        <v>0</v>
      </c>
      <c r="BW434" s="315">
        <f t="shared" si="39"/>
        <v>0</v>
      </c>
      <c r="BX434" s="315">
        <f t="shared" si="39"/>
        <v>0</v>
      </c>
      <c r="BZ434" s="315">
        <f t="shared" si="40"/>
        <v>0</v>
      </c>
      <c r="CA434" s="315">
        <f t="shared" si="40"/>
        <v>0</v>
      </c>
    </row>
    <row r="435" spans="7:79" hidden="1" x14ac:dyDescent="0.2">
      <c r="G435" s="315">
        <f t="shared" si="44"/>
        <v>0</v>
      </c>
      <c r="H435" s="315">
        <f t="shared" si="44"/>
        <v>0</v>
      </c>
      <c r="I435" s="315">
        <f t="shared" si="44"/>
        <v>0</v>
      </c>
      <c r="J435" s="315">
        <f t="shared" si="44"/>
        <v>0</v>
      </c>
      <c r="K435" s="315">
        <f t="shared" si="44"/>
        <v>0</v>
      </c>
      <c r="L435" s="315">
        <f t="shared" si="44"/>
        <v>0</v>
      </c>
      <c r="M435" s="315">
        <f t="shared" si="44"/>
        <v>0</v>
      </c>
      <c r="N435" s="315">
        <f t="shared" si="44"/>
        <v>0</v>
      </c>
      <c r="O435" s="315">
        <f t="shared" si="44"/>
        <v>0</v>
      </c>
      <c r="P435" s="315">
        <f t="shared" si="44"/>
        <v>0</v>
      </c>
      <c r="Q435" s="315">
        <f t="shared" si="44"/>
        <v>0</v>
      </c>
      <c r="R435" s="315">
        <f t="shared" si="44"/>
        <v>0</v>
      </c>
      <c r="S435" s="315">
        <f t="shared" si="44"/>
        <v>0</v>
      </c>
      <c r="T435" s="315">
        <f t="shared" si="44"/>
        <v>0</v>
      </c>
      <c r="U435" s="315">
        <f t="shared" si="44"/>
        <v>0</v>
      </c>
      <c r="V435" s="315">
        <f t="shared" si="44"/>
        <v>0</v>
      </c>
      <c r="W435" s="315">
        <f t="shared" si="46"/>
        <v>0</v>
      </c>
      <c r="X435" s="315">
        <f t="shared" si="46"/>
        <v>0</v>
      </c>
      <c r="Y435" s="315">
        <f t="shared" si="45"/>
        <v>0</v>
      </c>
      <c r="Z435" s="315">
        <f t="shared" si="45"/>
        <v>0</v>
      </c>
      <c r="AA435" s="315">
        <f t="shared" si="45"/>
        <v>0</v>
      </c>
      <c r="AB435" s="315">
        <f t="shared" si="45"/>
        <v>0</v>
      </c>
      <c r="AC435" s="315">
        <f t="shared" si="45"/>
        <v>0</v>
      </c>
      <c r="AD435" s="315">
        <f t="shared" si="45"/>
        <v>0</v>
      </c>
      <c r="AE435" s="315">
        <f t="shared" si="45"/>
        <v>0</v>
      </c>
      <c r="AF435" s="315">
        <f t="shared" si="45"/>
        <v>0</v>
      </c>
      <c r="AG435" s="315">
        <f t="shared" si="45"/>
        <v>0</v>
      </c>
      <c r="AH435" s="315">
        <f t="shared" si="45"/>
        <v>0</v>
      </c>
      <c r="AI435" s="315">
        <f t="shared" si="45"/>
        <v>0</v>
      </c>
      <c r="AJ435" s="315">
        <f t="shared" si="45"/>
        <v>0</v>
      </c>
      <c r="AK435" s="315">
        <f t="shared" si="45"/>
        <v>0</v>
      </c>
      <c r="AL435" s="315">
        <f t="shared" si="45"/>
        <v>0</v>
      </c>
      <c r="AM435" s="315">
        <f t="shared" si="45"/>
        <v>0</v>
      </c>
      <c r="AN435" s="315">
        <f t="shared" si="45"/>
        <v>0</v>
      </c>
      <c r="AO435" s="315">
        <f t="shared" si="45"/>
        <v>0</v>
      </c>
      <c r="AP435" s="315">
        <f t="shared" si="45"/>
        <v>0</v>
      </c>
      <c r="AQ435" s="315">
        <f t="shared" si="45"/>
        <v>0</v>
      </c>
      <c r="AR435" s="315">
        <f t="shared" si="45"/>
        <v>0</v>
      </c>
      <c r="AS435" s="315">
        <f t="shared" si="45"/>
        <v>0</v>
      </c>
      <c r="AT435" s="315">
        <f t="shared" si="45"/>
        <v>0</v>
      </c>
      <c r="AU435" s="315">
        <f t="shared" si="45"/>
        <v>0</v>
      </c>
      <c r="AV435" s="315">
        <f t="shared" si="45"/>
        <v>0</v>
      </c>
      <c r="AW435" s="315">
        <f t="shared" si="45"/>
        <v>0</v>
      </c>
      <c r="AX435" s="315">
        <f t="shared" si="45"/>
        <v>0</v>
      </c>
      <c r="AY435" s="315">
        <f t="shared" si="45"/>
        <v>0</v>
      </c>
      <c r="AZ435" s="315">
        <f t="shared" si="45"/>
        <v>0</v>
      </c>
      <c r="BA435" s="315">
        <f t="shared" si="45"/>
        <v>0</v>
      </c>
      <c r="BB435" s="315">
        <f t="shared" si="45"/>
        <v>0</v>
      </c>
      <c r="BC435" s="315">
        <f t="shared" si="45"/>
        <v>0</v>
      </c>
      <c r="BD435" s="315">
        <f t="shared" si="45"/>
        <v>0</v>
      </c>
      <c r="BE435" s="315">
        <f t="shared" si="45"/>
        <v>0</v>
      </c>
      <c r="BF435" s="315">
        <f t="shared" si="45"/>
        <v>0</v>
      </c>
      <c r="BG435" s="315">
        <f t="shared" si="45"/>
        <v>0</v>
      </c>
      <c r="BH435" s="315">
        <f t="shared" si="45"/>
        <v>0</v>
      </c>
      <c r="BI435" s="315">
        <f t="shared" si="45"/>
        <v>0</v>
      </c>
      <c r="BJ435" s="315">
        <f t="shared" si="45"/>
        <v>0</v>
      </c>
      <c r="BK435" s="315">
        <f t="shared" si="45"/>
        <v>0</v>
      </c>
      <c r="BL435" s="315">
        <f t="shared" si="45"/>
        <v>0</v>
      </c>
      <c r="BM435" s="315">
        <f t="shared" si="45"/>
        <v>0</v>
      </c>
      <c r="BN435" s="315">
        <f t="shared" si="45"/>
        <v>0</v>
      </c>
      <c r="BO435" s="315">
        <f t="shared" si="45"/>
        <v>0</v>
      </c>
      <c r="BP435" s="315">
        <f t="shared" si="45"/>
        <v>0</v>
      </c>
      <c r="BQ435" s="315">
        <f t="shared" si="45"/>
        <v>0</v>
      </c>
      <c r="BR435" s="315">
        <f t="shared" si="41"/>
        <v>0</v>
      </c>
      <c r="BS435" s="315">
        <f t="shared" si="41"/>
        <v>0</v>
      </c>
      <c r="BT435" s="315">
        <f t="shared" si="41"/>
        <v>0</v>
      </c>
      <c r="BU435" s="315">
        <f t="shared" si="41"/>
        <v>0</v>
      </c>
      <c r="BV435" s="315">
        <f t="shared" si="41"/>
        <v>0</v>
      </c>
      <c r="BW435" s="315">
        <f t="shared" si="41"/>
        <v>0</v>
      </c>
      <c r="BX435" s="315">
        <f t="shared" si="41"/>
        <v>0</v>
      </c>
      <c r="BZ435" s="315">
        <f t="shared" ref="BZ435:CA450" si="47">BZ42-ER42</f>
        <v>0</v>
      </c>
      <c r="CA435" s="315">
        <f t="shared" si="47"/>
        <v>0</v>
      </c>
    </row>
    <row r="436" spans="7:79" hidden="1" x14ac:dyDescent="0.2">
      <c r="G436" s="315">
        <f t="shared" si="44"/>
        <v>0</v>
      </c>
      <c r="H436" s="315">
        <f t="shared" si="44"/>
        <v>0</v>
      </c>
      <c r="I436" s="315">
        <f t="shared" si="44"/>
        <v>0</v>
      </c>
      <c r="J436" s="315">
        <f t="shared" si="44"/>
        <v>0</v>
      </c>
      <c r="K436" s="315">
        <f t="shared" si="44"/>
        <v>0</v>
      </c>
      <c r="L436" s="315">
        <f t="shared" si="44"/>
        <v>0</v>
      </c>
      <c r="M436" s="315">
        <f t="shared" si="44"/>
        <v>0</v>
      </c>
      <c r="N436" s="315">
        <f t="shared" si="44"/>
        <v>0</v>
      </c>
      <c r="O436" s="315">
        <f t="shared" si="44"/>
        <v>0</v>
      </c>
      <c r="P436" s="315">
        <f t="shared" si="44"/>
        <v>0</v>
      </c>
      <c r="Q436" s="315">
        <f t="shared" si="44"/>
        <v>0</v>
      </c>
      <c r="R436" s="315">
        <f t="shared" si="44"/>
        <v>0</v>
      </c>
      <c r="S436" s="315">
        <f t="shared" si="44"/>
        <v>0</v>
      </c>
      <c r="T436" s="315">
        <f t="shared" si="44"/>
        <v>0</v>
      </c>
      <c r="U436" s="315">
        <f t="shared" si="44"/>
        <v>0</v>
      </c>
      <c r="V436" s="315">
        <f t="shared" si="44"/>
        <v>0</v>
      </c>
      <c r="W436" s="315">
        <f t="shared" si="46"/>
        <v>0</v>
      </c>
      <c r="X436" s="315">
        <f t="shared" si="46"/>
        <v>0</v>
      </c>
      <c r="Y436" s="315">
        <f t="shared" si="45"/>
        <v>0</v>
      </c>
      <c r="Z436" s="315">
        <f t="shared" si="45"/>
        <v>0</v>
      </c>
      <c r="AA436" s="315">
        <f t="shared" si="45"/>
        <v>0</v>
      </c>
      <c r="AB436" s="315">
        <f t="shared" si="45"/>
        <v>0</v>
      </c>
      <c r="AC436" s="315">
        <f t="shared" si="45"/>
        <v>0</v>
      </c>
      <c r="AD436" s="315">
        <f t="shared" si="45"/>
        <v>0</v>
      </c>
      <c r="AE436" s="315">
        <f t="shared" si="45"/>
        <v>0</v>
      </c>
      <c r="AF436" s="315">
        <f t="shared" si="45"/>
        <v>0</v>
      </c>
      <c r="AG436" s="315">
        <f t="shared" si="45"/>
        <v>0</v>
      </c>
      <c r="AH436" s="315">
        <f t="shared" si="45"/>
        <v>0</v>
      </c>
      <c r="AI436" s="315">
        <f t="shared" si="45"/>
        <v>0</v>
      </c>
      <c r="AJ436" s="315">
        <f t="shared" si="45"/>
        <v>0</v>
      </c>
      <c r="AK436" s="315">
        <f t="shared" si="45"/>
        <v>0</v>
      </c>
      <c r="AL436" s="315">
        <f t="shared" si="45"/>
        <v>0</v>
      </c>
      <c r="AM436" s="315">
        <f t="shared" si="45"/>
        <v>0</v>
      </c>
      <c r="AN436" s="315">
        <f t="shared" si="45"/>
        <v>0</v>
      </c>
      <c r="AO436" s="315">
        <f t="shared" si="45"/>
        <v>0</v>
      </c>
      <c r="AP436" s="315">
        <f t="shared" si="45"/>
        <v>0</v>
      </c>
      <c r="AQ436" s="315">
        <f t="shared" si="45"/>
        <v>0</v>
      </c>
      <c r="AR436" s="315">
        <f t="shared" si="45"/>
        <v>0</v>
      </c>
      <c r="AS436" s="315">
        <f t="shared" si="45"/>
        <v>0</v>
      </c>
      <c r="AT436" s="315">
        <f t="shared" si="45"/>
        <v>0</v>
      </c>
      <c r="AU436" s="315">
        <f t="shared" si="45"/>
        <v>0</v>
      </c>
      <c r="AV436" s="315">
        <f t="shared" si="45"/>
        <v>0</v>
      </c>
      <c r="AW436" s="315">
        <f t="shared" si="45"/>
        <v>0</v>
      </c>
      <c r="AX436" s="315">
        <f t="shared" si="45"/>
        <v>0</v>
      </c>
      <c r="AY436" s="315">
        <f t="shared" si="45"/>
        <v>0</v>
      </c>
      <c r="AZ436" s="315">
        <f t="shared" si="45"/>
        <v>0</v>
      </c>
      <c r="BA436" s="315">
        <f t="shared" si="45"/>
        <v>0</v>
      </c>
      <c r="BB436" s="315">
        <f t="shared" si="45"/>
        <v>0</v>
      </c>
      <c r="BC436" s="315">
        <f t="shared" ref="BC436:BR451" si="48">BC43-DU43</f>
        <v>0</v>
      </c>
      <c r="BD436" s="315">
        <f t="shared" si="48"/>
        <v>0</v>
      </c>
      <c r="BE436" s="315">
        <f t="shared" si="48"/>
        <v>0</v>
      </c>
      <c r="BF436" s="315">
        <f t="shared" si="48"/>
        <v>0</v>
      </c>
      <c r="BG436" s="315">
        <f t="shared" si="48"/>
        <v>0</v>
      </c>
      <c r="BH436" s="315">
        <f t="shared" si="48"/>
        <v>0</v>
      </c>
      <c r="BI436" s="315">
        <f t="shared" si="48"/>
        <v>0</v>
      </c>
      <c r="BJ436" s="315">
        <f t="shared" si="48"/>
        <v>0</v>
      </c>
      <c r="BK436" s="315">
        <f t="shared" si="48"/>
        <v>0</v>
      </c>
      <c r="BL436" s="315">
        <f t="shared" si="48"/>
        <v>0</v>
      </c>
      <c r="BM436" s="315">
        <f t="shared" si="48"/>
        <v>0</v>
      </c>
      <c r="BN436" s="315">
        <f t="shared" si="48"/>
        <v>0</v>
      </c>
      <c r="BO436" s="315">
        <f t="shared" si="48"/>
        <v>0</v>
      </c>
      <c r="BP436" s="315">
        <f t="shared" si="48"/>
        <v>0</v>
      </c>
      <c r="BQ436" s="315">
        <f t="shared" si="48"/>
        <v>0</v>
      </c>
      <c r="BR436" s="315">
        <f t="shared" si="41"/>
        <v>0</v>
      </c>
      <c r="BS436" s="315">
        <f t="shared" si="41"/>
        <v>0</v>
      </c>
      <c r="BT436" s="315">
        <f t="shared" si="41"/>
        <v>0</v>
      </c>
      <c r="BU436" s="315">
        <f t="shared" si="41"/>
        <v>0</v>
      </c>
      <c r="BV436" s="315">
        <f t="shared" si="41"/>
        <v>0</v>
      </c>
      <c r="BW436" s="315">
        <f t="shared" si="41"/>
        <v>0</v>
      </c>
      <c r="BX436" s="315">
        <f t="shared" si="41"/>
        <v>0</v>
      </c>
      <c r="BZ436" s="315">
        <f t="shared" si="47"/>
        <v>0</v>
      </c>
      <c r="CA436" s="315">
        <f t="shared" si="47"/>
        <v>0</v>
      </c>
    </row>
    <row r="437" spans="7:79" hidden="1" x14ac:dyDescent="0.2">
      <c r="G437" s="315">
        <f t="shared" si="44"/>
        <v>0</v>
      </c>
      <c r="H437" s="315">
        <f t="shared" si="44"/>
        <v>0</v>
      </c>
      <c r="I437" s="315">
        <f t="shared" si="44"/>
        <v>0</v>
      </c>
      <c r="J437" s="315">
        <f t="shared" si="44"/>
        <v>0</v>
      </c>
      <c r="K437" s="315">
        <f t="shared" si="44"/>
        <v>0</v>
      </c>
      <c r="L437" s="315">
        <f t="shared" si="44"/>
        <v>0</v>
      </c>
      <c r="M437" s="315">
        <f t="shared" si="44"/>
        <v>0</v>
      </c>
      <c r="N437" s="315">
        <f t="shared" si="44"/>
        <v>0</v>
      </c>
      <c r="O437" s="315">
        <f t="shared" si="44"/>
        <v>0</v>
      </c>
      <c r="P437" s="315">
        <f t="shared" si="44"/>
        <v>0</v>
      </c>
      <c r="Q437" s="315">
        <f t="shared" si="44"/>
        <v>0</v>
      </c>
      <c r="R437" s="315">
        <f t="shared" si="44"/>
        <v>0</v>
      </c>
      <c r="S437" s="315">
        <f t="shared" si="44"/>
        <v>0</v>
      </c>
      <c r="T437" s="315">
        <f t="shared" si="44"/>
        <v>0</v>
      </c>
      <c r="U437" s="315">
        <f t="shared" si="44"/>
        <v>0</v>
      </c>
      <c r="V437" s="315">
        <f t="shared" si="44"/>
        <v>0</v>
      </c>
      <c r="W437" s="315">
        <f t="shared" si="46"/>
        <v>0</v>
      </c>
      <c r="X437" s="315">
        <f t="shared" si="46"/>
        <v>0</v>
      </c>
      <c r="Y437" s="315">
        <f t="shared" si="46"/>
        <v>0</v>
      </c>
      <c r="Z437" s="315">
        <f t="shared" si="46"/>
        <v>0</v>
      </c>
      <c r="AA437" s="315">
        <f t="shared" si="46"/>
        <v>0</v>
      </c>
      <c r="AB437" s="315">
        <f t="shared" si="46"/>
        <v>0</v>
      </c>
      <c r="AC437" s="315">
        <f t="shared" si="46"/>
        <v>0</v>
      </c>
      <c r="AD437" s="315">
        <f t="shared" si="46"/>
        <v>0</v>
      </c>
      <c r="AE437" s="315">
        <f t="shared" si="46"/>
        <v>0</v>
      </c>
      <c r="AF437" s="315">
        <f t="shared" si="46"/>
        <v>0</v>
      </c>
      <c r="AG437" s="315">
        <f t="shared" si="46"/>
        <v>0</v>
      </c>
      <c r="AH437" s="315">
        <f t="shared" si="46"/>
        <v>0</v>
      </c>
      <c r="AI437" s="315">
        <f t="shared" si="46"/>
        <v>0</v>
      </c>
      <c r="AJ437" s="315">
        <f t="shared" si="46"/>
        <v>0</v>
      </c>
      <c r="AK437" s="315">
        <f t="shared" si="46"/>
        <v>0</v>
      </c>
      <c r="AL437" s="315">
        <f t="shared" si="46"/>
        <v>0</v>
      </c>
      <c r="AM437" s="315">
        <f t="shared" ref="AM437:BB452" si="49">AM44-DE44</f>
        <v>0</v>
      </c>
      <c r="AN437" s="315">
        <f t="shared" si="49"/>
        <v>0</v>
      </c>
      <c r="AO437" s="315">
        <f t="shared" si="49"/>
        <v>0</v>
      </c>
      <c r="AP437" s="315">
        <f t="shared" si="49"/>
        <v>0</v>
      </c>
      <c r="AQ437" s="315">
        <f t="shared" si="49"/>
        <v>0</v>
      </c>
      <c r="AR437" s="315">
        <f t="shared" si="49"/>
        <v>0</v>
      </c>
      <c r="AS437" s="315">
        <f t="shared" si="49"/>
        <v>0</v>
      </c>
      <c r="AT437" s="315">
        <f t="shared" si="49"/>
        <v>0</v>
      </c>
      <c r="AU437" s="315">
        <f t="shared" si="49"/>
        <v>0</v>
      </c>
      <c r="AV437" s="315">
        <f t="shared" si="49"/>
        <v>0</v>
      </c>
      <c r="AW437" s="315">
        <f t="shared" si="49"/>
        <v>0</v>
      </c>
      <c r="AX437" s="315">
        <f t="shared" si="49"/>
        <v>0</v>
      </c>
      <c r="AY437" s="315">
        <f t="shared" si="49"/>
        <v>0</v>
      </c>
      <c r="AZ437" s="315">
        <f t="shared" si="49"/>
        <v>0</v>
      </c>
      <c r="BA437" s="315">
        <f t="shared" si="49"/>
        <v>0</v>
      </c>
      <c r="BB437" s="315">
        <f t="shared" si="49"/>
        <v>0</v>
      </c>
      <c r="BC437" s="315">
        <f t="shared" si="48"/>
        <v>0</v>
      </c>
      <c r="BD437" s="315">
        <f t="shared" si="48"/>
        <v>0</v>
      </c>
      <c r="BE437" s="315">
        <f t="shared" si="48"/>
        <v>0</v>
      </c>
      <c r="BF437" s="315">
        <f t="shared" si="48"/>
        <v>0</v>
      </c>
      <c r="BG437" s="315">
        <f t="shared" si="48"/>
        <v>0</v>
      </c>
      <c r="BH437" s="315">
        <f t="shared" si="48"/>
        <v>0</v>
      </c>
      <c r="BI437" s="315">
        <f t="shared" si="48"/>
        <v>0</v>
      </c>
      <c r="BJ437" s="315">
        <f t="shared" si="48"/>
        <v>0</v>
      </c>
      <c r="BK437" s="315">
        <f t="shared" si="48"/>
        <v>0</v>
      </c>
      <c r="BL437" s="315">
        <f t="shared" si="48"/>
        <v>0</v>
      </c>
      <c r="BM437" s="315">
        <f t="shared" si="48"/>
        <v>0</v>
      </c>
      <c r="BN437" s="315">
        <f t="shared" si="48"/>
        <v>0</v>
      </c>
      <c r="BO437" s="315">
        <f t="shared" si="48"/>
        <v>0</v>
      </c>
      <c r="BP437" s="315">
        <f t="shared" si="48"/>
        <v>0</v>
      </c>
      <c r="BQ437" s="315">
        <f t="shared" si="48"/>
        <v>0</v>
      </c>
      <c r="BR437" s="315">
        <f t="shared" si="41"/>
        <v>0</v>
      </c>
      <c r="BS437" s="315">
        <f t="shared" si="41"/>
        <v>0</v>
      </c>
      <c r="BT437" s="315">
        <f t="shared" si="41"/>
        <v>0</v>
      </c>
      <c r="BU437" s="315">
        <f t="shared" si="41"/>
        <v>0</v>
      </c>
      <c r="BV437" s="315">
        <f t="shared" si="41"/>
        <v>0</v>
      </c>
      <c r="BW437" s="315">
        <f t="shared" si="41"/>
        <v>0</v>
      </c>
      <c r="BX437" s="315">
        <f t="shared" si="41"/>
        <v>0</v>
      </c>
      <c r="BZ437" s="315">
        <f t="shared" si="47"/>
        <v>0</v>
      </c>
      <c r="CA437" s="315">
        <f t="shared" si="47"/>
        <v>0</v>
      </c>
    </row>
    <row r="438" spans="7:79" hidden="1" x14ac:dyDescent="0.2">
      <c r="G438" s="315">
        <f t="shared" si="44"/>
        <v>-8418715</v>
      </c>
      <c r="H438" s="315">
        <f t="shared" si="44"/>
        <v>0</v>
      </c>
      <c r="I438" s="315">
        <f t="shared" si="44"/>
        <v>0</v>
      </c>
      <c r="J438" s="315">
        <f t="shared" si="44"/>
        <v>0</v>
      </c>
      <c r="K438" s="315">
        <f t="shared" si="44"/>
        <v>0</v>
      </c>
      <c r="L438" s="315">
        <f t="shared" si="44"/>
        <v>-133235</v>
      </c>
      <c r="M438" s="315">
        <f t="shared" si="44"/>
        <v>0</v>
      </c>
      <c r="N438" s="315">
        <f t="shared" si="44"/>
        <v>0</v>
      </c>
      <c r="O438" s="315">
        <f t="shared" si="44"/>
        <v>0</v>
      </c>
      <c r="P438" s="315">
        <f t="shared" si="44"/>
        <v>0</v>
      </c>
      <c r="Q438" s="315">
        <f t="shared" si="44"/>
        <v>1165586</v>
      </c>
      <c r="R438" s="315">
        <f t="shared" si="44"/>
        <v>0</v>
      </c>
      <c r="S438" s="315">
        <f t="shared" si="44"/>
        <v>0</v>
      </c>
      <c r="T438" s="315">
        <f t="shared" si="44"/>
        <v>0</v>
      </c>
      <c r="U438" s="315">
        <f t="shared" si="44"/>
        <v>0</v>
      </c>
      <c r="V438" s="315">
        <f t="shared" si="44"/>
        <v>758399</v>
      </c>
      <c r="W438" s="315">
        <f t="shared" si="46"/>
        <v>0</v>
      </c>
      <c r="X438" s="315">
        <f t="shared" si="46"/>
        <v>0</v>
      </c>
      <c r="Y438" s="315">
        <f t="shared" si="46"/>
        <v>0</v>
      </c>
      <c r="Z438" s="315">
        <f t="shared" si="46"/>
        <v>0</v>
      </c>
      <c r="AA438" s="315">
        <f t="shared" si="46"/>
        <v>-2463346</v>
      </c>
      <c r="AB438" s="315">
        <f t="shared" si="46"/>
        <v>0</v>
      </c>
      <c r="AC438" s="315">
        <f t="shared" si="46"/>
        <v>0</v>
      </c>
      <c r="AD438" s="315">
        <f t="shared" si="46"/>
        <v>0</v>
      </c>
      <c r="AE438" s="315">
        <f t="shared" si="46"/>
        <v>0</v>
      </c>
      <c r="AF438" s="315">
        <f t="shared" si="46"/>
        <v>-122514</v>
      </c>
      <c r="AG438" s="315">
        <f t="shared" si="46"/>
        <v>0</v>
      </c>
      <c r="AH438" s="315">
        <f t="shared" si="46"/>
        <v>0</v>
      </c>
      <c r="AI438" s="315">
        <f t="shared" si="46"/>
        <v>0</v>
      </c>
      <c r="AJ438" s="315">
        <f t="shared" si="46"/>
        <v>0</v>
      </c>
      <c r="AK438" s="315">
        <f t="shared" si="46"/>
        <v>-223294</v>
      </c>
      <c r="AL438" s="315">
        <f t="shared" si="46"/>
        <v>0</v>
      </c>
      <c r="AM438" s="315">
        <f t="shared" si="49"/>
        <v>0</v>
      </c>
      <c r="AN438" s="315">
        <f t="shared" si="49"/>
        <v>0</v>
      </c>
      <c r="AO438" s="315">
        <f t="shared" si="49"/>
        <v>0</v>
      </c>
      <c r="AP438" s="315">
        <f t="shared" si="49"/>
        <v>898186</v>
      </c>
      <c r="AQ438" s="315">
        <f t="shared" si="49"/>
        <v>0</v>
      </c>
      <c r="AR438" s="315">
        <f t="shared" si="49"/>
        <v>0</v>
      </c>
      <c r="AS438" s="315">
        <f t="shared" si="49"/>
        <v>0</v>
      </c>
      <c r="AT438" s="315">
        <f t="shared" si="49"/>
        <v>0</v>
      </c>
      <c r="AU438" s="315">
        <f t="shared" si="49"/>
        <v>-370634</v>
      </c>
      <c r="AV438" s="315">
        <f t="shared" si="49"/>
        <v>0</v>
      </c>
      <c r="AW438" s="315">
        <f t="shared" si="49"/>
        <v>0</v>
      </c>
      <c r="AX438" s="315">
        <f t="shared" si="49"/>
        <v>0</v>
      </c>
      <c r="AY438" s="315">
        <f t="shared" si="49"/>
        <v>0</v>
      </c>
      <c r="AZ438" s="315">
        <f t="shared" si="49"/>
        <v>-18910</v>
      </c>
      <c r="BA438" s="315">
        <f t="shared" si="49"/>
        <v>0</v>
      </c>
      <c r="BB438" s="315">
        <f t="shared" si="49"/>
        <v>0</v>
      </c>
      <c r="BC438" s="315">
        <f t="shared" si="48"/>
        <v>0</v>
      </c>
      <c r="BD438" s="315">
        <f t="shared" si="48"/>
        <v>0</v>
      </c>
      <c r="BE438" s="315">
        <f t="shared" si="48"/>
        <v>0</v>
      </c>
      <c r="BF438" s="315">
        <f t="shared" si="48"/>
        <v>0</v>
      </c>
      <c r="BG438" s="315">
        <f t="shared" si="48"/>
        <v>0</v>
      </c>
      <c r="BH438" s="315">
        <f t="shared" si="48"/>
        <v>0</v>
      </c>
      <c r="BI438" s="315">
        <f t="shared" si="48"/>
        <v>0</v>
      </c>
      <c r="BJ438" s="315">
        <f t="shared" si="48"/>
        <v>-1713808</v>
      </c>
      <c r="BK438" s="315">
        <f t="shared" si="48"/>
        <v>0</v>
      </c>
      <c r="BL438" s="315">
        <f t="shared" si="48"/>
        <v>0</v>
      </c>
      <c r="BM438" s="315">
        <f t="shared" si="48"/>
        <v>0</v>
      </c>
      <c r="BN438" s="315">
        <f t="shared" si="48"/>
        <v>0</v>
      </c>
      <c r="BO438" s="315">
        <f t="shared" si="48"/>
        <v>-701292</v>
      </c>
      <c r="BP438" s="315">
        <f t="shared" si="48"/>
        <v>0</v>
      </c>
      <c r="BQ438" s="315">
        <f t="shared" si="48"/>
        <v>0</v>
      </c>
      <c r="BR438" s="315">
        <f t="shared" si="48"/>
        <v>0</v>
      </c>
      <c r="BS438" s="315">
        <f t="shared" ref="BS438:BX452" si="50">BS45-EK45</f>
        <v>0</v>
      </c>
      <c r="BT438" s="315">
        <f t="shared" si="50"/>
        <v>-120218</v>
      </c>
      <c r="BU438" s="315">
        <f t="shared" si="50"/>
        <v>0</v>
      </c>
      <c r="BV438" s="315">
        <f t="shared" si="50"/>
        <v>0</v>
      </c>
      <c r="BW438" s="315">
        <f t="shared" si="50"/>
        <v>0</v>
      </c>
      <c r="BX438" s="315">
        <f t="shared" si="50"/>
        <v>0</v>
      </c>
      <c r="BZ438" s="315">
        <f t="shared" si="47"/>
        <v>0</v>
      </c>
      <c r="CA438" s="315">
        <f t="shared" si="47"/>
        <v>0</v>
      </c>
    </row>
    <row r="439" spans="7:79" hidden="1" x14ac:dyDescent="0.2">
      <c r="G439" s="315">
        <f t="shared" si="44"/>
        <v>-6023979</v>
      </c>
      <c r="H439" s="315">
        <f t="shared" si="44"/>
        <v>0</v>
      </c>
      <c r="I439" s="315">
        <f t="shared" si="44"/>
        <v>0</v>
      </c>
      <c r="J439" s="315">
        <f t="shared" si="44"/>
        <v>0</v>
      </c>
      <c r="K439" s="315">
        <f t="shared" si="44"/>
        <v>0</v>
      </c>
      <c r="L439" s="315">
        <f t="shared" si="44"/>
        <v>-98055</v>
      </c>
      <c r="M439" s="315">
        <f t="shared" si="44"/>
        <v>0</v>
      </c>
      <c r="N439" s="315">
        <f t="shared" si="44"/>
        <v>0</v>
      </c>
      <c r="O439" s="315">
        <f t="shared" si="44"/>
        <v>0</v>
      </c>
      <c r="P439" s="315">
        <f t="shared" si="44"/>
        <v>0</v>
      </c>
      <c r="Q439" s="315">
        <f t="shared" si="44"/>
        <v>763394</v>
      </c>
      <c r="R439" s="315">
        <f t="shared" si="44"/>
        <v>0</v>
      </c>
      <c r="S439" s="315">
        <f t="shared" si="44"/>
        <v>0</v>
      </c>
      <c r="T439" s="315">
        <f t="shared" si="44"/>
        <v>0</v>
      </c>
      <c r="U439" s="315">
        <f t="shared" si="44"/>
        <v>0</v>
      </c>
      <c r="V439" s="315">
        <f t="shared" si="44"/>
        <v>493773</v>
      </c>
      <c r="W439" s="315">
        <f t="shared" si="46"/>
        <v>0</v>
      </c>
      <c r="X439" s="315">
        <f t="shared" si="46"/>
        <v>0</v>
      </c>
      <c r="Y439" s="315">
        <f t="shared" si="46"/>
        <v>0</v>
      </c>
      <c r="Z439" s="315">
        <f t="shared" si="46"/>
        <v>0</v>
      </c>
      <c r="AA439" s="315">
        <f t="shared" si="46"/>
        <v>-1788898</v>
      </c>
      <c r="AB439" s="315">
        <f t="shared" si="46"/>
        <v>0</v>
      </c>
      <c r="AC439" s="315">
        <f t="shared" si="46"/>
        <v>0</v>
      </c>
      <c r="AD439" s="315">
        <f t="shared" si="46"/>
        <v>0</v>
      </c>
      <c r="AE439" s="315">
        <f t="shared" si="46"/>
        <v>0</v>
      </c>
      <c r="AF439" s="315">
        <f t="shared" si="46"/>
        <v>-128345</v>
      </c>
      <c r="AG439" s="315">
        <f t="shared" si="46"/>
        <v>0</v>
      </c>
      <c r="AH439" s="315">
        <f t="shared" si="46"/>
        <v>0</v>
      </c>
      <c r="AI439" s="315">
        <f t="shared" si="46"/>
        <v>0</v>
      </c>
      <c r="AJ439" s="315">
        <f t="shared" si="46"/>
        <v>0</v>
      </c>
      <c r="AK439" s="315">
        <f t="shared" si="46"/>
        <v>-162058</v>
      </c>
      <c r="AL439" s="315">
        <f t="shared" si="46"/>
        <v>0</v>
      </c>
      <c r="AM439" s="315">
        <f t="shared" si="49"/>
        <v>0</v>
      </c>
      <c r="AN439" s="315">
        <f t="shared" si="49"/>
        <v>0</v>
      </c>
      <c r="AO439" s="315">
        <f t="shared" si="49"/>
        <v>0</v>
      </c>
      <c r="AP439" s="315">
        <f t="shared" si="49"/>
        <v>564542</v>
      </c>
      <c r="AQ439" s="315">
        <f t="shared" si="49"/>
        <v>0</v>
      </c>
      <c r="AR439" s="315">
        <f t="shared" si="49"/>
        <v>0</v>
      </c>
      <c r="AS439" s="315">
        <f t="shared" si="49"/>
        <v>0</v>
      </c>
      <c r="AT439" s="315">
        <f t="shared" si="49"/>
        <v>0</v>
      </c>
      <c r="AU439" s="315">
        <f t="shared" si="49"/>
        <v>-254742</v>
      </c>
      <c r="AV439" s="315">
        <f t="shared" si="49"/>
        <v>0</v>
      </c>
      <c r="AW439" s="315">
        <f t="shared" si="49"/>
        <v>0</v>
      </c>
      <c r="AX439" s="315">
        <f t="shared" si="49"/>
        <v>0</v>
      </c>
      <c r="AY439" s="315">
        <f t="shared" si="49"/>
        <v>0</v>
      </c>
      <c r="AZ439" s="315">
        <f t="shared" si="49"/>
        <v>-12717</v>
      </c>
      <c r="BA439" s="315">
        <f t="shared" si="49"/>
        <v>0</v>
      </c>
      <c r="BB439" s="315">
        <f t="shared" si="49"/>
        <v>0</v>
      </c>
      <c r="BC439" s="315">
        <f t="shared" si="48"/>
        <v>0</v>
      </c>
      <c r="BD439" s="315">
        <f t="shared" si="48"/>
        <v>0</v>
      </c>
      <c r="BE439" s="315">
        <f t="shared" si="48"/>
        <v>0</v>
      </c>
      <c r="BF439" s="315">
        <f t="shared" si="48"/>
        <v>0</v>
      </c>
      <c r="BG439" s="315">
        <f t="shared" si="48"/>
        <v>0</v>
      </c>
      <c r="BH439" s="315">
        <f t="shared" si="48"/>
        <v>0</v>
      </c>
      <c r="BI439" s="315">
        <f t="shared" si="48"/>
        <v>0</v>
      </c>
      <c r="BJ439" s="315">
        <f t="shared" si="48"/>
        <v>-1185705</v>
      </c>
      <c r="BK439" s="315">
        <f t="shared" si="48"/>
        <v>0</v>
      </c>
      <c r="BL439" s="315">
        <f t="shared" si="48"/>
        <v>0</v>
      </c>
      <c r="BM439" s="315">
        <f t="shared" si="48"/>
        <v>0</v>
      </c>
      <c r="BN439" s="315">
        <f t="shared" si="48"/>
        <v>0</v>
      </c>
      <c r="BO439" s="315">
        <f t="shared" si="48"/>
        <v>-488603</v>
      </c>
      <c r="BP439" s="315">
        <f t="shared" si="48"/>
        <v>0</v>
      </c>
      <c r="BQ439" s="315">
        <f t="shared" si="48"/>
        <v>0</v>
      </c>
      <c r="BR439" s="315">
        <f t="shared" si="48"/>
        <v>0</v>
      </c>
      <c r="BS439" s="315">
        <f t="shared" si="50"/>
        <v>0</v>
      </c>
      <c r="BT439" s="315">
        <f t="shared" si="50"/>
        <v>-355647</v>
      </c>
      <c r="BU439" s="315">
        <f t="shared" si="50"/>
        <v>0</v>
      </c>
      <c r="BV439" s="315">
        <f t="shared" si="50"/>
        <v>0</v>
      </c>
      <c r="BW439" s="315">
        <f t="shared" si="50"/>
        <v>0</v>
      </c>
      <c r="BX439" s="315">
        <f t="shared" si="50"/>
        <v>0</v>
      </c>
      <c r="BZ439" s="315">
        <f t="shared" si="47"/>
        <v>0</v>
      </c>
      <c r="CA439" s="315">
        <f t="shared" si="47"/>
        <v>0</v>
      </c>
    </row>
    <row r="440" spans="7:79" hidden="1" x14ac:dyDescent="0.2">
      <c r="G440" s="315">
        <f t="shared" si="44"/>
        <v>-751021</v>
      </c>
      <c r="H440" s="315">
        <f t="shared" si="44"/>
        <v>0</v>
      </c>
      <c r="I440" s="315">
        <f t="shared" si="44"/>
        <v>0</v>
      </c>
      <c r="J440" s="315">
        <f t="shared" si="44"/>
        <v>0</v>
      </c>
      <c r="K440" s="315">
        <f t="shared" si="44"/>
        <v>0</v>
      </c>
      <c r="L440" s="315">
        <f t="shared" si="44"/>
        <v>-11945</v>
      </c>
      <c r="M440" s="315">
        <f t="shared" si="44"/>
        <v>0</v>
      </c>
      <c r="N440" s="315">
        <f t="shared" si="44"/>
        <v>0</v>
      </c>
      <c r="O440" s="315">
        <f t="shared" si="44"/>
        <v>0</v>
      </c>
      <c r="P440" s="315">
        <f t="shared" si="44"/>
        <v>0</v>
      </c>
      <c r="Q440" s="315">
        <f t="shared" si="44"/>
        <v>101606</v>
      </c>
      <c r="R440" s="315">
        <f t="shared" si="44"/>
        <v>0</v>
      </c>
      <c r="S440" s="315">
        <f t="shared" si="44"/>
        <v>0</v>
      </c>
      <c r="T440" s="315">
        <f t="shared" si="44"/>
        <v>0</v>
      </c>
      <c r="U440" s="315">
        <f t="shared" si="44"/>
        <v>0</v>
      </c>
      <c r="V440" s="315">
        <f t="shared" si="44"/>
        <v>56227</v>
      </c>
      <c r="W440" s="315">
        <f t="shared" si="46"/>
        <v>0</v>
      </c>
      <c r="X440" s="315">
        <f t="shared" si="46"/>
        <v>0</v>
      </c>
      <c r="Y440" s="315">
        <f t="shared" si="46"/>
        <v>0</v>
      </c>
      <c r="Z440" s="315">
        <f t="shared" si="46"/>
        <v>0</v>
      </c>
      <c r="AA440" s="315">
        <f t="shared" si="46"/>
        <v>-216102</v>
      </c>
      <c r="AB440" s="315">
        <f t="shared" si="46"/>
        <v>0</v>
      </c>
      <c r="AC440" s="315">
        <f t="shared" si="46"/>
        <v>0</v>
      </c>
      <c r="AD440" s="315">
        <f t="shared" si="46"/>
        <v>0</v>
      </c>
      <c r="AE440" s="315">
        <f t="shared" si="46"/>
        <v>0</v>
      </c>
      <c r="AF440" s="315">
        <f t="shared" si="46"/>
        <v>-1655</v>
      </c>
      <c r="AG440" s="315">
        <f t="shared" si="46"/>
        <v>0</v>
      </c>
      <c r="AH440" s="315">
        <f t="shared" si="46"/>
        <v>0</v>
      </c>
      <c r="AI440" s="315">
        <f t="shared" si="46"/>
        <v>0</v>
      </c>
      <c r="AJ440" s="315">
        <f t="shared" si="46"/>
        <v>0</v>
      </c>
      <c r="AK440" s="315">
        <f t="shared" si="46"/>
        <v>-17942</v>
      </c>
      <c r="AL440" s="315">
        <f t="shared" si="46"/>
        <v>0</v>
      </c>
      <c r="AM440" s="315">
        <f t="shared" si="49"/>
        <v>0</v>
      </c>
      <c r="AN440" s="315">
        <f t="shared" si="49"/>
        <v>0</v>
      </c>
      <c r="AO440" s="315">
        <f t="shared" si="49"/>
        <v>0</v>
      </c>
      <c r="AP440" s="315">
        <f t="shared" si="49"/>
        <v>105458</v>
      </c>
      <c r="AQ440" s="315">
        <f t="shared" si="49"/>
        <v>0</v>
      </c>
      <c r="AR440" s="315">
        <f t="shared" si="49"/>
        <v>0</v>
      </c>
      <c r="AS440" s="315">
        <f t="shared" si="49"/>
        <v>0</v>
      </c>
      <c r="AT440" s="315">
        <f t="shared" si="49"/>
        <v>0</v>
      </c>
      <c r="AU440" s="315">
        <f t="shared" si="49"/>
        <v>-40258</v>
      </c>
      <c r="AV440" s="315">
        <f t="shared" si="49"/>
        <v>0</v>
      </c>
      <c r="AW440" s="315">
        <f t="shared" si="49"/>
        <v>0</v>
      </c>
      <c r="AX440" s="315">
        <f t="shared" si="49"/>
        <v>0</v>
      </c>
      <c r="AY440" s="315">
        <f t="shared" si="49"/>
        <v>0</v>
      </c>
      <c r="AZ440" s="315">
        <f t="shared" si="49"/>
        <v>-2283</v>
      </c>
      <c r="BA440" s="315">
        <f t="shared" si="49"/>
        <v>0</v>
      </c>
      <c r="BB440" s="315">
        <f t="shared" si="49"/>
        <v>0</v>
      </c>
      <c r="BC440" s="315">
        <f t="shared" si="48"/>
        <v>0</v>
      </c>
      <c r="BD440" s="315">
        <f t="shared" si="48"/>
        <v>0</v>
      </c>
      <c r="BE440" s="315">
        <f t="shared" si="48"/>
        <v>0</v>
      </c>
      <c r="BF440" s="315">
        <f t="shared" si="48"/>
        <v>0</v>
      </c>
      <c r="BG440" s="315">
        <f t="shared" si="48"/>
        <v>0</v>
      </c>
      <c r="BH440" s="315">
        <f t="shared" si="48"/>
        <v>0</v>
      </c>
      <c r="BI440" s="315">
        <f t="shared" si="48"/>
        <v>0</v>
      </c>
      <c r="BJ440" s="315">
        <f t="shared" si="48"/>
        <v>-164295</v>
      </c>
      <c r="BK440" s="315">
        <f t="shared" si="48"/>
        <v>0</v>
      </c>
      <c r="BL440" s="315">
        <f t="shared" si="48"/>
        <v>0</v>
      </c>
      <c r="BM440" s="315">
        <f t="shared" si="48"/>
        <v>0</v>
      </c>
      <c r="BN440" s="315">
        <f t="shared" si="48"/>
        <v>0</v>
      </c>
      <c r="BO440" s="315">
        <f t="shared" si="48"/>
        <v>-61397</v>
      </c>
      <c r="BP440" s="315">
        <f t="shared" si="48"/>
        <v>0</v>
      </c>
      <c r="BQ440" s="315">
        <f t="shared" si="48"/>
        <v>0</v>
      </c>
      <c r="BR440" s="315">
        <f t="shared" si="48"/>
        <v>0</v>
      </c>
      <c r="BS440" s="315">
        <f t="shared" si="50"/>
        <v>0</v>
      </c>
      <c r="BT440" s="315">
        <f t="shared" si="50"/>
        <v>15647</v>
      </c>
      <c r="BU440" s="315">
        <f t="shared" si="50"/>
        <v>0</v>
      </c>
      <c r="BV440" s="315">
        <f t="shared" si="50"/>
        <v>0</v>
      </c>
      <c r="BW440" s="315">
        <f t="shared" si="50"/>
        <v>0</v>
      </c>
      <c r="BX440" s="315">
        <f t="shared" si="50"/>
        <v>0</v>
      </c>
      <c r="BZ440" s="315">
        <f t="shared" si="47"/>
        <v>0</v>
      </c>
      <c r="CA440" s="315">
        <f t="shared" si="47"/>
        <v>0</v>
      </c>
    </row>
    <row r="441" spans="7:79" hidden="1" x14ac:dyDescent="0.2">
      <c r="G441" s="315">
        <f t="shared" si="44"/>
        <v>0</v>
      </c>
      <c r="H441" s="315">
        <f t="shared" si="44"/>
        <v>0</v>
      </c>
      <c r="I441" s="315">
        <f t="shared" si="44"/>
        <v>0</v>
      </c>
      <c r="J441" s="315">
        <f t="shared" si="44"/>
        <v>0</v>
      </c>
      <c r="K441" s="315">
        <f t="shared" si="44"/>
        <v>0</v>
      </c>
      <c r="L441" s="315">
        <f t="shared" si="44"/>
        <v>0</v>
      </c>
      <c r="M441" s="315">
        <f t="shared" si="44"/>
        <v>0</v>
      </c>
      <c r="N441" s="315">
        <f t="shared" si="44"/>
        <v>0</v>
      </c>
      <c r="O441" s="315">
        <f t="shared" si="44"/>
        <v>0</v>
      </c>
      <c r="P441" s="315">
        <f t="shared" si="44"/>
        <v>0</v>
      </c>
      <c r="Q441" s="315">
        <f t="shared" si="44"/>
        <v>0</v>
      </c>
      <c r="R441" s="315">
        <f t="shared" si="44"/>
        <v>0</v>
      </c>
      <c r="S441" s="315">
        <f t="shared" si="44"/>
        <v>0</v>
      </c>
      <c r="T441" s="315">
        <f t="shared" si="44"/>
        <v>0</v>
      </c>
      <c r="U441" s="315">
        <f t="shared" si="44"/>
        <v>0</v>
      </c>
      <c r="V441" s="315">
        <f t="shared" si="44"/>
        <v>0</v>
      </c>
      <c r="W441" s="315">
        <f t="shared" si="46"/>
        <v>0</v>
      </c>
      <c r="X441" s="315">
        <f t="shared" si="46"/>
        <v>0</v>
      </c>
      <c r="Y441" s="315">
        <f t="shared" si="46"/>
        <v>0</v>
      </c>
      <c r="Z441" s="315">
        <f t="shared" si="46"/>
        <v>0</v>
      </c>
      <c r="AA441" s="315">
        <f t="shared" si="46"/>
        <v>0</v>
      </c>
      <c r="AB441" s="315">
        <f t="shared" si="46"/>
        <v>0</v>
      </c>
      <c r="AC441" s="315">
        <f t="shared" si="46"/>
        <v>0</v>
      </c>
      <c r="AD441" s="315">
        <f t="shared" si="46"/>
        <v>0</v>
      </c>
      <c r="AE441" s="315">
        <f t="shared" si="46"/>
        <v>0</v>
      </c>
      <c r="AF441" s="315">
        <f t="shared" si="46"/>
        <v>0</v>
      </c>
      <c r="AG441" s="315">
        <f t="shared" si="46"/>
        <v>0</v>
      </c>
      <c r="AH441" s="315">
        <f t="shared" si="46"/>
        <v>0</v>
      </c>
      <c r="AI441" s="315">
        <f t="shared" si="46"/>
        <v>0</v>
      </c>
      <c r="AJ441" s="315">
        <f t="shared" si="46"/>
        <v>0</v>
      </c>
      <c r="AK441" s="315">
        <f t="shared" si="46"/>
        <v>0</v>
      </c>
      <c r="AL441" s="315">
        <f t="shared" si="46"/>
        <v>0</v>
      </c>
      <c r="AM441" s="315">
        <f t="shared" si="49"/>
        <v>0</v>
      </c>
      <c r="AN441" s="315">
        <f t="shared" si="49"/>
        <v>0</v>
      </c>
      <c r="AO441" s="315">
        <f t="shared" si="49"/>
        <v>0</v>
      </c>
      <c r="AP441" s="315">
        <f t="shared" si="49"/>
        <v>0</v>
      </c>
      <c r="AQ441" s="315">
        <f t="shared" si="49"/>
        <v>0</v>
      </c>
      <c r="AR441" s="315">
        <f t="shared" si="49"/>
        <v>0</v>
      </c>
      <c r="AS441" s="315">
        <f t="shared" si="49"/>
        <v>0</v>
      </c>
      <c r="AT441" s="315">
        <f t="shared" si="49"/>
        <v>0</v>
      </c>
      <c r="AU441" s="315">
        <f t="shared" si="49"/>
        <v>0</v>
      </c>
      <c r="AV441" s="315">
        <f t="shared" si="49"/>
        <v>0</v>
      </c>
      <c r="AW441" s="315">
        <f t="shared" si="49"/>
        <v>0</v>
      </c>
      <c r="AX441" s="315">
        <f t="shared" si="49"/>
        <v>0</v>
      </c>
      <c r="AY441" s="315">
        <f t="shared" si="49"/>
        <v>0</v>
      </c>
      <c r="AZ441" s="315">
        <f t="shared" si="49"/>
        <v>0</v>
      </c>
      <c r="BA441" s="315">
        <f t="shared" si="49"/>
        <v>0</v>
      </c>
      <c r="BB441" s="315">
        <f t="shared" si="49"/>
        <v>0</v>
      </c>
      <c r="BC441" s="315">
        <f t="shared" si="48"/>
        <v>0</v>
      </c>
      <c r="BD441" s="315">
        <f t="shared" si="48"/>
        <v>0</v>
      </c>
      <c r="BE441" s="315">
        <f t="shared" si="48"/>
        <v>0</v>
      </c>
      <c r="BF441" s="315">
        <f t="shared" si="48"/>
        <v>0</v>
      </c>
      <c r="BG441" s="315">
        <f t="shared" si="48"/>
        <v>0</v>
      </c>
      <c r="BH441" s="315">
        <f t="shared" si="48"/>
        <v>0</v>
      </c>
      <c r="BI441" s="315">
        <f t="shared" si="48"/>
        <v>0</v>
      </c>
      <c r="BJ441" s="315">
        <f t="shared" si="48"/>
        <v>0</v>
      </c>
      <c r="BK441" s="315">
        <f t="shared" si="48"/>
        <v>0</v>
      </c>
      <c r="BL441" s="315">
        <f t="shared" si="48"/>
        <v>0</v>
      </c>
      <c r="BM441" s="315">
        <f t="shared" si="48"/>
        <v>0</v>
      </c>
      <c r="BN441" s="315">
        <f t="shared" si="48"/>
        <v>0</v>
      </c>
      <c r="BO441" s="315">
        <f t="shared" si="48"/>
        <v>0</v>
      </c>
      <c r="BP441" s="315">
        <f t="shared" si="48"/>
        <v>0</v>
      </c>
      <c r="BQ441" s="315">
        <f t="shared" si="48"/>
        <v>0</v>
      </c>
      <c r="BR441" s="315">
        <f t="shared" si="48"/>
        <v>0</v>
      </c>
      <c r="BS441" s="315">
        <f t="shared" si="50"/>
        <v>0</v>
      </c>
      <c r="BT441" s="315">
        <f t="shared" si="50"/>
        <v>0</v>
      </c>
      <c r="BU441" s="315">
        <f t="shared" si="50"/>
        <v>0</v>
      </c>
      <c r="BV441" s="315">
        <f t="shared" si="50"/>
        <v>0</v>
      </c>
      <c r="BW441" s="315">
        <f t="shared" si="50"/>
        <v>0</v>
      </c>
      <c r="BX441" s="315">
        <f t="shared" si="50"/>
        <v>0</v>
      </c>
      <c r="BZ441" s="315">
        <f t="shared" si="47"/>
        <v>0</v>
      </c>
      <c r="CA441" s="315">
        <f t="shared" si="47"/>
        <v>0</v>
      </c>
    </row>
    <row r="442" spans="7:79" hidden="1" x14ac:dyDescent="0.2">
      <c r="G442" s="315">
        <f t="shared" si="44"/>
        <v>-1643715</v>
      </c>
      <c r="H442" s="315">
        <f t="shared" si="44"/>
        <v>0</v>
      </c>
      <c r="I442" s="315">
        <f t="shared" si="44"/>
        <v>0</v>
      </c>
      <c r="J442" s="315">
        <f t="shared" si="44"/>
        <v>0</v>
      </c>
      <c r="K442" s="315">
        <f t="shared" si="44"/>
        <v>0</v>
      </c>
      <c r="L442" s="315">
        <f t="shared" si="44"/>
        <v>-23235</v>
      </c>
      <c r="M442" s="315">
        <f t="shared" si="44"/>
        <v>0</v>
      </c>
      <c r="N442" s="315">
        <f t="shared" si="44"/>
        <v>0</v>
      </c>
      <c r="O442" s="315">
        <f t="shared" si="44"/>
        <v>0</v>
      </c>
      <c r="P442" s="315">
        <f t="shared" si="44"/>
        <v>0</v>
      </c>
      <c r="Q442" s="315">
        <f t="shared" si="44"/>
        <v>300586</v>
      </c>
      <c r="R442" s="315">
        <f t="shared" si="44"/>
        <v>0</v>
      </c>
      <c r="S442" s="315">
        <f t="shared" si="44"/>
        <v>0</v>
      </c>
      <c r="T442" s="315">
        <f t="shared" si="44"/>
        <v>0</v>
      </c>
      <c r="U442" s="315">
        <f t="shared" si="44"/>
        <v>0</v>
      </c>
      <c r="V442" s="315">
        <f t="shared" si="44"/>
        <v>208399</v>
      </c>
      <c r="W442" s="315">
        <f t="shared" si="46"/>
        <v>0</v>
      </c>
      <c r="X442" s="315">
        <f t="shared" si="46"/>
        <v>0</v>
      </c>
      <c r="Y442" s="315">
        <f t="shared" si="46"/>
        <v>0</v>
      </c>
      <c r="Z442" s="315">
        <f t="shared" si="46"/>
        <v>0</v>
      </c>
      <c r="AA442" s="315">
        <f t="shared" si="46"/>
        <v>-458346</v>
      </c>
      <c r="AB442" s="315">
        <f t="shared" si="46"/>
        <v>0</v>
      </c>
      <c r="AC442" s="315">
        <f t="shared" si="46"/>
        <v>0</v>
      </c>
      <c r="AD442" s="315">
        <f t="shared" si="46"/>
        <v>0</v>
      </c>
      <c r="AE442" s="315">
        <f t="shared" si="46"/>
        <v>0</v>
      </c>
      <c r="AF442" s="315">
        <f t="shared" si="46"/>
        <v>7486</v>
      </c>
      <c r="AG442" s="315">
        <f t="shared" si="46"/>
        <v>0</v>
      </c>
      <c r="AH442" s="315">
        <f t="shared" si="46"/>
        <v>0</v>
      </c>
      <c r="AI442" s="315">
        <f t="shared" si="46"/>
        <v>0</v>
      </c>
      <c r="AJ442" s="315">
        <f t="shared" si="46"/>
        <v>0</v>
      </c>
      <c r="AK442" s="315">
        <f t="shared" si="46"/>
        <v>-43294</v>
      </c>
      <c r="AL442" s="315">
        <f t="shared" si="46"/>
        <v>0</v>
      </c>
      <c r="AM442" s="315">
        <f t="shared" si="49"/>
        <v>0</v>
      </c>
      <c r="AN442" s="315">
        <f t="shared" si="49"/>
        <v>0</v>
      </c>
      <c r="AO442" s="315">
        <f t="shared" si="49"/>
        <v>0</v>
      </c>
      <c r="AP442" s="315">
        <f t="shared" si="49"/>
        <v>228186</v>
      </c>
      <c r="AQ442" s="315">
        <f t="shared" si="49"/>
        <v>0</v>
      </c>
      <c r="AR442" s="315">
        <f t="shared" si="49"/>
        <v>0</v>
      </c>
      <c r="AS442" s="315">
        <f t="shared" si="49"/>
        <v>0</v>
      </c>
      <c r="AT442" s="315">
        <f t="shared" si="49"/>
        <v>0</v>
      </c>
      <c r="AU442" s="315">
        <f t="shared" si="49"/>
        <v>-75634</v>
      </c>
      <c r="AV442" s="315">
        <f t="shared" si="49"/>
        <v>0</v>
      </c>
      <c r="AW442" s="315">
        <f t="shared" si="49"/>
        <v>0</v>
      </c>
      <c r="AX442" s="315">
        <f t="shared" si="49"/>
        <v>0</v>
      </c>
      <c r="AY442" s="315">
        <f t="shared" si="49"/>
        <v>0</v>
      </c>
      <c r="AZ442" s="315">
        <f t="shared" si="49"/>
        <v>-3910</v>
      </c>
      <c r="BA442" s="315">
        <f t="shared" si="49"/>
        <v>0</v>
      </c>
      <c r="BB442" s="315">
        <f t="shared" si="49"/>
        <v>0</v>
      </c>
      <c r="BC442" s="315">
        <f t="shared" si="48"/>
        <v>0</v>
      </c>
      <c r="BD442" s="315">
        <f t="shared" si="48"/>
        <v>0</v>
      </c>
      <c r="BE442" s="315">
        <f t="shared" si="48"/>
        <v>0</v>
      </c>
      <c r="BF442" s="315">
        <f t="shared" si="48"/>
        <v>0</v>
      </c>
      <c r="BG442" s="315">
        <f t="shared" si="48"/>
        <v>0</v>
      </c>
      <c r="BH442" s="315">
        <f t="shared" si="48"/>
        <v>0</v>
      </c>
      <c r="BI442" s="315">
        <f t="shared" si="48"/>
        <v>0</v>
      </c>
      <c r="BJ442" s="315">
        <f t="shared" si="48"/>
        <v>-363808</v>
      </c>
      <c r="BK442" s="315">
        <f t="shared" si="48"/>
        <v>0</v>
      </c>
      <c r="BL442" s="315">
        <f t="shared" si="48"/>
        <v>0</v>
      </c>
      <c r="BM442" s="315">
        <f t="shared" si="48"/>
        <v>0</v>
      </c>
      <c r="BN442" s="315">
        <f t="shared" si="48"/>
        <v>0</v>
      </c>
      <c r="BO442" s="315">
        <f t="shared" si="48"/>
        <v>-151292</v>
      </c>
      <c r="BP442" s="315">
        <f t="shared" si="48"/>
        <v>0</v>
      </c>
      <c r="BQ442" s="315">
        <f t="shared" si="48"/>
        <v>0</v>
      </c>
      <c r="BR442" s="315">
        <f t="shared" si="48"/>
        <v>0</v>
      </c>
      <c r="BS442" s="315">
        <f t="shared" si="50"/>
        <v>0</v>
      </c>
      <c r="BT442" s="315">
        <f t="shared" si="50"/>
        <v>219782</v>
      </c>
      <c r="BU442" s="315">
        <f t="shared" si="50"/>
        <v>0</v>
      </c>
      <c r="BV442" s="315">
        <f t="shared" si="50"/>
        <v>0</v>
      </c>
      <c r="BW442" s="315">
        <f t="shared" si="50"/>
        <v>0</v>
      </c>
      <c r="BX442" s="315">
        <f t="shared" si="50"/>
        <v>0</v>
      </c>
      <c r="BZ442" s="315">
        <f t="shared" si="47"/>
        <v>0</v>
      </c>
      <c r="CA442" s="315">
        <f t="shared" si="47"/>
        <v>0</v>
      </c>
    </row>
    <row r="443" spans="7:79" hidden="1" x14ac:dyDescent="0.2">
      <c r="G443" s="315">
        <f t="shared" si="44"/>
        <v>0</v>
      </c>
      <c r="H443" s="315">
        <f t="shared" si="44"/>
        <v>0</v>
      </c>
      <c r="I443" s="315">
        <f t="shared" si="44"/>
        <v>0</v>
      </c>
      <c r="J443" s="315">
        <f t="shared" si="44"/>
        <v>0</v>
      </c>
      <c r="K443" s="315">
        <f t="shared" si="44"/>
        <v>0</v>
      </c>
      <c r="L443" s="315">
        <f t="shared" si="44"/>
        <v>0</v>
      </c>
      <c r="M443" s="315">
        <f t="shared" si="44"/>
        <v>0</v>
      </c>
      <c r="N443" s="315">
        <f t="shared" si="44"/>
        <v>0</v>
      </c>
      <c r="O443" s="315">
        <f t="shared" si="44"/>
        <v>0</v>
      </c>
      <c r="P443" s="315">
        <f t="shared" si="44"/>
        <v>0</v>
      </c>
      <c r="Q443" s="315">
        <f t="shared" si="44"/>
        <v>0</v>
      </c>
      <c r="R443" s="315">
        <f t="shared" si="44"/>
        <v>0</v>
      </c>
      <c r="S443" s="315">
        <f t="shared" si="44"/>
        <v>0</v>
      </c>
      <c r="T443" s="315">
        <f t="shared" si="44"/>
        <v>0</v>
      </c>
      <c r="U443" s="315">
        <f t="shared" si="44"/>
        <v>0</v>
      </c>
      <c r="V443" s="315">
        <f t="shared" si="44"/>
        <v>0</v>
      </c>
      <c r="W443" s="315">
        <f t="shared" si="46"/>
        <v>0</v>
      </c>
      <c r="X443" s="315">
        <f t="shared" si="46"/>
        <v>0</v>
      </c>
      <c r="Y443" s="315">
        <f t="shared" si="46"/>
        <v>0</v>
      </c>
      <c r="Z443" s="315">
        <f t="shared" si="46"/>
        <v>0</v>
      </c>
      <c r="AA443" s="315">
        <f t="shared" si="46"/>
        <v>0</v>
      </c>
      <c r="AB443" s="315">
        <f t="shared" si="46"/>
        <v>0</v>
      </c>
      <c r="AC443" s="315">
        <f t="shared" si="46"/>
        <v>0</v>
      </c>
      <c r="AD443" s="315">
        <f t="shared" si="46"/>
        <v>0</v>
      </c>
      <c r="AE443" s="315">
        <f t="shared" si="46"/>
        <v>0</v>
      </c>
      <c r="AF443" s="315">
        <f t="shared" si="46"/>
        <v>0</v>
      </c>
      <c r="AG443" s="315">
        <f t="shared" si="46"/>
        <v>0</v>
      </c>
      <c r="AH443" s="315">
        <f t="shared" si="46"/>
        <v>0</v>
      </c>
      <c r="AI443" s="315">
        <f t="shared" si="46"/>
        <v>0</v>
      </c>
      <c r="AJ443" s="315">
        <f t="shared" si="46"/>
        <v>0</v>
      </c>
      <c r="AK443" s="315">
        <f t="shared" si="46"/>
        <v>0</v>
      </c>
      <c r="AL443" s="315">
        <f t="shared" si="46"/>
        <v>0</v>
      </c>
      <c r="AM443" s="315">
        <f t="shared" si="49"/>
        <v>0</v>
      </c>
      <c r="AN443" s="315">
        <f t="shared" si="49"/>
        <v>0</v>
      </c>
      <c r="AO443" s="315">
        <f t="shared" si="49"/>
        <v>0</v>
      </c>
      <c r="AP443" s="315">
        <f t="shared" si="49"/>
        <v>0</v>
      </c>
      <c r="AQ443" s="315">
        <f t="shared" si="49"/>
        <v>0</v>
      </c>
      <c r="AR443" s="315">
        <f t="shared" si="49"/>
        <v>0</v>
      </c>
      <c r="AS443" s="315">
        <f t="shared" si="49"/>
        <v>0</v>
      </c>
      <c r="AT443" s="315">
        <f t="shared" si="49"/>
        <v>0</v>
      </c>
      <c r="AU443" s="315">
        <f t="shared" si="49"/>
        <v>0</v>
      </c>
      <c r="AV443" s="315">
        <f t="shared" si="49"/>
        <v>0</v>
      </c>
      <c r="AW443" s="315">
        <f t="shared" si="49"/>
        <v>0</v>
      </c>
      <c r="AX443" s="315">
        <f t="shared" si="49"/>
        <v>0</v>
      </c>
      <c r="AY443" s="315">
        <f t="shared" si="49"/>
        <v>0</v>
      </c>
      <c r="AZ443" s="315">
        <f t="shared" si="49"/>
        <v>0</v>
      </c>
      <c r="BA443" s="315">
        <f t="shared" si="49"/>
        <v>0</v>
      </c>
      <c r="BB443" s="315">
        <f t="shared" si="49"/>
        <v>0</v>
      </c>
      <c r="BC443" s="315">
        <f t="shared" si="48"/>
        <v>0</v>
      </c>
      <c r="BD443" s="315">
        <f t="shared" si="48"/>
        <v>0</v>
      </c>
      <c r="BE443" s="315">
        <f t="shared" si="48"/>
        <v>0</v>
      </c>
      <c r="BF443" s="315">
        <f t="shared" si="48"/>
        <v>0</v>
      </c>
      <c r="BG443" s="315">
        <f t="shared" si="48"/>
        <v>0</v>
      </c>
      <c r="BH443" s="315">
        <f t="shared" si="48"/>
        <v>0</v>
      </c>
      <c r="BI443" s="315">
        <f t="shared" si="48"/>
        <v>0</v>
      </c>
      <c r="BJ443" s="315">
        <f t="shared" si="48"/>
        <v>0</v>
      </c>
      <c r="BK443" s="315">
        <f t="shared" si="48"/>
        <v>0</v>
      </c>
      <c r="BL443" s="315">
        <f t="shared" si="48"/>
        <v>0</v>
      </c>
      <c r="BM443" s="315">
        <f t="shared" si="48"/>
        <v>0</v>
      </c>
      <c r="BN443" s="315">
        <f t="shared" si="48"/>
        <v>0</v>
      </c>
      <c r="BO443" s="315">
        <f t="shared" si="48"/>
        <v>0</v>
      </c>
      <c r="BP443" s="315">
        <f t="shared" si="48"/>
        <v>0</v>
      </c>
      <c r="BQ443" s="315">
        <f t="shared" si="48"/>
        <v>0</v>
      </c>
      <c r="BR443" s="315">
        <f t="shared" si="48"/>
        <v>0</v>
      </c>
      <c r="BS443" s="315">
        <f t="shared" si="50"/>
        <v>0</v>
      </c>
      <c r="BT443" s="315">
        <f t="shared" si="50"/>
        <v>0</v>
      </c>
      <c r="BU443" s="315">
        <f t="shared" si="50"/>
        <v>0</v>
      </c>
      <c r="BV443" s="315">
        <f t="shared" si="50"/>
        <v>0</v>
      </c>
      <c r="BW443" s="315">
        <f t="shared" si="50"/>
        <v>0</v>
      </c>
      <c r="BX443" s="315">
        <f t="shared" si="50"/>
        <v>0</v>
      </c>
      <c r="BZ443" s="315">
        <f t="shared" si="47"/>
        <v>0</v>
      </c>
      <c r="CA443" s="315">
        <f t="shared" si="47"/>
        <v>0</v>
      </c>
    </row>
    <row r="444" spans="7:79" hidden="1" x14ac:dyDescent="0.2">
      <c r="G444" s="315">
        <f t="shared" ref="G444:V452" si="51">G51-BY51</f>
        <v>-7353693</v>
      </c>
      <c r="H444" s="315">
        <f t="shared" si="51"/>
        <v>0</v>
      </c>
      <c r="I444" s="315">
        <f t="shared" si="51"/>
        <v>0</v>
      </c>
      <c r="J444" s="315">
        <f t="shared" si="51"/>
        <v>0</v>
      </c>
      <c r="K444" s="315">
        <f t="shared" si="51"/>
        <v>0</v>
      </c>
      <c r="L444" s="315">
        <f t="shared" si="51"/>
        <v>2990713</v>
      </c>
      <c r="M444" s="315">
        <f t="shared" si="51"/>
        <v>0</v>
      </c>
      <c r="N444" s="315">
        <f t="shared" si="51"/>
        <v>0</v>
      </c>
      <c r="O444" s="315">
        <f t="shared" si="51"/>
        <v>0</v>
      </c>
      <c r="P444" s="315">
        <f t="shared" si="51"/>
        <v>0</v>
      </c>
      <c r="Q444" s="315">
        <f t="shared" si="51"/>
        <v>1346170</v>
      </c>
      <c r="R444" s="315">
        <f t="shared" si="51"/>
        <v>0</v>
      </c>
      <c r="S444" s="315">
        <f t="shared" si="51"/>
        <v>0</v>
      </c>
      <c r="T444" s="315">
        <f t="shared" si="51"/>
        <v>0</v>
      </c>
      <c r="U444" s="315">
        <f t="shared" si="51"/>
        <v>0</v>
      </c>
      <c r="V444" s="315">
        <f t="shared" si="51"/>
        <v>54641</v>
      </c>
      <c r="W444" s="315">
        <f t="shared" si="46"/>
        <v>0</v>
      </c>
      <c r="X444" s="315">
        <f t="shared" si="46"/>
        <v>0</v>
      </c>
      <c r="Y444" s="315">
        <f t="shared" si="46"/>
        <v>0</v>
      </c>
      <c r="Z444" s="315">
        <f t="shared" si="46"/>
        <v>0</v>
      </c>
      <c r="AA444" s="315">
        <f t="shared" si="46"/>
        <v>1295886</v>
      </c>
      <c r="AB444" s="315">
        <f t="shared" si="46"/>
        <v>0</v>
      </c>
      <c r="AC444" s="315">
        <f t="shared" si="46"/>
        <v>0</v>
      </c>
      <c r="AD444" s="315">
        <f t="shared" si="46"/>
        <v>0</v>
      </c>
      <c r="AE444" s="315">
        <f t="shared" si="46"/>
        <v>0</v>
      </c>
      <c r="AF444" s="315">
        <f t="shared" si="46"/>
        <v>898425</v>
      </c>
      <c r="AG444" s="315">
        <f t="shared" si="46"/>
        <v>0</v>
      </c>
      <c r="AH444" s="315">
        <f t="shared" si="46"/>
        <v>0</v>
      </c>
      <c r="AI444" s="315">
        <f t="shared" si="46"/>
        <v>0</v>
      </c>
      <c r="AJ444" s="315">
        <f t="shared" si="46"/>
        <v>0</v>
      </c>
      <c r="AK444" s="315">
        <f t="shared" si="46"/>
        <v>3712986</v>
      </c>
      <c r="AL444" s="315">
        <f t="shared" si="46"/>
        <v>0</v>
      </c>
      <c r="AM444" s="315">
        <f t="shared" si="49"/>
        <v>0</v>
      </c>
      <c r="AN444" s="315">
        <f t="shared" si="49"/>
        <v>0</v>
      </c>
      <c r="AO444" s="315">
        <f t="shared" si="49"/>
        <v>0</v>
      </c>
      <c r="AP444" s="315">
        <f t="shared" si="49"/>
        <v>-1083061</v>
      </c>
      <c r="AQ444" s="315">
        <f t="shared" si="49"/>
        <v>0</v>
      </c>
      <c r="AR444" s="315">
        <f t="shared" si="49"/>
        <v>0</v>
      </c>
      <c r="AS444" s="315">
        <f t="shared" si="49"/>
        <v>0</v>
      </c>
      <c r="AT444" s="315">
        <f t="shared" si="49"/>
        <v>0</v>
      </c>
      <c r="AU444" s="315">
        <f t="shared" si="49"/>
        <v>-488882</v>
      </c>
      <c r="AV444" s="315">
        <f t="shared" si="49"/>
        <v>0</v>
      </c>
      <c r="AW444" s="315">
        <f t="shared" si="49"/>
        <v>0</v>
      </c>
      <c r="AX444" s="315">
        <f t="shared" si="49"/>
        <v>0</v>
      </c>
      <c r="AY444" s="315">
        <f t="shared" si="49"/>
        <v>0</v>
      </c>
      <c r="AZ444" s="315">
        <f t="shared" si="49"/>
        <v>-1102190</v>
      </c>
      <c r="BA444" s="315">
        <f t="shared" si="49"/>
        <v>0</v>
      </c>
      <c r="BB444" s="315">
        <f t="shared" si="49"/>
        <v>0</v>
      </c>
      <c r="BC444" s="315">
        <f t="shared" si="48"/>
        <v>0</v>
      </c>
      <c r="BD444" s="315">
        <f t="shared" si="48"/>
        <v>0</v>
      </c>
      <c r="BE444" s="315">
        <f t="shared" si="48"/>
        <v>-424474</v>
      </c>
      <c r="BF444" s="315">
        <f t="shared" si="48"/>
        <v>0</v>
      </c>
      <c r="BG444" s="315">
        <f t="shared" si="48"/>
        <v>0</v>
      </c>
      <c r="BH444" s="315">
        <f t="shared" si="48"/>
        <v>0</v>
      </c>
      <c r="BI444" s="315">
        <f t="shared" si="48"/>
        <v>0</v>
      </c>
      <c r="BJ444" s="315">
        <f t="shared" si="48"/>
        <v>-500071</v>
      </c>
      <c r="BK444" s="315">
        <f t="shared" si="48"/>
        <v>0</v>
      </c>
      <c r="BL444" s="315">
        <f t="shared" si="48"/>
        <v>0</v>
      </c>
      <c r="BM444" s="315">
        <f t="shared" si="48"/>
        <v>0</v>
      </c>
      <c r="BN444" s="315">
        <f t="shared" si="48"/>
        <v>0</v>
      </c>
      <c r="BO444" s="315">
        <f t="shared" si="48"/>
        <v>-61120</v>
      </c>
      <c r="BP444" s="315">
        <f t="shared" si="48"/>
        <v>0</v>
      </c>
      <c r="BQ444" s="315">
        <f t="shared" si="48"/>
        <v>0</v>
      </c>
      <c r="BR444" s="315">
        <f t="shared" si="48"/>
        <v>0</v>
      </c>
      <c r="BS444" s="315">
        <f t="shared" si="50"/>
        <v>0</v>
      </c>
      <c r="BT444" s="315">
        <f t="shared" si="50"/>
        <v>9215760</v>
      </c>
      <c r="BU444" s="315">
        <f t="shared" si="50"/>
        <v>0</v>
      </c>
      <c r="BV444" s="315">
        <f t="shared" si="50"/>
        <v>0</v>
      </c>
      <c r="BW444" s="315">
        <f t="shared" si="50"/>
        <v>0</v>
      </c>
      <c r="BX444" s="315">
        <f t="shared" si="50"/>
        <v>0</v>
      </c>
      <c r="BZ444" s="315">
        <f t="shared" si="47"/>
        <v>0</v>
      </c>
      <c r="CA444" s="315">
        <f t="shared" si="47"/>
        <v>0</v>
      </c>
    </row>
    <row r="445" spans="7:79" hidden="1" x14ac:dyDescent="0.2">
      <c r="G445" s="315">
        <f t="shared" si="51"/>
        <v>-4155684</v>
      </c>
      <c r="H445" s="315">
        <f t="shared" si="51"/>
        <v>0</v>
      </c>
      <c r="I445" s="315">
        <f t="shared" si="51"/>
        <v>0</v>
      </c>
      <c r="J445" s="315">
        <f t="shared" si="51"/>
        <v>0</v>
      </c>
      <c r="K445" s="315">
        <f t="shared" si="51"/>
        <v>0</v>
      </c>
      <c r="L445" s="315">
        <f t="shared" si="51"/>
        <v>1650361</v>
      </c>
      <c r="M445" s="315">
        <f t="shared" si="51"/>
        <v>0</v>
      </c>
      <c r="N445" s="315">
        <f t="shared" si="51"/>
        <v>0</v>
      </c>
      <c r="O445" s="315">
        <f t="shared" si="51"/>
        <v>0</v>
      </c>
      <c r="P445" s="315">
        <f t="shared" si="51"/>
        <v>0</v>
      </c>
      <c r="Q445" s="315">
        <f t="shared" si="51"/>
        <v>731903</v>
      </c>
      <c r="R445" s="315">
        <f t="shared" si="51"/>
        <v>0</v>
      </c>
      <c r="S445" s="315">
        <f t="shared" si="51"/>
        <v>0</v>
      </c>
      <c r="T445" s="315">
        <f t="shared" si="51"/>
        <v>0</v>
      </c>
      <c r="U445" s="315">
        <f t="shared" si="51"/>
        <v>0</v>
      </c>
      <c r="V445" s="315">
        <f t="shared" si="51"/>
        <v>-17760</v>
      </c>
      <c r="W445" s="315">
        <f t="shared" si="46"/>
        <v>0</v>
      </c>
      <c r="X445" s="315">
        <f t="shared" si="46"/>
        <v>0</v>
      </c>
      <c r="Y445" s="315">
        <f t="shared" si="46"/>
        <v>0</v>
      </c>
      <c r="Z445" s="315">
        <f t="shared" si="46"/>
        <v>0</v>
      </c>
      <c r="AA445" s="315">
        <f t="shared" si="46"/>
        <v>661948</v>
      </c>
      <c r="AB445" s="315">
        <f t="shared" si="46"/>
        <v>0</v>
      </c>
      <c r="AC445" s="315">
        <f t="shared" si="46"/>
        <v>0</v>
      </c>
      <c r="AD445" s="315">
        <f t="shared" si="46"/>
        <v>0</v>
      </c>
      <c r="AE445" s="315">
        <f t="shared" si="46"/>
        <v>0</v>
      </c>
      <c r="AF445" s="315">
        <f t="shared" si="46"/>
        <v>450524</v>
      </c>
      <c r="AG445" s="315">
        <f t="shared" si="46"/>
        <v>0</v>
      </c>
      <c r="AH445" s="315">
        <f t="shared" si="46"/>
        <v>0</v>
      </c>
      <c r="AI445" s="315">
        <f t="shared" si="46"/>
        <v>0</v>
      </c>
      <c r="AJ445" s="315">
        <f t="shared" si="46"/>
        <v>0</v>
      </c>
      <c r="AK445" s="315">
        <f t="shared" si="46"/>
        <v>1853608</v>
      </c>
      <c r="AL445" s="315">
        <f t="shared" si="46"/>
        <v>0</v>
      </c>
      <c r="AM445" s="315">
        <f t="shared" si="49"/>
        <v>0</v>
      </c>
      <c r="AN445" s="315">
        <f t="shared" si="49"/>
        <v>0</v>
      </c>
      <c r="AO445" s="315">
        <f t="shared" si="49"/>
        <v>0</v>
      </c>
      <c r="AP445" s="315">
        <f t="shared" si="49"/>
        <v>-652082</v>
      </c>
      <c r="AQ445" s="315">
        <f t="shared" si="49"/>
        <v>0</v>
      </c>
      <c r="AR445" s="315">
        <f t="shared" si="49"/>
        <v>0</v>
      </c>
      <c r="AS445" s="315">
        <f t="shared" si="49"/>
        <v>0</v>
      </c>
      <c r="AT445" s="315">
        <f t="shared" si="49"/>
        <v>0</v>
      </c>
      <c r="AU445" s="315">
        <f t="shared" si="49"/>
        <v>-272119</v>
      </c>
      <c r="AV445" s="315">
        <f t="shared" si="49"/>
        <v>0</v>
      </c>
      <c r="AW445" s="315">
        <f t="shared" si="49"/>
        <v>0</v>
      </c>
      <c r="AX445" s="315">
        <f t="shared" si="49"/>
        <v>0</v>
      </c>
      <c r="AY445" s="315">
        <f t="shared" si="49"/>
        <v>0</v>
      </c>
      <c r="AZ445" s="315">
        <f t="shared" si="49"/>
        <v>-607436</v>
      </c>
      <c r="BA445" s="315">
        <f t="shared" si="49"/>
        <v>0</v>
      </c>
      <c r="BB445" s="315">
        <f t="shared" si="49"/>
        <v>0</v>
      </c>
      <c r="BC445" s="315">
        <f t="shared" si="48"/>
        <v>0</v>
      </c>
      <c r="BD445" s="315">
        <f t="shared" si="48"/>
        <v>0</v>
      </c>
      <c r="BE445" s="315">
        <f t="shared" si="48"/>
        <v>-240732</v>
      </c>
      <c r="BF445" s="315">
        <f t="shared" si="48"/>
        <v>0</v>
      </c>
      <c r="BG445" s="315">
        <f t="shared" si="48"/>
        <v>0</v>
      </c>
      <c r="BH445" s="315">
        <f t="shared" si="48"/>
        <v>0</v>
      </c>
      <c r="BI445" s="315">
        <f t="shared" si="48"/>
        <v>0</v>
      </c>
      <c r="BJ445" s="315">
        <f t="shared" si="48"/>
        <v>-281404</v>
      </c>
      <c r="BK445" s="315">
        <f t="shared" si="48"/>
        <v>0</v>
      </c>
      <c r="BL445" s="315">
        <f t="shared" si="48"/>
        <v>0</v>
      </c>
      <c r="BM445" s="315">
        <f t="shared" si="48"/>
        <v>0</v>
      </c>
      <c r="BN445" s="315">
        <f t="shared" si="48"/>
        <v>0</v>
      </c>
      <c r="BO445" s="315">
        <f t="shared" si="48"/>
        <v>-34277</v>
      </c>
      <c r="BP445" s="315">
        <f t="shared" si="48"/>
        <v>0</v>
      </c>
      <c r="BQ445" s="315">
        <f t="shared" si="48"/>
        <v>0</v>
      </c>
      <c r="BR445" s="315">
        <f t="shared" si="48"/>
        <v>0</v>
      </c>
      <c r="BS445" s="315">
        <f t="shared" si="50"/>
        <v>0</v>
      </c>
      <c r="BT445" s="315">
        <f t="shared" si="50"/>
        <v>4678502</v>
      </c>
      <c r="BU445" s="315">
        <f t="shared" si="50"/>
        <v>0</v>
      </c>
      <c r="BV445" s="315">
        <f t="shared" si="50"/>
        <v>0</v>
      </c>
      <c r="BW445" s="315">
        <f t="shared" si="50"/>
        <v>0</v>
      </c>
      <c r="BX445" s="315">
        <f t="shared" si="50"/>
        <v>0</v>
      </c>
      <c r="BZ445" s="315">
        <f t="shared" si="47"/>
        <v>0</v>
      </c>
      <c r="CA445" s="315">
        <f t="shared" si="47"/>
        <v>0</v>
      </c>
    </row>
    <row r="446" spans="7:79" hidden="1" x14ac:dyDescent="0.2">
      <c r="G446" s="315">
        <f t="shared" si="51"/>
        <v>-1384316</v>
      </c>
      <c r="H446" s="315">
        <f t="shared" si="51"/>
        <v>0</v>
      </c>
      <c r="I446" s="315">
        <f t="shared" si="51"/>
        <v>0</v>
      </c>
      <c r="J446" s="315">
        <f t="shared" si="51"/>
        <v>0</v>
      </c>
      <c r="K446" s="315">
        <f t="shared" si="51"/>
        <v>0</v>
      </c>
      <c r="L446" s="315">
        <f t="shared" si="51"/>
        <v>539639</v>
      </c>
      <c r="M446" s="315">
        <f t="shared" si="51"/>
        <v>0</v>
      </c>
      <c r="N446" s="315">
        <f t="shared" si="51"/>
        <v>0</v>
      </c>
      <c r="O446" s="315">
        <f t="shared" si="51"/>
        <v>0</v>
      </c>
      <c r="P446" s="315">
        <f t="shared" si="51"/>
        <v>0</v>
      </c>
      <c r="Q446" s="315">
        <f t="shared" si="51"/>
        <v>228097</v>
      </c>
      <c r="R446" s="315">
        <f t="shared" si="51"/>
        <v>0</v>
      </c>
      <c r="S446" s="315">
        <f t="shared" si="51"/>
        <v>0</v>
      </c>
      <c r="T446" s="315">
        <f t="shared" si="51"/>
        <v>0</v>
      </c>
      <c r="U446" s="315">
        <f t="shared" si="51"/>
        <v>0</v>
      </c>
      <c r="V446" s="315">
        <f t="shared" si="51"/>
        <v>7760</v>
      </c>
      <c r="W446" s="315">
        <f t="shared" si="46"/>
        <v>0</v>
      </c>
      <c r="X446" s="315">
        <f t="shared" si="46"/>
        <v>0</v>
      </c>
      <c r="Y446" s="315">
        <f t="shared" si="46"/>
        <v>0</v>
      </c>
      <c r="Z446" s="315">
        <f t="shared" si="46"/>
        <v>0</v>
      </c>
      <c r="AA446" s="315">
        <f t="shared" si="46"/>
        <v>253052</v>
      </c>
      <c r="AB446" s="315">
        <f t="shared" si="46"/>
        <v>0</v>
      </c>
      <c r="AC446" s="315">
        <f t="shared" si="46"/>
        <v>0</v>
      </c>
      <c r="AD446" s="315">
        <f t="shared" si="46"/>
        <v>0</v>
      </c>
      <c r="AE446" s="315">
        <f t="shared" si="46"/>
        <v>0</v>
      </c>
      <c r="AF446" s="315">
        <f t="shared" si="46"/>
        <v>174476</v>
      </c>
      <c r="AG446" s="315">
        <f t="shared" si="46"/>
        <v>0</v>
      </c>
      <c r="AH446" s="315">
        <f t="shared" si="46"/>
        <v>0</v>
      </c>
      <c r="AI446" s="315">
        <f t="shared" si="46"/>
        <v>0</v>
      </c>
      <c r="AJ446" s="315">
        <f t="shared" si="46"/>
        <v>0</v>
      </c>
      <c r="AK446" s="315">
        <f t="shared" si="46"/>
        <v>741392</v>
      </c>
      <c r="AL446" s="315">
        <f t="shared" si="46"/>
        <v>0</v>
      </c>
      <c r="AM446" s="315">
        <f t="shared" si="49"/>
        <v>0</v>
      </c>
      <c r="AN446" s="315">
        <f t="shared" si="49"/>
        <v>0</v>
      </c>
      <c r="AO446" s="315">
        <f t="shared" si="49"/>
        <v>0</v>
      </c>
      <c r="AP446" s="315">
        <f t="shared" si="49"/>
        <v>-192918</v>
      </c>
      <c r="AQ446" s="315">
        <f t="shared" si="49"/>
        <v>0</v>
      </c>
      <c r="AR446" s="315">
        <f t="shared" si="49"/>
        <v>0</v>
      </c>
      <c r="AS446" s="315">
        <f t="shared" si="49"/>
        <v>0</v>
      </c>
      <c r="AT446" s="315">
        <f t="shared" si="49"/>
        <v>0</v>
      </c>
      <c r="AU446" s="315">
        <f t="shared" si="49"/>
        <v>-92881</v>
      </c>
      <c r="AV446" s="315">
        <f t="shared" si="49"/>
        <v>0</v>
      </c>
      <c r="AW446" s="315">
        <f t="shared" si="49"/>
        <v>0</v>
      </c>
      <c r="AX446" s="315">
        <f t="shared" si="49"/>
        <v>0</v>
      </c>
      <c r="AY446" s="315">
        <f t="shared" si="49"/>
        <v>0</v>
      </c>
      <c r="AZ446" s="315">
        <f t="shared" si="49"/>
        <v>-212564</v>
      </c>
      <c r="BA446" s="315">
        <f t="shared" si="49"/>
        <v>0</v>
      </c>
      <c r="BB446" s="315">
        <f t="shared" si="49"/>
        <v>0</v>
      </c>
      <c r="BC446" s="315">
        <f t="shared" si="48"/>
        <v>0</v>
      </c>
      <c r="BD446" s="315">
        <f t="shared" si="48"/>
        <v>0</v>
      </c>
      <c r="BE446" s="315">
        <f t="shared" si="48"/>
        <v>-74268</v>
      </c>
      <c r="BF446" s="315">
        <f t="shared" si="48"/>
        <v>0</v>
      </c>
      <c r="BG446" s="315">
        <f t="shared" si="48"/>
        <v>0</v>
      </c>
      <c r="BH446" s="315">
        <f t="shared" si="48"/>
        <v>0</v>
      </c>
      <c r="BI446" s="315">
        <f t="shared" si="48"/>
        <v>0</v>
      </c>
      <c r="BJ446" s="315">
        <f t="shared" si="48"/>
        <v>-88596</v>
      </c>
      <c r="BK446" s="315">
        <f t="shared" si="48"/>
        <v>0</v>
      </c>
      <c r="BL446" s="315">
        <f t="shared" si="48"/>
        <v>0</v>
      </c>
      <c r="BM446" s="315">
        <f t="shared" si="48"/>
        <v>0</v>
      </c>
      <c r="BN446" s="315">
        <f t="shared" si="48"/>
        <v>0</v>
      </c>
      <c r="BO446" s="315">
        <f t="shared" si="48"/>
        <v>-10723</v>
      </c>
      <c r="BP446" s="315">
        <f t="shared" si="48"/>
        <v>0</v>
      </c>
      <c r="BQ446" s="315">
        <f t="shared" si="48"/>
        <v>0</v>
      </c>
      <c r="BR446" s="315">
        <f t="shared" si="48"/>
        <v>0</v>
      </c>
      <c r="BS446" s="315">
        <f t="shared" si="50"/>
        <v>0</v>
      </c>
      <c r="BT446" s="315">
        <f t="shared" si="50"/>
        <v>1751498</v>
      </c>
      <c r="BU446" s="315">
        <f t="shared" si="50"/>
        <v>0</v>
      </c>
      <c r="BV446" s="315">
        <f t="shared" si="50"/>
        <v>0</v>
      </c>
      <c r="BW446" s="315">
        <f t="shared" si="50"/>
        <v>0</v>
      </c>
      <c r="BX446" s="315">
        <f t="shared" si="50"/>
        <v>0</v>
      </c>
      <c r="BZ446" s="315">
        <f t="shared" si="47"/>
        <v>0</v>
      </c>
      <c r="CA446" s="315">
        <f t="shared" si="47"/>
        <v>0</v>
      </c>
    </row>
    <row r="447" spans="7:79" hidden="1" x14ac:dyDescent="0.2">
      <c r="G447" s="315">
        <f t="shared" si="51"/>
        <v>0</v>
      </c>
      <c r="H447" s="315">
        <f t="shared" si="51"/>
        <v>0</v>
      </c>
      <c r="I447" s="315">
        <f t="shared" si="51"/>
        <v>0</v>
      </c>
      <c r="J447" s="315">
        <f t="shared" si="51"/>
        <v>0</v>
      </c>
      <c r="K447" s="315">
        <f t="shared" si="51"/>
        <v>0</v>
      </c>
      <c r="L447" s="315">
        <f t="shared" si="51"/>
        <v>0</v>
      </c>
      <c r="M447" s="315">
        <f t="shared" si="51"/>
        <v>0</v>
      </c>
      <c r="N447" s="315">
        <f t="shared" si="51"/>
        <v>0</v>
      </c>
      <c r="O447" s="315">
        <f t="shared" si="51"/>
        <v>0</v>
      </c>
      <c r="P447" s="315">
        <f t="shared" si="51"/>
        <v>0</v>
      </c>
      <c r="Q447" s="315">
        <f t="shared" si="51"/>
        <v>0</v>
      </c>
      <c r="R447" s="315">
        <f t="shared" si="51"/>
        <v>0</v>
      </c>
      <c r="S447" s="315">
        <f t="shared" si="51"/>
        <v>0</v>
      </c>
      <c r="T447" s="315">
        <f t="shared" si="51"/>
        <v>0</v>
      </c>
      <c r="U447" s="315">
        <f t="shared" si="51"/>
        <v>0</v>
      </c>
      <c r="V447" s="315">
        <f t="shared" si="51"/>
        <v>0</v>
      </c>
      <c r="W447" s="315">
        <f t="shared" si="46"/>
        <v>0</v>
      </c>
      <c r="X447" s="315">
        <f t="shared" si="46"/>
        <v>0</v>
      </c>
      <c r="Y447" s="315">
        <f t="shared" si="46"/>
        <v>0</v>
      </c>
      <c r="Z447" s="315">
        <f t="shared" si="46"/>
        <v>0</v>
      </c>
      <c r="AA447" s="315">
        <f t="shared" si="46"/>
        <v>0</v>
      </c>
      <c r="AB447" s="315">
        <f t="shared" si="46"/>
        <v>0</v>
      </c>
      <c r="AC447" s="315">
        <f t="shared" si="46"/>
        <v>0</v>
      </c>
      <c r="AD447" s="315">
        <f t="shared" si="46"/>
        <v>0</v>
      </c>
      <c r="AE447" s="315">
        <f t="shared" si="46"/>
        <v>0</v>
      </c>
      <c r="AF447" s="315">
        <f t="shared" si="46"/>
        <v>0</v>
      </c>
      <c r="AG447" s="315">
        <f t="shared" si="46"/>
        <v>0</v>
      </c>
      <c r="AH447" s="315">
        <f t="shared" si="46"/>
        <v>0</v>
      </c>
      <c r="AI447" s="315">
        <f t="shared" si="46"/>
        <v>0</v>
      </c>
      <c r="AJ447" s="315">
        <f t="shared" si="46"/>
        <v>0</v>
      </c>
      <c r="AK447" s="315">
        <f t="shared" si="46"/>
        <v>0</v>
      </c>
      <c r="AL447" s="315">
        <f t="shared" si="46"/>
        <v>0</v>
      </c>
      <c r="AM447" s="315">
        <f t="shared" si="49"/>
        <v>0</v>
      </c>
      <c r="AN447" s="315">
        <f t="shared" si="49"/>
        <v>0</v>
      </c>
      <c r="AO447" s="315">
        <f t="shared" si="49"/>
        <v>0</v>
      </c>
      <c r="AP447" s="315">
        <f t="shared" si="49"/>
        <v>0</v>
      </c>
      <c r="AQ447" s="315">
        <f t="shared" si="49"/>
        <v>0</v>
      </c>
      <c r="AR447" s="315">
        <f t="shared" si="49"/>
        <v>0</v>
      </c>
      <c r="AS447" s="315">
        <f t="shared" si="49"/>
        <v>0</v>
      </c>
      <c r="AT447" s="315">
        <f t="shared" si="49"/>
        <v>0</v>
      </c>
      <c r="AU447" s="315">
        <f t="shared" si="49"/>
        <v>0</v>
      </c>
      <c r="AV447" s="315">
        <f t="shared" si="49"/>
        <v>0</v>
      </c>
      <c r="AW447" s="315">
        <f t="shared" si="49"/>
        <v>0</v>
      </c>
      <c r="AX447" s="315">
        <f t="shared" si="49"/>
        <v>0</v>
      </c>
      <c r="AY447" s="315">
        <f t="shared" si="49"/>
        <v>0</v>
      </c>
      <c r="AZ447" s="315">
        <f t="shared" si="49"/>
        <v>0</v>
      </c>
      <c r="BA447" s="315">
        <f t="shared" si="49"/>
        <v>0</v>
      </c>
      <c r="BB447" s="315">
        <f t="shared" si="49"/>
        <v>0</v>
      </c>
      <c r="BC447" s="315">
        <f t="shared" si="48"/>
        <v>0</v>
      </c>
      <c r="BD447" s="315">
        <f t="shared" si="48"/>
        <v>0</v>
      </c>
      <c r="BE447" s="315">
        <f t="shared" si="48"/>
        <v>0</v>
      </c>
      <c r="BF447" s="315">
        <f t="shared" si="48"/>
        <v>0</v>
      </c>
      <c r="BG447" s="315">
        <f t="shared" si="48"/>
        <v>0</v>
      </c>
      <c r="BH447" s="315">
        <f t="shared" si="48"/>
        <v>0</v>
      </c>
      <c r="BI447" s="315">
        <f t="shared" si="48"/>
        <v>0</v>
      </c>
      <c r="BJ447" s="315">
        <f t="shared" si="48"/>
        <v>0</v>
      </c>
      <c r="BK447" s="315">
        <f t="shared" si="48"/>
        <v>0</v>
      </c>
      <c r="BL447" s="315">
        <f t="shared" si="48"/>
        <v>0</v>
      </c>
      <c r="BM447" s="315">
        <f t="shared" si="48"/>
        <v>0</v>
      </c>
      <c r="BN447" s="315">
        <f t="shared" si="48"/>
        <v>0</v>
      </c>
      <c r="BO447" s="315">
        <f t="shared" si="48"/>
        <v>0</v>
      </c>
      <c r="BP447" s="315">
        <f t="shared" si="48"/>
        <v>0</v>
      </c>
      <c r="BQ447" s="315">
        <f t="shared" si="48"/>
        <v>0</v>
      </c>
      <c r="BR447" s="315">
        <f t="shared" si="48"/>
        <v>0</v>
      </c>
      <c r="BS447" s="315">
        <f t="shared" si="50"/>
        <v>0</v>
      </c>
      <c r="BT447" s="315">
        <f t="shared" si="50"/>
        <v>0</v>
      </c>
      <c r="BU447" s="315">
        <f t="shared" si="50"/>
        <v>0</v>
      </c>
      <c r="BV447" s="315">
        <f t="shared" si="50"/>
        <v>0</v>
      </c>
      <c r="BW447" s="315">
        <f t="shared" si="50"/>
        <v>0</v>
      </c>
      <c r="BX447" s="315">
        <f t="shared" si="50"/>
        <v>0</v>
      </c>
      <c r="BZ447" s="315">
        <f t="shared" si="47"/>
        <v>0</v>
      </c>
      <c r="CA447" s="315">
        <f t="shared" si="47"/>
        <v>0</v>
      </c>
    </row>
    <row r="448" spans="7:79" hidden="1" x14ac:dyDescent="0.2">
      <c r="G448" s="315">
        <f t="shared" si="51"/>
        <v>-1813693</v>
      </c>
      <c r="H448" s="315">
        <f t="shared" si="51"/>
        <v>0</v>
      </c>
      <c r="I448" s="315">
        <f t="shared" si="51"/>
        <v>0</v>
      </c>
      <c r="J448" s="315">
        <f t="shared" si="51"/>
        <v>0</v>
      </c>
      <c r="K448" s="315">
        <f t="shared" si="51"/>
        <v>0</v>
      </c>
      <c r="L448" s="315">
        <f t="shared" si="51"/>
        <v>800713</v>
      </c>
      <c r="M448" s="315">
        <f t="shared" si="51"/>
        <v>0</v>
      </c>
      <c r="N448" s="315">
        <f t="shared" si="51"/>
        <v>0</v>
      </c>
      <c r="O448" s="315">
        <f t="shared" si="51"/>
        <v>0</v>
      </c>
      <c r="P448" s="315">
        <f t="shared" si="51"/>
        <v>0</v>
      </c>
      <c r="Q448" s="315">
        <f t="shared" si="51"/>
        <v>386170</v>
      </c>
      <c r="R448" s="315">
        <f t="shared" si="51"/>
        <v>0</v>
      </c>
      <c r="S448" s="315">
        <f t="shared" si="51"/>
        <v>0</v>
      </c>
      <c r="T448" s="315">
        <f t="shared" si="51"/>
        <v>0</v>
      </c>
      <c r="U448" s="315">
        <f t="shared" si="51"/>
        <v>0</v>
      </c>
      <c r="V448" s="315">
        <f t="shared" si="51"/>
        <v>64641</v>
      </c>
      <c r="W448" s="315">
        <f t="shared" ref="W448:AL452" si="52">W55-CO55</f>
        <v>0</v>
      </c>
      <c r="X448" s="315">
        <f t="shared" si="52"/>
        <v>0</v>
      </c>
      <c r="Y448" s="315">
        <f t="shared" si="52"/>
        <v>0</v>
      </c>
      <c r="Z448" s="315">
        <f t="shared" si="52"/>
        <v>0</v>
      </c>
      <c r="AA448" s="315">
        <f t="shared" si="52"/>
        <v>380886</v>
      </c>
      <c r="AB448" s="315">
        <f t="shared" si="52"/>
        <v>0</v>
      </c>
      <c r="AC448" s="315">
        <f t="shared" si="52"/>
        <v>0</v>
      </c>
      <c r="AD448" s="315">
        <f t="shared" si="52"/>
        <v>0</v>
      </c>
      <c r="AE448" s="315">
        <f t="shared" si="52"/>
        <v>0</v>
      </c>
      <c r="AF448" s="315">
        <f t="shared" si="52"/>
        <v>273425</v>
      </c>
      <c r="AG448" s="315">
        <f t="shared" si="52"/>
        <v>0</v>
      </c>
      <c r="AH448" s="315">
        <f t="shared" si="52"/>
        <v>0</v>
      </c>
      <c r="AI448" s="315">
        <f t="shared" si="52"/>
        <v>0</v>
      </c>
      <c r="AJ448" s="315">
        <f t="shared" si="52"/>
        <v>0</v>
      </c>
      <c r="AK448" s="315">
        <f t="shared" si="52"/>
        <v>1117986</v>
      </c>
      <c r="AL448" s="315">
        <f t="shared" si="52"/>
        <v>0</v>
      </c>
      <c r="AM448" s="315">
        <f t="shared" si="49"/>
        <v>0</v>
      </c>
      <c r="AN448" s="315">
        <f t="shared" si="49"/>
        <v>0</v>
      </c>
      <c r="AO448" s="315">
        <f t="shared" si="49"/>
        <v>0</v>
      </c>
      <c r="AP448" s="315">
        <f t="shared" si="49"/>
        <v>-238061</v>
      </c>
      <c r="AQ448" s="315">
        <f t="shared" si="49"/>
        <v>0</v>
      </c>
      <c r="AR448" s="315">
        <f t="shared" si="49"/>
        <v>0</v>
      </c>
      <c r="AS448" s="315">
        <f t="shared" si="49"/>
        <v>0</v>
      </c>
      <c r="AT448" s="315">
        <f t="shared" si="49"/>
        <v>0</v>
      </c>
      <c r="AU448" s="315">
        <f t="shared" si="49"/>
        <v>-123882</v>
      </c>
      <c r="AV448" s="315">
        <f t="shared" si="49"/>
        <v>0</v>
      </c>
      <c r="AW448" s="315">
        <f t="shared" si="49"/>
        <v>0</v>
      </c>
      <c r="AX448" s="315">
        <f t="shared" si="49"/>
        <v>0</v>
      </c>
      <c r="AY448" s="315">
        <f t="shared" si="49"/>
        <v>0</v>
      </c>
      <c r="AZ448" s="315">
        <f t="shared" si="49"/>
        <v>-282190</v>
      </c>
      <c r="BA448" s="315">
        <f t="shared" si="49"/>
        <v>0</v>
      </c>
      <c r="BB448" s="315">
        <f t="shared" si="49"/>
        <v>0</v>
      </c>
      <c r="BC448" s="315">
        <f t="shared" si="48"/>
        <v>0</v>
      </c>
      <c r="BD448" s="315">
        <f t="shared" si="48"/>
        <v>0</v>
      </c>
      <c r="BE448" s="315">
        <f t="shared" si="48"/>
        <v>-109474</v>
      </c>
      <c r="BF448" s="315">
        <f t="shared" si="48"/>
        <v>0</v>
      </c>
      <c r="BG448" s="315">
        <f t="shared" si="48"/>
        <v>0</v>
      </c>
      <c r="BH448" s="315">
        <f t="shared" si="48"/>
        <v>0</v>
      </c>
      <c r="BI448" s="315">
        <f t="shared" si="48"/>
        <v>0</v>
      </c>
      <c r="BJ448" s="315">
        <f t="shared" si="48"/>
        <v>-130071</v>
      </c>
      <c r="BK448" s="315">
        <f t="shared" si="48"/>
        <v>0</v>
      </c>
      <c r="BL448" s="315">
        <f t="shared" si="48"/>
        <v>0</v>
      </c>
      <c r="BM448" s="315">
        <f t="shared" si="48"/>
        <v>0</v>
      </c>
      <c r="BN448" s="315">
        <f t="shared" si="48"/>
        <v>0</v>
      </c>
      <c r="BO448" s="315">
        <f t="shared" si="48"/>
        <v>-16120</v>
      </c>
      <c r="BP448" s="315">
        <f t="shared" si="48"/>
        <v>0</v>
      </c>
      <c r="BQ448" s="315">
        <f t="shared" si="48"/>
        <v>0</v>
      </c>
      <c r="BR448" s="315">
        <f t="shared" si="48"/>
        <v>0</v>
      </c>
      <c r="BS448" s="315">
        <f t="shared" si="50"/>
        <v>0</v>
      </c>
      <c r="BT448" s="315">
        <f t="shared" si="50"/>
        <v>2785760</v>
      </c>
      <c r="BU448" s="315">
        <f t="shared" si="50"/>
        <v>0</v>
      </c>
      <c r="BV448" s="315">
        <f t="shared" si="50"/>
        <v>0</v>
      </c>
      <c r="BW448" s="315">
        <f t="shared" si="50"/>
        <v>0</v>
      </c>
      <c r="BX448" s="315">
        <f t="shared" si="50"/>
        <v>0</v>
      </c>
      <c r="BZ448" s="315">
        <f t="shared" si="47"/>
        <v>0</v>
      </c>
      <c r="CA448" s="315">
        <f t="shared" si="47"/>
        <v>0</v>
      </c>
    </row>
    <row r="449" spans="7:79" hidden="1" x14ac:dyDescent="0.2">
      <c r="G449" s="315">
        <f t="shared" si="51"/>
        <v>0</v>
      </c>
      <c r="H449" s="315">
        <f t="shared" si="51"/>
        <v>0</v>
      </c>
      <c r="I449" s="315">
        <f t="shared" si="51"/>
        <v>0</v>
      </c>
      <c r="J449" s="315">
        <f t="shared" si="51"/>
        <v>0</v>
      </c>
      <c r="K449" s="315">
        <f t="shared" si="51"/>
        <v>0</v>
      </c>
      <c r="L449" s="315">
        <f t="shared" si="51"/>
        <v>0</v>
      </c>
      <c r="M449" s="315">
        <f t="shared" si="51"/>
        <v>0</v>
      </c>
      <c r="N449" s="315">
        <f t="shared" si="51"/>
        <v>0</v>
      </c>
      <c r="O449" s="315">
        <f t="shared" si="51"/>
        <v>0</v>
      </c>
      <c r="P449" s="315">
        <f t="shared" si="51"/>
        <v>0</v>
      </c>
      <c r="Q449" s="315">
        <f t="shared" si="51"/>
        <v>0</v>
      </c>
      <c r="R449" s="315">
        <f t="shared" si="51"/>
        <v>0</v>
      </c>
      <c r="S449" s="315">
        <f t="shared" si="51"/>
        <v>0</v>
      </c>
      <c r="T449" s="315">
        <f t="shared" si="51"/>
        <v>0</v>
      </c>
      <c r="U449" s="315">
        <f t="shared" si="51"/>
        <v>0</v>
      </c>
      <c r="V449" s="315">
        <f t="shared" si="51"/>
        <v>0</v>
      </c>
      <c r="W449" s="315">
        <f t="shared" si="52"/>
        <v>0</v>
      </c>
      <c r="X449" s="315">
        <f t="shared" si="52"/>
        <v>0</v>
      </c>
      <c r="Y449" s="315">
        <f t="shared" si="52"/>
        <v>0</v>
      </c>
      <c r="Z449" s="315">
        <f t="shared" si="52"/>
        <v>0</v>
      </c>
      <c r="AA449" s="315">
        <f t="shared" si="52"/>
        <v>0</v>
      </c>
      <c r="AB449" s="315">
        <f t="shared" si="52"/>
        <v>0</v>
      </c>
      <c r="AC449" s="315">
        <f t="shared" si="52"/>
        <v>0</v>
      </c>
      <c r="AD449" s="315">
        <f t="shared" si="52"/>
        <v>0</v>
      </c>
      <c r="AE449" s="315">
        <f t="shared" si="52"/>
        <v>0</v>
      </c>
      <c r="AF449" s="315">
        <f t="shared" si="52"/>
        <v>0</v>
      </c>
      <c r="AG449" s="315">
        <f t="shared" si="52"/>
        <v>0</v>
      </c>
      <c r="AH449" s="315">
        <f t="shared" si="52"/>
        <v>0</v>
      </c>
      <c r="AI449" s="315">
        <f t="shared" si="52"/>
        <v>0</v>
      </c>
      <c r="AJ449" s="315">
        <f t="shared" si="52"/>
        <v>0</v>
      </c>
      <c r="AK449" s="315">
        <f t="shared" si="52"/>
        <v>0</v>
      </c>
      <c r="AL449" s="315">
        <f t="shared" si="52"/>
        <v>0</v>
      </c>
      <c r="AM449" s="315">
        <f t="shared" si="49"/>
        <v>0</v>
      </c>
      <c r="AN449" s="315">
        <f t="shared" si="49"/>
        <v>0</v>
      </c>
      <c r="AO449" s="315">
        <f t="shared" si="49"/>
        <v>0</v>
      </c>
      <c r="AP449" s="315">
        <f t="shared" si="49"/>
        <v>0</v>
      </c>
      <c r="AQ449" s="315">
        <f t="shared" si="49"/>
        <v>0</v>
      </c>
      <c r="AR449" s="315">
        <f t="shared" si="49"/>
        <v>0</v>
      </c>
      <c r="AS449" s="315">
        <f t="shared" si="49"/>
        <v>0</v>
      </c>
      <c r="AT449" s="315">
        <f t="shared" si="49"/>
        <v>0</v>
      </c>
      <c r="AU449" s="315">
        <f t="shared" si="49"/>
        <v>0</v>
      </c>
      <c r="AV449" s="315">
        <f t="shared" si="49"/>
        <v>0</v>
      </c>
      <c r="AW449" s="315">
        <f t="shared" si="49"/>
        <v>0</v>
      </c>
      <c r="AX449" s="315">
        <f t="shared" si="49"/>
        <v>0</v>
      </c>
      <c r="AY449" s="315">
        <f t="shared" si="49"/>
        <v>0</v>
      </c>
      <c r="AZ449" s="315">
        <f t="shared" si="49"/>
        <v>0</v>
      </c>
      <c r="BA449" s="315">
        <f t="shared" si="49"/>
        <v>0</v>
      </c>
      <c r="BB449" s="315">
        <f t="shared" si="49"/>
        <v>0</v>
      </c>
      <c r="BC449" s="315">
        <f t="shared" si="48"/>
        <v>0</v>
      </c>
      <c r="BD449" s="315">
        <f t="shared" si="48"/>
        <v>0</v>
      </c>
      <c r="BE449" s="315">
        <f t="shared" si="48"/>
        <v>0</v>
      </c>
      <c r="BF449" s="315">
        <f t="shared" si="48"/>
        <v>0</v>
      </c>
      <c r="BG449" s="315">
        <f t="shared" si="48"/>
        <v>0</v>
      </c>
      <c r="BH449" s="315">
        <f t="shared" si="48"/>
        <v>0</v>
      </c>
      <c r="BI449" s="315">
        <f t="shared" si="48"/>
        <v>0</v>
      </c>
      <c r="BJ449" s="315">
        <f t="shared" si="48"/>
        <v>0</v>
      </c>
      <c r="BK449" s="315">
        <f t="shared" si="48"/>
        <v>0</v>
      </c>
      <c r="BL449" s="315">
        <f t="shared" si="48"/>
        <v>0</v>
      </c>
      <c r="BM449" s="315">
        <f t="shared" si="48"/>
        <v>0</v>
      </c>
      <c r="BN449" s="315">
        <f t="shared" si="48"/>
        <v>0</v>
      </c>
      <c r="BO449" s="315">
        <f t="shared" si="48"/>
        <v>0</v>
      </c>
      <c r="BP449" s="315">
        <f t="shared" si="48"/>
        <v>0</v>
      </c>
      <c r="BQ449" s="315">
        <f t="shared" si="48"/>
        <v>0</v>
      </c>
      <c r="BR449" s="315">
        <f t="shared" si="48"/>
        <v>0</v>
      </c>
      <c r="BS449" s="315">
        <f t="shared" si="50"/>
        <v>0</v>
      </c>
      <c r="BT449" s="315">
        <f t="shared" si="50"/>
        <v>0</v>
      </c>
      <c r="BU449" s="315">
        <f t="shared" si="50"/>
        <v>0</v>
      </c>
      <c r="BV449" s="315">
        <f t="shared" si="50"/>
        <v>0</v>
      </c>
      <c r="BW449" s="315">
        <f t="shared" si="50"/>
        <v>0</v>
      </c>
      <c r="BX449" s="315">
        <f t="shared" si="50"/>
        <v>0</v>
      </c>
      <c r="BZ449" s="315">
        <f t="shared" si="47"/>
        <v>0</v>
      </c>
      <c r="CA449" s="315">
        <f t="shared" si="47"/>
        <v>0</v>
      </c>
    </row>
    <row r="450" spans="7:79" hidden="1" x14ac:dyDescent="0.2">
      <c r="G450" s="315">
        <f t="shared" si="51"/>
        <v>0</v>
      </c>
      <c r="H450" s="315">
        <f t="shared" si="51"/>
        <v>0</v>
      </c>
      <c r="I450" s="315">
        <f t="shared" si="51"/>
        <v>0</v>
      </c>
      <c r="J450" s="315">
        <f t="shared" si="51"/>
        <v>0</v>
      </c>
      <c r="K450" s="315">
        <f t="shared" si="51"/>
        <v>0</v>
      </c>
      <c r="L450" s="315">
        <f t="shared" si="51"/>
        <v>0</v>
      </c>
      <c r="M450" s="315">
        <f t="shared" si="51"/>
        <v>0</v>
      </c>
      <c r="N450" s="315">
        <f t="shared" si="51"/>
        <v>0</v>
      </c>
      <c r="O450" s="315">
        <f t="shared" si="51"/>
        <v>0</v>
      </c>
      <c r="P450" s="315">
        <f t="shared" si="51"/>
        <v>0</v>
      </c>
      <c r="Q450" s="315">
        <f t="shared" si="51"/>
        <v>0</v>
      </c>
      <c r="R450" s="315">
        <f t="shared" si="51"/>
        <v>0</v>
      </c>
      <c r="S450" s="315">
        <f t="shared" si="51"/>
        <v>0</v>
      </c>
      <c r="T450" s="315">
        <f t="shared" si="51"/>
        <v>0</v>
      </c>
      <c r="U450" s="315">
        <f t="shared" si="51"/>
        <v>0</v>
      </c>
      <c r="V450" s="315">
        <f t="shared" si="51"/>
        <v>0</v>
      </c>
      <c r="W450" s="315">
        <f t="shared" si="52"/>
        <v>0</v>
      </c>
      <c r="X450" s="315">
        <f t="shared" si="52"/>
        <v>0</v>
      </c>
      <c r="Y450" s="315">
        <f t="shared" si="52"/>
        <v>0</v>
      </c>
      <c r="Z450" s="315">
        <f t="shared" si="52"/>
        <v>0</v>
      </c>
      <c r="AA450" s="315">
        <f t="shared" si="52"/>
        <v>0</v>
      </c>
      <c r="AB450" s="315">
        <f t="shared" si="52"/>
        <v>0</v>
      </c>
      <c r="AC450" s="315">
        <f t="shared" si="52"/>
        <v>0</v>
      </c>
      <c r="AD450" s="315">
        <f t="shared" si="52"/>
        <v>0</v>
      </c>
      <c r="AE450" s="315">
        <f t="shared" si="52"/>
        <v>0</v>
      </c>
      <c r="AF450" s="315">
        <f t="shared" si="52"/>
        <v>0</v>
      </c>
      <c r="AG450" s="315">
        <f t="shared" si="52"/>
        <v>0</v>
      </c>
      <c r="AH450" s="315">
        <f t="shared" si="52"/>
        <v>0</v>
      </c>
      <c r="AI450" s="315">
        <f t="shared" si="52"/>
        <v>0</v>
      </c>
      <c r="AJ450" s="315">
        <f t="shared" si="52"/>
        <v>0</v>
      </c>
      <c r="AK450" s="315">
        <f t="shared" si="52"/>
        <v>0</v>
      </c>
      <c r="AL450" s="315">
        <f t="shared" si="52"/>
        <v>0</v>
      </c>
      <c r="AM450" s="315">
        <f t="shared" si="49"/>
        <v>0</v>
      </c>
      <c r="AN450" s="315">
        <f t="shared" si="49"/>
        <v>0</v>
      </c>
      <c r="AO450" s="315">
        <f t="shared" si="49"/>
        <v>0</v>
      </c>
      <c r="AP450" s="315">
        <f t="shared" si="49"/>
        <v>0</v>
      </c>
      <c r="AQ450" s="315">
        <f t="shared" si="49"/>
        <v>0</v>
      </c>
      <c r="AR450" s="315">
        <f t="shared" si="49"/>
        <v>0</v>
      </c>
      <c r="AS450" s="315">
        <f t="shared" si="49"/>
        <v>0</v>
      </c>
      <c r="AT450" s="315">
        <f t="shared" si="49"/>
        <v>0</v>
      </c>
      <c r="AU450" s="315">
        <f t="shared" si="49"/>
        <v>0</v>
      </c>
      <c r="AV450" s="315">
        <f t="shared" si="49"/>
        <v>0</v>
      </c>
      <c r="AW450" s="315">
        <f t="shared" si="49"/>
        <v>0</v>
      </c>
      <c r="AX450" s="315">
        <f t="shared" si="49"/>
        <v>0</v>
      </c>
      <c r="AY450" s="315">
        <f t="shared" si="49"/>
        <v>0</v>
      </c>
      <c r="AZ450" s="315">
        <f t="shared" si="49"/>
        <v>0</v>
      </c>
      <c r="BA450" s="315">
        <f t="shared" si="49"/>
        <v>0</v>
      </c>
      <c r="BB450" s="315">
        <f t="shared" si="49"/>
        <v>0</v>
      </c>
      <c r="BC450" s="315">
        <f t="shared" si="48"/>
        <v>0</v>
      </c>
      <c r="BD450" s="315">
        <f t="shared" si="48"/>
        <v>0</v>
      </c>
      <c r="BE450" s="315">
        <f t="shared" si="48"/>
        <v>0</v>
      </c>
      <c r="BF450" s="315">
        <f t="shared" si="48"/>
        <v>0</v>
      </c>
      <c r="BG450" s="315">
        <f t="shared" si="48"/>
        <v>0</v>
      </c>
      <c r="BH450" s="315">
        <f t="shared" si="48"/>
        <v>0</v>
      </c>
      <c r="BI450" s="315">
        <f t="shared" si="48"/>
        <v>0</v>
      </c>
      <c r="BJ450" s="315">
        <f t="shared" si="48"/>
        <v>0</v>
      </c>
      <c r="BK450" s="315">
        <f t="shared" si="48"/>
        <v>0</v>
      </c>
      <c r="BL450" s="315">
        <f t="shared" si="48"/>
        <v>0</v>
      </c>
      <c r="BM450" s="315">
        <f t="shared" si="48"/>
        <v>0</v>
      </c>
      <c r="BN450" s="315">
        <f t="shared" si="48"/>
        <v>0</v>
      </c>
      <c r="BO450" s="315">
        <f t="shared" si="48"/>
        <v>0</v>
      </c>
      <c r="BP450" s="315">
        <f t="shared" si="48"/>
        <v>0</v>
      </c>
      <c r="BQ450" s="315">
        <f t="shared" si="48"/>
        <v>0</v>
      </c>
      <c r="BR450" s="315">
        <f t="shared" si="48"/>
        <v>0</v>
      </c>
      <c r="BS450" s="315">
        <f t="shared" si="50"/>
        <v>0</v>
      </c>
      <c r="BT450" s="315">
        <f t="shared" si="50"/>
        <v>0</v>
      </c>
      <c r="BU450" s="315">
        <f t="shared" si="50"/>
        <v>0</v>
      </c>
      <c r="BV450" s="315">
        <f t="shared" si="50"/>
        <v>0</v>
      </c>
      <c r="BW450" s="315">
        <f t="shared" si="50"/>
        <v>0</v>
      </c>
      <c r="BX450" s="315">
        <f t="shared" si="50"/>
        <v>0</v>
      </c>
      <c r="BZ450" s="315">
        <f t="shared" si="47"/>
        <v>0</v>
      </c>
      <c r="CA450" s="315">
        <f t="shared" si="47"/>
        <v>0</v>
      </c>
    </row>
    <row r="451" spans="7:79" hidden="1" x14ac:dyDescent="0.2">
      <c r="G451" s="315">
        <f t="shared" si="51"/>
        <v>0</v>
      </c>
      <c r="H451" s="315">
        <f t="shared" si="51"/>
        <v>0</v>
      </c>
      <c r="I451" s="315">
        <f t="shared" si="51"/>
        <v>0</v>
      </c>
      <c r="J451" s="315">
        <f t="shared" si="51"/>
        <v>0</v>
      </c>
      <c r="K451" s="315">
        <f t="shared" si="51"/>
        <v>0</v>
      </c>
      <c r="L451" s="315">
        <f t="shared" si="51"/>
        <v>0</v>
      </c>
      <c r="M451" s="315">
        <f t="shared" si="51"/>
        <v>0</v>
      </c>
      <c r="N451" s="315">
        <f t="shared" si="51"/>
        <v>0</v>
      </c>
      <c r="O451" s="315">
        <f t="shared" si="51"/>
        <v>0</v>
      </c>
      <c r="P451" s="315">
        <f t="shared" si="51"/>
        <v>0</v>
      </c>
      <c r="Q451" s="315">
        <f t="shared" si="51"/>
        <v>0</v>
      </c>
      <c r="R451" s="315">
        <f t="shared" si="51"/>
        <v>0</v>
      </c>
      <c r="S451" s="315">
        <f t="shared" si="51"/>
        <v>0</v>
      </c>
      <c r="T451" s="315">
        <f t="shared" si="51"/>
        <v>0</v>
      </c>
      <c r="U451" s="315">
        <f t="shared" si="51"/>
        <v>0</v>
      </c>
      <c r="V451" s="315">
        <f t="shared" si="51"/>
        <v>0</v>
      </c>
      <c r="W451" s="315">
        <f t="shared" si="52"/>
        <v>0</v>
      </c>
      <c r="X451" s="315">
        <f t="shared" si="52"/>
        <v>0</v>
      </c>
      <c r="Y451" s="315">
        <f t="shared" si="52"/>
        <v>0</v>
      </c>
      <c r="Z451" s="315">
        <f t="shared" si="52"/>
        <v>0</v>
      </c>
      <c r="AA451" s="315">
        <f t="shared" si="52"/>
        <v>0</v>
      </c>
      <c r="AB451" s="315">
        <f t="shared" si="52"/>
        <v>0</v>
      </c>
      <c r="AC451" s="315">
        <f t="shared" si="52"/>
        <v>0</v>
      </c>
      <c r="AD451" s="315">
        <f t="shared" si="52"/>
        <v>0</v>
      </c>
      <c r="AE451" s="315">
        <f t="shared" si="52"/>
        <v>0</v>
      </c>
      <c r="AF451" s="315">
        <f t="shared" si="52"/>
        <v>0</v>
      </c>
      <c r="AG451" s="315">
        <f t="shared" si="52"/>
        <v>0</v>
      </c>
      <c r="AH451" s="315">
        <f t="shared" si="52"/>
        <v>0</v>
      </c>
      <c r="AI451" s="315">
        <f t="shared" si="52"/>
        <v>0</v>
      </c>
      <c r="AJ451" s="315">
        <f t="shared" si="52"/>
        <v>0</v>
      </c>
      <c r="AK451" s="315">
        <f t="shared" si="52"/>
        <v>0</v>
      </c>
      <c r="AL451" s="315">
        <f t="shared" si="52"/>
        <v>0</v>
      </c>
      <c r="AM451" s="315">
        <f t="shared" si="49"/>
        <v>0</v>
      </c>
      <c r="AN451" s="315">
        <f t="shared" si="49"/>
        <v>0</v>
      </c>
      <c r="AO451" s="315">
        <f t="shared" si="49"/>
        <v>0</v>
      </c>
      <c r="AP451" s="315">
        <f t="shared" si="49"/>
        <v>0</v>
      </c>
      <c r="AQ451" s="315">
        <f t="shared" si="49"/>
        <v>0</v>
      </c>
      <c r="AR451" s="315">
        <f t="shared" si="49"/>
        <v>0</v>
      </c>
      <c r="AS451" s="315">
        <f t="shared" si="49"/>
        <v>0</v>
      </c>
      <c r="AT451" s="315">
        <f t="shared" si="49"/>
        <v>0</v>
      </c>
      <c r="AU451" s="315">
        <f t="shared" si="49"/>
        <v>0</v>
      </c>
      <c r="AV451" s="315">
        <f t="shared" si="49"/>
        <v>0</v>
      </c>
      <c r="AW451" s="315">
        <f t="shared" si="49"/>
        <v>0</v>
      </c>
      <c r="AX451" s="315">
        <f t="shared" si="49"/>
        <v>0</v>
      </c>
      <c r="AY451" s="315">
        <f t="shared" si="49"/>
        <v>0</v>
      </c>
      <c r="AZ451" s="315">
        <f t="shared" si="49"/>
        <v>0</v>
      </c>
      <c r="BA451" s="315">
        <f t="shared" si="49"/>
        <v>0</v>
      </c>
      <c r="BB451" s="315">
        <f t="shared" si="49"/>
        <v>0</v>
      </c>
      <c r="BC451" s="315">
        <f t="shared" si="48"/>
        <v>0</v>
      </c>
      <c r="BD451" s="315">
        <f t="shared" si="48"/>
        <v>0</v>
      </c>
      <c r="BE451" s="315">
        <f t="shared" si="48"/>
        <v>0</v>
      </c>
      <c r="BF451" s="315">
        <f t="shared" si="48"/>
        <v>0</v>
      </c>
      <c r="BG451" s="315">
        <f t="shared" si="48"/>
        <v>0</v>
      </c>
      <c r="BH451" s="315">
        <f t="shared" si="48"/>
        <v>0</v>
      </c>
      <c r="BI451" s="315">
        <f t="shared" si="48"/>
        <v>0</v>
      </c>
      <c r="BJ451" s="315">
        <f t="shared" si="48"/>
        <v>0</v>
      </c>
      <c r="BK451" s="315">
        <f t="shared" si="48"/>
        <v>0</v>
      </c>
      <c r="BL451" s="315">
        <f t="shared" si="48"/>
        <v>0</v>
      </c>
      <c r="BM451" s="315">
        <f t="shared" si="48"/>
        <v>0</v>
      </c>
      <c r="BN451" s="315">
        <f t="shared" si="48"/>
        <v>0</v>
      </c>
      <c r="BO451" s="315">
        <f t="shared" si="48"/>
        <v>0</v>
      </c>
      <c r="BP451" s="315">
        <f t="shared" si="48"/>
        <v>0</v>
      </c>
      <c r="BQ451" s="315">
        <f t="shared" si="48"/>
        <v>0</v>
      </c>
      <c r="BR451" s="315">
        <f t="shared" si="48"/>
        <v>0</v>
      </c>
      <c r="BS451" s="315">
        <f t="shared" si="50"/>
        <v>0</v>
      </c>
      <c r="BT451" s="315">
        <f t="shared" si="50"/>
        <v>0</v>
      </c>
      <c r="BU451" s="315">
        <f t="shared" si="50"/>
        <v>0</v>
      </c>
      <c r="BV451" s="315">
        <f t="shared" si="50"/>
        <v>0</v>
      </c>
      <c r="BW451" s="315">
        <f t="shared" si="50"/>
        <v>0</v>
      </c>
      <c r="BX451" s="315">
        <f t="shared" si="50"/>
        <v>0</v>
      </c>
      <c r="BZ451" s="315">
        <f t="shared" ref="BZ451:CA452" si="53">BZ58-ER58</f>
        <v>0</v>
      </c>
      <c r="CA451" s="315">
        <f t="shared" si="53"/>
        <v>0</v>
      </c>
    </row>
    <row r="452" spans="7:79" hidden="1" x14ac:dyDescent="0.2">
      <c r="G452" s="315">
        <f t="shared" si="51"/>
        <v>0</v>
      </c>
      <c r="H452" s="315">
        <f t="shared" si="51"/>
        <v>0</v>
      </c>
      <c r="I452" s="315">
        <f t="shared" si="51"/>
        <v>0</v>
      </c>
      <c r="J452" s="315">
        <f t="shared" si="51"/>
        <v>0</v>
      </c>
      <c r="K452" s="315">
        <f t="shared" si="51"/>
        <v>0</v>
      </c>
      <c r="L452" s="315">
        <f t="shared" si="51"/>
        <v>0</v>
      </c>
      <c r="M452" s="315">
        <f t="shared" si="51"/>
        <v>0</v>
      </c>
      <c r="N452" s="315">
        <f t="shared" si="51"/>
        <v>0</v>
      </c>
      <c r="O452" s="315">
        <f t="shared" si="51"/>
        <v>0</v>
      </c>
      <c r="P452" s="315">
        <f t="shared" si="51"/>
        <v>0</v>
      </c>
      <c r="Q452" s="315">
        <f t="shared" si="51"/>
        <v>0</v>
      </c>
      <c r="R452" s="315">
        <f t="shared" si="51"/>
        <v>0</v>
      </c>
      <c r="S452" s="315">
        <f t="shared" si="51"/>
        <v>0</v>
      </c>
      <c r="T452" s="315">
        <f t="shared" si="51"/>
        <v>0</v>
      </c>
      <c r="U452" s="315">
        <f t="shared" si="51"/>
        <v>0</v>
      </c>
      <c r="V452" s="315">
        <f t="shared" si="51"/>
        <v>0</v>
      </c>
      <c r="W452" s="315">
        <f t="shared" si="52"/>
        <v>0</v>
      </c>
      <c r="X452" s="315">
        <f t="shared" si="52"/>
        <v>0</v>
      </c>
      <c r="Y452" s="315">
        <f t="shared" si="52"/>
        <v>0</v>
      </c>
      <c r="Z452" s="315">
        <f t="shared" si="52"/>
        <v>0</v>
      </c>
      <c r="AA452" s="315">
        <f t="shared" si="52"/>
        <v>0</v>
      </c>
      <c r="AB452" s="315">
        <f t="shared" si="52"/>
        <v>0</v>
      </c>
      <c r="AC452" s="315">
        <f t="shared" si="52"/>
        <v>0</v>
      </c>
      <c r="AD452" s="315">
        <f t="shared" si="52"/>
        <v>0</v>
      </c>
      <c r="AE452" s="315">
        <f t="shared" si="52"/>
        <v>0</v>
      </c>
      <c r="AF452" s="315">
        <f t="shared" si="52"/>
        <v>0</v>
      </c>
      <c r="AG452" s="315">
        <f t="shared" si="52"/>
        <v>0</v>
      </c>
      <c r="AH452" s="315">
        <f t="shared" si="52"/>
        <v>0</v>
      </c>
      <c r="AI452" s="315">
        <f t="shared" si="52"/>
        <v>0</v>
      </c>
      <c r="AJ452" s="315">
        <f t="shared" si="52"/>
        <v>0</v>
      </c>
      <c r="AK452" s="315">
        <f t="shared" si="52"/>
        <v>0</v>
      </c>
      <c r="AL452" s="315">
        <f t="shared" si="52"/>
        <v>0</v>
      </c>
      <c r="AM452" s="315">
        <f t="shared" si="49"/>
        <v>0</v>
      </c>
      <c r="AN452" s="315">
        <f t="shared" si="49"/>
        <v>0</v>
      </c>
      <c r="AO452" s="315">
        <f t="shared" si="49"/>
        <v>0</v>
      </c>
      <c r="AP452" s="315">
        <f t="shared" si="49"/>
        <v>0</v>
      </c>
      <c r="AQ452" s="315">
        <f t="shared" si="49"/>
        <v>0</v>
      </c>
      <c r="AR452" s="315">
        <f t="shared" si="49"/>
        <v>0</v>
      </c>
      <c r="AS452" s="315">
        <f t="shared" si="49"/>
        <v>0</v>
      </c>
      <c r="AT452" s="315">
        <f t="shared" si="49"/>
        <v>0</v>
      </c>
      <c r="AU452" s="315">
        <f t="shared" si="49"/>
        <v>0</v>
      </c>
      <c r="AV452" s="315">
        <f t="shared" si="49"/>
        <v>0</v>
      </c>
      <c r="AW452" s="315">
        <f t="shared" si="49"/>
        <v>0</v>
      </c>
      <c r="AX452" s="315">
        <f t="shared" si="49"/>
        <v>0</v>
      </c>
      <c r="AY452" s="315">
        <f t="shared" si="49"/>
        <v>0</v>
      </c>
      <c r="AZ452" s="315">
        <f t="shared" si="49"/>
        <v>0</v>
      </c>
      <c r="BA452" s="315">
        <f t="shared" si="49"/>
        <v>0</v>
      </c>
      <c r="BB452" s="315">
        <f t="shared" ref="BB452:BR452" si="54">BB59-DT59</f>
        <v>0</v>
      </c>
      <c r="BC452" s="315">
        <f t="shared" si="54"/>
        <v>0</v>
      </c>
      <c r="BD452" s="315">
        <f t="shared" si="54"/>
        <v>0</v>
      </c>
      <c r="BE452" s="315">
        <f t="shared" si="54"/>
        <v>0</v>
      </c>
      <c r="BF452" s="315">
        <f t="shared" si="54"/>
        <v>0</v>
      </c>
      <c r="BG452" s="315">
        <f t="shared" si="54"/>
        <v>0</v>
      </c>
      <c r="BH452" s="315">
        <f t="shared" si="54"/>
        <v>0</v>
      </c>
      <c r="BI452" s="315">
        <f t="shared" si="54"/>
        <v>0</v>
      </c>
      <c r="BJ452" s="315">
        <f t="shared" si="54"/>
        <v>0</v>
      </c>
      <c r="BK452" s="315">
        <f t="shared" si="54"/>
        <v>0</v>
      </c>
      <c r="BL452" s="315">
        <f t="shared" si="54"/>
        <v>0</v>
      </c>
      <c r="BM452" s="315">
        <f t="shared" si="54"/>
        <v>0</v>
      </c>
      <c r="BN452" s="315">
        <f t="shared" si="54"/>
        <v>0</v>
      </c>
      <c r="BO452" s="315">
        <f t="shared" si="54"/>
        <v>0</v>
      </c>
      <c r="BP452" s="315">
        <f t="shared" si="54"/>
        <v>0</v>
      </c>
      <c r="BQ452" s="315">
        <f t="shared" si="54"/>
        <v>0</v>
      </c>
      <c r="BR452" s="315">
        <f t="shared" si="54"/>
        <v>0</v>
      </c>
      <c r="BS452" s="315">
        <f t="shared" si="50"/>
        <v>0</v>
      </c>
      <c r="BT452" s="315">
        <f t="shared" si="50"/>
        <v>0</v>
      </c>
      <c r="BU452" s="315">
        <f t="shared" si="50"/>
        <v>0</v>
      </c>
      <c r="BV452" s="315">
        <f t="shared" si="50"/>
        <v>0</v>
      </c>
      <c r="BW452" s="315">
        <f t="shared" si="50"/>
        <v>0</v>
      </c>
      <c r="BX452" s="315">
        <f t="shared" si="50"/>
        <v>0</v>
      </c>
      <c r="BZ452" s="315">
        <f t="shared" si="53"/>
        <v>0</v>
      </c>
      <c r="CA452" s="315">
        <f t="shared" si="53"/>
        <v>0</v>
      </c>
    </row>
    <row r="453" spans="7:79" hidden="1" x14ac:dyDescent="0.2">
      <c r="G453" s="315">
        <f t="shared" ref="G453:BR457" si="55">G61-BY61</f>
        <v>0</v>
      </c>
      <c r="H453" s="315">
        <f t="shared" si="55"/>
        <v>0</v>
      </c>
      <c r="I453" s="315">
        <f t="shared" si="55"/>
        <v>0</v>
      </c>
      <c r="J453" s="315">
        <f t="shared" si="55"/>
        <v>0</v>
      </c>
      <c r="K453" s="315">
        <f t="shared" si="55"/>
        <v>0</v>
      </c>
      <c r="L453" s="315">
        <f t="shared" si="55"/>
        <v>0</v>
      </c>
      <c r="M453" s="315">
        <f t="shared" si="55"/>
        <v>0</v>
      </c>
      <c r="N453" s="315">
        <f t="shared" si="55"/>
        <v>0</v>
      </c>
      <c r="O453" s="315">
        <f t="shared" si="55"/>
        <v>0</v>
      </c>
      <c r="P453" s="315">
        <f t="shared" si="55"/>
        <v>0</v>
      </c>
      <c r="Q453" s="315">
        <f t="shared" si="55"/>
        <v>0</v>
      </c>
      <c r="R453" s="315">
        <f t="shared" si="55"/>
        <v>0</v>
      </c>
      <c r="S453" s="315">
        <f t="shared" si="55"/>
        <v>0</v>
      </c>
      <c r="T453" s="315">
        <f t="shared" si="55"/>
        <v>0</v>
      </c>
      <c r="U453" s="315">
        <f t="shared" si="55"/>
        <v>0</v>
      </c>
      <c r="V453" s="315">
        <f t="shared" si="55"/>
        <v>0</v>
      </c>
      <c r="W453" s="315">
        <f t="shared" si="55"/>
        <v>0</v>
      </c>
      <c r="X453" s="315">
        <f t="shared" si="55"/>
        <v>0</v>
      </c>
      <c r="Y453" s="315">
        <f t="shared" si="55"/>
        <v>0</v>
      </c>
      <c r="Z453" s="315">
        <f t="shared" si="55"/>
        <v>0</v>
      </c>
      <c r="AA453" s="315">
        <f t="shared" si="55"/>
        <v>0</v>
      </c>
      <c r="AB453" s="315">
        <f t="shared" si="55"/>
        <v>0</v>
      </c>
      <c r="AC453" s="315">
        <f t="shared" si="55"/>
        <v>0</v>
      </c>
      <c r="AD453" s="315">
        <f t="shared" si="55"/>
        <v>0</v>
      </c>
      <c r="AE453" s="315">
        <f t="shared" si="55"/>
        <v>0</v>
      </c>
      <c r="AF453" s="315">
        <f t="shared" si="55"/>
        <v>0</v>
      </c>
      <c r="AG453" s="315">
        <f t="shared" si="55"/>
        <v>0</v>
      </c>
      <c r="AH453" s="315">
        <f t="shared" si="55"/>
        <v>0</v>
      </c>
      <c r="AI453" s="315">
        <f t="shared" si="55"/>
        <v>0</v>
      </c>
      <c r="AJ453" s="315">
        <f t="shared" si="55"/>
        <v>0</v>
      </c>
      <c r="AK453" s="315">
        <f t="shared" si="55"/>
        <v>0</v>
      </c>
      <c r="AL453" s="315">
        <f t="shared" si="55"/>
        <v>0</v>
      </c>
      <c r="AM453" s="315">
        <f t="shared" si="55"/>
        <v>0</v>
      </c>
      <c r="AN453" s="315">
        <f t="shared" si="55"/>
        <v>0</v>
      </c>
      <c r="AO453" s="315">
        <f t="shared" si="55"/>
        <v>0</v>
      </c>
      <c r="AP453" s="315">
        <f t="shared" si="55"/>
        <v>0</v>
      </c>
      <c r="AQ453" s="315">
        <f t="shared" si="55"/>
        <v>0</v>
      </c>
      <c r="AR453" s="315">
        <f t="shared" si="55"/>
        <v>0</v>
      </c>
      <c r="AS453" s="315">
        <f t="shared" si="55"/>
        <v>0</v>
      </c>
      <c r="AT453" s="315">
        <f t="shared" si="55"/>
        <v>0</v>
      </c>
      <c r="AU453" s="315">
        <f t="shared" si="55"/>
        <v>0</v>
      </c>
      <c r="AV453" s="315">
        <f t="shared" si="55"/>
        <v>0</v>
      </c>
      <c r="AW453" s="315">
        <f t="shared" si="55"/>
        <v>0</v>
      </c>
      <c r="AX453" s="315">
        <f t="shared" si="55"/>
        <v>0</v>
      </c>
      <c r="AY453" s="315">
        <f t="shared" si="55"/>
        <v>0</v>
      </c>
      <c r="AZ453" s="315">
        <f t="shared" si="55"/>
        <v>0</v>
      </c>
      <c r="BA453" s="315">
        <f t="shared" si="55"/>
        <v>0</v>
      </c>
      <c r="BB453" s="315">
        <f t="shared" si="55"/>
        <v>0</v>
      </c>
      <c r="BC453" s="315">
        <f t="shared" si="55"/>
        <v>0</v>
      </c>
      <c r="BD453" s="315">
        <f t="shared" si="55"/>
        <v>0</v>
      </c>
      <c r="BE453" s="315">
        <f t="shared" si="55"/>
        <v>0</v>
      </c>
      <c r="BF453" s="315">
        <f t="shared" si="55"/>
        <v>0</v>
      </c>
      <c r="BG453" s="315">
        <f t="shared" si="55"/>
        <v>0</v>
      </c>
      <c r="BH453" s="315">
        <f t="shared" si="55"/>
        <v>0</v>
      </c>
      <c r="BI453" s="315">
        <f t="shared" si="55"/>
        <v>0</v>
      </c>
      <c r="BJ453" s="315">
        <f t="shared" si="55"/>
        <v>0</v>
      </c>
      <c r="BK453" s="315">
        <f t="shared" si="55"/>
        <v>0</v>
      </c>
      <c r="BL453" s="315">
        <f t="shared" si="55"/>
        <v>0</v>
      </c>
      <c r="BM453" s="315">
        <f t="shared" si="55"/>
        <v>0</v>
      </c>
      <c r="BN453" s="315">
        <f t="shared" si="55"/>
        <v>0</v>
      </c>
      <c r="BO453" s="315">
        <f t="shared" si="55"/>
        <v>0</v>
      </c>
      <c r="BP453" s="315">
        <f t="shared" si="55"/>
        <v>0</v>
      </c>
      <c r="BQ453" s="315">
        <f t="shared" si="55"/>
        <v>0</v>
      </c>
      <c r="BR453" s="315">
        <f t="shared" si="55"/>
        <v>0</v>
      </c>
      <c r="BS453" s="315">
        <f t="shared" ref="BO453:BX457" si="56">BS61-EK61</f>
        <v>0</v>
      </c>
      <c r="BT453" s="315">
        <f t="shared" si="56"/>
        <v>0</v>
      </c>
      <c r="BU453" s="315">
        <f t="shared" si="56"/>
        <v>0</v>
      </c>
      <c r="BV453" s="315">
        <f t="shared" si="56"/>
        <v>0</v>
      </c>
      <c r="BW453" s="315">
        <f t="shared" si="56"/>
        <v>0</v>
      </c>
      <c r="BX453" s="315">
        <f t="shared" si="56"/>
        <v>0</v>
      </c>
      <c r="BZ453" s="315">
        <f t="shared" ref="BZ453:CA457" si="57">BZ61-ER61</f>
        <v>0</v>
      </c>
      <c r="CA453" s="315">
        <f t="shared" si="57"/>
        <v>0</v>
      </c>
    </row>
    <row r="454" spans="7:79" hidden="1" x14ac:dyDescent="0.2">
      <c r="G454" s="315">
        <f t="shared" si="55"/>
        <v>0</v>
      </c>
      <c r="H454" s="315">
        <f t="shared" si="55"/>
        <v>0</v>
      </c>
      <c r="I454" s="315">
        <f t="shared" si="55"/>
        <v>0</v>
      </c>
      <c r="J454" s="315">
        <f t="shared" si="55"/>
        <v>0</v>
      </c>
      <c r="K454" s="315">
        <f t="shared" si="55"/>
        <v>0</v>
      </c>
      <c r="L454" s="315">
        <f t="shared" si="55"/>
        <v>0</v>
      </c>
      <c r="M454" s="315">
        <f t="shared" si="55"/>
        <v>0</v>
      </c>
      <c r="N454" s="315">
        <f t="shared" si="55"/>
        <v>0</v>
      </c>
      <c r="O454" s="315">
        <f t="shared" si="55"/>
        <v>0</v>
      </c>
      <c r="P454" s="315">
        <f t="shared" si="55"/>
        <v>0</v>
      </c>
      <c r="Q454" s="315">
        <f t="shared" si="55"/>
        <v>0</v>
      </c>
      <c r="R454" s="315">
        <f t="shared" si="55"/>
        <v>0</v>
      </c>
      <c r="S454" s="315">
        <f t="shared" si="55"/>
        <v>0</v>
      </c>
      <c r="T454" s="315">
        <f t="shared" si="55"/>
        <v>0</v>
      </c>
      <c r="U454" s="315">
        <f t="shared" si="55"/>
        <v>0</v>
      </c>
      <c r="V454" s="315">
        <f t="shared" si="55"/>
        <v>0</v>
      </c>
      <c r="W454" s="315">
        <f t="shared" si="55"/>
        <v>0</v>
      </c>
      <c r="X454" s="315">
        <f t="shared" si="55"/>
        <v>0</v>
      </c>
      <c r="Y454" s="315">
        <f t="shared" si="55"/>
        <v>0</v>
      </c>
      <c r="Z454" s="315">
        <f t="shared" si="55"/>
        <v>0</v>
      </c>
      <c r="AA454" s="315">
        <f t="shared" si="55"/>
        <v>0</v>
      </c>
      <c r="AB454" s="315">
        <f t="shared" si="55"/>
        <v>0</v>
      </c>
      <c r="AC454" s="315">
        <f t="shared" si="55"/>
        <v>0</v>
      </c>
      <c r="AD454" s="315">
        <f t="shared" si="55"/>
        <v>0</v>
      </c>
      <c r="AE454" s="315">
        <f t="shared" si="55"/>
        <v>0</v>
      </c>
      <c r="AF454" s="315">
        <f t="shared" si="55"/>
        <v>0</v>
      </c>
      <c r="AG454" s="315">
        <f t="shared" si="55"/>
        <v>0</v>
      </c>
      <c r="AH454" s="315">
        <f t="shared" si="55"/>
        <v>0</v>
      </c>
      <c r="AI454" s="315">
        <f t="shared" si="55"/>
        <v>0</v>
      </c>
      <c r="AJ454" s="315">
        <f t="shared" si="55"/>
        <v>0</v>
      </c>
      <c r="AK454" s="315">
        <f t="shared" si="55"/>
        <v>0</v>
      </c>
      <c r="AL454" s="315">
        <f t="shared" si="55"/>
        <v>0</v>
      </c>
      <c r="AM454" s="315">
        <f t="shared" si="55"/>
        <v>0</v>
      </c>
      <c r="AN454" s="315">
        <f t="shared" si="55"/>
        <v>0</v>
      </c>
      <c r="AO454" s="315">
        <f t="shared" si="55"/>
        <v>0</v>
      </c>
      <c r="AP454" s="315">
        <f t="shared" si="55"/>
        <v>0</v>
      </c>
      <c r="AQ454" s="315">
        <f t="shared" si="55"/>
        <v>0</v>
      </c>
      <c r="AR454" s="315">
        <f t="shared" si="55"/>
        <v>0</v>
      </c>
      <c r="AS454" s="315">
        <f t="shared" si="55"/>
        <v>0</v>
      </c>
      <c r="AT454" s="315">
        <f t="shared" si="55"/>
        <v>0</v>
      </c>
      <c r="AU454" s="315">
        <f t="shared" si="55"/>
        <v>0</v>
      </c>
      <c r="AV454" s="315">
        <f t="shared" si="55"/>
        <v>0</v>
      </c>
      <c r="AW454" s="315">
        <f t="shared" si="55"/>
        <v>0</v>
      </c>
      <c r="AX454" s="315">
        <f t="shared" si="55"/>
        <v>0</v>
      </c>
      <c r="AY454" s="315">
        <f t="shared" si="55"/>
        <v>0</v>
      </c>
      <c r="AZ454" s="315">
        <f t="shared" si="55"/>
        <v>0</v>
      </c>
      <c r="BA454" s="315">
        <f t="shared" si="55"/>
        <v>0</v>
      </c>
      <c r="BB454" s="315">
        <f t="shared" si="55"/>
        <v>0</v>
      </c>
      <c r="BC454" s="315">
        <f t="shared" si="55"/>
        <v>0</v>
      </c>
      <c r="BD454" s="315">
        <f t="shared" si="55"/>
        <v>0</v>
      </c>
      <c r="BE454" s="315">
        <f t="shared" si="55"/>
        <v>0</v>
      </c>
      <c r="BF454" s="315">
        <f t="shared" si="55"/>
        <v>0</v>
      </c>
      <c r="BG454" s="315">
        <f t="shared" si="55"/>
        <v>0</v>
      </c>
      <c r="BH454" s="315">
        <f t="shared" si="55"/>
        <v>0</v>
      </c>
      <c r="BI454" s="315">
        <f t="shared" si="55"/>
        <v>0</v>
      </c>
      <c r="BJ454" s="315">
        <f t="shared" si="55"/>
        <v>0</v>
      </c>
      <c r="BK454" s="315">
        <f t="shared" si="55"/>
        <v>0</v>
      </c>
      <c r="BL454" s="315">
        <f t="shared" si="55"/>
        <v>0</v>
      </c>
      <c r="BM454" s="315">
        <f t="shared" si="55"/>
        <v>0</v>
      </c>
      <c r="BN454" s="315">
        <f t="shared" si="55"/>
        <v>0</v>
      </c>
      <c r="BO454" s="315">
        <f t="shared" si="56"/>
        <v>0</v>
      </c>
      <c r="BP454" s="315">
        <f t="shared" si="56"/>
        <v>0</v>
      </c>
      <c r="BQ454" s="315">
        <f t="shared" si="56"/>
        <v>0</v>
      </c>
      <c r="BR454" s="315">
        <f t="shared" si="56"/>
        <v>0</v>
      </c>
      <c r="BS454" s="315">
        <f t="shared" si="56"/>
        <v>0</v>
      </c>
      <c r="BT454" s="315">
        <f t="shared" si="56"/>
        <v>0</v>
      </c>
      <c r="BU454" s="315">
        <f t="shared" si="56"/>
        <v>0</v>
      </c>
      <c r="BV454" s="315">
        <f t="shared" si="56"/>
        <v>0</v>
      </c>
      <c r="BW454" s="315">
        <f t="shared" si="56"/>
        <v>0</v>
      </c>
      <c r="BX454" s="315">
        <f t="shared" si="56"/>
        <v>0</v>
      </c>
      <c r="BZ454" s="315">
        <f t="shared" si="57"/>
        <v>0</v>
      </c>
      <c r="CA454" s="315">
        <f t="shared" si="57"/>
        <v>0</v>
      </c>
    </row>
    <row r="455" spans="7:79" hidden="1" x14ac:dyDescent="0.2">
      <c r="G455" s="315">
        <f t="shared" si="55"/>
        <v>-14568929</v>
      </c>
      <c r="H455" s="315">
        <f t="shared" si="55"/>
        <v>0</v>
      </c>
      <c r="I455" s="315">
        <f t="shared" si="55"/>
        <v>0</v>
      </c>
      <c r="J455" s="315">
        <f t="shared" si="55"/>
        <v>0</v>
      </c>
      <c r="K455" s="315">
        <f t="shared" si="55"/>
        <v>0</v>
      </c>
      <c r="L455" s="315">
        <f t="shared" si="55"/>
        <v>-780849</v>
      </c>
      <c r="M455" s="315">
        <f t="shared" si="55"/>
        <v>0</v>
      </c>
      <c r="N455" s="315">
        <f t="shared" si="55"/>
        <v>0</v>
      </c>
      <c r="O455" s="315">
        <f t="shared" si="55"/>
        <v>0</v>
      </c>
      <c r="P455" s="315">
        <f t="shared" si="55"/>
        <v>0</v>
      </c>
      <c r="Q455" s="315">
        <f t="shared" si="55"/>
        <v>-499141</v>
      </c>
      <c r="R455" s="315">
        <f t="shared" si="55"/>
        <v>0</v>
      </c>
      <c r="S455" s="315">
        <f t="shared" si="55"/>
        <v>0</v>
      </c>
      <c r="T455" s="315">
        <f t="shared" si="55"/>
        <v>0</v>
      </c>
      <c r="U455" s="315">
        <f t="shared" si="55"/>
        <v>0</v>
      </c>
      <c r="V455" s="315">
        <f t="shared" si="55"/>
        <v>-1826823</v>
      </c>
      <c r="W455" s="315">
        <f t="shared" si="55"/>
        <v>0</v>
      </c>
      <c r="X455" s="315">
        <f t="shared" si="55"/>
        <v>0</v>
      </c>
      <c r="Y455" s="315">
        <f t="shared" si="55"/>
        <v>0</v>
      </c>
      <c r="Z455" s="315">
        <f t="shared" si="55"/>
        <v>0</v>
      </c>
      <c r="AA455" s="315">
        <f t="shared" si="55"/>
        <v>-449059</v>
      </c>
      <c r="AB455" s="315">
        <f t="shared" si="55"/>
        <v>0</v>
      </c>
      <c r="AC455" s="315">
        <f t="shared" si="55"/>
        <v>0</v>
      </c>
      <c r="AD455" s="315">
        <f t="shared" si="55"/>
        <v>0</v>
      </c>
      <c r="AE455" s="315">
        <f t="shared" si="55"/>
        <v>0</v>
      </c>
      <c r="AF455" s="315">
        <f t="shared" si="55"/>
        <v>-564349</v>
      </c>
      <c r="AG455" s="315">
        <f t="shared" si="55"/>
        <v>0</v>
      </c>
      <c r="AH455" s="315">
        <f t="shared" si="55"/>
        <v>0</v>
      </c>
      <c r="AI455" s="315">
        <f t="shared" si="55"/>
        <v>0</v>
      </c>
      <c r="AJ455" s="315">
        <f t="shared" si="55"/>
        <v>0</v>
      </c>
      <c r="AK455" s="315">
        <f t="shared" si="55"/>
        <v>-1070097</v>
      </c>
      <c r="AL455" s="315">
        <f t="shared" si="55"/>
        <v>0</v>
      </c>
      <c r="AM455" s="315">
        <f t="shared" si="55"/>
        <v>0</v>
      </c>
      <c r="AN455" s="315">
        <f t="shared" si="55"/>
        <v>0</v>
      </c>
      <c r="AO455" s="315">
        <f t="shared" si="55"/>
        <v>0</v>
      </c>
      <c r="AP455" s="315">
        <f t="shared" si="55"/>
        <v>-1097082</v>
      </c>
      <c r="AQ455" s="315">
        <f t="shared" si="55"/>
        <v>0</v>
      </c>
      <c r="AR455" s="315">
        <f t="shared" si="55"/>
        <v>0</v>
      </c>
      <c r="AS455" s="315">
        <f t="shared" si="55"/>
        <v>0</v>
      </c>
      <c r="AT455" s="315">
        <f t="shared" si="55"/>
        <v>0</v>
      </c>
      <c r="AU455" s="315">
        <f t="shared" si="55"/>
        <v>-479599</v>
      </c>
      <c r="AV455" s="315">
        <f t="shared" si="55"/>
        <v>0</v>
      </c>
      <c r="AW455" s="315">
        <f t="shared" si="55"/>
        <v>0</v>
      </c>
      <c r="AX455" s="315">
        <f t="shared" si="55"/>
        <v>0</v>
      </c>
      <c r="AY455" s="315">
        <f t="shared" si="55"/>
        <v>0</v>
      </c>
      <c r="AZ455" s="315">
        <f t="shared" si="55"/>
        <v>0</v>
      </c>
      <c r="BA455" s="315">
        <f t="shared" si="55"/>
        <v>0</v>
      </c>
      <c r="BB455" s="315">
        <f t="shared" si="55"/>
        <v>0</v>
      </c>
      <c r="BC455" s="315">
        <f t="shared" si="55"/>
        <v>0</v>
      </c>
      <c r="BD455" s="315">
        <f t="shared" si="55"/>
        <v>0</v>
      </c>
      <c r="BE455" s="315">
        <f t="shared" si="55"/>
        <v>-1289328</v>
      </c>
      <c r="BF455" s="315">
        <f t="shared" si="55"/>
        <v>0</v>
      </c>
      <c r="BG455" s="315">
        <f t="shared" si="55"/>
        <v>0</v>
      </c>
      <c r="BH455" s="315">
        <f t="shared" si="55"/>
        <v>0</v>
      </c>
      <c r="BI455" s="315">
        <f t="shared" si="55"/>
        <v>0</v>
      </c>
      <c r="BJ455" s="315">
        <f t="shared" si="55"/>
        <v>-190016</v>
      </c>
      <c r="BK455" s="315">
        <f t="shared" si="55"/>
        <v>0</v>
      </c>
      <c r="BL455" s="315">
        <f t="shared" si="55"/>
        <v>0</v>
      </c>
      <c r="BM455" s="315">
        <f t="shared" si="55"/>
        <v>0</v>
      </c>
      <c r="BN455" s="315">
        <f t="shared" si="55"/>
        <v>0</v>
      </c>
      <c r="BO455" s="315">
        <f t="shared" si="56"/>
        <v>-127378</v>
      </c>
      <c r="BP455" s="315">
        <f t="shared" si="56"/>
        <v>0</v>
      </c>
      <c r="BQ455" s="315">
        <f t="shared" si="56"/>
        <v>0</v>
      </c>
      <c r="BR455" s="315">
        <f t="shared" si="56"/>
        <v>0</v>
      </c>
      <c r="BS455" s="315">
        <f t="shared" si="56"/>
        <v>0</v>
      </c>
      <c r="BT455" s="315">
        <f t="shared" si="56"/>
        <v>-6287400</v>
      </c>
      <c r="BU455" s="315">
        <f t="shared" si="56"/>
        <v>0</v>
      </c>
      <c r="BV455" s="315">
        <f t="shared" si="56"/>
        <v>0</v>
      </c>
      <c r="BW455" s="315">
        <f t="shared" si="56"/>
        <v>0</v>
      </c>
      <c r="BX455" s="315">
        <f t="shared" si="56"/>
        <v>0</v>
      </c>
      <c r="BZ455" s="315">
        <f t="shared" si="57"/>
        <v>0</v>
      </c>
      <c r="CA455" s="315">
        <f t="shared" si="57"/>
        <v>0</v>
      </c>
    </row>
    <row r="456" spans="7:79" hidden="1" x14ac:dyDescent="0.2">
      <c r="G456" s="315">
        <f t="shared" si="55"/>
        <v>-6158974</v>
      </c>
      <c r="H456" s="315">
        <f t="shared" si="55"/>
        <v>0</v>
      </c>
      <c r="I456" s="315">
        <f t="shared" si="55"/>
        <v>0</v>
      </c>
      <c r="J456" s="315">
        <f t="shared" si="55"/>
        <v>0</v>
      </c>
      <c r="K456" s="315">
        <f t="shared" si="55"/>
        <v>0</v>
      </c>
      <c r="L456" s="315">
        <f t="shared" si="55"/>
        <v>-337481</v>
      </c>
      <c r="M456" s="315">
        <f t="shared" si="55"/>
        <v>0</v>
      </c>
      <c r="N456" s="315">
        <f t="shared" si="55"/>
        <v>0</v>
      </c>
      <c r="O456" s="315">
        <f t="shared" si="55"/>
        <v>0</v>
      </c>
      <c r="P456" s="315">
        <f t="shared" si="55"/>
        <v>0</v>
      </c>
      <c r="Q456" s="315">
        <f t="shared" si="55"/>
        <v>-225660</v>
      </c>
      <c r="R456" s="315">
        <f t="shared" si="55"/>
        <v>0</v>
      </c>
      <c r="S456" s="315">
        <f t="shared" si="55"/>
        <v>0</v>
      </c>
      <c r="T456" s="315">
        <f t="shared" si="55"/>
        <v>0</v>
      </c>
      <c r="U456" s="315">
        <f t="shared" si="55"/>
        <v>0</v>
      </c>
      <c r="V456" s="315">
        <f t="shared" si="55"/>
        <v>-850178</v>
      </c>
      <c r="W456" s="315">
        <f t="shared" si="55"/>
        <v>0</v>
      </c>
      <c r="X456" s="315">
        <f t="shared" si="55"/>
        <v>0</v>
      </c>
      <c r="Y456" s="315">
        <f t="shared" si="55"/>
        <v>0</v>
      </c>
      <c r="Z456" s="315">
        <f t="shared" si="55"/>
        <v>0</v>
      </c>
      <c r="AA456" s="315">
        <f t="shared" si="55"/>
        <v>-198644</v>
      </c>
      <c r="AB456" s="315">
        <f t="shared" si="55"/>
        <v>0</v>
      </c>
      <c r="AC456" s="315">
        <f t="shared" si="55"/>
        <v>0</v>
      </c>
      <c r="AD456" s="315">
        <f t="shared" si="55"/>
        <v>0</v>
      </c>
      <c r="AE456" s="315">
        <f t="shared" si="55"/>
        <v>0</v>
      </c>
      <c r="AF456" s="315">
        <f t="shared" si="55"/>
        <v>-262955</v>
      </c>
      <c r="AG456" s="315">
        <f t="shared" si="55"/>
        <v>0</v>
      </c>
      <c r="AH456" s="315">
        <f t="shared" si="55"/>
        <v>0</v>
      </c>
      <c r="AI456" s="315">
        <f t="shared" si="55"/>
        <v>0</v>
      </c>
      <c r="AJ456" s="315">
        <f t="shared" si="55"/>
        <v>0</v>
      </c>
      <c r="AK456" s="315">
        <f t="shared" si="55"/>
        <v>-499605</v>
      </c>
      <c r="AL456" s="315">
        <f t="shared" si="55"/>
        <v>0</v>
      </c>
      <c r="AM456" s="315">
        <f t="shared" si="55"/>
        <v>0</v>
      </c>
      <c r="AN456" s="315">
        <f t="shared" si="55"/>
        <v>0</v>
      </c>
      <c r="AO456" s="315">
        <f t="shared" si="55"/>
        <v>0</v>
      </c>
      <c r="AP456" s="315">
        <f t="shared" si="55"/>
        <v>-478222</v>
      </c>
      <c r="AQ456" s="315">
        <f t="shared" si="55"/>
        <v>0</v>
      </c>
      <c r="AR456" s="315">
        <f t="shared" si="55"/>
        <v>0</v>
      </c>
      <c r="AS456" s="315">
        <f t="shared" si="55"/>
        <v>0</v>
      </c>
      <c r="AT456" s="315">
        <f t="shared" si="55"/>
        <v>0</v>
      </c>
      <c r="AU456" s="315">
        <f t="shared" si="55"/>
        <v>-203116</v>
      </c>
      <c r="AV456" s="315">
        <f t="shared" si="55"/>
        <v>0</v>
      </c>
      <c r="AW456" s="315">
        <f t="shared" si="55"/>
        <v>0</v>
      </c>
      <c r="AX456" s="315">
        <f t="shared" si="55"/>
        <v>0</v>
      </c>
      <c r="AY456" s="315">
        <f t="shared" si="55"/>
        <v>0</v>
      </c>
      <c r="AZ456" s="315">
        <f t="shared" si="55"/>
        <v>0</v>
      </c>
      <c r="BA456" s="315">
        <f t="shared" si="55"/>
        <v>0</v>
      </c>
      <c r="BB456" s="315">
        <f t="shared" si="55"/>
        <v>0</v>
      </c>
      <c r="BC456" s="315">
        <f t="shared" si="55"/>
        <v>0</v>
      </c>
      <c r="BD456" s="315">
        <f t="shared" si="55"/>
        <v>0</v>
      </c>
      <c r="BE456" s="315">
        <f t="shared" si="55"/>
        <v>-543435</v>
      </c>
      <c r="BF456" s="315">
        <f t="shared" si="55"/>
        <v>0</v>
      </c>
      <c r="BG456" s="315">
        <f t="shared" si="55"/>
        <v>0</v>
      </c>
      <c r="BH456" s="315">
        <f t="shared" si="55"/>
        <v>0</v>
      </c>
      <c r="BI456" s="315">
        <f t="shared" si="55"/>
        <v>0</v>
      </c>
      <c r="BJ456" s="315">
        <f t="shared" si="55"/>
        <v>-80602</v>
      </c>
      <c r="BK456" s="315">
        <f t="shared" si="55"/>
        <v>0</v>
      </c>
      <c r="BL456" s="315">
        <f t="shared" si="55"/>
        <v>0</v>
      </c>
      <c r="BM456" s="315">
        <f t="shared" si="55"/>
        <v>0</v>
      </c>
      <c r="BN456" s="315">
        <f t="shared" si="55"/>
        <v>0</v>
      </c>
      <c r="BO456" s="315">
        <f t="shared" si="56"/>
        <v>-55792</v>
      </c>
      <c r="BP456" s="315">
        <f t="shared" si="56"/>
        <v>0</v>
      </c>
      <c r="BQ456" s="315">
        <f t="shared" si="56"/>
        <v>0</v>
      </c>
      <c r="BR456" s="315">
        <f t="shared" si="56"/>
        <v>0</v>
      </c>
      <c r="BS456" s="315">
        <f t="shared" si="56"/>
        <v>0</v>
      </c>
      <c r="BT456" s="315">
        <f t="shared" si="56"/>
        <v>-2852745</v>
      </c>
      <c r="BU456" s="315">
        <f t="shared" si="56"/>
        <v>0</v>
      </c>
      <c r="BV456" s="315">
        <f t="shared" si="56"/>
        <v>0</v>
      </c>
      <c r="BW456" s="315">
        <f t="shared" si="56"/>
        <v>0</v>
      </c>
      <c r="BX456" s="315">
        <f t="shared" si="56"/>
        <v>0</v>
      </c>
      <c r="BZ456" s="315">
        <f t="shared" si="57"/>
        <v>0</v>
      </c>
      <c r="CA456" s="315">
        <f t="shared" si="57"/>
        <v>0</v>
      </c>
    </row>
    <row r="457" spans="7:79" hidden="1" x14ac:dyDescent="0.2">
      <c r="G457" s="315">
        <f t="shared" si="55"/>
        <v>-3276026</v>
      </c>
      <c r="H457" s="315">
        <f t="shared" si="55"/>
        <v>0</v>
      </c>
      <c r="I457" s="315">
        <f t="shared" si="55"/>
        <v>0</v>
      </c>
      <c r="J457" s="315">
        <f t="shared" si="55"/>
        <v>0</v>
      </c>
      <c r="K457" s="315">
        <f t="shared" si="55"/>
        <v>0</v>
      </c>
      <c r="L457" s="315">
        <f t="shared" si="55"/>
        <v>-187519</v>
      </c>
      <c r="M457" s="315">
        <f t="shared" si="55"/>
        <v>0</v>
      </c>
      <c r="N457" s="315">
        <f t="shared" si="55"/>
        <v>0</v>
      </c>
      <c r="O457" s="315">
        <f t="shared" si="55"/>
        <v>0</v>
      </c>
      <c r="P457" s="315">
        <f t="shared" si="55"/>
        <v>0</v>
      </c>
      <c r="Q457" s="315">
        <f t="shared" si="55"/>
        <v>-129340</v>
      </c>
      <c r="R457" s="315">
        <f t="shared" ref="R457:BN457" si="58">R65-CJ65</f>
        <v>0</v>
      </c>
      <c r="S457" s="315">
        <f t="shared" si="58"/>
        <v>0</v>
      </c>
      <c r="T457" s="315">
        <f t="shared" si="58"/>
        <v>0</v>
      </c>
      <c r="U457" s="315">
        <f t="shared" si="58"/>
        <v>0</v>
      </c>
      <c r="V457" s="315">
        <f t="shared" si="58"/>
        <v>-409822</v>
      </c>
      <c r="W457" s="315">
        <f t="shared" si="58"/>
        <v>0</v>
      </c>
      <c r="X457" s="315">
        <f t="shared" si="58"/>
        <v>0</v>
      </c>
      <c r="Y457" s="315">
        <f t="shared" si="58"/>
        <v>0</v>
      </c>
      <c r="Z457" s="315">
        <f t="shared" si="58"/>
        <v>0</v>
      </c>
      <c r="AA457" s="315">
        <f t="shared" si="58"/>
        <v>-106356</v>
      </c>
      <c r="AB457" s="315">
        <f t="shared" si="58"/>
        <v>0</v>
      </c>
      <c r="AC457" s="315">
        <f t="shared" si="58"/>
        <v>0</v>
      </c>
      <c r="AD457" s="315">
        <f t="shared" si="58"/>
        <v>0</v>
      </c>
      <c r="AE457" s="315">
        <f t="shared" si="58"/>
        <v>0</v>
      </c>
      <c r="AF457" s="315">
        <f t="shared" si="58"/>
        <v>-162045</v>
      </c>
      <c r="AG457" s="315">
        <f t="shared" si="58"/>
        <v>0</v>
      </c>
      <c r="AH457" s="315">
        <f t="shared" si="58"/>
        <v>0</v>
      </c>
      <c r="AI457" s="315">
        <f t="shared" si="58"/>
        <v>0</v>
      </c>
      <c r="AJ457" s="315">
        <f t="shared" si="58"/>
        <v>0</v>
      </c>
      <c r="AK457" s="315">
        <f t="shared" si="58"/>
        <v>-240395</v>
      </c>
      <c r="AL457" s="315">
        <f t="shared" si="58"/>
        <v>0</v>
      </c>
      <c r="AM457" s="315">
        <f t="shared" si="58"/>
        <v>0</v>
      </c>
      <c r="AN457" s="315">
        <f t="shared" si="58"/>
        <v>0</v>
      </c>
      <c r="AO457" s="315">
        <f t="shared" si="58"/>
        <v>0</v>
      </c>
      <c r="AP457" s="315">
        <f t="shared" si="58"/>
        <v>-241778</v>
      </c>
      <c r="AQ457" s="315">
        <f t="shared" si="58"/>
        <v>0</v>
      </c>
      <c r="AR457" s="315">
        <f t="shared" si="58"/>
        <v>0</v>
      </c>
      <c r="AS457" s="315">
        <f t="shared" si="58"/>
        <v>0</v>
      </c>
      <c r="AT457" s="315">
        <f t="shared" si="58"/>
        <v>0</v>
      </c>
      <c r="AU457" s="315">
        <f t="shared" si="58"/>
        <v>-101884</v>
      </c>
      <c r="AV457" s="315">
        <f t="shared" si="58"/>
        <v>0</v>
      </c>
      <c r="AW457" s="315">
        <f t="shared" si="58"/>
        <v>0</v>
      </c>
      <c r="AX457" s="315">
        <f t="shared" si="58"/>
        <v>0</v>
      </c>
      <c r="AY457" s="315">
        <f t="shared" si="58"/>
        <v>0</v>
      </c>
      <c r="AZ457" s="315">
        <f t="shared" si="58"/>
        <v>0</v>
      </c>
      <c r="BA457" s="315">
        <f t="shared" si="58"/>
        <v>0</v>
      </c>
      <c r="BB457" s="315">
        <f t="shared" si="58"/>
        <v>0</v>
      </c>
      <c r="BC457" s="315">
        <f t="shared" si="58"/>
        <v>0</v>
      </c>
      <c r="BD457" s="315">
        <f t="shared" si="58"/>
        <v>0</v>
      </c>
      <c r="BE457" s="315">
        <f t="shared" si="58"/>
        <v>-271565</v>
      </c>
      <c r="BF457" s="315">
        <f t="shared" si="58"/>
        <v>0</v>
      </c>
      <c r="BG457" s="315">
        <f t="shared" si="58"/>
        <v>0</v>
      </c>
      <c r="BH457" s="315">
        <f t="shared" si="58"/>
        <v>0</v>
      </c>
      <c r="BI457" s="315">
        <f t="shared" si="58"/>
        <v>0</v>
      </c>
      <c r="BJ457" s="315">
        <f t="shared" si="58"/>
        <v>-39398</v>
      </c>
      <c r="BK457" s="315">
        <f t="shared" si="58"/>
        <v>0</v>
      </c>
      <c r="BL457" s="315">
        <f t="shared" si="58"/>
        <v>0</v>
      </c>
      <c r="BM457" s="315">
        <f t="shared" si="58"/>
        <v>0</v>
      </c>
      <c r="BN457" s="315">
        <f t="shared" si="58"/>
        <v>0</v>
      </c>
      <c r="BO457" s="315">
        <f t="shared" si="56"/>
        <v>-24208</v>
      </c>
      <c r="BP457" s="315">
        <f t="shared" si="56"/>
        <v>0</v>
      </c>
      <c r="BQ457" s="315">
        <f t="shared" si="56"/>
        <v>0</v>
      </c>
      <c r="BR457" s="315">
        <f t="shared" si="56"/>
        <v>0</v>
      </c>
      <c r="BS457" s="315">
        <f t="shared" si="56"/>
        <v>0</v>
      </c>
      <c r="BT457" s="315">
        <f t="shared" si="56"/>
        <v>-1477255</v>
      </c>
      <c r="BU457" s="315">
        <f t="shared" si="56"/>
        <v>0</v>
      </c>
      <c r="BV457" s="315">
        <f t="shared" si="56"/>
        <v>0</v>
      </c>
      <c r="BW457" s="315">
        <f t="shared" si="56"/>
        <v>0</v>
      </c>
      <c r="BX457" s="315">
        <f t="shared" si="56"/>
        <v>0</v>
      </c>
      <c r="BZ457" s="315">
        <f t="shared" si="57"/>
        <v>0</v>
      </c>
      <c r="CA457" s="315">
        <f t="shared" si="57"/>
        <v>0</v>
      </c>
    </row>
    <row r="458" spans="7:79" hidden="1" x14ac:dyDescent="0.2">
      <c r="G458" s="315">
        <f t="shared" ref="G458:BR461" si="59">G67-BY67</f>
        <v>-5133929</v>
      </c>
      <c r="H458" s="315">
        <f t="shared" si="59"/>
        <v>0</v>
      </c>
      <c r="I458" s="315">
        <f t="shared" si="59"/>
        <v>0</v>
      </c>
      <c r="J458" s="315">
        <f t="shared" si="59"/>
        <v>0</v>
      </c>
      <c r="K458" s="315">
        <f t="shared" si="59"/>
        <v>0</v>
      </c>
      <c r="L458" s="315">
        <f t="shared" si="59"/>
        <v>-255849</v>
      </c>
      <c r="M458" s="315">
        <f t="shared" si="59"/>
        <v>0</v>
      </c>
      <c r="N458" s="315">
        <f t="shared" si="59"/>
        <v>0</v>
      </c>
      <c r="O458" s="315">
        <f t="shared" si="59"/>
        <v>0</v>
      </c>
      <c r="P458" s="315">
        <f t="shared" si="59"/>
        <v>0</v>
      </c>
      <c r="Q458" s="315">
        <f t="shared" si="59"/>
        <v>-144141</v>
      </c>
      <c r="R458" s="315">
        <f t="shared" si="59"/>
        <v>0</v>
      </c>
      <c r="S458" s="315">
        <f t="shared" si="59"/>
        <v>0</v>
      </c>
      <c r="T458" s="315">
        <f t="shared" si="59"/>
        <v>0</v>
      </c>
      <c r="U458" s="315">
        <f t="shared" si="59"/>
        <v>0</v>
      </c>
      <c r="V458" s="315">
        <f t="shared" si="59"/>
        <v>-566823</v>
      </c>
      <c r="W458" s="315">
        <f t="shared" si="59"/>
        <v>0</v>
      </c>
      <c r="X458" s="315">
        <f t="shared" si="59"/>
        <v>0</v>
      </c>
      <c r="Y458" s="315">
        <f t="shared" si="59"/>
        <v>0</v>
      </c>
      <c r="Z458" s="315">
        <f t="shared" si="59"/>
        <v>0</v>
      </c>
      <c r="AA458" s="315">
        <f t="shared" si="59"/>
        <v>-144059</v>
      </c>
      <c r="AB458" s="315">
        <f t="shared" si="59"/>
        <v>0</v>
      </c>
      <c r="AC458" s="315">
        <f t="shared" si="59"/>
        <v>0</v>
      </c>
      <c r="AD458" s="315">
        <f t="shared" si="59"/>
        <v>0</v>
      </c>
      <c r="AE458" s="315">
        <f t="shared" si="59"/>
        <v>0</v>
      </c>
      <c r="AF458" s="315">
        <f t="shared" si="59"/>
        <v>-139349</v>
      </c>
      <c r="AG458" s="315">
        <f t="shared" si="59"/>
        <v>0</v>
      </c>
      <c r="AH458" s="315">
        <f t="shared" si="59"/>
        <v>0</v>
      </c>
      <c r="AI458" s="315">
        <f t="shared" si="59"/>
        <v>0</v>
      </c>
      <c r="AJ458" s="315">
        <f t="shared" si="59"/>
        <v>0</v>
      </c>
      <c r="AK458" s="315">
        <f t="shared" si="59"/>
        <v>-330097</v>
      </c>
      <c r="AL458" s="315">
        <f t="shared" si="59"/>
        <v>0</v>
      </c>
      <c r="AM458" s="315">
        <f t="shared" si="59"/>
        <v>0</v>
      </c>
      <c r="AN458" s="315">
        <f t="shared" si="59"/>
        <v>0</v>
      </c>
      <c r="AO458" s="315">
        <f t="shared" si="59"/>
        <v>0</v>
      </c>
      <c r="AP458" s="315">
        <f t="shared" si="59"/>
        <v>-377082</v>
      </c>
      <c r="AQ458" s="315">
        <f t="shared" si="59"/>
        <v>0</v>
      </c>
      <c r="AR458" s="315">
        <f t="shared" si="59"/>
        <v>0</v>
      </c>
      <c r="AS458" s="315">
        <f t="shared" si="59"/>
        <v>0</v>
      </c>
      <c r="AT458" s="315">
        <f t="shared" si="59"/>
        <v>0</v>
      </c>
      <c r="AU458" s="315">
        <f t="shared" si="59"/>
        <v>-174599</v>
      </c>
      <c r="AV458" s="315">
        <f t="shared" si="59"/>
        <v>0</v>
      </c>
      <c r="AW458" s="315">
        <f t="shared" si="59"/>
        <v>0</v>
      </c>
      <c r="AX458" s="315">
        <f t="shared" si="59"/>
        <v>0</v>
      </c>
      <c r="AY458" s="315">
        <f t="shared" si="59"/>
        <v>0</v>
      </c>
      <c r="AZ458" s="315">
        <f t="shared" si="59"/>
        <v>0</v>
      </c>
      <c r="BA458" s="315">
        <f t="shared" si="59"/>
        <v>0</v>
      </c>
      <c r="BB458" s="315">
        <f t="shared" si="59"/>
        <v>0</v>
      </c>
      <c r="BC458" s="315">
        <f t="shared" si="59"/>
        <v>0</v>
      </c>
      <c r="BD458" s="315">
        <f t="shared" si="59"/>
        <v>0</v>
      </c>
      <c r="BE458" s="315">
        <f t="shared" si="59"/>
        <v>-474328</v>
      </c>
      <c r="BF458" s="315">
        <f t="shared" si="59"/>
        <v>0</v>
      </c>
      <c r="BG458" s="315">
        <f t="shared" si="59"/>
        <v>0</v>
      </c>
      <c r="BH458" s="315">
        <f t="shared" si="59"/>
        <v>0</v>
      </c>
      <c r="BI458" s="315">
        <f t="shared" si="59"/>
        <v>0</v>
      </c>
      <c r="BJ458" s="315">
        <f t="shared" si="59"/>
        <v>-70016</v>
      </c>
      <c r="BK458" s="315">
        <f t="shared" si="59"/>
        <v>0</v>
      </c>
      <c r="BL458" s="315">
        <f t="shared" si="59"/>
        <v>0</v>
      </c>
      <c r="BM458" s="315">
        <f t="shared" si="59"/>
        <v>0</v>
      </c>
      <c r="BN458" s="315">
        <f t="shared" si="59"/>
        <v>0</v>
      </c>
      <c r="BO458" s="315">
        <f t="shared" si="59"/>
        <v>-47378</v>
      </c>
      <c r="BP458" s="315">
        <f t="shared" si="59"/>
        <v>0</v>
      </c>
      <c r="BQ458" s="315">
        <f t="shared" si="59"/>
        <v>0</v>
      </c>
      <c r="BR458" s="315">
        <f t="shared" si="59"/>
        <v>0</v>
      </c>
      <c r="BS458" s="315">
        <f t="shared" ref="BS458:BX473" si="60">BS67-EK67</f>
        <v>0</v>
      </c>
      <c r="BT458" s="315">
        <f t="shared" si="60"/>
        <v>-1957400</v>
      </c>
      <c r="BU458" s="315">
        <f t="shared" si="60"/>
        <v>0</v>
      </c>
      <c r="BV458" s="315">
        <f t="shared" si="60"/>
        <v>0</v>
      </c>
      <c r="BW458" s="315">
        <f t="shared" si="60"/>
        <v>0</v>
      </c>
      <c r="BX458" s="315">
        <f t="shared" si="60"/>
        <v>0</v>
      </c>
      <c r="BZ458" s="315">
        <f t="shared" ref="BZ458:CA473" si="61">BZ67-ER67</f>
        <v>0</v>
      </c>
      <c r="CA458" s="315">
        <f t="shared" si="61"/>
        <v>0</v>
      </c>
    </row>
    <row r="459" spans="7:79" hidden="1" x14ac:dyDescent="0.2">
      <c r="G459" s="315">
        <f t="shared" si="59"/>
        <v>0</v>
      </c>
      <c r="H459" s="315">
        <f t="shared" si="59"/>
        <v>0</v>
      </c>
      <c r="I459" s="315">
        <f t="shared" si="59"/>
        <v>0</v>
      </c>
      <c r="J459" s="315">
        <f t="shared" si="59"/>
        <v>0</v>
      </c>
      <c r="K459" s="315">
        <f t="shared" si="59"/>
        <v>0</v>
      </c>
      <c r="L459" s="315">
        <f t="shared" si="59"/>
        <v>0</v>
      </c>
      <c r="M459" s="315">
        <f t="shared" si="59"/>
        <v>0</v>
      </c>
      <c r="N459" s="315">
        <f t="shared" si="59"/>
        <v>0</v>
      </c>
      <c r="O459" s="315">
        <f t="shared" si="59"/>
        <v>0</v>
      </c>
      <c r="P459" s="315">
        <f t="shared" si="59"/>
        <v>0</v>
      </c>
      <c r="Q459" s="315">
        <f t="shared" si="59"/>
        <v>0</v>
      </c>
      <c r="R459" s="315">
        <f t="shared" si="59"/>
        <v>0</v>
      </c>
      <c r="S459" s="315">
        <f t="shared" si="59"/>
        <v>0</v>
      </c>
      <c r="T459" s="315">
        <f t="shared" si="59"/>
        <v>0</v>
      </c>
      <c r="U459" s="315">
        <f t="shared" si="59"/>
        <v>0</v>
      </c>
      <c r="V459" s="315">
        <f t="shared" si="59"/>
        <v>0</v>
      </c>
      <c r="W459" s="315">
        <f t="shared" si="59"/>
        <v>0</v>
      </c>
      <c r="X459" s="315">
        <f t="shared" si="59"/>
        <v>0</v>
      </c>
      <c r="Y459" s="315">
        <f t="shared" si="59"/>
        <v>0</v>
      </c>
      <c r="Z459" s="315">
        <f t="shared" si="59"/>
        <v>0</v>
      </c>
      <c r="AA459" s="315">
        <f t="shared" si="59"/>
        <v>0</v>
      </c>
      <c r="AB459" s="315">
        <f t="shared" si="59"/>
        <v>0</v>
      </c>
      <c r="AC459" s="315">
        <f t="shared" si="59"/>
        <v>0</v>
      </c>
      <c r="AD459" s="315">
        <f t="shared" si="59"/>
        <v>0</v>
      </c>
      <c r="AE459" s="315">
        <f t="shared" si="59"/>
        <v>0</v>
      </c>
      <c r="AF459" s="315">
        <f t="shared" si="59"/>
        <v>0</v>
      </c>
      <c r="AG459" s="315">
        <f t="shared" si="59"/>
        <v>0</v>
      </c>
      <c r="AH459" s="315">
        <f t="shared" si="59"/>
        <v>0</v>
      </c>
      <c r="AI459" s="315">
        <f t="shared" si="59"/>
        <v>0</v>
      </c>
      <c r="AJ459" s="315">
        <f t="shared" si="59"/>
        <v>0</v>
      </c>
      <c r="AK459" s="315">
        <f t="shared" si="59"/>
        <v>0</v>
      </c>
      <c r="AL459" s="315">
        <f t="shared" si="59"/>
        <v>0</v>
      </c>
      <c r="AM459" s="315">
        <f t="shared" si="59"/>
        <v>0</v>
      </c>
      <c r="AN459" s="315">
        <f t="shared" si="59"/>
        <v>0</v>
      </c>
      <c r="AO459" s="315">
        <f t="shared" si="59"/>
        <v>0</v>
      </c>
      <c r="AP459" s="315">
        <f t="shared" si="59"/>
        <v>0</v>
      </c>
      <c r="AQ459" s="315">
        <f t="shared" si="59"/>
        <v>0</v>
      </c>
      <c r="AR459" s="315">
        <f t="shared" si="59"/>
        <v>0</v>
      </c>
      <c r="AS459" s="315">
        <f t="shared" si="59"/>
        <v>0</v>
      </c>
      <c r="AT459" s="315">
        <f t="shared" si="59"/>
        <v>0</v>
      </c>
      <c r="AU459" s="315">
        <f t="shared" si="59"/>
        <v>0</v>
      </c>
      <c r="AV459" s="315">
        <f t="shared" si="59"/>
        <v>0</v>
      </c>
      <c r="AW459" s="315">
        <f t="shared" si="59"/>
        <v>0</v>
      </c>
      <c r="AX459" s="315">
        <f t="shared" si="59"/>
        <v>0</v>
      </c>
      <c r="AY459" s="315">
        <f t="shared" si="59"/>
        <v>0</v>
      </c>
      <c r="AZ459" s="315">
        <f t="shared" si="59"/>
        <v>0</v>
      </c>
      <c r="BA459" s="315">
        <f t="shared" si="59"/>
        <v>0</v>
      </c>
      <c r="BB459" s="315">
        <f t="shared" si="59"/>
        <v>0</v>
      </c>
      <c r="BC459" s="315">
        <f t="shared" si="59"/>
        <v>0</v>
      </c>
      <c r="BD459" s="315">
        <f t="shared" si="59"/>
        <v>0</v>
      </c>
      <c r="BE459" s="315">
        <f t="shared" si="59"/>
        <v>0</v>
      </c>
      <c r="BF459" s="315">
        <f t="shared" si="59"/>
        <v>0</v>
      </c>
      <c r="BG459" s="315">
        <f t="shared" si="59"/>
        <v>0</v>
      </c>
      <c r="BH459" s="315">
        <f t="shared" si="59"/>
        <v>0</v>
      </c>
      <c r="BI459" s="315">
        <f t="shared" si="59"/>
        <v>0</v>
      </c>
      <c r="BJ459" s="315">
        <f t="shared" si="59"/>
        <v>0</v>
      </c>
      <c r="BK459" s="315">
        <f t="shared" si="59"/>
        <v>0</v>
      </c>
      <c r="BL459" s="315">
        <f t="shared" si="59"/>
        <v>0</v>
      </c>
      <c r="BM459" s="315">
        <f t="shared" si="59"/>
        <v>0</v>
      </c>
      <c r="BN459" s="315">
        <f t="shared" si="59"/>
        <v>0</v>
      </c>
      <c r="BO459" s="315">
        <f t="shared" si="59"/>
        <v>0</v>
      </c>
      <c r="BP459" s="315">
        <f t="shared" si="59"/>
        <v>0</v>
      </c>
      <c r="BQ459" s="315">
        <f t="shared" si="59"/>
        <v>0</v>
      </c>
      <c r="BR459" s="315">
        <f t="shared" si="59"/>
        <v>0</v>
      </c>
      <c r="BS459" s="315">
        <f t="shared" si="60"/>
        <v>0</v>
      </c>
      <c r="BT459" s="315">
        <f t="shared" si="60"/>
        <v>0</v>
      </c>
      <c r="BU459" s="315">
        <f t="shared" si="60"/>
        <v>0</v>
      </c>
      <c r="BV459" s="315">
        <f t="shared" si="60"/>
        <v>0</v>
      </c>
      <c r="BW459" s="315">
        <f t="shared" si="60"/>
        <v>0</v>
      </c>
      <c r="BX459" s="315">
        <f t="shared" si="60"/>
        <v>0</v>
      </c>
      <c r="BZ459" s="315">
        <f t="shared" si="61"/>
        <v>0</v>
      </c>
      <c r="CA459" s="315">
        <f t="shared" si="61"/>
        <v>0</v>
      </c>
    </row>
    <row r="460" spans="7:79" hidden="1" x14ac:dyDescent="0.2">
      <c r="G460" s="315">
        <f t="shared" si="59"/>
        <v>-19443086</v>
      </c>
      <c r="H460" s="315">
        <f t="shared" si="59"/>
        <v>0</v>
      </c>
      <c r="I460" s="315">
        <f t="shared" si="59"/>
        <v>0</v>
      </c>
      <c r="J460" s="315">
        <f t="shared" si="59"/>
        <v>0</v>
      </c>
      <c r="K460" s="315">
        <f t="shared" si="59"/>
        <v>0</v>
      </c>
      <c r="L460" s="315">
        <f t="shared" si="59"/>
        <v>-398152</v>
      </c>
      <c r="M460" s="315">
        <f t="shared" si="59"/>
        <v>0</v>
      </c>
      <c r="N460" s="315">
        <f t="shared" si="59"/>
        <v>0</v>
      </c>
      <c r="O460" s="315">
        <f t="shared" si="59"/>
        <v>0</v>
      </c>
      <c r="P460" s="315">
        <f t="shared" si="59"/>
        <v>0</v>
      </c>
      <c r="Q460" s="315">
        <f t="shared" si="59"/>
        <v>-500537</v>
      </c>
      <c r="R460" s="315">
        <f t="shared" si="59"/>
        <v>0</v>
      </c>
      <c r="S460" s="315">
        <f t="shared" si="59"/>
        <v>0</v>
      </c>
      <c r="T460" s="315">
        <f t="shared" si="59"/>
        <v>0</v>
      </c>
      <c r="U460" s="315">
        <f t="shared" si="59"/>
        <v>0</v>
      </c>
      <c r="V460" s="315">
        <f t="shared" si="59"/>
        <v>1360369</v>
      </c>
      <c r="W460" s="315">
        <f t="shared" si="59"/>
        <v>0</v>
      </c>
      <c r="X460" s="315">
        <f t="shared" si="59"/>
        <v>0</v>
      </c>
      <c r="Y460" s="315">
        <f t="shared" si="59"/>
        <v>0</v>
      </c>
      <c r="Z460" s="315">
        <f t="shared" si="59"/>
        <v>0</v>
      </c>
      <c r="AA460" s="315">
        <f t="shared" si="59"/>
        <v>299961</v>
      </c>
      <c r="AB460" s="315">
        <f t="shared" si="59"/>
        <v>0</v>
      </c>
      <c r="AC460" s="315">
        <f t="shared" si="59"/>
        <v>0</v>
      </c>
      <c r="AD460" s="315">
        <f t="shared" si="59"/>
        <v>0</v>
      </c>
      <c r="AE460" s="315">
        <f t="shared" si="59"/>
        <v>0</v>
      </c>
      <c r="AF460" s="315">
        <f t="shared" si="59"/>
        <v>-150074</v>
      </c>
      <c r="AG460" s="315">
        <f t="shared" si="59"/>
        <v>0</v>
      </c>
      <c r="AH460" s="315">
        <f t="shared" si="59"/>
        <v>0</v>
      </c>
      <c r="AI460" s="315">
        <f t="shared" si="59"/>
        <v>0</v>
      </c>
      <c r="AJ460" s="315">
        <f t="shared" si="59"/>
        <v>0</v>
      </c>
      <c r="AK460" s="315">
        <f t="shared" si="59"/>
        <v>-1060559</v>
      </c>
      <c r="AL460" s="315">
        <f t="shared" si="59"/>
        <v>0</v>
      </c>
      <c r="AM460" s="315">
        <f t="shared" si="59"/>
        <v>0</v>
      </c>
      <c r="AN460" s="315">
        <f t="shared" si="59"/>
        <v>0</v>
      </c>
      <c r="AO460" s="315">
        <f t="shared" si="59"/>
        <v>0</v>
      </c>
      <c r="AP460" s="315">
        <f t="shared" si="59"/>
        <v>949389</v>
      </c>
      <c r="AQ460" s="315">
        <f t="shared" si="59"/>
        <v>0</v>
      </c>
      <c r="AR460" s="315">
        <f t="shared" si="59"/>
        <v>0</v>
      </c>
      <c r="AS460" s="315">
        <f t="shared" si="59"/>
        <v>0</v>
      </c>
      <c r="AT460" s="315">
        <f t="shared" si="59"/>
        <v>0</v>
      </c>
      <c r="AU460" s="315">
        <f t="shared" si="59"/>
        <v>-1888507</v>
      </c>
      <c r="AV460" s="315">
        <f t="shared" si="59"/>
        <v>0</v>
      </c>
      <c r="AW460" s="315">
        <f t="shared" si="59"/>
        <v>0</v>
      </c>
      <c r="AX460" s="315">
        <f t="shared" si="59"/>
        <v>0</v>
      </c>
      <c r="AY460" s="315">
        <f t="shared" si="59"/>
        <v>0</v>
      </c>
      <c r="AZ460" s="315">
        <f t="shared" si="59"/>
        <v>-3440295</v>
      </c>
      <c r="BA460" s="315">
        <f t="shared" si="59"/>
        <v>0</v>
      </c>
      <c r="BB460" s="315">
        <f t="shared" si="59"/>
        <v>0</v>
      </c>
      <c r="BC460" s="315">
        <f t="shared" si="59"/>
        <v>0</v>
      </c>
      <c r="BD460" s="315">
        <f t="shared" si="59"/>
        <v>0</v>
      </c>
      <c r="BE460" s="315">
        <f t="shared" si="59"/>
        <v>-1170008</v>
      </c>
      <c r="BF460" s="315">
        <f t="shared" si="59"/>
        <v>0</v>
      </c>
      <c r="BG460" s="315">
        <f t="shared" si="59"/>
        <v>0</v>
      </c>
      <c r="BH460" s="315">
        <f t="shared" si="59"/>
        <v>0</v>
      </c>
      <c r="BI460" s="315">
        <f t="shared" si="59"/>
        <v>0</v>
      </c>
      <c r="BJ460" s="315">
        <f t="shared" si="59"/>
        <v>-1861992</v>
      </c>
      <c r="BK460" s="315">
        <f t="shared" si="59"/>
        <v>0</v>
      </c>
      <c r="BL460" s="315">
        <f t="shared" si="59"/>
        <v>0</v>
      </c>
      <c r="BM460" s="315">
        <f t="shared" si="59"/>
        <v>0</v>
      </c>
      <c r="BN460" s="315">
        <f t="shared" si="59"/>
        <v>0</v>
      </c>
      <c r="BO460" s="315">
        <f t="shared" si="59"/>
        <v>-1159927</v>
      </c>
      <c r="BP460" s="315">
        <f t="shared" si="59"/>
        <v>0</v>
      </c>
      <c r="BQ460" s="315">
        <f t="shared" si="59"/>
        <v>0</v>
      </c>
      <c r="BR460" s="315">
        <f t="shared" si="59"/>
        <v>0</v>
      </c>
      <c r="BS460" s="315">
        <f t="shared" si="60"/>
        <v>0</v>
      </c>
      <c r="BT460" s="315">
        <f t="shared" si="60"/>
        <v>500397</v>
      </c>
      <c r="BU460" s="315">
        <f t="shared" si="60"/>
        <v>0</v>
      </c>
      <c r="BV460" s="315">
        <f t="shared" si="60"/>
        <v>0</v>
      </c>
      <c r="BW460" s="315">
        <f t="shared" si="60"/>
        <v>0</v>
      </c>
      <c r="BX460" s="315">
        <f t="shared" si="60"/>
        <v>0</v>
      </c>
      <c r="BZ460" s="315">
        <f t="shared" si="61"/>
        <v>0</v>
      </c>
      <c r="CA460" s="315">
        <f t="shared" si="61"/>
        <v>0</v>
      </c>
    </row>
    <row r="461" spans="7:79" hidden="1" x14ac:dyDescent="0.2">
      <c r="G461" s="315">
        <f t="shared" si="59"/>
        <v>-8283003</v>
      </c>
      <c r="H461" s="315">
        <f t="shared" si="59"/>
        <v>0</v>
      </c>
      <c r="I461" s="315">
        <f t="shared" si="59"/>
        <v>0</v>
      </c>
      <c r="J461" s="315">
        <f t="shared" si="59"/>
        <v>0</v>
      </c>
      <c r="K461" s="315">
        <f t="shared" si="59"/>
        <v>0</v>
      </c>
      <c r="L461" s="315">
        <f t="shared" si="59"/>
        <v>-175494</v>
      </c>
      <c r="M461" s="315">
        <f t="shared" si="59"/>
        <v>0</v>
      </c>
      <c r="N461" s="315">
        <f t="shared" si="59"/>
        <v>0</v>
      </c>
      <c r="O461" s="315">
        <f t="shared" si="59"/>
        <v>0</v>
      </c>
      <c r="P461" s="315">
        <f t="shared" si="59"/>
        <v>0</v>
      </c>
      <c r="Q461" s="315">
        <f t="shared" si="59"/>
        <v>-214295</v>
      </c>
      <c r="R461" s="315">
        <f t="shared" si="59"/>
        <v>0</v>
      </c>
      <c r="S461" s="315">
        <f t="shared" si="59"/>
        <v>0</v>
      </c>
      <c r="T461" s="315">
        <f t="shared" si="59"/>
        <v>0</v>
      </c>
      <c r="U461" s="315">
        <f t="shared" si="59"/>
        <v>0</v>
      </c>
      <c r="V461" s="315">
        <f t="shared" si="59"/>
        <v>541829</v>
      </c>
      <c r="W461" s="315">
        <f t="shared" si="59"/>
        <v>0</v>
      </c>
      <c r="X461" s="315">
        <f t="shared" si="59"/>
        <v>0</v>
      </c>
      <c r="Y461" s="315">
        <f t="shared" si="59"/>
        <v>0</v>
      </c>
      <c r="Z461" s="315">
        <f t="shared" si="59"/>
        <v>0</v>
      </c>
      <c r="AA461" s="315">
        <f t="shared" si="59"/>
        <v>91044</v>
      </c>
      <c r="AB461" s="315">
        <f t="shared" si="59"/>
        <v>0</v>
      </c>
      <c r="AC461" s="315">
        <f t="shared" si="59"/>
        <v>0</v>
      </c>
      <c r="AD461" s="315">
        <f t="shared" si="59"/>
        <v>0</v>
      </c>
      <c r="AE461" s="315">
        <f t="shared" si="59"/>
        <v>0</v>
      </c>
      <c r="AF461" s="315">
        <f t="shared" si="59"/>
        <v>-125466</v>
      </c>
      <c r="AG461" s="315">
        <f t="shared" si="59"/>
        <v>0</v>
      </c>
      <c r="AH461" s="315">
        <f t="shared" si="59"/>
        <v>0</v>
      </c>
      <c r="AI461" s="315">
        <f t="shared" si="59"/>
        <v>0</v>
      </c>
      <c r="AJ461" s="315">
        <f t="shared" si="59"/>
        <v>0</v>
      </c>
      <c r="AK461" s="315">
        <f t="shared" si="59"/>
        <v>-502203</v>
      </c>
      <c r="AL461" s="315">
        <f t="shared" si="59"/>
        <v>0</v>
      </c>
      <c r="AM461" s="315">
        <f t="shared" si="59"/>
        <v>0</v>
      </c>
      <c r="AN461" s="315">
        <f t="shared" si="59"/>
        <v>0</v>
      </c>
      <c r="AO461" s="315">
        <f t="shared" si="59"/>
        <v>0</v>
      </c>
      <c r="AP461" s="315">
        <f t="shared" si="59"/>
        <v>179342</v>
      </c>
      <c r="AQ461" s="315">
        <f t="shared" si="59"/>
        <v>0</v>
      </c>
      <c r="AR461" s="315">
        <f t="shared" si="59"/>
        <v>0</v>
      </c>
      <c r="AS461" s="315">
        <f t="shared" si="59"/>
        <v>0</v>
      </c>
      <c r="AT461" s="315">
        <f t="shared" si="59"/>
        <v>0</v>
      </c>
      <c r="AU461" s="315">
        <f t="shared" si="59"/>
        <v>-779008</v>
      </c>
      <c r="AV461" s="315">
        <f t="shared" si="59"/>
        <v>0</v>
      </c>
      <c r="AW461" s="315">
        <f t="shared" si="59"/>
        <v>0</v>
      </c>
      <c r="AX461" s="315">
        <f t="shared" si="59"/>
        <v>0</v>
      </c>
      <c r="AY461" s="315">
        <f t="shared" si="59"/>
        <v>0</v>
      </c>
      <c r="AZ461" s="315">
        <f t="shared" si="59"/>
        <v>-1428604</v>
      </c>
      <c r="BA461" s="315">
        <f t="shared" si="59"/>
        <v>0</v>
      </c>
      <c r="BB461" s="315">
        <f t="shared" si="59"/>
        <v>0</v>
      </c>
      <c r="BC461" s="315">
        <f t="shared" si="59"/>
        <v>0</v>
      </c>
      <c r="BD461" s="315">
        <f t="shared" si="59"/>
        <v>0</v>
      </c>
      <c r="BE461" s="315">
        <f t="shared" si="59"/>
        <v>-517864</v>
      </c>
      <c r="BF461" s="315">
        <f t="shared" si="59"/>
        <v>0</v>
      </c>
      <c r="BG461" s="315">
        <f t="shared" si="59"/>
        <v>0</v>
      </c>
      <c r="BH461" s="315">
        <f t="shared" si="59"/>
        <v>0</v>
      </c>
      <c r="BI461" s="315">
        <f t="shared" si="59"/>
        <v>0</v>
      </c>
      <c r="BJ461" s="315">
        <f t="shared" si="59"/>
        <v>-846009</v>
      </c>
      <c r="BK461" s="315">
        <f t="shared" si="59"/>
        <v>0</v>
      </c>
      <c r="BL461" s="315">
        <f t="shared" si="59"/>
        <v>0</v>
      </c>
      <c r="BM461" s="315">
        <f t="shared" si="59"/>
        <v>0</v>
      </c>
      <c r="BN461" s="315">
        <f t="shared" si="59"/>
        <v>0</v>
      </c>
      <c r="BO461" s="315">
        <f t="shared" si="59"/>
        <v>-495663</v>
      </c>
      <c r="BP461" s="315">
        <f t="shared" si="59"/>
        <v>0</v>
      </c>
      <c r="BQ461" s="315">
        <f t="shared" si="59"/>
        <v>0</v>
      </c>
      <c r="BR461" s="315">
        <f t="shared" ref="BR461:BX474" si="62">BR70-EJ70</f>
        <v>0</v>
      </c>
      <c r="BS461" s="315">
        <f t="shared" si="60"/>
        <v>0</v>
      </c>
      <c r="BT461" s="315">
        <f t="shared" si="60"/>
        <v>-205243</v>
      </c>
      <c r="BU461" s="315">
        <f t="shared" si="60"/>
        <v>0</v>
      </c>
      <c r="BV461" s="315">
        <f t="shared" si="60"/>
        <v>0</v>
      </c>
      <c r="BW461" s="315">
        <f t="shared" si="60"/>
        <v>0</v>
      </c>
      <c r="BX461" s="315">
        <f t="shared" si="60"/>
        <v>0</v>
      </c>
      <c r="BZ461" s="315">
        <f t="shared" si="61"/>
        <v>0</v>
      </c>
      <c r="CA461" s="315">
        <f t="shared" si="61"/>
        <v>0</v>
      </c>
    </row>
    <row r="462" spans="7:79" hidden="1" x14ac:dyDescent="0.2">
      <c r="G462" s="315">
        <f t="shared" ref="G462:BQ466" si="63">G71-BY71</f>
        <v>-4926997</v>
      </c>
      <c r="H462" s="315">
        <f t="shared" si="63"/>
        <v>0</v>
      </c>
      <c r="I462" s="315">
        <f t="shared" si="63"/>
        <v>0</v>
      </c>
      <c r="J462" s="315">
        <f t="shared" si="63"/>
        <v>0</v>
      </c>
      <c r="K462" s="315">
        <f t="shared" si="63"/>
        <v>0</v>
      </c>
      <c r="L462" s="315">
        <f t="shared" si="63"/>
        <v>-119506</v>
      </c>
      <c r="M462" s="315">
        <f t="shared" si="63"/>
        <v>0</v>
      </c>
      <c r="N462" s="315">
        <f t="shared" si="63"/>
        <v>0</v>
      </c>
      <c r="O462" s="315">
        <f t="shared" si="63"/>
        <v>0</v>
      </c>
      <c r="P462" s="315">
        <f t="shared" si="63"/>
        <v>0</v>
      </c>
      <c r="Q462" s="315">
        <f t="shared" si="63"/>
        <v>-135705</v>
      </c>
      <c r="R462" s="315">
        <f t="shared" si="63"/>
        <v>0</v>
      </c>
      <c r="S462" s="315">
        <f t="shared" si="63"/>
        <v>0</v>
      </c>
      <c r="T462" s="315">
        <f t="shared" si="63"/>
        <v>0</v>
      </c>
      <c r="U462" s="315">
        <f t="shared" si="63"/>
        <v>0</v>
      </c>
      <c r="V462" s="315">
        <f t="shared" si="63"/>
        <v>293171</v>
      </c>
      <c r="W462" s="315">
        <f t="shared" si="63"/>
        <v>0</v>
      </c>
      <c r="X462" s="315">
        <f t="shared" si="63"/>
        <v>0</v>
      </c>
      <c r="Y462" s="315">
        <f t="shared" si="63"/>
        <v>0</v>
      </c>
      <c r="Z462" s="315">
        <f t="shared" si="63"/>
        <v>0</v>
      </c>
      <c r="AA462" s="315">
        <f t="shared" si="63"/>
        <v>68956</v>
      </c>
      <c r="AB462" s="315">
        <f t="shared" si="63"/>
        <v>0</v>
      </c>
      <c r="AC462" s="315">
        <f t="shared" si="63"/>
        <v>0</v>
      </c>
      <c r="AD462" s="315">
        <f t="shared" si="63"/>
        <v>0</v>
      </c>
      <c r="AE462" s="315">
        <f t="shared" si="63"/>
        <v>0</v>
      </c>
      <c r="AF462" s="315">
        <f t="shared" si="63"/>
        <v>-69534</v>
      </c>
      <c r="AG462" s="315">
        <f t="shared" si="63"/>
        <v>0</v>
      </c>
      <c r="AH462" s="315">
        <f t="shared" si="63"/>
        <v>0</v>
      </c>
      <c r="AI462" s="315">
        <f t="shared" si="63"/>
        <v>0</v>
      </c>
      <c r="AJ462" s="315">
        <f t="shared" si="63"/>
        <v>0</v>
      </c>
      <c r="AK462" s="315">
        <f t="shared" si="63"/>
        <v>-267797</v>
      </c>
      <c r="AL462" s="315">
        <f t="shared" si="63"/>
        <v>0</v>
      </c>
      <c r="AM462" s="315">
        <f t="shared" si="63"/>
        <v>0</v>
      </c>
      <c r="AN462" s="315">
        <f t="shared" si="63"/>
        <v>0</v>
      </c>
      <c r="AO462" s="315">
        <f t="shared" si="63"/>
        <v>0</v>
      </c>
      <c r="AP462" s="315">
        <f t="shared" si="63"/>
        <v>340658</v>
      </c>
      <c r="AQ462" s="315">
        <f t="shared" si="63"/>
        <v>0</v>
      </c>
      <c r="AR462" s="315">
        <f t="shared" si="63"/>
        <v>0</v>
      </c>
      <c r="AS462" s="315">
        <f t="shared" si="63"/>
        <v>0</v>
      </c>
      <c r="AT462" s="315">
        <f t="shared" si="63"/>
        <v>0</v>
      </c>
      <c r="AU462" s="315">
        <f t="shared" si="63"/>
        <v>-495992</v>
      </c>
      <c r="AV462" s="315">
        <f t="shared" si="63"/>
        <v>0</v>
      </c>
      <c r="AW462" s="315">
        <f t="shared" si="63"/>
        <v>0</v>
      </c>
      <c r="AX462" s="315">
        <f t="shared" si="63"/>
        <v>0</v>
      </c>
      <c r="AY462" s="315">
        <f t="shared" si="63"/>
        <v>0</v>
      </c>
      <c r="AZ462" s="315">
        <f t="shared" si="63"/>
        <v>-886396</v>
      </c>
      <c r="BA462" s="315">
        <f t="shared" si="63"/>
        <v>0</v>
      </c>
      <c r="BB462" s="315">
        <f t="shared" si="63"/>
        <v>0</v>
      </c>
      <c r="BC462" s="315">
        <f t="shared" si="63"/>
        <v>0</v>
      </c>
      <c r="BD462" s="315">
        <f t="shared" si="63"/>
        <v>0</v>
      </c>
      <c r="BE462" s="315">
        <f t="shared" si="63"/>
        <v>-267136</v>
      </c>
      <c r="BF462" s="315">
        <f t="shared" si="63"/>
        <v>0</v>
      </c>
      <c r="BG462" s="315">
        <f t="shared" si="63"/>
        <v>0</v>
      </c>
      <c r="BH462" s="315">
        <f t="shared" si="63"/>
        <v>0</v>
      </c>
      <c r="BI462" s="315">
        <f t="shared" si="63"/>
        <v>0</v>
      </c>
      <c r="BJ462" s="315">
        <f t="shared" si="63"/>
        <v>-398991</v>
      </c>
      <c r="BK462" s="315">
        <f t="shared" si="63"/>
        <v>0</v>
      </c>
      <c r="BL462" s="315">
        <f t="shared" si="63"/>
        <v>0</v>
      </c>
      <c r="BM462" s="315">
        <f t="shared" si="63"/>
        <v>0</v>
      </c>
      <c r="BN462" s="315">
        <f t="shared" si="63"/>
        <v>0</v>
      </c>
      <c r="BO462" s="315">
        <f t="shared" si="63"/>
        <v>-274337</v>
      </c>
      <c r="BP462" s="315">
        <f t="shared" si="63"/>
        <v>0</v>
      </c>
      <c r="BQ462" s="315">
        <f t="shared" si="63"/>
        <v>0</v>
      </c>
      <c r="BR462" s="315">
        <f t="shared" si="62"/>
        <v>0</v>
      </c>
      <c r="BS462" s="315">
        <f t="shared" si="60"/>
        <v>0</v>
      </c>
      <c r="BT462" s="315">
        <f t="shared" si="60"/>
        <v>110243</v>
      </c>
      <c r="BU462" s="315">
        <f t="shared" si="60"/>
        <v>0</v>
      </c>
      <c r="BV462" s="315">
        <f t="shared" si="60"/>
        <v>0</v>
      </c>
      <c r="BW462" s="315">
        <f t="shared" si="60"/>
        <v>0</v>
      </c>
      <c r="BX462" s="315">
        <f t="shared" si="60"/>
        <v>0</v>
      </c>
      <c r="BZ462" s="315">
        <f t="shared" si="61"/>
        <v>0</v>
      </c>
      <c r="CA462" s="315">
        <f t="shared" si="61"/>
        <v>0</v>
      </c>
    </row>
    <row r="463" spans="7:79" hidden="1" x14ac:dyDescent="0.2">
      <c r="G463" s="315">
        <f t="shared" si="63"/>
        <v>0</v>
      </c>
      <c r="H463" s="315">
        <f t="shared" si="63"/>
        <v>0</v>
      </c>
      <c r="I463" s="315">
        <f t="shared" si="63"/>
        <v>0</v>
      </c>
      <c r="J463" s="315">
        <f t="shared" si="63"/>
        <v>0</v>
      </c>
      <c r="K463" s="315">
        <f t="shared" si="63"/>
        <v>0</v>
      </c>
      <c r="L463" s="315">
        <f t="shared" si="63"/>
        <v>0</v>
      </c>
      <c r="M463" s="315">
        <f t="shared" si="63"/>
        <v>0</v>
      </c>
      <c r="N463" s="315">
        <f t="shared" si="63"/>
        <v>0</v>
      </c>
      <c r="O463" s="315">
        <f t="shared" si="63"/>
        <v>0</v>
      </c>
      <c r="P463" s="315">
        <f t="shared" si="63"/>
        <v>0</v>
      </c>
      <c r="Q463" s="315">
        <f t="shared" si="63"/>
        <v>0</v>
      </c>
      <c r="R463" s="315">
        <f t="shared" si="63"/>
        <v>0</v>
      </c>
      <c r="S463" s="315">
        <f t="shared" si="63"/>
        <v>0</v>
      </c>
      <c r="T463" s="315">
        <f t="shared" si="63"/>
        <v>0</v>
      </c>
      <c r="U463" s="315">
        <f t="shared" si="63"/>
        <v>0</v>
      </c>
      <c r="V463" s="315">
        <f t="shared" si="63"/>
        <v>0</v>
      </c>
      <c r="W463" s="315">
        <f t="shared" si="63"/>
        <v>0</v>
      </c>
      <c r="X463" s="315">
        <f t="shared" si="63"/>
        <v>0</v>
      </c>
      <c r="Y463" s="315">
        <f t="shared" si="63"/>
        <v>0</v>
      </c>
      <c r="Z463" s="315">
        <f t="shared" si="63"/>
        <v>0</v>
      </c>
      <c r="AA463" s="315">
        <f t="shared" si="63"/>
        <v>0</v>
      </c>
      <c r="AB463" s="315">
        <f t="shared" si="63"/>
        <v>0</v>
      </c>
      <c r="AC463" s="315">
        <f t="shared" si="63"/>
        <v>0</v>
      </c>
      <c r="AD463" s="315">
        <f t="shared" si="63"/>
        <v>0</v>
      </c>
      <c r="AE463" s="315">
        <f t="shared" si="63"/>
        <v>0</v>
      </c>
      <c r="AF463" s="315">
        <f t="shared" si="63"/>
        <v>0</v>
      </c>
      <c r="AG463" s="315">
        <f t="shared" si="63"/>
        <v>0</v>
      </c>
      <c r="AH463" s="315">
        <f t="shared" si="63"/>
        <v>0</v>
      </c>
      <c r="AI463" s="315">
        <f t="shared" si="63"/>
        <v>0</v>
      </c>
      <c r="AJ463" s="315">
        <f t="shared" si="63"/>
        <v>0</v>
      </c>
      <c r="AK463" s="315">
        <f t="shared" si="63"/>
        <v>0</v>
      </c>
      <c r="AL463" s="315">
        <f t="shared" si="63"/>
        <v>0</v>
      </c>
      <c r="AM463" s="315">
        <f t="shared" si="63"/>
        <v>0</v>
      </c>
      <c r="AN463" s="315">
        <f t="shared" si="63"/>
        <v>0</v>
      </c>
      <c r="AO463" s="315">
        <f t="shared" si="63"/>
        <v>0</v>
      </c>
      <c r="AP463" s="315">
        <f t="shared" si="63"/>
        <v>0</v>
      </c>
      <c r="AQ463" s="315">
        <f t="shared" si="63"/>
        <v>0</v>
      </c>
      <c r="AR463" s="315">
        <f t="shared" si="63"/>
        <v>0</v>
      </c>
      <c r="AS463" s="315">
        <f t="shared" si="63"/>
        <v>0</v>
      </c>
      <c r="AT463" s="315">
        <f t="shared" si="63"/>
        <v>0</v>
      </c>
      <c r="AU463" s="315">
        <f t="shared" si="63"/>
        <v>0</v>
      </c>
      <c r="AV463" s="315">
        <f t="shared" si="63"/>
        <v>0</v>
      </c>
      <c r="AW463" s="315">
        <f t="shared" si="63"/>
        <v>0</v>
      </c>
      <c r="AX463" s="315">
        <f t="shared" si="63"/>
        <v>0</v>
      </c>
      <c r="AY463" s="315">
        <f t="shared" si="63"/>
        <v>0</v>
      </c>
      <c r="AZ463" s="315">
        <f t="shared" si="63"/>
        <v>0</v>
      </c>
      <c r="BA463" s="315">
        <f t="shared" si="63"/>
        <v>0</v>
      </c>
      <c r="BB463" s="315">
        <f t="shared" si="63"/>
        <v>0</v>
      </c>
      <c r="BC463" s="315">
        <f t="shared" si="63"/>
        <v>0</v>
      </c>
      <c r="BD463" s="315">
        <f t="shared" si="63"/>
        <v>0</v>
      </c>
      <c r="BE463" s="315">
        <f t="shared" si="63"/>
        <v>0</v>
      </c>
      <c r="BF463" s="315">
        <f t="shared" si="63"/>
        <v>0</v>
      </c>
      <c r="BG463" s="315">
        <f t="shared" si="63"/>
        <v>0</v>
      </c>
      <c r="BH463" s="315">
        <f t="shared" si="63"/>
        <v>0</v>
      </c>
      <c r="BI463" s="315">
        <f t="shared" si="63"/>
        <v>0</v>
      </c>
      <c r="BJ463" s="315">
        <f t="shared" si="63"/>
        <v>0</v>
      </c>
      <c r="BK463" s="315">
        <f t="shared" si="63"/>
        <v>0</v>
      </c>
      <c r="BL463" s="315">
        <f t="shared" si="63"/>
        <v>0</v>
      </c>
      <c r="BM463" s="315">
        <f t="shared" si="63"/>
        <v>0</v>
      </c>
      <c r="BN463" s="315">
        <f t="shared" si="63"/>
        <v>0</v>
      </c>
      <c r="BO463" s="315">
        <f t="shared" si="63"/>
        <v>0</v>
      </c>
      <c r="BP463" s="315">
        <f t="shared" si="63"/>
        <v>0</v>
      </c>
      <c r="BQ463" s="315">
        <f t="shared" si="63"/>
        <v>0</v>
      </c>
      <c r="BR463" s="315">
        <f t="shared" si="62"/>
        <v>0</v>
      </c>
      <c r="BS463" s="315">
        <f t="shared" si="60"/>
        <v>0</v>
      </c>
      <c r="BT463" s="315">
        <f t="shared" si="60"/>
        <v>0</v>
      </c>
      <c r="BU463" s="315">
        <f t="shared" si="60"/>
        <v>0</v>
      </c>
      <c r="BV463" s="315">
        <f t="shared" si="60"/>
        <v>0</v>
      </c>
      <c r="BW463" s="315">
        <f t="shared" si="60"/>
        <v>0</v>
      </c>
      <c r="BX463" s="315">
        <f t="shared" si="60"/>
        <v>0</v>
      </c>
      <c r="BZ463" s="315">
        <f t="shared" si="61"/>
        <v>0</v>
      </c>
      <c r="CA463" s="315">
        <f t="shared" si="61"/>
        <v>0</v>
      </c>
    </row>
    <row r="464" spans="7:79" hidden="1" x14ac:dyDescent="0.2">
      <c r="G464" s="315">
        <f t="shared" si="63"/>
        <v>-6233086</v>
      </c>
      <c r="H464" s="315">
        <f t="shared" si="63"/>
        <v>0</v>
      </c>
      <c r="I464" s="315">
        <f t="shared" si="63"/>
        <v>0</v>
      </c>
      <c r="J464" s="315">
        <f t="shared" si="63"/>
        <v>0</v>
      </c>
      <c r="K464" s="315">
        <f t="shared" si="63"/>
        <v>0</v>
      </c>
      <c r="L464" s="315">
        <f t="shared" si="63"/>
        <v>-103152</v>
      </c>
      <c r="M464" s="315">
        <f t="shared" si="63"/>
        <v>0</v>
      </c>
      <c r="N464" s="315">
        <f t="shared" si="63"/>
        <v>0</v>
      </c>
      <c r="O464" s="315">
        <f t="shared" si="63"/>
        <v>0</v>
      </c>
      <c r="P464" s="315">
        <f t="shared" si="63"/>
        <v>0</v>
      </c>
      <c r="Q464" s="315">
        <f t="shared" si="63"/>
        <v>-150537</v>
      </c>
      <c r="R464" s="315">
        <f t="shared" si="63"/>
        <v>0</v>
      </c>
      <c r="S464" s="315">
        <f t="shared" si="63"/>
        <v>0</v>
      </c>
      <c r="T464" s="315">
        <f t="shared" si="63"/>
        <v>0</v>
      </c>
      <c r="U464" s="315">
        <f t="shared" si="63"/>
        <v>0</v>
      </c>
      <c r="V464" s="315">
        <f t="shared" si="63"/>
        <v>525369</v>
      </c>
      <c r="W464" s="315">
        <f t="shared" si="63"/>
        <v>0</v>
      </c>
      <c r="X464" s="315">
        <f t="shared" si="63"/>
        <v>0</v>
      </c>
      <c r="Y464" s="315">
        <f t="shared" si="63"/>
        <v>0</v>
      </c>
      <c r="Z464" s="315">
        <f t="shared" si="63"/>
        <v>0</v>
      </c>
      <c r="AA464" s="315">
        <f t="shared" si="63"/>
        <v>139961</v>
      </c>
      <c r="AB464" s="315">
        <f t="shared" si="63"/>
        <v>0</v>
      </c>
      <c r="AC464" s="315">
        <f t="shared" si="63"/>
        <v>0</v>
      </c>
      <c r="AD464" s="315">
        <f t="shared" si="63"/>
        <v>0</v>
      </c>
      <c r="AE464" s="315">
        <f t="shared" si="63"/>
        <v>0</v>
      </c>
      <c r="AF464" s="315">
        <f t="shared" si="63"/>
        <v>44926</v>
      </c>
      <c r="AG464" s="315">
        <f t="shared" si="63"/>
        <v>0</v>
      </c>
      <c r="AH464" s="315">
        <f t="shared" si="63"/>
        <v>0</v>
      </c>
      <c r="AI464" s="315">
        <f t="shared" si="63"/>
        <v>0</v>
      </c>
      <c r="AJ464" s="315">
        <f t="shared" si="63"/>
        <v>0</v>
      </c>
      <c r="AK464" s="315">
        <f t="shared" si="63"/>
        <v>-290559</v>
      </c>
      <c r="AL464" s="315">
        <f t="shared" si="63"/>
        <v>0</v>
      </c>
      <c r="AM464" s="315">
        <f t="shared" si="63"/>
        <v>0</v>
      </c>
      <c r="AN464" s="315">
        <f t="shared" si="63"/>
        <v>0</v>
      </c>
      <c r="AO464" s="315">
        <f t="shared" si="63"/>
        <v>0</v>
      </c>
      <c r="AP464" s="315">
        <f t="shared" si="63"/>
        <v>429389</v>
      </c>
      <c r="AQ464" s="315">
        <f t="shared" si="63"/>
        <v>0</v>
      </c>
      <c r="AR464" s="315">
        <f t="shared" si="63"/>
        <v>0</v>
      </c>
      <c r="AS464" s="315">
        <f t="shared" si="63"/>
        <v>0</v>
      </c>
      <c r="AT464" s="315">
        <f t="shared" si="63"/>
        <v>0</v>
      </c>
      <c r="AU464" s="315">
        <f t="shared" si="63"/>
        <v>-613507</v>
      </c>
      <c r="AV464" s="315">
        <f t="shared" si="63"/>
        <v>0</v>
      </c>
      <c r="AW464" s="315">
        <f t="shared" si="63"/>
        <v>0</v>
      </c>
      <c r="AX464" s="315">
        <f t="shared" si="63"/>
        <v>0</v>
      </c>
      <c r="AY464" s="315">
        <f t="shared" si="63"/>
        <v>0</v>
      </c>
      <c r="AZ464" s="315">
        <f t="shared" si="63"/>
        <v>-1125295</v>
      </c>
      <c r="BA464" s="315">
        <f t="shared" si="63"/>
        <v>0</v>
      </c>
      <c r="BB464" s="315">
        <f t="shared" si="63"/>
        <v>0</v>
      </c>
      <c r="BC464" s="315">
        <f t="shared" si="63"/>
        <v>0</v>
      </c>
      <c r="BD464" s="315">
        <f t="shared" si="63"/>
        <v>0</v>
      </c>
      <c r="BE464" s="315">
        <f t="shared" si="63"/>
        <v>-385008</v>
      </c>
      <c r="BF464" s="315">
        <f t="shared" si="63"/>
        <v>0</v>
      </c>
      <c r="BG464" s="315">
        <f t="shared" si="63"/>
        <v>0</v>
      </c>
      <c r="BH464" s="315">
        <f t="shared" si="63"/>
        <v>0</v>
      </c>
      <c r="BI464" s="315">
        <f t="shared" si="63"/>
        <v>0</v>
      </c>
      <c r="BJ464" s="315">
        <f t="shared" si="63"/>
        <v>-616992</v>
      </c>
      <c r="BK464" s="315">
        <f t="shared" si="63"/>
        <v>0</v>
      </c>
      <c r="BL464" s="315">
        <f t="shared" si="63"/>
        <v>0</v>
      </c>
      <c r="BM464" s="315">
        <f t="shared" si="63"/>
        <v>0</v>
      </c>
      <c r="BN464" s="315">
        <f t="shared" si="63"/>
        <v>0</v>
      </c>
      <c r="BO464" s="315">
        <f t="shared" si="63"/>
        <v>-389927</v>
      </c>
      <c r="BP464" s="315">
        <f t="shared" si="63"/>
        <v>0</v>
      </c>
      <c r="BQ464" s="315">
        <f t="shared" si="63"/>
        <v>0</v>
      </c>
      <c r="BR464" s="315">
        <f t="shared" si="62"/>
        <v>0</v>
      </c>
      <c r="BS464" s="315">
        <f t="shared" si="60"/>
        <v>0</v>
      </c>
      <c r="BT464" s="315">
        <f t="shared" si="60"/>
        <v>595397</v>
      </c>
      <c r="BU464" s="315">
        <f t="shared" si="60"/>
        <v>0</v>
      </c>
      <c r="BV464" s="315">
        <f t="shared" si="60"/>
        <v>0</v>
      </c>
      <c r="BW464" s="315">
        <f t="shared" si="60"/>
        <v>0</v>
      </c>
      <c r="BX464" s="315">
        <f t="shared" si="60"/>
        <v>0</v>
      </c>
      <c r="BZ464" s="315">
        <f t="shared" si="61"/>
        <v>0</v>
      </c>
      <c r="CA464" s="315">
        <f t="shared" si="61"/>
        <v>0</v>
      </c>
    </row>
    <row r="465" spans="7:79" hidden="1" x14ac:dyDescent="0.2">
      <c r="G465" s="315">
        <f t="shared" si="63"/>
        <v>0</v>
      </c>
      <c r="H465" s="315">
        <f t="shared" si="63"/>
        <v>0</v>
      </c>
      <c r="I465" s="315">
        <f t="shared" si="63"/>
        <v>0</v>
      </c>
      <c r="J465" s="315">
        <f t="shared" si="63"/>
        <v>0</v>
      </c>
      <c r="K465" s="315">
        <f t="shared" si="63"/>
        <v>0</v>
      </c>
      <c r="L465" s="315">
        <f t="shared" si="63"/>
        <v>0</v>
      </c>
      <c r="M465" s="315">
        <f t="shared" si="63"/>
        <v>0</v>
      </c>
      <c r="N465" s="315">
        <f t="shared" si="63"/>
        <v>0</v>
      </c>
      <c r="O465" s="315">
        <f t="shared" si="63"/>
        <v>0</v>
      </c>
      <c r="P465" s="315">
        <f t="shared" si="63"/>
        <v>0</v>
      </c>
      <c r="Q465" s="315">
        <f t="shared" si="63"/>
        <v>0</v>
      </c>
      <c r="R465" s="315">
        <f t="shared" si="63"/>
        <v>0</v>
      </c>
      <c r="S465" s="315">
        <f t="shared" si="63"/>
        <v>0</v>
      </c>
      <c r="T465" s="315">
        <f t="shared" si="63"/>
        <v>0</v>
      </c>
      <c r="U465" s="315">
        <f t="shared" si="63"/>
        <v>0</v>
      </c>
      <c r="V465" s="315">
        <f t="shared" si="63"/>
        <v>0</v>
      </c>
      <c r="W465" s="315">
        <f t="shared" si="63"/>
        <v>0</v>
      </c>
      <c r="X465" s="315">
        <f t="shared" si="63"/>
        <v>0</v>
      </c>
      <c r="Y465" s="315">
        <f t="shared" si="63"/>
        <v>0</v>
      </c>
      <c r="Z465" s="315">
        <f t="shared" si="63"/>
        <v>0</v>
      </c>
      <c r="AA465" s="315">
        <f t="shared" si="63"/>
        <v>0</v>
      </c>
      <c r="AB465" s="315">
        <f t="shared" si="63"/>
        <v>0</v>
      </c>
      <c r="AC465" s="315">
        <f t="shared" si="63"/>
        <v>0</v>
      </c>
      <c r="AD465" s="315">
        <f t="shared" si="63"/>
        <v>0</v>
      </c>
      <c r="AE465" s="315">
        <f t="shared" si="63"/>
        <v>0</v>
      </c>
      <c r="AF465" s="315">
        <f t="shared" si="63"/>
        <v>0</v>
      </c>
      <c r="AG465" s="315">
        <f t="shared" si="63"/>
        <v>0</v>
      </c>
      <c r="AH465" s="315">
        <f t="shared" si="63"/>
        <v>0</v>
      </c>
      <c r="AI465" s="315">
        <f t="shared" si="63"/>
        <v>0</v>
      </c>
      <c r="AJ465" s="315">
        <f t="shared" si="63"/>
        <v>0</v>
      </c>
      <c r="AK465" s="315">
        <f t="shared" si="63"/>
        <v>0</v>
      </c>
      <c r="AL465" s="315">
        <f t="shared" si="63"/>
        <v>0</v>
      </c>
      <c r="AM465" s="315">
        <f t="shared" si="63"/>
        <v>0</v>
      </c>
      <c r="AN465" s="315">
        <f t="shared" si="63"/>
        <v>0</v>
      </c>
      <c r="AO465" s="315">
        <f t="shared" si="63"/>
        <v>0</v>
      </c>
      <c r="AP465" s="315">
        <f t="shared" si="63"/>
        <v>0</v>
      </c>
      <c r="AQ465" s="315">
        <f t="shared" si="63"/>
        <v>0</v>
      </c>
      <c r="AR465" s="315">
        <f t="shared" si="63"/>
        <v>0</v>
      </c>
      <c r="AS465" s="315">
        <f t="shared" si="63"/>
        <v>0</v>
      </c>
      <c r="AT465" s="315">
        <f t="shared" si="63"/>
        <v>0</v>
      </c>
      <c r="AU465" s="315">
        <f t="shared" si="63"/>
        <v>0</v>
      </c>
      <c r="AV465" s="315">
        <f t="shared" si="63"/>
        <v>0</v>
      </c>
      <c r="AW465" s="315">
        <f t="shared" si="63"/>
        <v>0</v>
      </c>
      <c r="AX465" s="315">
        <f t="shared" si="63"/>
        <v>0</v>
      </c>
      <c r="AY465" s="315">
        <f t="shared" si="63"/>
        <v>0</v>
      </c>
      <c r="AZ465" s="315">
        <f t="shared" si="63"/>
        <v>0</v>
      </c>
      <c r="BA465" s="315">
        <f t="shared" si="63"/>
        <v>0</v>
      </c>
      <c r="BB465" s="315">
        <f t="shared" si="63"/>
        <v>0</v>
      </c>
      <c r="BC465" s="315">
        <f t="shared" si="63"/>
        <v>0</v>
      </c>
      <c r="BD465" s="315">
        <f t="shared" si="63"/>
        <v>0</v>
      </c>
      <c r="BE465" s="315">
        <f t="shared" si="63"/>
        <v>0</v>
      </c>
      <c r="BF465" s="315">
        <f t="shared" si="63"/>
        <v>0</v>
      </c>
      <c r="BG465" s="315">
        <f t="shared" si="63"/>
        <v>0</v>
      </c>
      <c r="BH465" s="315">
        <f t="shared" si="63"/>
        <v>0</v>
      </c>
      <c r="BI465" s="315">
        <f t="shared" si="63"/>
        <v>0</v>
      </c>
      <c r="BJ465" s="315">
        <f t="shared" si="63"/>
        <v>0</v>
      </c>
      <c r="BK465" s="315">
        <f t="shared" si="63"/>
        <v>0</v>
      </c>
      <c r="BL465" s="315">
        <f t="shared" si="63"/>
        <v>0</v>
      </c>
      <c r="BM465" s="315">
        <f t="shared" si="63"/>
        <v>0</v>
      </c>
      <c r="BN465" s="315">
        <f t="shared" si="63"/>
        <v>0</v>
      </c>
      <c r="BO465" s="315">
        <f t="shared" si="63"/>
        <v>0</v>
      </c>
      <c r="BP465" s="315">
        <f t="shared" si="63"/>
        <v>0</v>
      </c>
      <c r="BQ465" s="315">
        <f t="shared" si="63"/>
        <v>0</v>
      </c>
      <c r="BR465" s="315">
        <f t="shared" si="62"/>
        <v>0</v>
      </c>
      <c r="BS465" s="315">
        <f t="shared" si="60"/>
        <v>0</v>
      </c>
      <c r="BT465" s="315">
        <f t="shared" si="60"/>
        <v>0</v>
      </c>
      <c r="BU465" s="315">
        <f t="shared" si="60"/>
        <v>0</v>
      </c>
      <c r="BV465" s="315">
        <f t="shared" si="60"/>
        <v>0</v>
      </c>
      <c r="BW465" s="315">
        <f t="shared" si="60"/>
        <v>0</v>
      </c>
      <c r="BX465" s="315">
        <f t="shared" si="60"/>
        <v>0</v>
      </c>
      <c r="BZ465" s="315">
        <f t="shared" si="61"/>
        <v>0</v>
      </c>
      <c r="CA465" s="315">
        <f t="shared" si="61"/>
        <v>0</v>
      </c>
    </row>
    <row r="466" spans="7:79" hidden="1" x14ac:dyDescent="0.2">
      <c r="G466" s="315">
        <f t="shared" si="63"/>
        <v>-19625911</v>
      </c>
      <c r="H466" s="315">
        <f t="shared" si="63"/>
        <v>0</v>
      </c>
      <c r="I466" s="315">
        <f t="shared" si="63"/>
        <v>0</v>
      </c>
      <c r="J466" s="315">
        <f t="shared" ref="J466:BQ470" si="64">J75-CB75</f>
        <v>0</v>
      </c>
      <c r="K466" s="315">
        <f t="shared" si="64"/>
        <v>0</v>
      </c>
      <c r="L466" s="315">
        <f t="shared" si="64"/>
        <v>893664</v>
      </c>
      <c r="M466" s="315">
        <f t="shared" si="64"/>
        <v>0</v>
      </c>
      <c r="N466" s="315">
        <f t="shared" si="64"/>
        <v>0</v>
      </c>
      <c r="O466" s="315">
        <f t="shared" si="64"/>
        <v>0</v>
      </c>
      <c r="P466" s="315">
        <f t="shared" si="64"/>
        <v>0</v>
      </c>
      <c r="Q466" s="315">
        <f t="shared" si="64"/>
        <v>-2715587</v>
      </c>
      <c r="R466" s="315">
        <f t="shared" si="64"/>
        <v>0</v>
      </c>
      <c r="S466" s="315">
        <f t="shared" si="64"/>
        <v>0</v>
      </c>
      <c r="T466" s="315">
        <f t="shared" si="64"/>
        <v>0</v>
      </c>
      <c r="U466" s="315">
        <f t="shared" si="64"/>
        <v>0</v>
      </c>
      <c r="V466" s="315">
        <f t="shared" si="64"/>
        <v>830764</v>
      </c>
      <c r="W466" s="315">
        <f t="shared" si="64"/>
        <v>0</v>
      </c>
      <c r="X466" s="315">
        <f t="shared" si="64"/>
        <v>0</v>
      </c>
      <c r="Y466" s="315">
        <f t="shared" si="64"/>
        <v>0</v>
      </c>
      <c r="Z466" s="315">
        <f t="shared" si="64"/>
        <v>0</v>
      </c>
      <c r="AA466" s="315">
        <f t="shared" si="64"/>
        <v>-421627</v>
      </c>
      <c r="AB466" s="315">
        <f t="shared" si="64"/>
        <v>0</v>
      </c>
      <c r="AC466" s="315">
        <f t="shared" si="64"/>
        <v>0</v>
      </c>
      <c r="AD466" s="315">
        <f t="shared" si="64"/>
        <v>0</v>
      </c>
      <c r="AE466" s="315">
        <f t="shared" si="64"/>
        <v>0</v>
      </c>
      <c r="AF466" s="315">
        <f t="shared" si="64"/>
        <v>1648098</v>
      </c>
      <c r="AG466" s="315">
        <f t="shared" si="64"/>
        <v>0</v>
      </c>
      <c r="AH466" s="315">
        <f t="shared" si="64"/>
        <v>0</v>
      </c>
      <c r="AI466" s="315">
        <f t="shared" si="64"/>
        <v>0</v>
      </c>
      <c r="AJ466" s="315">
        <f t="shared" si="64"/>
        <v>0</v>
      </c>
      <c r="AK466" s="315">
        <f t="shared" si="64"/>
        <v>-1230439</v>
      </c>
      <c r="AL466" s="315">
        <f t="shared" si="64"/>
        <v>0</v>
      </c>
      <c r="AM466" s="315">
        <f t="shared" si="64"/>
        <v>0</v>
      </c>
      <c r="AN466" s="315">
        <f t="shared" si="64"/>
        <v>0</v>
      </c>
      <c r="AO466" s="315">
        <f t="shared" si="64"/>
        <v>0</v>
      </c>
      <c r="AP466" s="315">
        <f t="shared" si="64"/>
        <v>711059</v>
      </c>
      <c r="AQ466" s="315">
        <f t="shared" si="64"/>
        <v>0</v>
      </c>
      <c r="AR466" s="315">
        <f t="shared" si="64"/>
        <v>0</v>
      </c>
      <c r="AS466" s="315">
        <f t="shared" si="64"/>
        <v>0</v>
      </c>
      <c r="AT466" s="315">
        <f t="shared" si="64"/>
        <v>0</v>
      </c>
      <c r="AU466" s="315">
        <f t="shared" si="64"/>
        <v>-1594101</v>
      </c>
      <c r="AV466" s="315">
        <f t="shared" si="64"/>
        <v>0</v>
      </c>
      <c r="AW466" s="315">
        <f t="shared" si="64"/>
        <v>0</v>
      </c>
      <c r="AX466" s="315">
        <f t="shared" si="64"/>
        <v>0</v>
      </c>
      <c r="AY466" s="315">
        <f t="shared" si="64"/>
        <v>0</v>
      </c>
      <c r="AZ466" s="315">
        <f t="shared" si="64"/>
        <v>-2127227</v>
      </c>
      <c r="BA466" s="315">
        <f t="shared" si="64"/>
        <v>0</v>
      </c>
      <c r="BB466" s="315">
        <f t="shared" si="64"/>
        <v>0</v>
      </c>
      <c r="BC466" s="315">
        <f t="shared" si="64"/>
        <v>0</v>
      </c>
      <c r="BD466" s="315">
        <f t="shared" si="64"/>
        <v>0</v>
      </c>
      <c r="BE466" s="315">
        <f t="shared" si="64"/>
        <v>-2662581</v>
      </c>
      <c r="BF466" s="315">
        <f t="shared" si="64"/>
        <v>0</v>
      </c>
      <c r="BG466" s="315">
        <f t="shared" si="64"/>
        <v>0</v>
      </c>
      <c r="BH466" s="315">
        <f t="shared" si="64"/>
        <v>0</v>
      </c>
      <c r="BI466" s="315">
        <f t="shared" si="64"/>
        <v>0</v>
      </c>
      <c r="BJ466" s="315">
        <f t="shared" si="64"/>
        <v>-1638587</v>
      </c>
      <c r="BK466" s="315">
        <f t="shared" si="64"/>
        <v>0</v>
      </c>
      <c r="BL466" s="315">
        <f t="shared" si="64"/>
        <v>0</v>
      </c>
      <c r="BM466" s="315">
        <f t="shared" si="64"/>
        <v>0</v>
      </c>
      <c r="BN466" s="315">
        <f t="shared" si="64"/>
        <v>0</v>
      </c>
      <c r="BO466" s="315">
        <f t="shared" si="64"/>
        <v>-910387</v>
      </c>
      <c r="BP466" s="315">
        <f t="shared" si="64"/>
        <v>0</v>
      </c>
      <c r="BQ466" s="315">
        <f t="shared" si="64"/>
        <v>0</v>
      </c>
      <c r="BR466" s="315">
        <f t="shared" si="62"/>
        <v>0</v>
      </c>
      <c r="BS466" s="315">
        <f t="shared" si="60"/>
        <v>0</v>
      </c>
      <c r="BT466" s="315">
        <f t="shared" si="60"/>
        <v>-284068</v>
      </c>
      <c r="BU466" s="315">
        <f t="shared" si="60"/>
        <v>0</v>
      </c>
      <c r="BV466" s="315">
        <f t="shared" si="60"/>
        <v>0</v>
      </c>
      <c r="BW466" s="315">
        <f t="shared" si="60"/>
        <v>0</v>
      </c>
      <c r="BX466" s="315">
        <f t="shared" si="60"/>
        <v>0</v>
      </c>
      <c r="BZ466" s="315">
        <f t="shared" si="61"/>
        <v>0</v>
      </c>
      <c r="CA466" s="315">
        <f t="shared" si="61"/>
        <v>0</v>
      </c>
    </row>
    <row r="467" spans="7:79" hidden="1" x14ac:dyDescent="0.2">
      <c r="G467" s="315">
        <f t="shared" ref="G467:V474" si="65">G76-BY76</f>
        <v>-7120738</v>
      </c>
      <c r="H467" s="315">
        <f t="shared" si="65"/>
        <v>0</v>
      </c>
      <c r="I467" s="315">
        <f t="shared" si="65"/>
        <v>0</v>
      </c>
      <c r="J467" s="315">
        <f t="shared" si="64"/>
        <v>0</v>
      </c>
      <c r="K467" s="315">
        <f t="shared" si="64"/>
        <v>0</v>
      </c>
      <c r="L467" s="315">
        <f t="shared" si="64"/>
        <v>326207</v>
      </c>
      <c r="M467" s="315">
        <f t="shared" si="64"/>
        <v>0</v>
      </c>
      <c r="N467" s="315">
        <f t="shared" si="64"/>
        <v>0</v>
      </c>
      <c r="O467" s="315">
        <f t="shared" si="64"/>
        <v>0</v>
      </c>
      <c r="P467" s="315">
        <f t="shared" si="64"/>
        <v>0</v>
      </c>
      <c r="Q467" s="315">
        <f t="shared" si="64"/>
        <v>-997806</v>
      </c>
      <c r="R467" s="315">
        <f t="shared" si="64"/>
        <v>0</v>
      </c>
      <c r="S467" s="315">
        <f t="shared" si="64"/>
        <v>0</v>
      </c>
      <c r="T467" s="315">
        <f t="shared" si="64"/>
        <v>0</v>
      </c>
      <c r="U467" s="315">
        <f t="shared" si="64"/>
        <v>0</v>
      </c>
      <c r="V467" s="315">
        <f t="shared" si="64"/>
        <v>299885</v>
      </c>
      <c r="W467" s="315">
        <f t="shared" si="64"/>
        <v>0</v>
      </c>
      <c r="X467" s="315">
        <f t="shared" si="64"/>
        <v>0</v>
      </c>
      <c r="Y467" s="315">
        <f t="shared" si="64"/>
        <v>0</v>
      </c>
      <c r="Z467" s="315">
        <f t="shared" si="64"/>
        <v>0</v>
      </c>
      <c r="AA467" s="315">
        <f t="shared" si="64"/>
        <v>-189595</v>
      </c>
      <c r="AB467" s="315">
        <f t="shared" si="64"/>
        <v>0</v>
      </c>
      <c r="AC467" s="315">
        <f t="shared" si="64"/>
        <v>0</v>
      </c>
      <c r="AD467" s="315">
        <f t="shared" si="64"/>
        <v>0</v>
      </c>
      <c r="AE467" s="315">
        <f t="shared" si="64"/>
        <v>0</v>
      </c>
      <c r="AF467" s="315">
        <f t="shared" si="64"/>
        <v>481497</v>
      </c>
      <c r="AG467" s="315">
        <f t="shared" si="64"/>
        <v>0</v>
      </c>
      <c r="AH467" s="315">
        <f t="shared" si="64"/>
        <v>0</v>
      </c>
      <c r="AI467" s="315">
        <f t="shared" si="64"/>
        <v>0</v>
      </c>
      <c r="AJ467" s="315">
        <f t="shared" si="64"/>
        <v>0</v>
      </c>
      <c r="AK467" s="315">
        <f t="shared" si="64"/>
        <v>-479728</v>
      </c>
      <c r="AL467" s="315">
        <f t="shared" si="64"/>
        <v>0</v>
      </c>
      <c r="AM467" s="315">
        <f t="shared" si="64"/>
        <v>0</v>
      </c>
      <c r="AN467" s="315">
        <f t="shared" si="64"/>
        <v>0</v>
      </c>
      <c r="AO467" s="315">
        <f t="shared" si="64"/>
        <v>0</v>
      </c>
      <c r="AP467" s="315">
        <f t="shared" si="64"/>
        <v>-82531</v>
      </c>
      <c r="AQ467" s="315">
        <f t="shared" si="64"/>
        <v>0</v>
      </c>
      <c r="AR467" s="315">
        <f t="shared" si="64"/>
        <v>0</v>
      </c>
      <c r="AS467" s="315">
        <f t="shared" si="64"/>
        <v>0</v>
      </c>
      <c r="AT467" s="315">
        <f t="shared" si="64"/>
        <v>0</v>
      </c>
      <c r="AU467" s="315">
        <f t="shared" si="64"/>
        <v>-571363</v>
      </c>
      <c r="AV467" s="315">
        <f t="shared" si="64"/>
        <v>0</v>
      </c>
      <c r="AW467" s="315">
        <f t="shared" si="64"/>
        <v>0</v>
      </c>
      <c r="AX467" s="315">
        <f t="shared" si="64"/>
        <v>0</v>
      </c>
      <c r="AY467" s="315">
        <f t="shared" si="64"/>
        <v>0</v>
      </c>
      <c r="AZ467" s="315">
        <f t="shared" si="64"/>
        <v>-770656</v>
      </c>
      <c r="BA467" s="315">
        <f t="shared" si="64"/>
        <v>0</v>
      </c>
      <c r="BB467" s="315">
        <f t="shared" si="64"/>
        <v>0</v>
      </c>
      <c r="BC467" s="315">
        <f t="shared" si="64"/>
        <v>0</v>
      </c>
      <c r="BD467" s="315">
        <f t="shared" si="64"/>
        <v>0</v>
      </c>
      <c r="BE467" s="315">
        <f t="shared" si="64"/>
        <v>-994387</v>
      </c>
      <c r="BF467" s="315">
        <f t="shared" si="64"/>
        <v>0</v>
      </c>
      <c r="BG467" s="315">
        <f t="shared" si="64"/>
        <v>0</v>
      </c>
      <c r="BH467" s="315">
        <f t="shared" si="64"/>
        <v>0</v>
      </c>
      <c r="BI467" s="315">
        <f t="shared" si="64"/>
        <v>0</v>
      </c>
      <c r="BJ467" s="315">
        <f t="shared" si="64"/>
        <v>-621799</v>
      </c>
      <c r="BK467" s="315">
        <f t="shared" si="64"/>
        <v>0</v>
      </c>
      <c r="BL467" s="315">
        <f t="shared" si="64"/>
        <v>0</v>
      </c>
      <c r="BM467" s="315">
        <f t="shared" si="64"/>
        <v>0</v>
      </c>
      <c r="BN467" s="315">
        <f t="shared" si="64"/>
        <v>0</v>
      </c>
      <c r="BO467" s="315">
        <f t="shared" si="64"/>
        <v>-328113</v>
      </c>
      <c r="BP467" s="315">
        <f t="shared" si="64"/>
        <v>0</v>
      </c>
      <c r="BQ467" s="315">
        <f t="shared" si="64"/>
        <v>0</v>
      </c>
      <c r="BR467" s="315">
        <f t="shared" si="62"/>
        <v>0</v>
      </c>
      <c r="BS467" s="315">
        <f t="shared" si="60"/>
        <v>0</v>
      </c>
      <c r="BT467" s="315">
        <f t="shared" si="60"/>
        <v>-642071</v>
      </c>
      <c r="BU467" s="315">
        <f t="shared" si="60"/>
        <v>0</v>
      </c>
      <c r="BV467" s="315">
        <f t="shared" si="60"/>
        <v>0</v>
      </c>
      <c r="BW467" s="315">
        <f t="shared" si="60"/>
        <v>0</v>
      </c>
      <c r="BX467" s="315">
        <f t="shared" si="60"/>
        <v>0</v>
      </c>
      <c r="BZ467" s="315">
        <f t="shared" si="61"/>
        <v>0</v>
      </c>
      <c r="CA467" s="315">
        <f t="shared" si="61"/>
        <v>0</v>
      </c>
    </row>
    <row r="468" spans="7:79" hidden="1" x14ac:dyDescent="0.2">
      <c r="G468" s="315">
        <f t="shared" si="65"/>
        <v>-5484262</v>
      </c>
      <c r="H468" s="315">
        <f t="shared" si="65"/>
        <v>0</v>
      </c>
      <c r="I468" s="315">
        <f t="shared" si="65"/>
        <v>0</v>
      </c>
      <c r="J468" s="315">
        <f t="shared" si="64"/>
        <v>0</v>
      </c>
      <c r="K468" s="315">
        <f t="shared" si="64"/>
        <v>0</v>
      </c>
      <c r="L468" s="315">
        <f t="shared" si="64"/>
        <v>208793</v>
      </c>
      <c r="M468" s="315">
        <f t="shared" si="64"/>
        <v>0</v>
      </c>
      <c r="N468" s="315">
        <f t="shared" si="64"/>
        <v>0</v>
      </c>
      <c r="O468" s="315">
        <f t="shared" si="64"/>
        <v>0</v>
      </c>
      <c r="P468" s="315">
        <f t="shared" si="64"/>
        <v>0</v>
      </c>
      <c r="Q468" s="315">
        <f t="shared" si="64"/>
        <v>-792194</v>
      </c>
      <c r="R468" s="315">
        <f t="shared" si="64"/>
        <v>0</v>
      </c>
      <c r="S468" s="315">
        <f t="shared" si="64"/>
        <v>0</v>
      </c>
      <c r="T468" s="315">
        <f t="shared" si="64"/>
        <v>0</v>
      </c>
      <c r="U468" s="315">
        <f t="shared" si="64"/>
        <v>0</v>
      </c>
      <c r="V468" s="315">
        <f t="shared" si="64"/>
        <v>205115</v>
      </c>
      <c r="W468" s="315">
        <f t="shared" si="64"/>
        <v>0</v>
      </c>
      <c r="X468" s="315">
        <f t="shared" si="64"/>
        <v>0</v>
      </c>
      <c r="Y468" s="315">
        <f t="shared" si="64"/>
        <v>0</v>
      </c>
      <c r="Z468" s="315">
        <f t="shared" si="64"/>
        <v>0</v>
      </c>
      <c r="AA468" s="315">
        <f t="shared" si="64"/>
        <v>-135405</v>
      </c>
      <c r="AB468" s="315">
        <f t="shared" si="64"/>
        <v>0</v>
      </c>
      <c r="AC468" s="315">
        <f t="shared" si="64"/>
        <v>0</v>
      </c>
      <c r="AD468" s="315">
        <f t="shared" si="64"/>
        <v>0</v>
      </c>
      <c r="AE468" s="315">
        <f t="shared" si="64"/>
        <v>0</v>
      </c>
      <c r="AF468" s="315">
        <f t="shared" si="64"/>
        <v>483503</v>
      </c>
      <c r="AG468" s="315">
        <f t="shared" si="64"/>
        <v>0</v>
      </c>
      <c r="AH468" s="315">
        <f t="shared" si="64"/>
        <v>0</v>
      </c>
      <c r="AI468" s="315">
        <f t="shared" si="64"/>
        <v>0</v>
      </c>
      <c r="AJ468" s="315">
        <f t="shared" si="64"/>
        <v>0</v>
      </c>
      <c r="AK468" s="315">
        <f t="shared" si="64"/>
        <v>-345272</v>
      </c>
      <c r="AL468" s="315">
        <f t="shared" si="64"/>
        <v>0</v>
      </c>
      <c r="AM468" s="315">
        <f t="shared" si="64"/>
        <v>0</v>
      </c>
      <c r="AN468" s="315">
        <f t="shared" si="64"/>
        <v>0</v>
      </c>
      <c r="AO468" s="315">
        <f t="shared" si="64"/>
        <v>0</v>
      </c>
      <c r="AP468" s="315">
        <f t="shared" si="64"/>
        <v>402531</v>
      </c>
      <c r="AQ468" s="315">
        <f t="shared" si="64"/>
        <v>0</v>
      </c>
      <c r="AR468" s="315">
        <f t="shared" si="64"/>
        <v>0</v>
      </c>
      <c r="AS468" s="315">
        <f t="shared" si="64"/>
        <v>0</v>
      </c>
      <c r="AT468" s="315">
        <f t="shared" si="64"/>
        <v>0</v>
      </c>
      <c r="AU468" s="315">
        <f t="shared" si="64"/>
        <v>-443637</v>
      </c>
      <c r="AV468" s="315">
        <f t="shared" si="64"/>
        <v>0</v>
      </c>
      <c r="AW468" s="315">
        <f t="shared" si="64"/>
        <v>0</v>
      </c>
      <c r="AX468" s="315">
        <f t="shared" si="64"/>
        <v>0</v>
      </c>
      <c r="AY468" s="315">
        <f t="shared" si="64"/>
        <v>0</v>
      </c>
      <c r="AZ468" s="315">
        <f t="shared" si="64"/>
        <v>-579344</v>
      </c>
      <c r="BA468" s="315">
        <f t="shared" si="64"/>
        <v>0</v>
      </c>
      <c r="BB468" s="315">
        <f t="shared" si="64"/>
        <v>0</v>
      </c>
      <c r="BC468" s="315">
        <f t="shared" si="64"/>
        <v>0</v>
      </c>
      <c r="BD468" s="315">
        <f t="shared" si="64"/>
        <v>0</v>
      </c>
      <c r="BE468" s="315">
        <f t="shared" si="64"/>
        <v>-690613</v>
      </c>
      <c r="BF468" s="315">
        <f t="shared" si="64"/>
        <v>0</v>
      </c>
      <c r="BG468" s="315">
        <f t="shared" si="64"/>
        <v>0</v>
      </c>
      <c r="BH468" s="315">
        <f t="shared" si="64"/>
        <v>0</v>
      </c>
      <c r="BI468" s="315">
        <f t="shared" si="64"/>
        <v>0</v>
      </c>
      <c r="BJ468" s="315">
        <f t="shared" si="64"/>
        <v>-413201</v>
      </c>
      <c r="BK468" s="315">
        <f t="shared" si="64"/>
        <v>0</v>
      </c>
      <c r="BL468" s="315">
        <f t="shared" si="64"/>
        <v>0</v>
      </c>
      <c r="BM468" s="315">
        <f t="shared" si="64"/>
        <v>0</v>
      </c>
      <c r="BN468" s="315">
        <f t="shared" si="64"/>
        <v>0</v>
      </c>
      <c r="BO468" s="315">
        <f t="shared" si="64"/>
        <v>-241887</v>
      </c>
      <c r="BP468" s="315">
        <f t="shared" si="64"/>
        <v>0</v>
      </c>
      <c r="BQ468" s="315">
        <f t="shared" si="64"/>
        <v>0</v>
      </c>
      <c r="BR468" s="315">
        <f t="shared" si="62"/>
        <v>0</v>
      </c>
      <c r="BS468" s="315">
        <f t="shared" si="60"/>
        <v>0</v>
      </c>
      <c r="BT468" s="315">
        <f t="shared" si="60"/>
        <v>27071</v>
      </c>
      <c r="BU468" s="315">
        <f t="shared" si="60"/>
        <v>0</v>
      </c>
      <c r="BV468" s="315">
        <f t="shared" si="60"/>
        <v>0</v>
      </c>
      <c r="BW468" s="315">
        <f t="shared" si="60"/>
        <v>0</v>
      </c>
      <c r="BX468" s="315">
        <f t="shared" si="60"/>
        <v>0</v>
      </c>
      <c r="BZ468" s="315">
        <f t="shared" si="61"/>
        <v>0</v>
      </c>
      <c r="CA468" s="315">
        <f t="shared" si="61"/>
        <v>0</v>
      </c>
    </row>
    <row r="469" spans="7:79" hidden="1" x14ac:dyDescent="0.2">
      <c r="G469" s="315">
        <f t="shared" si="65"/>
        <v>0</v>
      </c>
      <c r="H469" s="315">
        <f t="shared" si="65"/>
        <v>0</v>
      </c>
      <c r="I469" s="315">
        <f t="shared" si="65"/>
        <v>0</v>
      </c>
      <c r="J469" s="315">
        <f t="shared" si="64"/>
        <v>0</v>
      </c>
      <c r="K469" s="315">
        <f t="shared" si="64"/>
        <v>0</v>
      </c>
      <c r="L469" s="315">
        <f t="shared" si="64"/>
        <v>0</v>
      </c>
      <c r="M469" s="315">
        <f t="shared" si="64"/>
        <v>0</v>
      </c>
      <c r="N469" s="315">
        <f t="shared" si="64"/>
        <v>0</v>
      </c>
      <c r="O469" s="315">
        <f t="shared" si="64"/>
        <v>0</v>
      </c>
      <c r="P469" s="315">
        <f t="shared" si="64"/>
        <v>0</v>
      </c>
      <c r="Q469" s="315">
        <f t="shared" si="64"/>
        <v>0</v>
      </c>
      <c r="R469" s="315">
        <f t="shared" si="64"/>
        <v>0</v>
      </c>
      <c r="S469" s="315">
        <f t="shared" si="64"/>
        <v>0</v>
      </c>
      <c r="T469" s="315">
        <f t="shared" si="64"/>
        <v>0</v>
      </c>
      <c r="U469" s="315">
        <f t="shared" si="64"/>
        <v>0</v>
      </c>
      <c r="V469" s="315">
        <f t="shared" si="64"/>
        <v>0</v>
      </c>
      <c r="W469" s="315">
        <f t="shared" si="64"/>
        <v>0</v>
      </c>
      <c r="X469" s="315">
        <f t="shared" si="64"/>
        <v>0</v>
      </c>
      <c r="Y469" s="315">
        <f t="shared" si="64"/>
        <v>0</v>
      </c>
      <c r="Z469" s="315">
        <f t="shared" si="64"/>
        <v>0</v>
      </c>
      <c r="AA469" s="315">
        <f t="shared" si="64"/>
        <v>0</v>
      </c>
      <c r="AB469" s="315">
        <f t="shared" si="64"/>
        <v>0</v>
      </c>
      <c r="AC469" s="315">
        <f t="shared" si="64"/>
        <v>0</v>
      </c>
      <c r="AD469" s="315">
        <f t="shared" si="64"/>
        <v>0</v>
      </c>
      <c r="AE469" s="315">
        <f t="shared" si="64"/>
        <v>0</v>
      </c>
      <c r="AF469" s="315">
        <f t="shared" si="64"/>
        <v>0</v>
      </c>
      <c r="AG469" s="315">
        <f t="shared" si="64"/>
        <v>0</v>
      </c>
      <c r="AH469" s="315">
        <f t="shared" si="64"/>
        <v>0</v>
      </c>
      <c r="AI469" s="315">
        <f t="shared" si="64"/>
        <v>0</v>
      </c>
      <c r="AJ469" s="315">
        <f t="shared" si="64"/>
        <v>0</v>
      </c>
      <c r="AK469" s="315">
        <f t="shared" si="64"/>
        <v>0</v>
      </c>
      <c r="AL469" s="315">
        <f t="shared" si="64"/>
        <v>0</v>
      </c>
      <c r="AM469" s="315">
        <f t="shared" si="64"/>
        <v>0</v>
      </c>
      <c r="AN469" s="315">
        <f t="shared" si="64"/>
        <v>0</v>
      </c>
      <c r="AO469" s="315">
        <f t="shared" si="64"/>
        <v>0</v>
      </c>
      <c r="AP469" s="315">
        <f t="shared" si="64"/>
        <v>0</v>
      </c>
      <c r="AQ469" s="315">
        <f t="shared" si="64"/>
        <v>0</v>
      </c>
      <c r="AR469" s="315">
        <f t="shared" si="64"/>
        <v>0</v>
      </c>
      <c r="AS469" s="315">
        <f t="shared" si="64"/>
        <v>0</v>
      </c>
      <c r="AT469" s="315">
        <f t="shared" si="64"/>
        <v>0</v>
      </c>
      <c r="AU469" s="315">
        <f t="shared" si="64"/>
        <v>0</v>
      </c>
      <c r="AV469" s="315">
        <f t="shared" si="64"/>
        <v>0</v>
      </c>
      <c r="AW469" s="315">
        <f t="shared" si="64"/>
        <v>0</v>
      </c>
      <c r="AX469" s="315">
        <f t="shared" si="64"/>
        <v>0</v>
      </c>
      <c r="AY469" s="315">
        <f t="shared" si="64"/>
        <v>0</v>
      </c>
      <c r="AZ469" s="315">
        <f t="shared" si="64"/>
        <v>0</v>
      </c>
      <c r="BA469" s="315">
        <f t="shared" si="64"/>
        <v>0</v>
      </c>
      <c r="BB469" s="315">
        <f t="shared" si="64"/>
        <v>0</v>
      </c>
      <c r="BC469" s="315">
        <f t="shared" si="64"/>
        <v>0</v>
      </c>
      <c r="BD469" s="315">
        <f t="shared" si="64"/>
        <v>0</v>
      </c>
      <c r="BE469" s="315">
        <f t="shared" si="64"/>
        <v>0</v>
      </c>
      <c r="BF469" s="315">
        <f t="shared" si="64"/>
        <v>0</v>
      </c>
      <c r="BG469" s="315">
        <f t="shared" si="64"/>
        <v>0</v>
      </c>
      <c r="BH469" s="315">
        <f t="shared" si="64"/>
        <v>0</v>
      </c>
      <c r="BI469" s="315">
        <f t="shared" si="64"/>
        <v>0</v>
      </c>
      <c r="BJ469" s="315">
        <f t="shared" si="64"/>
        <v>0</v>
      </c>
      <c r="BK469" s="315">
        <f t="shared" si="64"/>
        <v>0</v>
      </c>
      <c r="BL469" s="315">
        <f t="shared" si="64"/>
        <v>0</v>
      </c>
      <c r="BM469" s="315">
        <f t="shared" si="64"/>
        <v>0</v>
      </c>
      <c r="BN469" s="315">
        <f t="shared" si="64"/>
        <v>0</v>
      </c>
      <c r="BO469" s="315">
        <f t="shared" si="64"/>
        <v>0</v>
      </c>
      <c r="BP469" s="315">
        <f t="shared" si="64"/>
        <v>0</v>
      </c>
      <c r="BQ469" s="315">
        <f t="shared" si="64"/>
        <v>0</v>
      </c>
      <c r="BR469" s="315">
        <f t="shared" si="62"/>
        <v>0</v>
      </c>
      <c r="BS469" s="315">
        <f t="shared" si="60"/>
        <v>0</v>
      </c>
      <c r="BT469" s="315">
        <f t="shared" si="60"/>
        <v>0</v>
      </c>
      <c r="BU469" s="315">
        <f t="shared" si="60"/>
        <v>0</v>
      </c>
      <c r="BV469" s="315">
        <f t="shared" si="60"/>
        <v>0</v>
      </c>
      <c r="BW469" s="315">
        <f t="shared" si="60"/>
        <v>0</v>
      </c>
      <c r="BX469" s="315">
        <f t="shared" si="60"/>
        <v>0</v>
      </c>
      <c r="BZ469" s="315">
        <f t="shared" si="61"/>
        <v>0</v>
      </c>
      <c r="CA469" s="315">
        <f t="shared" si="61"/>
        <v>0</v>
      </c>
    </row>
    <row r="470" spans="7:79" hidden="1" x14ac:dyDescent="0.2">
      <c r="G470" s="315">
        <f t="shared" si="65"/>
        <v>-7020911</v>
      </c>
      <c r="H470" s="315">
        <f t="shared" si="65"/>
        <v>0</v>
      </c>
      <c r="I470" s="315">
        <f t="shared" si="65"/>
        <v>0</v>
      </c>
      <c r="J470" s="315">
        <f t="shared" si="64"/>
        <v>0</v>
      </c>
      <c r="K470" s="315">
        <f t="shared" si="64"/>
        <v>0</v>
      </c>
      <c r="L470" s="315">
        <f t="shared" si="64"/>
        <v>358664</v>
      </c>
      <c r="M470" s="315">
        <f t="shared" si="64"/>
        <v>0</v>
      </c>
      <c r="N470" s="315">
        <f t="shared" si="64"/>
        <v>0</v>
      </c>
      <c r="O470" s="315">
        <f t="shared" si="64"/>
        <v>0</v>
      </c>
      <c r="P470" s="315">
        <f t="shared" si="64"/>
        <v>0</v>
      </c>
      <c r="Q470" s="315">
        <f t="shared" si="64"/>
        <v>-925587</v>
      </c>
      <c r="R470" s="315">
        <f t="shared" si="64"/>
        <v>0</v>
      </c>
      <c r="S470" s="315">
        <f t="shared" si="64"/>
        <v>0</v>
      </c>
      <c r="T470" s="315">
        <f t="shared" si="64"/>
        <v>0</v>
      </c>
      <c r="U470" s="315">
        <f t="shared" si="64"/>
        <v>0</v>
      </c>
      <c r="V470" s="315">
        <f t="shared" si="64"/>
        <v>325764</v>
      </c>
      <c r="W470" s="315">
        <f t="shared" si="64"/>
        <v>0</v>
      </c>
      <c r="X470" s="315">
        <f t="shared" si="64"/>
        <v>0</v>
      </c>
      <c r="Y470" s="315">
        <f t="shared" ref="Y470:BQ474" si="66">Y79-CQ79</f>
        <v>0</v>
      </c>
      <c r="Z470" s="315">
        <f t="shared" si="66"/>
        <v>0</v>
      </c>
      <c r="AA470" s="315">
        <f t="shared" si="66"/>
        <v>-96627</v>
      </c>
      <c r="AB470" s="315">
        <f t="shared" si="66"/>
        <v>0</v>
      </c>
      <c r="AC470" s="315">
        <f t="shared" si="66"/>
        <v>0</v>
      </c>
      <c r="AD470" s="315">
        <f t="shared" si="66"/>
        <v>0</v>
      </c>
      <c r="AE470" s="315">
        <f t="shared" si="66"/>
        <v>0</v>
      </c>
      <c r="AF470" s="315">
        <f t="shared" si="66"/>
        <v>683098</v>
      </c>
      <c r="AG470" s="315">
        <f t="shared" si="66"/>
        <v>0</v>
      </c>
      <c r="AH470" s="315">
        <f t="shared" si="66"/>
        <v>0</v>
      </c>
      <c r="AI470" s="315">
        <f t="shared" si="66"/>
        <v>0</v>
      </c>
      <c r="AJ470" s="315">
        <f t="shared" si="66"/>
        <v>0</v>
      </c>
      <c r="AK470" s="315">
        <f t="shared" si="66"/>
        <v>-405439</v>
      </c>
      <c r="AL470" s="315">
        <f t="shared" si="66"/>
        <v>0</v>
      </c>
      <c r="AM470" s="315">
        <f t="shared" si="66"/>
        <v>0</v>
      </c>
      <c r="AN470" s="315">
        <f t="shared" si="66"/>
        <v>0</v>
      </c>
      <c r="AO470" s="315">
        <f t="shared" si="66"/>
        <v>0</v>
      </c>
      <c r="AP470" s="315">
        <f t="shared" si="66"/>
        <v>391059</v>
      </c>
      <c r="AQ470" s="315">
        <f t="shared" si="66"/>
        <v>0</v>
      </c>
      <c r="AR470" s="315">
        <f t="shared" si="66"/>
        <v>0</v>
      </c>
      <c r="AS470" s="315">
        <f t="shared" si="66"/>
        <v>0</v>
      </c>
      <c r="AT470" s="315">
        <f t="shared" si="66"/>
        <v>0</v>
      </c>
      <c r="AU470" s="315">
        <f t="shared" si="66"/>
        <v>-579101</v>
      </c>
      <c r="AV470" s="315">
        <f t="shared" si="66"/>
        <v>0</v>
      </c>
      <c r="AW470" s="315">
        <f t="shared" si="66"/>
        <v>0</v>
      </c>
      <c r="AX470" s="315">
        <f t="shared" si="66"/>
        <v>0</v>
      </c>
      <c r="AY470" s="315">
        <f t="shared" si="66"/>
        <v>0</v>
      </c>
      <c r="AZ470" s="315">
        <f t="shared" si="66"/>
        <v>-777227</v>
      </c>
      <c r="BA470" s="315">
        <f t="shared" si="66"/>
        <v>0</v>
      </c>
      <c r="BB470" s="315">
        <f t="shared" si="66"/>
        <v>0</v>
      </c>
      <c r="BC470" s="315">
        <f t="shared" si="66"/>
        <v>0</v>
      </c>
      <c r="BD470" s="315">
        <f t="shared" si="66"/>
        <v>0</v>
      </c>
      <c r="BE470" s="315">
        <f t="shared" si="66"/>
        <v>-977581</v>
      </c>
      <c r="BF470" s="315">
        <f t="shared" si="66"/>
        <v>0</v>
      </c>
      <c r="BG470" s="315">
        <f t="shared" si="66"/>
        <v>0</v>
      </c>
      <c r="BH470" s="315">
        <f t="shared" si="66"/>
        <v>0</v>
      </c>
      <c r="BI470" s="315">
        <f t="shared" si="66"/>
        <v>0</v>
      </c>
      <c r="BJ470" s="315">
        <f t="shared" si="66"/>
        <v>-603587</v>
      </c>
      <c r="BK470" s="315">
        <f t="shared" si="66"/>
        <v>0</v>
      </c>
      <c r="BL470" s="315">
        <f t="shared" si="66"/>
        <v>0</v>
      </c>
      <c r="BM470" s="315">
        <f t="shared" si="66"/>
        <v>0</v>
      </c>
      <c r="BN470" s="315">
        <f t="shared" si="66"/>
        <v>0</v>
      </c>
      <c r="BO470" s="315">
        <f t="shared" si="66"/>
        <v>-340387</v>
      </c>
      <c r="BP470" s="315">
        <f t="shared" si="66"/>
        <v>0</v>
      </c>
      <c r="BQ470" s="315">
        <f t="shared" si="66"/>
        <v>0</v>
      </c>
      <c r="BR470" s="315">
        <f t="shared" si="62"/>
        <v>0</v>
      </c>
      <c r="BS470" s="315">
        <f t="shared" si="60"/>
        <v>0</v>
      </c>
      <c r="BT470" s="315">
        <f t="shared" si="60"/>
        <v>330932</v>
      </c>
      <c r="BU470" s="315">
        <f t="shared" si="60"/>
        <v>0</v>
      </c>
      <c r="BV470" s="315">
        <f t="shared" si="60"/>
        <v>0</v>
      </c>
      <c r="BW470" s="315">
        <f t="shared" si="60"/>
        <v>0</v>
      </c>
      <c r="BX470" s="315">
        <f t="shared" si="60"/>
        <v>0</v>
      </c>
      <c r="BZ470" s="315">
        <f t="shared" si="61"/>
        <v>0</v>
      </c>
      <c r="CA470" s="315">
        <f t="shared" si="61"/>
        <v>0</v>
      </c>
    </row>
    <row r="471" spans="7:79" hidden="1" x14ac:dyDescent="0.2">
      <c r="G471" s="315">
        <f t="shared" si="65"/>
        <v>0</v>
      </c>
      <c r="H471" s="315">
        <f t="shared" si="65"/>
        <v>0</v>
      </c>
      <c r="I471" s="315">
        <f t="shared" si="65"/>
        <v>0</v>
      </c>
      <c r="J471" s="315">
        <f t="shared" si="65"/>
        <v>0</v>
      </c>
      <c r="K471" s="315">
        <f t="shared" si="65"/>
        <v>0</v>
      </c>
      <c r="L471" s="315">
        <f t="shared" si="65"/>
        <v>0</v>
      </c>
      <c r="M471" s="315">
        <f t="shared" si="65"/>
        <v>0</v>
      </c>
      <c r="N471" s="315">
        <f t="shared" si="65"/>
        <v>0</v>
      </c>
      <c r="O471" s="315">
        <f t="shared" si="65"/>
        <v>0</v>
      </c>
      <c r="P471" s="315">
        <f t="shared" si="65"/>
        <v>0</v>
      </c>
      <c r="Q471" s="315">
        <f t="shared" si="65"/>
        <v>0</v>
      </c>
      <c r="R471" s="315">
        <f t="shared" si="65"/>
        <v>0</v>
      </c>
      <c r="S471" s="315">
        <f t="shared" si="65"/>
        <v>0</v>
      </c>
      <c r="T471" s="315">
        <f t="shared" si="65"/>
        <v>0</v>
      </c>
      <c r="U471" s="315">
        <f t="shared" si="65"/>
        <v>0</v>
      </c>
      <c r="V471" s="315">
        <f t="shared" si="65"/>
        <v>0</v>
      </c>
      <c r="W471" s="315">
        <f t="shared" ref="W471:X474" si="67">W80-CO80</f>
        <v>0</v>
      </c>
      <c r="X471" s="315">
        <f t="shared" si="67"/>
        <v>0</v>
      </c>
      <c r="Y471" s="315">
        <f t="shared" si="66"/>
        <v>0</v>
      </c>
      <c r="Z471" s="315">
        <f t="shared" si="66"/>
        <v>0</v>
      </c>
      <c r="AA471" s="315">
        <f t="shared" si="66"/>
        <v>0</v>
      </c>
      <c r="AB471" s="315">
        <f t="shared" si="66"/>
        <v>0</v>
      </c>
      <c r="AC471" s="315">
        <f t="shared" si="66"/>
        <v>0</v>
      </c>
      <c r="AD471" s="315">
        <f t="shared" si="66"/>
        <v>0</v>
      </c>
      <c r="AE471" s="315">
        <f t="shared" si="66"/>
        <v>0</v>
      </c>
      <c r="AF471" s="315">
        <f t="shared" si="66"/>
        <v>0</v>
      </c>
      <c r="AG471" s="315">
        <f t="shared" si="66"/>
        <v>0</v>
      </c>
      <c r="AH471" s="315">
        <f t="shared" si="66"/>
        <v>0</v>
      </c>
      <c r="AI471" s="315">
        <f t="shared" si="66"/>
        <v>0</v>
      </c>
      <c r="AJ471" s="315">
        <f t="shared" si="66"/>
        <v>0</v>
      </c>
      <c r="AK471" s="315">
        <f t="shared" si="66"/>
        <v>0</v>
      </c>
      <c r="AL471" s="315">
        <f t="shared" si="66"/>
        <v>0</v>
      </c>
      <c r="AM471" s="315">
        <f t="shared" si="66"/>
        <v>0</v>
      </c>
      <c r="AN471" s="315">
        <f t="shared" si="66"/>
        <v>0</v>
      </c>
      <c r="AO471" s="315">
        <f t="shared" si="66"/>
        <v>0</v>
      </c>
      <c r="AP471" s="315">
        <f t="shared" si="66"/>
        <v>0</v>
      </c>
      <c r="AQ471" s="315">
        <f t="shared" si="66"/>
        <v>0</v>
      </c>
      <c r="AR471" s="315">
        <f t="shared" si="66"/>
        <v>0</v>
      </c>
      <c r="AS471" s="315">
        <f t="shared" si="66"/>
        <v>0</v>
      </c>
      <c r="AT471" s="315">
        <f t="shared" si="66"/>
        <v>0</v>
      </c>
      <c r="AU471" s="315">
        <f t="shared" si="66"/>
        <v>0</v>
      </c>
      <c r="AV471" s="315">
        <f t="shared" si="66"/>
        <v>0</v>
      </c>
      <c r="AW471" s="315">
        <f t="shared" si="66"/>
        <v>0</v>
      </c>
      <c r="AX471" s="315">
        <f t="shared" si="66"/>
        <v>0</v>
      </c>
      <c r="AY471" s="315">
        <f t="shared" si="66"/>
        <v>0</v>
      </c>
      <c r="AZ471" s="315">
        <f t="shared" si="66"/>
        <v>0</v>
      </c>
      <c r="BA471" s="315">
        <f t="shared" si="66"/>
        <v>0</v>
      </c>
      <c r="BB471" s="315">
        <f t="shared" si="66"/>
        <v>0</v>
      </c>
      <c r="BC471" s="315">
        <f t="shared" si="66"/>
        <v>0</v>
      </c>
      <c r="BD471" s="315">
        <f t="shared" si="66"/>
        <v>0</v>
      </c>
      <c r="BE471" s="315">
        <f t="shared" si="66"/>
        <v>0</v>
      </c>
      <c r="BF471" s="315">
        <f t="shared" si="66"/>
        <v>0</v>
      </c>
      <c r="BG471" s="315">
        <f t="shared" si="66"/>
        <v>0</v>
      </c>
      <c r="BH471" s="315">
        <f t="shared" si="66"/>
        <v>0</v>
      </c>
      <c r="BI471" s="315">
        <f t="shared" si="66"/>
        <v>0</v>
      </c>
      <c r="BJ471" s="315">
        <f t="shared" si="66"/>
        <v>0</v>
      </c>
      <c r="BK471" s="315">
        <f t="shared" si="66"/>
        <v>0</v>
      </c>
      <c r="BL471" s="315">
        <f t="shared" si="66"/>
        <v>0</v>
      </c>
      <c r="BM471" s="315">
        <f t="shared" si="66"/>
        <v>0</v>
      </c>
      <c r="BN471" s="315">
        <f t="shared" si="66"/>
        <v>0</v>
      </c>
      <c r="BO471" s="315">
        <f t="shared" si="66"/>
        <v>0</v>
      </c>
      <c r="BP471" s="315">
        <f t="shared" si="66"/>
        <v>0</v>
      </c>
      <c r="BQ471" s="315">
        <f t="shared" si="66"/>
        <v>0</v>
      </c>
      <c r="BR471" s="315">
        <f t="shared" si="62"/>
        <v>0</v>
      </c>
      <c r="BS471" s="315">
        <f t="shared" si="60"/>
        <v>0</v>
      </c>
      <c r="BT471" s="315">
        <f t="shared" si="60"/>
        <v>0</v>
      </c>
      <c r="BU471" s="315">
        <f t="shared" si="60"/>
        <v>0</v>
      </c>
      <c r="BV471" s="315">
        <f t="shared" si="60"/>
        <v>0</v>
      </c>
      <c r="BW471" s="315">
        <f t="shared" si="60"/>
        <v>0</v>
      </c>
      <c r="BX471" s="315">
        <f t="shared" si="60"/>
        <v>0</v>
      </c>
      <c r="BZ471" s="315">
        <f t="shared" si="61"/>
        <v>0</v>
      </c>
      <c r="CA471" s="315">
        <f t="shared" si="61"/>
        <v>0</v>
      </c>
    </row>
    <row r="472" spans="7:79" hidden="1" x14ac:dyDescent="0.2">
      <c r="G472" s="315">
        <f t="shared" si="65"/>
        <v>0</v>
      </c>
      <c r="H472" s="315">
        <f t="shared" si="65"/>
        <v>0</v>
      </c>
      <c r="I472" s="315">
        <f t="shared" si="65"/>
        <v>0</v>
      </c>
      <c r="J472" s="315">
        <f t="shared" si="65"/>
        <v>0</v>
      </c>
      <c r="K472" s="315">
        <f t="shared" si="65"/>
        <v>0</v>
      </c>
      <c r="L472" s="315">
        <f t="shared" si="65"/>
        <v>0</v>
      </c>
      <c r="M472" s="315">
        <f t="shared" si="65"/>
        <v>0</v>
      </c>
      <c r="N472" s="315">
        <f t="shared" si="65"/>
        <v>0</v>
      </c>
      <c r="O472" s="315">
        <f t="shared" si="65"/>
        <v>0</v>
      </c>
      <c r="P472" s="315">
        <f t="shared" si="65"/>
        <v>0</v>
      </c>
      <c r="Q472" s="315">
        <f t="shared" si="65"/>
        <v>0</v>
      </c>
      <c r="R472" s="315">
        <f t="shared" si="65"/>
        <v>0</v>
      </c>
      <c r="S472" s="315">
        <f t="shared" si="65"/>
        <v>0</v>
      </c>
      <c r="T472" s="315">
        <f t="shared" si="65"/>
        <v>0</v>
      </c>
      <c r="U472" s="315">
        <f t="shared" si="65"/>
        <v>0</v>
      </c>
      <c r="V472" s="315">
        <f t="shared" si="65"/>
        <v>0</v>
      </c>
      <c r="W472" s="315">
        <f t="shared" si="67"/>
        <v>0</v>
      </c>
      <c r="X472" s="315">
        <f t="shared" si="67"/>
        <v>0</v>
      </c>
      <c r="Y472" s="315">
        <f t="shared" si="66"/>
        <v>0</v>
      </c>
      <c r="Z472" s="315">
        <f t="shared" si="66"/>
        <v>0</v>
      </c>
      <c r="AA472" s="315">
        <f t="shared" si="66"/>
        <v>0</v>
      </c>
      <c r="AB472" s="315">
        <f t="shared" si="66"/>
        <v>0</v>
      </c>
      <c r="AC472" s="315">
        <f t="shared" si="66"/>
        <v>0</v>
      </c>
      <c r="AD472" s="315">
        <f t="shared" si="66"/>
        <v>0</v>
      </c>
      <c r="AE472" s="315">
        <f t="shared" si="66"/>
        <v>0</v>
      </c>
      <c r="AF472" s="315">
        <f t="shared" si="66"/>
        <v>0</v>
      </c>
      <c r="AG472" s="315">
        <f t="shared" si="66"/>
        <v>0</v>
      </c>
      <c r="AH472" s="315">
        <f t="shared" si="66"/>
        <v>0</v>
      </c>
      <c r="AI472" s="315">
        <f t="shared" si="66"/>
        <v>0</v>
      </c>
      <c r="AJ472" s="315">
        <f t="shared" si="66"/>
        <v>0</v>
      </c>
      <c r="AK472" s="315">
        <f t="shared" si="66"/>
        <v>0</v>
      </c>
      <c r="AL472" s="315">
        <f t="shared" si="66"/>
        <v>0</v>
      </c>
      <c r="AM472" s="315">
        <f t="shared" si="66"/>
        <v>0</v>
      </c>
      <c r="AN472" s="315">
        <f t="shared" si="66"/>
        <v>0</v>
      </c>
      <c r="AO472" s="315">
        <f t="shared" si="66"/>
        <v>0</v>
      </c>
      <c r="AP472" s="315">
        <f t="shared" si="66"/>
        <v>0</v>
      </c>
      <c r="AQ472" s="315">
        <f t="shared" si="66"/>
        <v>0</v>
      </c>
      <c r="AR472" s="315">
        <f t="shared" si="66"/>
        <v>0</v>
      </c>
      <c r="AS472" s="315">
        <f t="shared" si="66"/>
        <v>0</v>
      </c>
      <c r="AT472" s="315">
        <f t="shared" si="66"/>
        <v>0</v>
      </c>
      <c r="AU472" s="315">
        <f t="shared" si="66"/>
        <v>0</v>
      </c>
      <c r="AV472" s="315">
        <f t="shared" si="66"/>
        <v>0</v>
      </c>
      <c r="AW472" s="315">
        <f t="shared" si="66"/>
        <v>0</v>
      </c>
      <c r="AX472" s="315">
        <f t="shared" si="66"/>
        <v>0</v>
      </c>
      <c r="AY472" s="315">
        <f t="shared" si="66"/>
        <v>0</v>
      </c>
      <c r="AZ472" s="315">
        <f t="shared" si="66"/>
        <v>0</v>
      </c>
      <c r="BA472" s="315">
        <f t="shared" si="66"/>
        <v>0</v>
      </c>
      <c r="BB472" s="315">
        <f t="shared" si="66"/>
        <v>0</v>
      </c>
      <c r="BC472" s="315">
        <f t="shared" si="66"/>
        <v>0</v>
      </c>
      <c r="BD472" s="315">
        <f t="shared" si="66"/>
        <v>0</v>
      </c>
      <c r="BE472" s="315">
        <f t="shared" si="66"/>
        <v>0</v>
      </c>
      <c r="BF472" s="315">
        <f t="shared" si="66"/>
        <v>0</v>
      </c>
      <c r="BG472" s="315">
        <f t="shared" si="66"/>
        <v>0</v>
      </c>
      <c r="BH472" s="315">
        <f t="shared" si="66"/>
        <v>0</v>
      </c>
      <c r="BI472" s="315">
        <f t="shared" si="66"/>
        <v>0</v>
      </c>
      <c r="BJ472" s="315">
        <f t="shared" si="66"/>
        <v>0</v>
      </c>
      <c r="BK472" s="315">
        <f t="shared" si="66"/>
        <v>0</v>
      </c>
      <c r="BL472" s="315">
        <f t="shared" si="66"/>
        <v>0</v>
      </c>
      <c r="BM472" s="315">
        <f t="shared" si="66"/>
        <v>0</v>
      </c>
      <c r="BN472" s="315">
        <f t="shared" si="66"/>
        <v>0</v>
      </c>
      <c r="BO472" s="315">
        <f t="shared" si="66"/>
        <v>0</v>
      </c>
      <c r="BP472" s="315">
        <f t="shared" si="66"/>
        <v>0</v>
      </c>
      <c r="BQ472" s="315">
        <f t="shared" si="66"/>
        <v>0</v>
      </c>
      <c r="BR472" s="315">
        <f t="shared" si="62"/>
        <v>0</v>
      </c>
      <c r="BS472" s="315">
        <f t="shared" si="60"/>
        <v>0</v>
      </c>
      <c r="BT472" s="315">
        <f t="shared" si="60"/>
        <v>0</v>
      </c>
      <c r="BU472" s="315">
        <f t="shared" si="60"/>
        <v>0</v>
      </c>
      <c r="BV472" s="315">
        <f t="shared" si="60"/>
        <v>0</v>
      </c>
      <c r="BW472" s="315">
        <f t="shared" si="60"/>
        <v>0</v>
      </c>
      <c r="BX472" s="315">
        <f t="shared" si="60"/>
        <v>0</v>
      </c>
      <c r="BZ472" s="315">
        <f t="shared" si="61"/>
        <v>0</v>
      </c>
      <c r="CA472" s="315">
        <f t="shared" si="61"/>
        <v>0</v>
      </c>
    </row>
    <row r="473" spans="7:79" hidden="1" x14ac:dyDescent="0.2">
      <c r="G473" s="315">
        <f t="shared" si="65"/>
        <v>0</v>
      </c>
      <c r="H473" s="315">
        <f t="shared" si="65"/>
        <v>0</v>
      </c>
      <c r="I473" s="315">
        <f t="shared" si="65"/>
        <v>0</v>
      </c>
      <c r="J473" s="315">
        <f t="shared" si="65"/>
        <v>0</v>
      </c>
      <c r="K473" s="315">
        <f t="shared" si="65"/>
        <v>0</v>
      </c>
      <c r="L473" s="315">
        <f t="shared" si="65"/>
        <v>0</v>
      </c>
      <c r="M473" s="315">
        <f t="shared" si="65"/>
        <v>0</v>
      </c>
      <c r="N473" s="315">
        <f t="shared" si="65"/>
        <v>0</v>
      </c>
      <c r="O473" s="315">
        <f t="shared" si="65"/>
        <v>0</v>
      </c>
      <c r="P473" s="315">
        <f t="shared" si="65"/>
        <v>0</v>
      </c>
      <c r="Q473" s="315">
        <f t="shared" si="65"/>
        <v>0</v>
      </c>
      <c r="R473" s="315">
        <f t="shared" si="65"/>
        <v>0</v>
      </c>
      <c r="S473" s="315">
        <f t="shared" si="65"/>
        <v>0</v>
      </c>
      <c r="T473" s="315">
        <f t="shared" si="65"/>
        <v>0</v>
      </c>
      <c r="U473" s="315">
        <f t="shared" si="65"/>
        <v>0</v>
      </c>
      <c r="V473" s="315">
        <f t="shared" si="65"/>
        <v>0</v>
      </c>
      <c r="W473" s="315">
        <f t="shared" si="67"/>
        <v>0</v>
      </c>
      <c r="X473" s="315">
        <f t="shared" si="67"/>
        <v>0</v>
      </c>
      <c r="Y473" s="315">
        <f t="shared" si="66"/>
        <v>0</v>
      </c>
      <c r="Z473" s="315">
        <f t="shared" si="66"/>
        <v>0</v>
      </c>
      <c r="AA473" s="315">
        <f t="shared" si="66"/>
        <v>0</v>
      </c>
      <c r="AB473" s="315">
        <f t="shared" si="66"/>
        <v>0</v>
      </c>
      <c r="AC473" s="315">
        <f t="shared" si="66"/>
        <v>0</v>
      </c>
      <c r="AD473" s="315">
        <f t="shared" si="66"/>
        <v>0</v>
      </c>
      <c r="AE473" s="315">
        <f t="shared" si="66"/>
        <v>0</v>
      </c>
      <c r="AF473" s="315">
        <f t="shared" si="66"/>
        <v>0</v>
      </c>
      <c r="AG473" s="315">
        <f t="shared" si="66"/>
        <v>0</v>
      </c>
      <c r="AH473" s="315">
        <f t="shared" si="66"/>
        <v>0</v>
      </c>
      <c r="AI473" s="315">
        <f t="shared" si="66"/>
        <v>0</v>
      </c>
      <c r="AJ473" s="315">
        <f t="shared" si="66"/>
        <v>0</v>
      </c>
      <c r="AK473" s="315">
        <f t="shared" si="66"/>
        <v>0</v>
      </c>
      <c r="AL473" s="315">
        <f t="shared" si="66"/>
        <v>0</v>
      </c>
      <c r="AM473" s="315">
        <f t="shared" si="66"/>
        <v>0</v>
      </c>
      <c r="AN473" s="315">
        <f t="shared" si="66"/>
        <v>0</v>
      </c>
      <c r="AO473" s="315">
        <f t="shared" si="66"/>
        <v>0</v>
      </c>
      <c r="AP473" s="315">
        <f t="shared" si="66"/>
        <v>0</v>
      </c>
      <c r="AQ473" s="315">
        <f t="shared" si="66"/>
        <v>0</v>
      </c>
      <c r="AR473" s="315">
        <f t="shared" si="66"/>
        <v>0</v>
      </c>
      <c r="AS473" s="315">
        <f t="shared" si="66"/>
        <v>0</v>
      </c>
      <c r="AT473" s="315">
        <f t="shared" si="66"/>
        <v>0</v>
      </c>
      <c r="AU473" s="315">
        <f t="shared" si="66"/>
        <v>0</v>
      </c>
      <c r="AV473" s="315">
        <f t="shared" si="66"/>
        <v>0</v>
      </c>
      <c r="AW473" s="315">
        <f t="shared" si="66"/>
        <v>0</v>
      </c>
      <c r="AX473" s="315">
        <f t="shared" si="66"/>
        <v>0</v>
      </c>
      <c r="AY473" s="315">
        <f t="shared" si="66"/>
        <v>0</v>
      </c>
      <c r="AZ473" s="315">
        <f t="shared" si="66"/>
        <v>0</v>
      </c>
      <c r="BA473" s="315">
        <f t="shared" si="66"/>
        <v>0</v>
      </c>
      <c r="BB473" s="315">
        <f t="shared" si="66"/>
        <v>0</v>
      </c>
      <c r="BC473" s="315">
        <f t="shared" si="66"/>
        <v>0</v>
      </c>
      <c r="BD473" s="315">
        <f t="shared" si="66"/>
        <v>0</v>
      </c>
      <c r="BE473" s="315">
        <f t="shared" si="66"/>
        <v>0</v>
      </c>
      <c r="BF473" s="315">
        <f t="shared" si="66"/>
        <v>0</v>
      </c>
      <c r="BG473" s="315">
        <f t="shared" si="66"/>
        <v>0</v>
      </c>
      <c r="BH473" s="315">
        <f t="shared" si="66"/>
        <v>0</v>
      </c>
      <c r="BI473" s="315">
        <f t="shared" si="66"/>
        <v>0</v>
      </c>
      <c r="BJ473" s="315">
        <f t="shared" si="66"/>
        <v>0</v>
      </c>
      <c r="BK473" s="315">
        <f t="shared" si="66"/>
        <v>0</v>
      </c>
      <c r="BL473" s="315">
        <f t="shared" si="66"/>
        <v>0</v>
      </c>
      <c r="BM473" s="315">
        <f t="shared" si="66"/>
        <v>0</v>
      </c>
      <c r="BN473" s="315">
        <f t="shared" si="66"/>
        <v>0</v>
      </c>
      <c r="BO473" s="315">
        <f t="shared" si="66"/>
        <v>0</v>
      </c>
      <c r="BP473" s="315">
        <f t="shared" si="66"/>
        <v>0</v>
      </c>
      <c r="BQ473" s="315">
        <f t="shared" si="66"/>
        <v>0</v>
      </c>
      <c r="BR473" s="315">
        <f t="shared" si="62"/>
        <v>0</v>
      </c>
      <c r="BS473" s="315">
        <f t="shared" si="60"/>
        <v>0</v>
      </c>
      <c r="BT473" s="315">
        <f t="shared" si="60"/>
        <v>0</v>
      </c>
      <c r="BU473" s="315">
        <f t="shared" si="60"/>
        <v>0</v>
      </c>
      <c r="BV473" s="315">
        <f t="shared" si="60"/>
        <v>0</v>
      </c>
      <c r="BW473" s="315">
        <f t="shared" si="60"/>
        <v>0</v>
      </c>
      <c r="BX473" s="315">
        <f t="shared" si="60"/>
        <v>0</v>
      </c>
      <c r="BZ473" s="315">
        <f t="shared" si="61"/>
        <v>0</v>
      </c>
      <c r="CA473" s="315">
        <f t="shared" si="61"/>
        <v>0</v>
      </c>
    </row>
    <row r="474" spans="7:79" hidden="1" x14ac:dyDescent="0.2">
      <c r="G474" s="315">
        <f t="shared" si="65"/>
        <v>0</v>
      </c>
      <c r="H474" s="315">
        <f t="shared" si="65"/>
        <v>0</v>
      </c>
      <c r="I474" s="315">
        <f t="shared" si="65"/>
        <v>0</v>
      </c>
      <c r="J474" s="315">
        <f t="shared" si="65"/>
        <v>0</v>
      </c>
      <c r="K474" s="315">
        <f t="shared" si="65"/>
        <v>0</v>
      </c>
      <c r="L474" s="315">
        <f t="shared" si="65"/>
        <v>0</v>
      </c>
      <c r="M474" s="315">
        <f t="shared" si="65"/>
        <v>0</v>
      </c>
      <c r="N474" s="315">
        <f t="shared" si="65"/>
        <v>0</v>
      </c>
      <c r="O474" s="315">
        <f t="shared" si="65"/>
        <v>0</v>
      </c>
      <c r="P474" s="315">
        <f t="shared" si="65"/>
        <v>0</v>
      </c>
      <c r="Q474" s="315">
        <f t="shared" si="65"/>
        <v>0</v>
      </c>
      <c r="R474" s="315">
        <f t="shared" si="65"/>
        <v>0</v>
      </c>
      <c r="S474" s="315">
        <f t="shared" si="65"/>
        <v>0</v>
      </c>
      <c r="T474" s="315">
        <f t="shared" si="65"/>
        <v>0</v>
      </c>
      <c r="U474" s="315">
        <f t="shared" si="65"/>
        <v>0</v>
      </c>
      <c r="V474" s="315">
        <f t="shared" si="65"/>
        <v>0</v>
      </c>
      <c r="W474" s="315">
        <f t="shared" si="67"/>
        <v>0</v>
      </c>
      <c r="X474" s="315">
        <f t="shared" si="67"/>
        <v>0</v>
      </c>
      <c r="Y474" s="315">
        <f t="shared" si="66"/>
        <v>0</v>
      </c>
      <c r="Z474" s="315">
        <f t="shared" si="66"/>
        <v>0</v>
      </c>
      <c r="AA474" s="315">
        <f t="shared" si="66"/>
        <v>0</v>
      </c>
      <c r="AB474" s="315">
        <f t="shared" si="66"/>
        <v>0</v>
      </c>
      <c r="AC474" s="315">
        <f t="shared" si="66"/>
        <v>0</v>
      </c>
      <c r="AD474" s="315">
        <f t="shared" si="66"/>
        <v>0</v>
      </c>
      <c r="AE474" s="315">
        <f t="shared" si="66"/>
        <v>0</v>
      </c>
      <c r="AF474" s="315">
        <f t="shared" si="66"/>
        <v>0</v>
      </c>
      <c r="AG474" s="315">
        <f t="shared" si="66"/>
        <v>0</v>
      </c>
      <c r="AH474" s="315">
        <f t="shared" si="66"/>
        <v>0</v>
      </c>
      <c r="AI474" s="315">
        <f t="shared" si="66"/>
        <v>0</v>
      </c>
      <c r="AJ474" s="315">
        <f t="shared" si="66"/>
        <v>0</v>
      </c>
      <c r="AK474" s="315">
        <f t="shared" si="66"/>
        <v>0</v>
      </c>
      <c r="AL474" s="315">
        <f t="shared" si="66"/>
        <v>0</v>
      </c>
      <c r="AM474" s="315">
        <f t="shared" si="66"/>
        <v>0</v>
      </c>
      <c r="AN474" s="315">
        <f t="shared" si="66"/>
        <v>0</v>
      </c>
      <c r="AO474" s="315">
        <f t="shared" si="66"/>
        <v>0</v>
      </c>
      <c r="AP474" s="315">
        <f t="shared" si="66"/>
        <v>0</v>
      </c>
      <c r="AQ474" s="315">
        <f t="shared" si="66"/>
        <v>0</v>
      </c>
      <c r="AR474" s="315">
        <f t="shared" si="66"/>
        <v>0</v>
      </c>
      <c r="AS474" s="315">
        <f t="shared" si="66"/>
        <v>0</v>
      </c>
      <c r="AT474" s="315">
        <f t="shared" si="66"/>
        <v>0</v>
      </c>
      <c r="AU474" s="315">
        <f t="shared" si="66"/>
        <v>0</v>
      </c>
      <c r="AV474" s="315">
        <f t="shared" si="66"/>
        <v>0</v>
      </c>
      <c r="AW474" s="315">
        <f t="shared" si="66"/>
        <v>0</v>
      </c>
      <c r="AX474" s="315">
        <f t="shared" si="66"/>
        <v>0</v>
      </c>
      <c r="AY474" s="315">
        <f t="shared" si="66"/>
        <v>0</v>
      </c>
      <c r="AZ474" s="315">
        <f t="shared" si="66"/>
        <v>0</v>
      </c>
      <c r="BA474" s="315">
        <f t="shared" si="66"/>
        <v>0</v>
      </c>
      <c r="BB474" s="315">
        <f t="shared" si="66"/>
        <v>0</v>
      </c>
      <c r="BC474" s="315">
        <f t="shared" si="66"/>
        <v>0</v>
      </c>
      <c r="BD474" s="315">
        <f t="shared" si="66"/>
        <v>0</v>
      </c>
      <c r="BE474" s="315">
        <f t="shared" si="66"/>
        <v>0</v>
      </c>
      <c r="BF474" s="315">
        <f t="shared" si="66"/>
        <v>0</v>
      </c>
      <c r="BG474" s="315">
        <f t="shared" si="66"/>
        <v>0</v>
      </c>
      <c r="BH474" s="315">
        <f t="shared" si="66"/>
        <v>0</v>
      </c>
      <c r="BI474" s="315">
        <f t="shared" si="66"/>
        <v>0</v>
      </c>
      <c r="BJ474" s="315">
        <f t="shared" si="66"/>
        <v>0</v>
      </c>
      <c r="BK474" s="315">
        <f t="shared" si="66"/>
        <v>0</v>
      </c>
      <c r="BL474" s="315">
        <f t="shared" si="66"/>
        <v>0</v>
      </c>
      <c r="BM474" s="315">
        <f t="shared" si="66"/>
        <v>0</v>
      </c>
      <c r="BN474" s="315">
        <f t="shared" si="66"/>
        <v>0</v>
      </c>
      <c r="BO474" s="315">
        <f t="shared" si="66"/>
        <v>0</v>
      </c>
      <c r="BP474" s="315">
        <f t="shared" si="66"/>
        <v>0</v>
      </c>
      <c r="BQ474" s="315">
        <f t="shared" si="66"/>
        <v>0</v>
      </c>
      <c r="BR474" s="315">
        <f t="shared" si="62"/>
        <v>0</v>
      </c>
      <c r="BS474" s="315">
        <f t="shared" si="62"/>
        <v>0</v>
      </c>
      <c r="BT474" s="315">
        <f t="shared" si="62"/>
        <v>0</v>
      </c>
      <c r="BU474" s="315">
        <f t="shared" si="62"/>
        <v>0</v>
      </c>
      <c r="BV474" s="315">
        <f t="shared" si="62"/>
        <v>0</v>
      </c>
      <c r="BW474" s="315">
        <f t="shared" si="62"/>
        <v>0</v>
      </c>
      <c r="BX474" s="315">
        <f t="shared" si="62"/>
        <v>0</v>
      </c>
      <c r="BZ474" s="315">
        <f t="shared" ref="BZ474:CA474" si="68">BZ83-ER83</f>
        <v>0</v>
      </c>
      <c r="CA474" s="315">
        <f t="shared" si="68"/>
        <v>0</v>
      </c>
    </row>
    <row r="475" spans="7:79" hidden="1" x14ac:dyDescent="0.2">
      <c r="G475" s="315">
        <f t="shared" ref="G475:BR479" si="69">G85-BY85</f>
        <v>0</v>
      </c>
      <c r="H475" s="315">
        <f t="shared" si="69"/>
        <v>0</v>
      </c>
      <c r="I475" s="315">
        <f t="shared" si="69"/>
        <v>0</v>
      </c>
      <c r="J475" s="315">
        <f t="shared" si="69"/>
        <v>0</v>
      </c>
      <c r="K475" s="315">
        <f t="shared" si="69"/>
        <v>0</v>
      </c>
      <c r="L475" s="315">
        <f t="shared" si="69"/>
        <v>0</v>
      </c>
      <c r="M475" s="315">
        <f t="shared" si="69"/>
        <v>0</v>
      </c>
      <c r="N475" s="315">
        <f t="shared" si="69"/>
        <v>0</v>
      </c>
      <c r="O475" s="315">
        <f t="shared" si="69"/>
        <v>0</v>
      </c>
      <c r="P475" s="315">
        <f t="shared" si="69"/>
        <v>0</v>
      </c>
      <c r="Q475" s="315">
        <f t="shared" si="69"/>
        <v>0</v>
      </c>
      <c r="R475" s="315">
        <f t="shared" si="69"/>
        <v>0</v>
      </c>
      <c r="S475" s="315">
        <f t="shared" si="69"/>
        <v>0</v>
      </c>
      <c r="T475" s="315">
        <f t="shared" si="69"/>
        <v>0</v>
      </c>
      <c r="U475" s="315">
        <f t="shared" si="69"/>
        <v>0</v>
      </c>
      <c r="V475" s="315">
        <f t="shared" si="69"/>
        <v>0</v>
      </c>
      <c r="W475" s="315">
        <f t="shared" si="69"/>
        <v>0</v>
      </c>
      <c r="X475" s="315">
        <f t="shared" si="69"/>
        <v>0</v>
      </c>
      <c r="Y475" s="315">
        <f t="shared" si="69"/>
        <v>0</v>
      </c>
      <c r="Z475" s="315">
        <f t="shared" si="69"/>
        <v>0</v>
      </c>
      <c r="AA475" s="315">
        <f t="shared" si="69"/>
        <v>0</v>
      </c>
      <c r="AB475" s="315">
        <f t="shared" si="69"/>
        <v>0</v>
      </c>
      <c r="AC475" s="315">
        <f t="shared" si="69"/>
        <v>0</v>
      </c>
      <c r="AD475" s="315">
        <f t="shared" si="69"/>
        <v>0</v>
      </c>
      <c r="AE475" s="315">
        <f t="shared" si="69"/>
        <v>0</v>
      </c>
      <c r="AF475" s="315">
        <f t="shared" si="69"/>
        <v>0</v>
      </c>
      <c r="AG475" s="315">
        <f t="shared" si="69"/>
        <v>0</v>
      </c>
      <c r="AH475" s="315">
        <f t="shared" si="69"/>
        <v>0</v>
      </c>
      <c r="AI475" s="315">
        <f t="shared" si="69"/>
        <v>0</v>
      </c>
      <c r="AJ475" s="315">
        <f t="shared" si="69"/>
        <v>0</v>
      </c>
      <c r="AK475" s="315">
        <f t="shared" si="69"/>
        <v>0</v>
      </c>
      <c r="AL475" s="315">
        <f t="shared" si="69"/>
        <v>0</v>
      </c>
      <c r="AM475" s="315">
        <f t="shared" si="69"/>
        <v>0</v>
      </c>
      <c r="AN475" s="315">
        <f t="shared" si="69"/>
        <v>0</v>
      </c>
      <c r="AO475" s="315">
        <f t="shared" si="69"/>
        <v>0</v>
      </c>
      <c r="AP475" s="315">
        <f t="shared" si="69"/>
        <v>0</v>
      </c>
      <c r="AQ475" s="315">
        <f t="shared" si="69"/>
        <v>0</v>
      </c>
      <c r="AR475" s="315">
        <f t="shared" si="69"/>
        <v>0</v>
      </c>
      <c r="AS475" s="315">
        <f t="shared" si="69"/>
        <v>0</v>
      </c>
      <c r="AT475" s="315">
        <f t="shared" si="69"/>
        <v>0</v>
      </c>
      <c r="AU475" s="315">
        <f t="shared" si="69"/>
        <v>0</v>
      </c>
      <c r="AV475" s="315">
        <f t="shared" si="69"/>
        <v>0</v>
      </c>
      <c r="AW475" s="315">
        <f t="shared" si="69"/>
        <v>0</v>
      </c>
      <c r="AX475" s="315">
        <f t="shared" si="69"/>
        <v>0</v>
      </c>
      <c r="AY475" s="315">
        <f t="shared" si="69"/>
        <v>0</v>
      </c>
      <c r="AZ475" s="315">
        <f t="shared" si="69"/>
        <v>0</v>
      </c>
      <c r="BA475" s="315">
        <f t="shared" si="69"/>
        <v>0</v>
      </c>
      <c r="BB475" s="315">
        <f t="shared" si="69"/>
        <v>0</v>
      </c>
      <c r="BC475" s="315">
        <f t="shared" si="69"/>
        <v>0</v>
      </c>
      <c r="BD475" s="315">
        <f t="shared" si="69"/>
        <v>0</v>
      </c>
      <c r="BE475" s="315">
        <f t="shared" si="69"/>
        <v>0</v>
      </c>
      <c r="BF475" s="315">
        <f t="shared" si="69"/>
        <v>0</v>
      </c>
      <c r="BG475" s="315">
        <f t="shared" si="69"/>
        <v>0</v>
      </c>
      <c r="BH475" s="315">
        <f t="shared" si="69"/>
        <v>0</v>
      </c>
      <c r="BI475" s="315">
        <f t="shared" si="69"/>
        <v>0</v>
      </c>
      <c r="BJ475" s="315">
        <f t="shared" si="69"/>
        <v>0</v>
      </c>
      <c r="BK475" s="315">
        <f t="shared" si="69"/>
        <v>0</v>
      </c>
      <c r="BL475" s="315">
        <f t="shared" si="69"/>
        <v>0</v>
      </c>
      <c r="BM475" s="315">
        <f t="shared" si="69"/>
        <v>0</v>
      </c>
      <c r="BN475" s="315">
        <f t="shared" si="69"/>
        <v>0</v>
      </c>
      <c r="BO475" s="315">
        <f t="shared" si="69"/>
        <v>0</v>
      </c>
      <c r="BP475" s="315">
        <f t="shared" si="69"/>
        <v>0</v>
      </c>
      <c r="BQ475" s="315">
        <f t="shared" si="69"/>
        <v>0</v>
      </c>
      <c r="BR475" s="315">
        <f t="shared" si="69"/>
        <v>0</v>
      </c>
      <c r="BS475" s="315">
        <f t="shared" ref="BO475:BX482" si="70">BS85-EK85</f>
        <v>0</v>
      </c>
      <c r="BT475" s="315">
        <f t="shared" si="70"/>
        <v>0</v>
      </c>
      <c r="BU475" s="315">
        <f t="shared" si="70"/>
        <v>0</v>
      </c>
      <c r="BV475" s="315">
        <f t="shared" si="70"/>
        <v>0</v>
      </c>
      <c r="BW475" s="315">
        <f t="shared" si="70"/>
        <v>0</v>
      </c>
      <c r="BX475" s="315">
        <f t="shared" si="70"/>
        <v>0</v>
      </c>
      <c r="BZ475" s="315">
        <f t="shared" ref="BZ475:CA482" si="71">BZ85-ER85</f>
        <v>0</v>
      </c>
      <c r="CA475" s="315">
        <f t="shared" si="71"/>
        <v>0</v>
      </c>
    </row>
    <row r="476" spans="7:79" hidden="1" x14ac:dyDescent="0.2">
      <c r="G476" s="315">
        <f t="shared" si="69"/>
        <v>0</v>
      </c>
      <c r="H476" s="315">
        <f t="shared" si="69"/>
        <v>0</v>
      </c>
      <c r="I476" s="315">
        <f t="shared" si="69"/>
        <v>0</v>
      </c>
      <c r="J476" s="315">
        <f t="shared" si="69"/>
        <v>0</v>
      </c>
      <c r="K476" s="315">
        <f t="shared" si="69"/>
        <v>0</v>
      </c>
      <c r="L476" s="315">
        <f t="shared" si="69"/>
        <v>0</v>
      </c>
      <c r="M476" s="315">
        <f t="shared" si="69"/>
        <v>0</v>
      </c>
      <c r="N476" s="315">
        <f t="shared" si="69"/>
        <v>0</v>
      </c>
      <c r="O476" s="315">
        <f t="shared" si="69"/>
        <v>0</v>
      </c>
      <c r="P476" s="315">
        <f t="shared" si="69"/>
        <v>0</v>
      </c>
      <c r="Q476" s="315">
        <f t="shared" si="69"/>
        <v>0</v>
      </c>
      <c r="R476" s="315">
        <f t="shared" si="69"/>
        <v>0</v>
      </c>
      <c r="S476" s="315">
        <f t="shared" si="69"/>
        <v>0</v>
      </c>
      <c r="T476" s="315">
        <f t="shared" si="69"/>
        <v>0</v>
      </c>
      <c r="U476" s="315">
        <f t="shared" si="69"/>
        <v>0</v>
      </c>
      <c r="V476" s="315">
        <f t="shared" si="69"/>
        <v>0</v>
      </c>
      <c r="W476" s="315">
        <f t="shared" si="69"/>
        <v>0</v>
      </c>
      <c r="X476" s="315">
        <f t="shared" si="69"/>
        <v>0</v>
      </c>
      <c r="Y476" s="315">
        <f t="shared" si="69"/>
        <v>0</v>
      </c>
      <c r="Z476" s="315">
        <f t="shared" si="69"/>
        <v>0</v>
      </c>
      <c r="AA476" s="315">
        <f t="shared" si="69"/>
        <v>0</v>
      </c>
      <c r="AB476" s="315">
        <f t="shared" si="69"/>
        <v>0</v>
      </c>
      <c r="AC476" s="315">
        <f t="shared" si="69"/>
        <v>0</v>
      </c>
      <c r="AD476" s="315">
        <f t="shared" si="69"/>
        <v>0</v>
      </c>
      <c r="AE476" s="315">
        <f t="shared" si="69"/>
        <v>0</v>
      </c>
      <c r="AF476" s="315">
        <f t="shared" si="69"/>
        <v>0</v>
      </c>
      <c r="AG476" s="315">
        <f t="shared" si="69"/>
        <v>0</v>
      </c>
      <c r="AH476" s="315">
        <f t="shared" si="69"/>
        <v>0</v>
      </c>
      <c r="AI476" s="315">
        <f t="shared" si="69"/>
        <v>0</v>
      </c>
      <c r="AJ476" s="315">
        <f t="shared" si="69"/>
        <v>0</v>
      </c>
      <c r="AK476" s="315">
        <f t="shared" si="69"/>
        <v>0</v>
      </c>
      <c r="AL476" s="315">
        <f t="shared" si="69"/>
        <v>0</v>
      </c>
      <c r="AM476" s="315">
        <f t="shared" si="69"/>
        <v>0</v>
      </c>
      <c r="AN476" s="315">
        <f t="shared" si="69"/>
        <v>0</v>
      </c>
      <c r="AO476" s="315">
        <f t="shared" si="69"/>
        <v>0</v>
      </c>
      <c r="AP476" s="315">
        <f t="shared" si="69"/>
        <v>0</v>
      </c>
      <c r="AQ476" s="315">
        <f t="shared" si="69"/>
        <v>0</v>
      </c>
      <c r="AR476" s="315">
        <f t="shared" si="69"/>
        <v>0</v>
      </c>
      <c r="AS476" s="315">
        <f t="shared" si="69"/>
        <v>0</v>
      </c>
      <c r="AT476" s="315">
        <f t="shared" si="69"/>
        <v>0</v>
      </c>
      <c r="AU476" s="315">
        <f t="shared" si="69"/>
        <v>0</v>
      </c>
      <c r="AV476" s="315">
        <f t="shared" si="69"/>
        <v>0</v>
      </c>
      <c r="AW476" s="315">
        <f t="shared" si="69"/>
        <v>0</v>
      </c>
      <c r="AX476" s="315">
        <f t="shared" si="69"/>
        <v>0</v>
      </c>
      <c r="AY476" s="315">
        <f t="shared" si="69"/>
        <v>0</v>
      </c>
      <c r="AZ476" s="315">
        <f t="shared" si="69"/>
        <v>0</v>
      </c>
      <c r="BA476" s="315">
        <f t="shared" si="69"/>
        <v>0</v>
      </c>
      <c r="BB476" s="315">
        <f t="shared" si="69"/>
        <v>0</v>
      </c>
      <c r="BC476" s="315">
        <f t="shared" si="69"/>
        <v>0</v>
      </c>
      <c r="BD476" s="315">
        <f t="shared" si="69"/>
        <v>0</v>
      </c>
      <c r="BE476" s="315">
        <f t="shared" si="69"/>
        <v>0</v>
      </c>
      <c r="BF476" s="315">
        <f t="shared" si="69"/>
        <v>0</v>
      </c>
      <c r="BG476" s="315">
        <f t="shared" si="69"/>
        <v>0</v>
      </c>
      <c r="BH476" s="315">
        <f t="shared" si="69"/>
        <v>0</v>
      </c>
      <c r="BI476" s="315">
        <f t="shared" si="69"/>
        <v>0</v>
      </c>
      <c r="BJ476" s="315">
        <f t="shared" si="69"/>
        <v>0</v>
      </c>
      <c r="BK476" s="315">
        <f t="shared" si="69"/>
        <v>0</v>
      </c>
      <c r="BL476" s="315">
        <f t="shared" si="69"/>
        <v>0</v>
      </c>
      <c r="BM476" s="315">
        <f t="shared" si="69"/>
        <v>0</v>
      </c>
      <c r="BN476" s="315">
        <f t="shared" si="69"/>
        <v>0</v>
      </c>
      <c r="BO476" s="315">
        <f t="shared" si="70"/>
        <v>0</v>
      </c>
      <c r="BP476" s="315">
        <f t="shared" si="70"/>
        <v>0</v>
      </c>
      <c r="BQ476" s="315">
        <f t="shared" si="70"/>
        <v>0</v>
      </c>
      <c r="BR476" s="315">
        <f t="shared" si="70"/>
        <v>0</v>
      </c>
      <c r="BS476" s="315">
        <f t="shared" si="70"/>
        <v>0</v>
      </c>
      <c r="BT476" s="315">
        <f t="shared" si="70"/>
        <v>0</v>
      </c>
      <c r="BU476" s="315">
        <f t="shared" si="70"/>
        <v>0</v>
      </c>
      <c r="BV476" s="315">
        <f t="shared" si="70"/>
        <v>0</v>
      </c>
      <c r="BW476" s="315">
        <f t="shared" si="70"/>
        <v>0</v>
      </c>
      <c r="BX476" s="315">
        <f t="shared" si="70"/>
        <v>0</v>
      </c>
      <c r="BZ476" s="315">
        <f t="shared" si="71"/>
        <v>0</v>
      </c>
      <c r="CA476" s="315">
        <f t="shared" si="71"/>
        <v>0</v>
      </c>
    </row>
    <row r="477" spans="7:79" hidden="1" x14ac:dyDescent="0.2">
      <c r="G477" s="315">
        <f t="shared" si="69"/>
        <v>0</v>
      </c>
      <c r="H477" s="315">
        <f t="shared" si="69"/>
        <v>0</v>
      </c>
      <c r="I477" s="315">
        <f t="shared" si="69"/>
        <v>0</v>
      </c>
      <c r="J477" s="315">
        <f t="shared" si="69"/>
        <v>0</v>
      </c>
      <c r="K477" s="315">
        <f t="shared" si="69"/>
        <v>0</v>
      </c>
      <c r="L477" s="315">
        <f t="shared" si="69"/>
        <v>0</v>
      </c>
      <c r="M477" s="315">
        <f t="shared" si="69"/>
        <v>0</v>
      </c>
      <c r="N477" s="315">
        <f t="shared" si="69"/>
        <v>0</v>
      </c>
      <c r="O477" s="315">
        <f t="shared" si="69"/>
        <v>0</v>
      </c>
      <c r="P477" s="315">
        <f t="shared" si="69"/>
        <v>0</v>
      </c>
      <c r="Q477" s="315">
        <f t="shared" si="69"/>
        <v>0</v>
      </c>
      <c r="R477" s="315">
        <f t="shared" si="69"/>
        <v>0</v>
      </c>
      <c r="S477" s="315">
        <f t="shared" si="69"/>
        <v>0</v>
      </c>
      <c r="T477" s="315">
        <f t="shared" si="69"/>
        <v>0</v>
      </c>
      <c r="U477" s="315">
        <f t="shared" si="69"/>
        <v>0</v>
      </c>
      <c r="V477" s="315">
        <f t="shared" si="69"/>
        <v>0</v>
      </c>
      <c r="W477" s="315">
        <f t="shared" si="69"/>
        <v>0</v>
      </c>
      <c r="X477" s="315">
        <f t="shared" si="69"/>
        <v>0</v>
      </c>
      <c r="Y477" s="315">
        <f t="shared" si="69"/>
        <v>0</v>
      </c>
      <c r="Z477" s="315">
        <f t="shared" si="69"/>
        <v>0</v>
      </c>
      <c r="AA477" s="315">
        <f t="shared" si="69"/>
        <v>0</v>
      </c>
      <c r="AB477" s="315">
        <f t="shared" si="69"/>
        <v>0</v>
      </c>
      <c r="AC477" s="315">
        <f t="shared" si="69"/>
        <v>0</v>
      </c>
      <c r="AD477" s="315">
        <f t="shared" si="69"/>
        <v>0</v>
      </c>
      <c r="AE477" s="315">
        <f t="shared" si="69"/>
        <v>0</v>
      </c>
      <c r="AF477" s="315">
        <f t="shared" si="69"/>
        <v>0</v>
      </c>
      <c r="AG477" s="315">
        <f t="shared" si="69"/>
        <v>0</v>
      </c>
      <c r="AH477" s="315">
        <f t="shared" si="69"/>
        <v>0</v>
      </c>
      <c r="AI477" s="315">
        <f t="shared" si="69"/>
        <v>0</v>
      </c>
      <c r="AJ477" s="315">
        <f t="shared" si="69"/>
        <v>0</v>
      </c>
      <c r="AK477" s="315">
        <f t="shared" si="69"/>
        <v>0</v>
      </c>
      <c r="AL477" s="315">
        <f t="shared" si="69"/>
        <v>0</v>
      </c>
      <c r="AM477" s="315">
        <f t="shared" si="69"/>
        <v>0</v>
      </c>
      <c r="AN477" s="315">
        <f t="shared" si="69"/>
        <v>0</v>
      </c>
      <c r="AO477" s="315">
        <f t="shared" si="69"/>
        <v>0</v>
      </c>
      <c r="AP477" s="315">
        <f t="shared" si="69"/>
        <v>0</v>
      </c>
      <c r="AQ477" s="315">
        <f t="shared" si="69"/>
        <v>0</v>
      </c>
      <c r="AR477" s="315">
        <f t="shared" si="69"/>
        <v>0</v>
      </c>
      <c r="AS477" s="315">
        <f t="shared" si="69"/>
        <v>0</v>
      </c>
      <c r="AT477" s="315">
        <f t="shared" si="69"/>
        <v>0</v>
      </c>
      <c r="AU477" s="315">
        <f t="shared" si="69"/>
        <v>0</v>
      </c>
      <c r="AV477" s="315">
        <f t="shared" si="69"/>
        <v>0</v>
      </c>
      <c r="AW477" s="315">
        <f t="shared" si="69"/>
        <v>0</v>
      </c>
      <c r="AX477" s="315">
        <f t="shared" si="69"/>
        <v>0</v>
      </c>
      <c r="AY477" s="315">
        <f t="shared" si="69"/>
        <v>0</v>
      </c>
      <c r="AZ477" s="315">
        <f t="shared" si="69"/>
        <v>0</v>
      </c>
      <c r="BA477" s="315">
        <f t="shared" si="69"/>
        <v>0</v>
      </c>
      <c r="BB477" s="315">
        <f t="shared" si="69"/>
        <v>0</v>
      </c>
      <c r="BC477" s="315">
        <f t="shared" si="69"/>
        <v>0</v>
      </c>
      <c r="BD477" s="315">
        <f t="shared" si="69"/>
        <v>0</v>
      </c>
      <c r="BE477" s="315">
        <f t="shared" si="69"/>
        <v>0</v>
      </c>
      <c r="BF477" s="315">
        <f t="shared" si="69"/>
        <v>0</v>
      </c>
      <c r="BG477" s="315">
        <f t="shared" si="69"/>
        <v>0</v>
      </c>
      <c r="BH477" s="315">
        <f t="shared" si="69"/>
        <v>0</v>
      </c>
      <c r="BI477" s="315">
        <f t="shared" si="69"/>
        <v>0</v>
      </c>
      <c r="BJ477" s="315">
        <f t="shared" si="69"/>
        <v>0</v>
      </c>
      <c r="BK477" s="315">
        <f t="shared" si="69"/>
        <v>0</v>
      </c>
      <c r="BL477" s="315">
        <f t="shared" si="69"/>
        <v>0</v>
      </c>
      <c r="BM477" s="315">
        <f t="shared" si="69"/>
        <v>0</v>
      </c>
      <c r="BN477" s="315">
        <f t="shared" si="69"/>
        <v>0</v>
      </c>
      <c r="BO477" s="315">
        <f t="shared" si="70"/>
        <v>0</v>
      </c>
      <c r="BP477" s="315">
        <f t="shared" si="70"/>
        <v>0</v>
      </c>
      <c r="BQ477" s="315">
        <f t="shared" si="70"/>
        <v>0</v>
      </c>
      <c r="BR477" s="315">
        <f t="shared" si="70"/>
        <v>0</v>
      </c>
      <c r="BS477" s="315">
        <f t="shared" si="70"/>
        <v>0</v>
      </c>
      <c r="BT477" s="315">
        <f t="shared" si="70"/>
        <v>0</v>
      </c>
      <c r="BU477" s="315">
        <f t="shared" si="70"/>
        <v>0</v>
      </c>
      <c r="BV477" s="315">
        <f t="shared" si="70"/>
        <v>0</v>
      </c>
      <c r="BW477" s="315">
        <f t="shared" si="70"/>
        <v>0</v>
      </c>
      <c r="BX477" s="315">
        <f t="shared" si="70"/>
        <v>0</v>
      </c>
      <c r="BZ477" s="315">
        <f t="shared" si="71"/>
        <v>0</v>
      </c>
      <c r="CA477" s="315">
        <f t="shared" si="71"/>
        <v>0</v>
      </c>
    </row>
    <row r="478" spans="7:79" hidden="1" x14ac:dyDescent="0.2">
      <c r="G478" s="315">
        <f t="shared" si="69"/>
        <v>0</v>
      </c>
      <c r="H478" s="315">
        <f t="shared" si="69"/>
        <v>0</v>
      </c>
      <c r="I478" s="315">
        <f t="shared" si="69"/>
        <v>0</v>
      </c>
      <c r="J478" s="315">
        <f t="shared" si="69"/>
        <v>0</v>
      </c>
      <c r="K478" s="315">
        <f t="shared" si="69"/>
        <v>0</v>
      </c>
      <c r="L478" s="315">
        <f t="shared" si="69"/>
        <v>0</v>
      </c>
      <c r="M478" s="315">
        <f t="shared" si="69"/>
        <v>0</v>
      </c>
      <c r="N478" s="315">
        <f t="shared" si="69"/>
        <v>0</v>
      </c>
      <c r="O478" s="315">
        <f t="shared" si="69"/>
        <v>0</v>
      </c>
      <c r="P478" s="315">
        <f t="shared" si="69"/>
        <v>0</v>
      </c>
      <c r="Q478" s="315">
        <f t="shared" si="69"/>
        <v>0</v>
      </c>
      <c r="R478" s="315">
        <f t="shared" si="69"/>
        <v>0</v>
      </c>
      <c r="S478" s="315">
        <f t="shared" si="69"/>
        <v>0</v>
      </c>
      <c r="T478" s="315">
        <f t="shared" si="69"/>
        <v>0</v>
      </c>
      <c r="U478" s="315">
        <f t="shared" si="69"/>
        <v>0</v>
      </c>
      <c r="V478" s="315">
        <f t="shared" si="69"/>
        <v>0</v>
      </c>
      <c r="W478" s="315">
        <f t="shared" si="69"/>
        <v>0</v>
      </c>
      <c r="X478" s="315">
        <f t="shared" si="69"/>
        <v>0</v>
      </c>
      <c r="Y478" s="315">
        <f t="shared" si="69"/>
        <v>0</v>
      </c>
      <c r="Z478" s="315">
        <f t="shared" si="69"/>
        <v>0</v>
      </c>
      <c r="AA478" s="315">
        <f t="shared" si="69"/>
        <v>0</v>
      </c>
      <c r="AB478" s="315">
        <f t="shared" si="69"/>
        <v>0</v>
      </c>
      <c r="AC478" s="315">
        <f t="shared" si="69"/>
        <v>0</v>
      </c>
      <c r="AD478" s="315">
        <f t="shared" si="69"/>
        <v>0</v>
      </c>
      <c r="AE478" s="315">
        <f t="shared" si="69"/>
        <v>0</v>
      </c>
      <c r="AF478" s="315">
        <f t="shared" si="69"/>
        <v>0</v>
      </c>
      <c r="AG478" s="315">
        <f t="shared" si="69"/>
        <v>0</v>
      </c>
      <c r="AH478" s="315">
        <f t="shared" si="69"/>
        <v>0</v>
      </c>
      <c r="AI478" s="315">
        <f t="shared" si="69"/>
        <v>0</v>
      </c>
      <c r="AJ478" s="315">
        <f t="shared" si="69"/>
        <v>0</v>
      </c>
      <c r="AK478" s="315">
        <f t="shared" si="69"/>
        <v>0</v>
      </c>
      <c r="AL478" s="315">
        <f t="shared" si="69"/>
        <v>0</v>
      </c>
      <c r="AM478" s="315">
        <f t="shared" si="69"/>
        <v>0</v>
      </c>
      <c r="AN478" s="315">
        <f t="shared" si="69"/>
        <v>0</v>
      </c>
      <c r="AO478" s="315">
        <f t="shared" si="69"/>
        <v>0</v>
      </c>
      <c r="AP478" s="315">
        <f t="shared" si="69"/>
        <v>0</v>
      </c>
      <c r="AQ478" s="315">
        <f t="shared" si="69"/>
        <v>0</v>
      </c>
      <c r="AR478" s="315">
        <f t="shared" si="69"/>
        <v>0</v>
      </c>
      <c r="AS478" s="315">
        <f t="shared" si="69"/>
        <v>0</v>
      </c>
      <c r="AT478" s="315">
        <f t="shared" si="69"/>
        <v>0</v>
      </c>
      <c r="AU478" s="315">
        <f t="shared" si="69"/>
        <v>0</v>
      </c>
      <c r="AV478" s="315">
        <f t="shared" si="69"/>
        <v>0</v>
      </c>
      <c r="AW478" s="315">
        <f t="shared" si="69"/>
        <v>0</v>
      </c>
      <c r="AX478" s="315">
        <f t="shared" si="69"/>
        <v>0</v>
      </c>
      <c r="AY478" s="315">
        <f t="shared" si="69"/>
        <v>0</v>
      </c>
      <c r="AZ478" s="315">
        <f t="shared" si="69"/>
        <v>0</v>
      </c>
      <c r="BA478" s="315">
        <f t="shared" si="69"/>
        <v>0</v>
      </c>
      <c r="BB478" s="315">
        <f t="shared" si="69"/>
        <v>0</v>
      </c>
      <c r="BC478" s="315">
        <f t="shared" si="69"/>
        <v>0</v>
      </c>
      <c r="BD478" s="315">
        <f t="shared" si="69"/>
        <v>0</v>
      </c>
      <c r="BE478" s="315">
        <f t="shared" si="69"/>
        <v>0</v>
      </c>
      <c r="BF478" s="315">
        <f t="shared" si="69"/>
        <v>0</v>
      </c>
      <c r="BG478" s="315">
        <f t="shared" si="69"/>
        <v>0</v>
      </c>
      <c r="BH478" s="315">
        <f t="shared" si="69"/>
        <v>0</v>
      </c>
      <c r="BI478" s="315">
        <f t="shared" si="69"/>
        <v>0</v>
      </c>
      <c r="BJ478" s="315">
        <f t="shared" si="69"/>
        <v>0</v>
      </c>
      <c r="BK478" s="315">
        <f t="shared" si="69"/>
        <v>0</v>
      </c>
      <c r="BL478" s="315">
        <f t="shared" si="69"/>
        <v>0</v>
      </c>
      <c r="BM478" s="315">
        <f t="shared" si="69"/>
        <v>0</v>
      </c>
      <c r="BN478" s="315">
        <f t="shared" si="69"/>
        <v>0</v>
      </c>
      <c r="BO478" s="315">
        <f t="shared" si="70"/>
        <v>0</v>
      </c>
      <c r="BP478" s="315">
        <f t="shared" si="70"/>
        <v>0</v>
      </c>
      <c r="BQ478" s="315">
        <f t="shared" si="70"/>
        <v>0</v>
      </c>
      <c r="BR478" s="315">
        <f t="shared" si="70"/>
        <v>0</v>
      </c>
      <c r="BS478" s="315">
        <f t="shared" si="70"/>
        <v>0</v>
      </c>
      <c r="BT478" s="315">
        <f t="shared" si="70"/>
        <v>0</v>
      </c>
      <c r="BU478" s="315">
        <f t="shared" si="70"/>
        <v>0</v>
      </c>
      <c r="BV478" s="315">
        <f t="shared" si="70"/>
        <v>0</v>
      </c>
      <c r="BW478" s="315">
        <f t="shared" si="70"/>
        <v>0</v>
      </c>
      <c r="BX478" s="315">
        <f t="shared" si="70"/>
        <v>0</v>
      </c>
      <c r="BZ478" s="315">
        <f t="shared" si="71"/>
        <v>0</v>
      </c>
      <c r="CA478" s="315">
        <f t="shared" si="71"/>
        <v>0</v>
      </c>
    </row>
    <row r="479" spans="7:79" hidden="1" x14ac:dyDescent="0.2">
      <c r="G479" s="315">
        <f t="shared" si="69"/>
        <v>0</v>
      </c>
      <c r="H479" s="315">
        <f t="shared" si="69"/>
        <v>0</v>
      </c>
      <c r="I479" s="315">
        <f t="shared" si="69"/>
        <v>0</v>
      </c>
      <c r="J479" s="315">
        <f t="shared" si="69"/>
        <v>0</v>
      </c>
      <c r="K479" s="315">
        <f t="shared" si="69"/>
        <v>0</v>
      </c>
      <c r="L479" s="315">
        <f t="shared" si="69"/>
        <v>0</v>
      </c>
      <c r="M479" s="315">
        <f t="shared" si="69"/>
        <v>0</v>
      </c>
      <c r="N479" s="315">
        <f t="shared" si="69"/>
        <v>0</v>
      </c>
      <c r="O479" s="315">
        <f t="shared" si="69"/>
        <v>0</v>
      </c>
      <c r="P479" s="315">
        <f t="shared" si="69"/>
        <v>0</v>
      </c>
      <c r="Q479" s="315">
        <f t="shared" si="69"/>
        <v>0</v>
      </c>
      <c r="R479" s="315">
        <f t="shared" ref="Q479:BN482" si="72">R89-CJ89</f>
        <v>0</v>
      </c>
      <c r="S479" s="315">
        <f t="shared" si="72"/>
        <v>0</v>
      </c>
      <c r="T479" s="315">
        <f t="shared" si="72"/>
        <v>0</v>
      </c>
      <c r="U479" s="315">
        <f t="shared" si="72"/>
        <v>0</v>
      </c>
      <c r="V479" s="315">
        <f t="shared" si="72"/>
        <v>0</v>
      </c>
      <c r="W479" s="315">
        <f t="shared" si="72"/>
        <v>0</v>
      </c>
      <c r="X479" s="315">
        <f t="shared" si="72"/>
        <v>0</v>
      </c>
      <c r="Y479" s="315">
        <f t="shared" si="72"/>
        <v>0</v>
      </c>
      <c r="Z479" s="315">
        <f t="shared" si="72"/>
        <v>0</v>
      </c>
      <c r="AA479" s="315">
        <f t="shared" si="72"/>
        <v>0</v>
      </c>
      <c r="AB479" s="315">
        <f t="shared" si="72"/>
        <v>0</v>
      </c>
      <c r="AC479" s="315">
        <f t="shared" si="72"/>
        <v>0</v>
      </c>
      <c r="AD479" s="315">
        <f t="shared" si="72"/>
        <v>0</v>
      </c>
      <c r="AE479" s="315">
        <f t="shared" si="72"/>
        <v>0</v>
      </c>
      <c r="AF479" s="315">
        <f t="shared" si="72"/>
        <v>0</v>
      </c>
      <c r="AG479" s="315">
        <f t="shared" si="72"/>
        <v>0</v>
      </c>
      <c r="AH479" s="315">
        <f t="shared" si="72"/>
        <v>0</v>
      </c>
      <c r="AI479" s="315">
        <f t="shared" si="72"/>
        <v>0</v>
      </c>
      <c r="AJ479" s="315">
        <f t="shared" si="72"/>
        <v>0</v>
      </c>
      <c r="AK479" s="315">
        <f t="shared" si="72"/>
        <v>0</v>
      </c>
      <c r="AL479" s="315">
        <f t="shared" si="72"/>
        <v>0</v>
      </c>
      <c r="AM479" s="315">
        <f t="shared" si="72"/>
        <v>0</v>
      </c>
      <c r="AN479" s="315">
        <f t="shared" si="72"/>
        <v>0</v>
      </c>
      <c r="AO479" s="315">
        <f t="shared" si="72"/>
        <v>0</v>
      </c>
      <c r="AP479" s="315">
        <f t="shared" si="72"/>
        <v>0</v>
      </c>
      <c r="AQ479" s="315">
        <f t="shared" si="72"/>
        <v>0</v>
      </c>
      <c r="AR479" s="315">
        <f t="shared" si="72"/>
        <v>0</v>
      </c>
      <c r="AS479" s="315">
        <f t="shared" si="72"/>
        <v>0</v>
      </c>
      <c r="AT479" s="315">
        <f t="shared" si="72"/>
        <v>0</v>
      </c>
      <c r="AU479" s="315">
        <f t="shared" si="72"/>
        <v>0</v>
      </c>
      <c r="AV479" s="315">
        <f t="shared" si="72"/>
        <v>0</v>
      </c>
      <c r="AW479" s="315">
        <f t="shared" si="72"/>
        <v>0</v>
      </c>
      <c r="AX479" s="315">
        <f t="shared" si="72"/>
        <v>0</v>
      </c>
      <c r="AY479" s="315">
        <f t="shared" si="72"/>
        <v>0</v>
      </c>
      <c r="AZ479" s="315">
        <f t="shared" si="72"/>
        <v>0</v>
      </c>
      <c r="BA479" s="315">
        <f t="shared" si="72"/>
        <v>0</v>
      </c>
      <c r="BB479" s="315">
        <f t="shared" si="72"/>
        <v>0</v>
      </c>
      <c r="BC479" s="315">
        <f t="shared" si="72"/>
        <v>0</v>
      </c>
      <c r="BD479" s="315">
        <f t="shared" si="72"/>
        <v>0</v>
      </c>
      <c r="BE479" s="315">
        <f t="shared" si="72"/>
        <v>0</v>
      </c>
      <c r="BF479" s="315">
        <f t="shared" si="72"/>
        <v>0</v>
      </c>
      <c r="BG479" s="315">
        <f t="shared" si="72"/>
        <v>0</v>
      </c>
      <c r="BH479" s="315">
        <f t="shared" si="72"/>
        <v>0</v>
      </c>
      <c r="BI479" s="315">
        <f t="shared" si="72"/>
        <v>0</v>
      </c>
      <c r="BJ479" s="315">
        <f t="shared" si="72"/>
        <v>0</v>
      </c>
      <c r="BK479" s="315">
        <f t="shared" si="72"/>
        <v>0</v>
      </c>
      <c r="BL479" s="315">
        <f t="shared" si="72"/>
        <v>0</v>
      </c>
      <c r="BM479" s="315">
        <f t="shared" si="72"/>
        <v>0</v>
      </c>
      <c r="BN479" s="315">
        <f t="shared" si="72"/>
        <v>0</v>
      </c>
      <c r="BO479" s="315">
        <f t="shared" si="70"/>
        <v>0</v>
      </c>
      <c r="BP479" s="315">
        <f t="shared" si="70"/>
        <v>0</v>
      </c>
      <c r="BQ479" s="315">
        <f t="shared" si="70"/>
        <v>0</v>
      </c>
      <c r="BR479" s="315">
        <f t="shared" si="70"/>
        <v>0</v>
      </c>
      <c r="BS479" s="315">
        <f t="shared" si="70"/>
        <v>0</v>
      </c>
      <c r="BT479" s="315">
        <f t="shared" si="70"/>
        <v>0</v>
      </c>
      <c r="BU479" s="315">
        <f t="shared" si="70"/>
        <v>0</v>
      </c>
      <c r="BV479" s="315">
        <f t="shared" si="70"/>
        <v>0</v>
      </c>
      <c r="BW479" s="315">
        <f t="shared" si="70"/>
        <v>0</v>
      </c>
      <c r="BX479" s="315">
        <f t="shared" si="70"/>
        <v>0</v>
      </c>
      <c r="BZ479" s="315">
        <f t="shared" si="71"/>
        <v>0</v>
      </c>
      <c r="CA479" s="315">
        <f t="shared" si="71"/>
        <v>0</v>
      </c>
    </row>
    <row r="480" spans="7:79" hidden="1" x14ac:dyDescent="0.2">
      <c r="G480" s="315">
        <f t="shared" ref="G480:P482" si="73">G90-BY90</f>
        <v>0</v>
      </c>
      <c r="H480" s="315">
        <f t="shared" si="73"/>
        <v>0</v>
      </c>
      <c r="I480" s="315">
        <f t="shared" si="73"/>
        <v>0</v>
      </c>
      <c r="J480" s="315">
        <f t="shared" si="73"/>
        <v>0</v>
      </c>
      <c r="K480" s="315">
        <f t="shared" si="73"/>
        <v>0</v>
      </c>
      <c r="L480" s="315">
        <f t="shared" si="73"/>
        <v>0</v>
      </c>
      <c r="M480" s="315">
        <f t="shared" si="73"/>
        <v>0</v>
      </c>
      <c r="N480" s="315">
        <f t="shared" si="73"/>
        <v>0</v>
      </c>
      <c r="O480" s="315">
        <f t="shared" si="73"/>
        <v>0</v>
      </c>
      <c r="P480" s="315">
        <f t="shared" si="73"/>
        <v>0</v>
      </c>
      <c r="Q480" s="315">
        <f t="shared" si="72"/>
        <v>0</v>
      </c>
      <c r="R480" s="315">
        <f t="shared" si="72"/>
        <v>0</v>
      </c>
      <c r="S480" s="315">
        <f t="shared" si="72"/>
        <v>0</v>
      </c>
      <c r="T480" s="315">
        <f t="shared" si="72"/>
        <v>0</v>
      </c>
      <c r="U480" s="315">
        <f t="shared" si="72"/>
        <v>0</v>
      </c>
      <c r="V480" s="315">
        <f t="shared" si="72"/>
        <v>0</v>
      </c>
      <c r="W480" s="315">
        <f t="shared" si="72"/>
        <v>0</v>
      </c>
      <c r="X480" s="315">
        <f t="shared" si="72"/>
        <v>0</v>
      </c>
      <c r="Y480" s="315">
        <f t="shared" si="72"/>
        <v>0</v>
      </c>
      <c r="Z480" s="315">
        <f t="shared" si="72"/>
        <v>0</v>
      </c>
      <c r="AA480" s="315">
        <f t="shared" si="72"/>
        <v>0</v>
      </c>
      <c r="AB480" s="315">
        <f t="shared" si="72"/>
        <v>0</v>
      </c>
      <c r="AC480" s="315">
        <f t="shared" si="72"/>
        <v>0</v>
      </c>
      <c r="AD480" s="315">
        <f t="shared" si="72"/>
        <v>0</v>
      </c>
      <c r="AE480" s="315">
        <f t="shared" si="72"/>
        <v>0</v>
      </c>
      <c r="AF480" s="315">
        <f t="shared" si="72"/>
        <v>0</v>
      </c>
      <c r="AG480" s="315">
        <f t="shared" si="72"/>
        <v>0</v>
      </c>
      <c r="AH480" s="315">
        <f t="shared" si="72"/>
        <v>0</v>
      </c>
      <c r="AI480" s="315">
        <f t="shared" si="72"/>
        <v>0</v>
      </c>
      <c r="AJ480" s="315">
        <f t="shared" si="72"/>
        <v>0</v>
      </c>
      <c r="AK480" s="315">
        <f t="shared" si="72"/>
        <v>0</v>
      </c>
      <c r="AL480" s="315">
        <f t="shared" si="72"/>
        <v>0</v>
      </c>
      <c r="AM480" s="315">
        <f t="shared" si="72"/>
        <v>0</v>
      </c>
      <c r="AN480" s="315">
        <f t="shared" si="72"/>
        <v>0</v>
      </c>
      <c r="AO480" s="315">
        <f t="shared" si="72"/>
        <v>0</v>
      </c>
      <c r="AP480" s="315">
        <f t="shared" si="72"/>
        <v>0</v>
      </c>
      <c r="AQ480" s="315">
        <f t="shared" si="72"/>
        <v>0</v>
      </c>
      <c r="AR480" s="315">
        <f t="shared" si="72"/>
        <v>0</v>
      </c>
      <c r="AS480" s="315">
        <f t="shared" si="72"/>
        <v>0</v>
      </c>
      <c r="AT480" s="315">
        <f t="shared" si="72"/>
        <v>0</v>
      </c>
      <c r="AU480" s="315">
        <f t="shared" si="72"/>
        <v>0</v>
      </c>
      <c r="AV480" s="315">
        <f t="shared" si="72"/>
        <v>0</v>
      </c>
      <c r="AW480" s="315">
        <f t="shared" si="72"/>
        <v>0</v>
      </c>
      <c r="AX480" s="315">
        <f t="shared" si="72"/>
        <v>0</v>
      </c>
      <c r="AY480" s="315">
        <f t="shared" si="72"/>
        <v>0</v>
      </c>
      <c r="AZ480" s="315">
        <f t="shared" si="72"/>
        <v>0</v>
      </c>
      <c r="BA480" s="315">
        <f t="shared" si="72"/>
        <v>0</v>
      </c>
      <c r="BB480" s="315">
        <f t="shared" si="72"/>
        <v>0</v>
      </c>
      <c r="BC480" s="315">
        <f t="shared" si="72"/>
        <v>0</v>
      </c>
      <c r="BD480" s="315">
        <f t="shared" si="72"/>
        <v>0</v>
      </c>
      <c r="BE480" s="315">
        <f t="shared" si="72"/>
        <v>0</v>
      </c>
      <c r="BF480" s="315">
        <f t="shared" si="72"/>
        <v>0</v>
      </c>
      <c r="BG480" s="315">
        <f t="shared" si="72"/>
        <v>0</v>
      </c>
      <c r="BH480" s="315">
        <f t="shared" si="72"/>
        <v>0</v>
      </c>
      <c r="BI480" s="315">
        <f t="shared" si="72"/>
        <v>0</v>
      </c>
      <c r="BJ480" s="315">
        <f t="shared" si="72"/>
        <v>0</v>
      </c>
      <c r="BK480" s="315">
        <f t="shared" si="72"/>
        <v>0</v>
      </c>
      <c r="BL480" s="315">
        <f t="shared" si="72"/>
        <v>0</v>
      </c>
      <c r="BM480" s="315">
        <f t="shared" si="72"/>
        <v>0</v>
      </c>
      <c r="BN480" s="315">
        <f t="shared" si="72"/>
        <v>0</v>
      </c>
      <c r="BO480" s="315">
        <f t="shared" si="70"/>
        <v>0</v>
      </c>
      <c r="BP480" s="315">
        <f t="shared" si="70"/>
        <v>0</v>
      </c>
      <c r="BQ480" s="315">
        <f t="shared" si="70"/>
        <v>0</v>
      </c>
      <c r="BR480" s="315">
        <f t="shared" si="70"/>
        <v>0</v>
      </c>
      <c r="BS480" s="315">
        <f t="shared" si="70"/>
        <v>0</v>
      </c>
      <c r="BT480" s="315">
        <f t="shared" si="70"/>
        <v>0</v>
      </c>
      <c r="BU480" s="315">
        <f t="shared" si="70"/>
        <v>0</v>
      </c>
      <c r="BV480" s="315">
        <f t="shared" si="70"/>
        <v>0</v>
      </c>
      <c r="BW480" s="315">
        <f t="shared" si="70"/>
        <v>0</v>
      </c>
      <c r="BX480" s="315">
        <f t="shared" si="70"/>
        <v>0</v>
      </c>
      <c r="BZ480" s="315">
        <f t="shared" si="71"/>
        <v>0</v>
      </c>
      <c r="CA480" s="315">
        <f t="shared" si="71"/>
        <v>0</v>
      </c>
    </row>
    <row r="481" spans="7:79" hidden="1" x14ac:dyDescent="0.2">
      <c r="G481" s="315">
        <f t="shared" si="73"/>
        <v>0</v>
      </c>
      <c r="H481" s="315">
        <f t="shared" si="73"/>
        <v>0</v>
      </c>
      <c r="I481" s="315">
        <f t="shared" si="73"/>
        <v>0</v>
      </c>
      <c r="J481" s="315">
        <f t="shared" si="73"/>
        <v>0</v>
      </c>
      <c r="K481" s="315">
        <f t="shared" si="73"/>
        <v>0</v>
      </c>
      <c r="L481" s="315">
        <f t="shared" si="73"/>
        <v>0</v>
      </c>
      <c r="M481" s="315">
        <f t="shared" si="73"/>
        <v>0</v>
      </c>
      <c r="N481" s="315">
        <f t="shared" si="73"/>
        <v>0</v>
      </c>
      <c r="O481" s="315">
        <f t="shared" si="73"/>
        <v>0</v>
      </c>
      <c r="P481" s="315">
        <f t="shared" si="73"/>
        <v>0</v>
      </c>
      <c r="Q481" s="315">
        <f t="shared" si="72"/>
        <v>0</v>
      </c>
      <c r="R481" s="315">
        <f t="shared" si="72"/>
        <v>0</v>
      </c>
      <c r="S481" s="315">
        <f t="shared" si="72"/>
        <v>0</v>
      </c>
      <c r="T481" s="315">
        <f t="shared" si="72"/>
        <v>0</v>
      </c>
      <c r="U481" s="315">
        <f t="shared" si="72"/>
        <v>0</v>
      </c>
      <c r="V481" s="315">
        <f t="shared" si="72"/>
        <v>0</v>
      </c>
      <c r="W481" s="315">
        <f t="shared" si="72"/>
        <v>0</v>
      </c>
      <c r="X481" s="315">
        <f t="shared" si="72"/>
        <v>0</v>
      </c>
      <c r="Y481" s="315">
        <f t="shared" si="72"/>
        <v>0</v>
      </c>
      <c r="Z481" s="315">
        <f t="shared" si="72"/>
        <v>0</v>
      </c>
      <c r="AA481" s="315">
        <f t="shared" si="72"/>
        <v>0</v>
      </c>
      <c r="AB481" s="315">
        <f t="shared" si="72"/>
        <v>0</v>
      </c>
      <c r="AC481" s="315">
        <f t="shared" si="72"/>
        <v>0</v>
      </c>
      <c r="AD481" s="315">
        <f t="shared" si="72"/>
        <v>0</v>
      </c>
      <c r="AE481" s="315">
        <f t="shared" si="72"/>
        <v>0</v>
      </c>
      <c r="AF481" s="315">
        <f t="shared" si="72"/>
        <v>0</v>
      </c>
      <c r="AG481" s="315">
        <f t="shared" si="72"/>
        <v>0</v>
      </c>
      <c r="AH481" s="315">
        <f t="shared" si="72"/>
        <v>0</v>
      </c>
      <c r="AI481" s="315">
        <f t="shared" si="72"/>
        <v>0</v>
      </c>
      <c r="AJ481" s="315">
        <f t="shared" si="72"/>
        <v>0</v>
      </c>
      <c r="AK481" s="315">
        <f t="shared" si="72"/>
        <v>0</v>
      </c>
      <c r="AL481" s="315">
        <f t="shared" si="72"/>
        <v>0</v>
      </c>
      <c r="AM481" s="315">
        <f t="shared" si="72"/>
        <v>0</v>
      </c>
      <c r="AN481" s="315">
        <f t="shared" si="72"/>
        <v>0</v>
      </c>
      <c r="AO481" s="315">
        <f t="shared" si="72"/>
        <v>0</v>
      </c>
      <c r="AP481" s="315">
        <f t="shared" si="72"/>
        <v>0</v>
      </c>
      <c r="AQ481" s="315">
        <f t="shared" si="72"/>
        <v>0</v>
      </c>
      <c r="AR481" s="315">
        <f t="shared" si="72"/>
        <v>0</v>
      </c>
      <c r="AS481" s="315">
        <f t="shared" si="72"/>
        <v>0</v>
      </c>
      <c r="AT481" s="315">
        <f t="shared" si="72"/>
        <v>0</v>
      </c>
      <c r="AU481" s="315">
        <f t="shared" si="72"/>
        <v>0</v>
      </c>
      <c r="AV481" s="315">
        <f t="shared" si="72"/>
        <v>0</v>
      </c>
      <c r="AW481" s="315">
        <f t="shared" si="72"/>
        <v>0</v>
      </c>
      <c r="AX481" s="315">
        <f t="shared" si="72"/>
        <v>0</v>
      </c>
      <c r="AY481" s="315">
        <f t="shared" si="72"/>
        <v>0</v>
      </c>
      <c r="AZ481" s="315">
        <f t="shared" si="72"/>
        <v>0</v>
      </c>
      <c r="BA481" s="315">
        <f t="shared" si="72"/>
        <v>0</v>
      </c>
      <c r="BB481" s="315">
        <f t="shared" si="72"/>
        <v>0</v>
      </c>
      <c r="BC481" s="315">
        <f t="shared" si="72"/>
        <v>0</v>
      </c>
      <c r="BD481" s="315">
        <f t="shared" si="72"/>
        <v>0</v>
      </c>
      <c r="BE481" s="315">
        <f t="shared" si="72"/>
        <v>0</v>
      </c>
      <c r="BF481" s="315">
        <f t="shared" si="72"/>
        <v>0</v>
      </c>
      <c r="BG481" s="315">
        <f t="shared" si="72"/>
        <v>0</v>
      </c>
      <c r="BH481" s="315">
        <f t="shared" si="72"/>
        <v>0</v>
      </c>
      <c r="BI481" s="315">
        <f t="shared" si="72"/>
        <v>0</v>
      </c>
      <c r="BJ481" s="315">
        <f t="shared" si="72"/>
        <v>0</v>
      </c>
      <c r="BK481" s="315">
        <f t="shared" si="72"/>
        <v>0</v>
      </c>
      <c r="BL481" s="315">
        <f t="shared" si="72"/>
        <v>0</v>
      </c>
      <c r="BM481" s="315">
        <f t="shared" si="72"/>
        <v>0</v>
      </c>
      <c r="BN481" s="315">
        <f t="shared" si="72"/>
        <v>0</v>
      </c>
      <c r="BO481" s="315">
        <f t="shared" si="70"/>
        <v>0</v>
      </c>
      <c r="BP481" s="315">
        <f t="shared" si="70"/>
        <v>0</v>
      </c>
      <c r="BQ481" s="315">
        <f t="shared" si="70"/>
        <v>0</v>
      </c>
      <c r="BR481" s="315">
        <f t="shared" si="70"/>
        <v>0</v>
      </c>
      <c r="BS481" s="315">
        <f t="shared" si="70"/>
        <v>0</v>
      </c>
      <c r="BT481" s="315">
        <f t="shared" si="70"/>
        <v>0</v>
      </c>
      <c r="BU481" s="315">
        <f t="shared" si="70"/>
        <v>0</v>
      </c>
      <c r="BV481" s="315">
        <f t="shared" si="70"/>
        <v>0</v>
      </c>
      <c r="BW481" s="315">
        <f t="shared" si="70"/>
        <v>0</v>
      </c>
      <c r="BX481" s="315">
        <f t="shared" si="70"/>
        <v>0</v>
      </c>
      <c r="BZ481" s="315">
        <f t="shared" si="71"/>
        <v>0</v>
      </c>
      <c r="CA481" s="315">
        <f t="shared" si="71"/>
        <v>0</v>
      </c>
    </row>
    <row r="482" spans="7:79" hidden="1" x14ac:dyDescent="0.2">
      <c r="G482" s="315">
        <f t="shared" si="73"/>
        <v>0</v>
      </c>
      <c r="H482" s="315">
        <f t="shared" si="73"/>
        <v>0</v>
      </c>
      <c r="I482" s="315">
        <f t="shared" si="73"/>
        <v>0</v>
      </c>
      <c r="J482" s="315">
        <f t="shared" si="73"/>
        <v>0</v>
      </c>
      <c r="K482" s="315">
        <f t="shared" si="73"/>
        <v>0</v>
      </c>
      <c r="L482" s="315">
        <f t="shared" si="73"/>
        <v>0</v>
      </c>
      <c r="M482" s="315">
        <f t="shared" si="73"/>
        <v>0</v>
      </c>
      <c r="N482" s="315">
        <f t="shared" si="73"/>
        <v>0</v>
      </c>
      <c r="O482" s="315">
        <f t="shared" si="73"/>
        <v>0</v>
      </c>
      <c r="P482" s="315">
        <f t="shared" si="73"/>
        <v>0</v>
      </c>
      <c r="Q482" s="315">
        <f t="shared" si="72"/>
        <v>0</v>
      </c>
      <c r="R482" s="315">
        <f t="shared" si="72"/>
        <v>0</v>
      </c>
      <c r="S482" s="315">
        <f t="shared" si="72"/>
        <v>0</v>
      </c>
      <c r="T482" s="315">
        <f t="shared" si="72"/>
        <v>0</v>
      </c>
      <c r="U482" s="315">
        <f t="shared" si="72"/>
        <v>0</v>
      </c>
      <c r="V482" s="315">
        <f t="shared" si="72"/>
        <v>0</v>
      </c>
      <c r="W482" s="315">
        <f t="shared" si="72"/>
        <v>0</v>
      </c>
      <c r="X482" s="315">
        <f t="shared" si="72"/>
        <v>0</v>
      </c>
      <c r="Y482" s="315">
        <f t="shared" si="72"/>
        <v>0</v>
      </c>
      <c r="Z482" s="315">
        <f t="shared" si="72"/>
        <v>0</v>
      </c>
      <c r="AA482" s="315">
        <f t="shared" si="72"/>
        <v>0</v>
      </c>
      <c r="AB482" s="315">
        <f t="shared" si="72"/>
        <v>0</v>
      </c>
      <c r="AC482" s="315">
        <f t="shared" si="72"/>
        <v>0</v>
      </c>
      <c r="AD482" s="315">
        <f t="shared" si="72"/>
        <v>0</v>
      </c>
      <c r="AE482" s="315">
        <f t="shared" si="72"/>
        <v>0</v>
      </c>
      <c r="AF482" s="315">
        <f t="shared" si="72"/>
        <v>0</v>
      </c>
      <c r="AG482" s="315">
        <f t="shared" si="72"/>
        <v>0</v>
      </c>
      <c r="AH482" s="315">
        <f t="shared" si="72"/>
        <v>0</v>
      </c>
      <c r="AI482" s="315">
        <f t="shared" si="72"/>
        <v>0</v>
      </c>
      <c r="AJ482" s="315">
        <f t="shared" si="72"/>
        <v>0</v>
      </c>
      <c r="AK482" s="315">
        <f t="shared" si="72"/>
        <v>0</v>
      </c>
      <c r="AL482" s="315">
        <f t="shared" si="72"/>
        <v>0</v>
      </c>
      <c r="AM482" s="315">
        <f t="shared" si="72"/>
        <v>0</v>
      </c>
      <c r="AN482" s="315">
        <f t="shared" si="72"/>
        <v>0</v>
      </c>
      <c r="AO482" s="315">
        <f t="shared" si="72"/>
        <v>0</v>
      </c>
      <c r="AP482" s="315">
        <f t="shared" si="72"/>
        <v>0</v>
      </c>
      <c r="AQ482" s="315">
        <f t="shared" si="72"/>
        <v>0</v>
      </c>
      <c r="AR482" s="315">
        <f t="shared" si="72"/>
        <v>0</v>
      </c>
      <c r="AS482" s="315">
        <f t="shared" si="72"/>
        <v>0</v>
      </c>
      <c r="AT482" s="315">
        <f t="shared" si="72"/>
        <v>0</v>
      </c>
      <c r="AU482" s="315">
        <f t="shared" si="72"/>
        <v>0</v>
      </c>
      <c r="AV482" s="315">
        <f t="shared" si="72"/>
        <v>0</v>
      </c>
      <c r="AW482" s="315">
        <f t="shared" si="72"/>
        <v>0</v>
      </c>
      <c r="AX482" s="315">
        <f t="shared" si="72"/>
        <v>0</v>
      </c>
      <c r="AY482" s="315">
        <f t="shared" si="72"/>
        <v>0</v>
      </c>
      <c r="AZ482" s="315">
        <f t="shared" si="72"/>
        <v>0</v>
      </c>
      <c r="BA482" s="315">
        <f t="shared" si="72"/>
        <v>0</v>
      </c>
      <c r="BB482" s="315">
        <f t="shared" si="72"/>
        <v>0</v>
      </c>
      <c r="BC482" s="315">
        <f t="shared" si="72"/>
        <v>0</v>
      </c>
      <c r="BD482" s="315">
        <f t="shared" si="72"/>
        <v>0</v>
      </c>
      <c r="BE482" s="315">
        <f t="shared" si="72"/>
        <v>0</v>
      </c>
      <c r="BF482" s="315">
        <f t="shared" si="72"/>
        <v>0</v>
      </c>
      <c r="BG482" s="315">
        <f t="shared" si="72"/>
        <v>0</v>
      </c>
      <c r="BH482" s="315">
        <f t="shared" si="72"/>
        <v>0</v>
      </c>
      <c r="BI482" s="315">
        <f t="shared" si="72"/>
        <v>0</v>
      </c>
      <c r="BJ482" s="315">
        <f t="shared" si="72"/>
        <v>0</v>
      </c>
      <c r="BK482" s="315">
        <f t="shared" si="72"/>
        <v>0</v>
      </c>
      <c r="BL482" s="315">
        <f t="shared" si="72"/>
        <v>0</v>
      </c>
      <c r="BM482" s="315">
        <f t="shared" si="72"/>
        <v>0</v>
      </c>
      <c r="BN482" s="315">
        <f t="shared" si="72"/>
        <v>0</v>
      </c>
      <c r="BO482" s="315">
        <f t="shared" si="70"/>
        <v>0</v>
      </c>
      <c r="BP482" s="315">
        <f t="shared" si="70"/>
        <v>0</v>
      </c>
      <c r="BQ482" s="315">
        <f t="shared" si="70"/>
        <v>0</v>
      </c>
      <c r="BR482" s="315">
        <f t="shared" si="70"/>
        <v>0</v>
      </c>
      <c r="BS482" s="315">
        <f t="shared" si="70"/>
        <v>0</v>
      </c>
      <c r="BT482" s="315">
        <f t="shared" si="70"/>
        <v>0</v>
      </c>
      <c r="BU482" s="315">
        <f t="shared" si="70"/>
        <v>0</v>
      </c>
      <c r="BV482" s="315">
        <f t="shared" si="70"/>
        <v>0</v>
      </c>
      <c r="BW482" s="315">
        <f t="shared" si="70"/>
        <v>0</v>
      </c>
      <c r="BX482" s="315">
        <f t="shared" si="70"/>
        <v>0</v>
      </c>
      <c r="BZ482" s="315">
        <f t="shared" si="71"/>
        <v>0</v>
      </c>
      <c r="CA482" s="315">
        <f t="shared" si="71"/>
        <v>0</v>
      </c>
    </row>
    <row r="483" spans="7:79" hidden="1" x14ac:dyDescent="0.2">
      <c r="G483" s="315">
        <f t="shared" ref="G483:BR486" si="74">G94-BY94</f>
        <v>-13019268</v>
      </c>
      <c r="H483" s="315">
        <f t="shared" si="74"/>
        <v>0</v>
      </c>
      <c r="I483" s="315">
        <f t="shared" si="74"/>
        <v>0</v>
      </c>
      <c r="J483" s="315">
        <f t="shared" si="74"/>
        <v>0</v>
      </c>
      <c r="K483" s="315">
        <f t="shared" si="74"/>
        <v>0</v>
      </c>
      <c r="L483" s="315">
        <f t="shared" si="74"/>
        <v>-3621</v>
      </c>
      <c r="M483" s="315">
        <f t="shared" si="74"/>
        <v>0</v>
      </c>
      <c r="N483" s="315">
        <f t="shared" si="74"/>
        <v>0</v>
      </c>
      <c r="O483" s="315">
        <f t="shared" si="74"/>
        <v>0</v>
      </c>
      <c r="P483" s="315">
        <f t="shared" si="74"/>
        <v>0</v>
      </c>
      <c r="Q483" s="315">
        <f t="shared" si="74"/>
        <v>-1300994</v>
      </c>
      <c r="R483" s="315">
        <f t="shared" si="74"/>
        <v>0</v>
      </c>
      <c r="S483" s="315">
        <f t="shared" si="74"/>
        <v>0</v>
      </c>
      <c r="T483" s="315">
        <f t="shared" si="74"/>
        <v>0</v>
      </c>
      <c r="U483" s="315">
        <f t="shared" si="74"/>
        <v>0</v>
      </c>
      <c r="V483" s="315">
        <f t="shared" si="74"/>
        <v>0</v>
      </c>
      <c r="W483" s="315">
        <f t="shared" si="74"/>
        <v>0</v>
      </c>
      <c r="X483" s="315">
        <f t="shared" si="74"/>
        <v>0</v>
      </c>
      <c r="Y483" s="315">
        <f t="shared" si="74"/>
        <v>0</v>
      </c>
      <c r="Z483" s="315">
        <f t="shared" si="74"/>
        <v>0</v>
      </c>
      <c r="AA483" s="315">
        <f t="shared" si="74"/>
        <v>-1300000</v>
      </c>
      <c r="AB483" s="315">
        <f t="shared" si="74"/>
        <v>0</v>
      </c>
      <c r="AC483" s="315">
        <f t="shared" si="74"/>
        <v>0</v>
      </c>
      <c r="AD483" s="315">
        <f t="shared" si="74"/>
        <v>0</v>
      </c>
      <c r="AE483" s="315">
        <f t="shared" si="74"/>
        <v>0</v>
      </c>
      <c r="AF483" s="315">
        <f t="shared" si="74"/>
        <v>0</v>
      </c>
      <c r="AG483" s="315">
        <f t="shared" si="74"/>
        <v>0</v>
      </c>
      <c r="AH483" s="315">
        <f t="shared" si="74"/>
        <v>0</v>
      </c>
      <c r="AI483" s="315">
        <f t="shared" si="74"/>
        <v>0</v>
      </c>
      <c r="AJ483" s="315">
        <f t="shared" si="74"/>
        <v>0</v>
      </c>
      <c r="AK483" s="315">
        <f t="shared" si="74"/>
        <v>0</v>
      </c>
      <c r="AL483" s="315">
        <f t="shared" si="74"/>
        <v>0</v>
      </c>
      <c r="AM483" s="315">
        <f t="shared" si="74"/>
        <v>0</v>
      </c>
      <c r="AN483" s="315">
        <f t="shared" si="74"/>
        <v>0</v>
      </c>
      <c r="AO483" s="315">
        <f t="shared" si="74"/>
        <v>0</v>
      </c>
      <c r="AP483" s="315">
        <f t="shared" si="74"/>
        <v>0</v>
      </c>
      <c r="AQ483" s="315">
        <f t="shared" si="74"/>
        <v>0</v>
      </c>
      <c r="AR483" s="315">
        <f t="shared" si="74"/>
        <v>0</v>
      </c>
      <c r="AS483" s="315">
        <f t="shared" si="74"/>
        <v>0</v>
      </c>
      <c r="AT483" s="315">
        <f t="shared" si="74"/>
        <v>0</v>
      </c>
      <c r="AU483" s="315">
        <f t="shared" si="74"/>
        <v>-186</v>
      </c>
      <c r="AV483" s="315">
        <f t="shared" si="74"/>
        <v>0</v>
      </c>
      <c r="AW483" s="315">
        <f t="shared" si="74"/>
        <v>0</v>
      </c>
      <c r="AX483" s="315">
        <f t="shared" si="74"/>
        <v>0</v>
      </c>
      <c r="AY483" s="315">
        <f t="shared" si="74"/>
        <v>0</v>
      </c>
      <c r="AZ483" s="315">
        <f t="shared" si="74"/>
        <v>0</v>
      </c>
      <c r="BA483" s="315">
        <f t="shared" si="74"/>
        <v>0</v>
      </c>
      <c r="BB483" s="315">
        <f t="shared" si="74"/>
        <v>0</v>
      </c>
      <c r="BC483" s="315">
        <f t="shared" si="74"/>
        <v>0</v>
      </c>
      <c r="BD483" s="315">
        <f t="shared" si="74"/>
        <v>0</v>
      </c>
      <c r="BE483" s="315">
        <f t="shared" si="74"/>
        <v>-3253715</v>
      </c>
      <c r="BF483" s="315">
        <f t="shared" si="74"/>
        <v>0</v>
      </c>
      <c r="BG483" s="315">
        <f t="shared" si="74"/>
        <v>0</v>
      </c>
      <c r="BH483" s="315">
        <f t="shared" si="74"/>
        <v>0</v>
      </c>
      <c r="BI483" s="315">
        <f t="shared" si="74"/>
        <v>0</v>
      </c>
      <c r="BJ483" s="315">
        <f t="shared" si="74"/>
        <v>-1953752</v>
      </c>
      <c r="BK483" s="315">
        <f t="shared" si="74"/>
        <v>0</v>
      </c>
      <c r="BL483" s="315">
        <f t="shared" si="74"/>
        <v>0</v>
      </c>
      <c r="BM483" s="315">
        <f t="shared" si="74"/>
        <v>0</v>
      </c>
      <c r="BN483" s="315">
        <f t="shared" si="74"/>
        <v>0</v>
      </c>
      <c r="BO483" s="315">
        <f t="shared" si="74"/>
        <v>-5207000</v>
      </c>
      <c r="BP483" s="315">
        <f t="shared" si="74"/>
        <v>0</v>
      </c>
      <c r="BQ483" s="315">
        <f t="shared" si="74"/>
        <v>0</v>
      </c>
      <c r="BR483" s="315">
        <f t="shared" si="74"/>
        <v>0</v>
      </c>
      <c r="BS483" s="315">
        <f t="shared" ref="BS483:BX498" si="75">BS94-EK94</f>
        <v>0</v>
      </c>
      <c r="BT483" s="315">
        <f t="shared" si="75"/>
        <v>-2604615</v>
      </c>
      <c r="BU483" s="315">
        <f t="shared" si="75"/>
        <v>0</v>
      </c>
      <c r="BV483" s="315">
        <f t="shared" si="75"/>
        <v>0</v>
      </c>
      <c r="BW483" s="315">
        <f t="shared" si="75"/>
        <v>0</v>
      </c>
      <c r="BX483" s="315">
        <f t="shared" si="75"/>
        <v>0</v>
      </c>
      <c r="BZ483" s="315">
        <f t="shared" ref="BZ483:CA498" si="76">BZ94-ER94</f>
        <v>0</v>
      </c>
      <c r="CA483" s="315">
        <f t="shared" si="76"/>
        <v>0</v>
      </c>
    </row>
    <row r="484" spans="7:79" hidden="1" x14ac:dyDescent="0.2">
      <c r="G484" s="315">
        <f t="shared" si="74"/>
        <v>-14399580</v>
      </c>
      <c r="H484" s="315">
        <f t="shared" si="74"/>
        <v>0</v>
      </c>
      <c r="I484" s="315">
        <f t="shared" si="74"/>
        <v>0</v>
      </c>
      <c r="J484" s="315">
        <f t="shared" si="74"/>
        <v>0</v>
      </c>
      <c r="K484" s="315">
        <f t="shared" si="74"/>
        <v>0</v>
      </c>
      <c r="L484" s="315">
        <f t="shared" si="74"/>
        <v>-4114</v>
      </c>
      <c r="M484" s="315">
        <f t="shared" si="74"/>
        <v>0</v>
      </c>
      <c r="N484" s="315">
        <f t="shared" si="74"/>
        <v>0</v>
      </c>
      <c r="O484" s="315">
        <f t="shared" si="74"/>
        <v>0</v>
      </c>
      <c r="P484" s="315">
        <f t="shared" si="74"/>
        <v>0</v>
      </c>
      <c r="Q484" s="315">
        <f t="shared" si="74"/>
        <v>-1494801</v>
      </c>
      <c r="R484" s="315">
        <f t="shared" si="74"/>
        <v>0</v>
      </c>
      <c r="S484" s="315">
        <f t="shared" si="74"/>
        <v>0</v>
      </c>
      <c r="T484" s="315">
        <f t="shared" si="74"/>
        <v>0</v>
      </c>
      <c r="U484" s="315">
        <f t="shared" si="74"/>
        <v>0</v>
      </c>
      <c r="V484" s="315">
        <f t="shared" si="74"/>
        <v>0</v>
      </c>
      <c r="W484" s="315">
        <f t="shared" si="74"/>
        <v>0</v>
      </c>
      <c r="X484" s="315">
        <f t="shared" si="74"/>
        <v>0</v>
      </c>
      <c r="Y484" s="315">
        <f t="shared" si="74"/>
        <v>0</v>
      </c>
      <c r="Z484" s="315">
        <f t="shared" si="74"/>
        <v>0</v>
      </c>
      <c r="AA484" s="315">
        <f t="shared" si="74"/>
        <v>-1482826</v>
      </c>
      <c r="AB484" s="315">
        <f t="shared" si="74"/>
        <v>0</v>
      </c>
      <c r="AC484" s="315">
        <f t="shared" si="74"/>
        <v>0</v>
      </c>
      <c r="AD484" s="315">
        <f t="shared" si="74"/>
        <v>0</v>
      </c>
      <c r="AE484" s="315">
        <f t="shared" si="74"/>
        <v>0</v>
      </c>
      <c r="AF484" s="315">
        <f t="shared" si="74"/>
        <v>0</v>
      </c>
      <c r="AG484" s="315">
        <f t="shared" si="74"/>
        <v>0</v>
      </c>
      <c r="AH484" s="315">
        <f t="shared" si="74"/>
        <v>0</v>
      </c>
      <c r="AI484" s="315">
        <f t="shared" si="74"/>
        <v>0</v>
      </c>
      <c r="AJ484" s="315">
        <f t="shared" si="74"/>
        <v>0</v>
      </c>
      <c r="AK484" s="315">
        <f t="shared" si="74"/>
        <v>0</v>
      </c>
      <c r="AL484" s="315">
        <f t="shared" si="74"/>
        <v>0</v>
      </c>
      <c r="AM484" s="315">
        <f t="shared" si="74"/>
        <v>0</v>
      </c>
      <c r="AN484" s="315">
        <f t="shared" si="74"/>
        <v>0</v>
      </c>
      <c r="AO484" s="315">
        <f t="shared" si="74"/>
        <v>0</v>
      </c>
      <c r="AP484" s="315">
        <f t="shared" si="74"/>
        <v>0</v>
      </c>
      <c r="AQ484" s="315">
        <f t="shared" si="74"/>
        <v>0</v>
      </c>
      <c r="AR484" s="315">
        <f t="shared" si="74"/>
        <v>0</v>
      </c>
      <c r="AS484" s="315">
        <f t="shared" si="74"/>
        <v>0</v>
      </c>
      <c r="AT484" s="315">
        <f t="shared" si="74"/>
        <v>0</v>
      </c>
      <c r="AU484" s="315">
        <f t="shared" si="74"/>
        <v>-204</v>
      </c>
      <c r="AV484" s="315">
        <f t="shared" si="74"/>
        <v>0</v>
      </c>
      <c r="AW484" s="315">
        <f t="shared" si="74"/>
        <v>0</v>
      </c>
      <c r="AX484" s="315">
        <f t="shared" si="74"/>
        <v>0</v>
      </c>
      <c r="AY484" s="315">
        <f t="shared" si="74"/>
        <v>0</v>
      </c>
      <c r="AZ484" s="315">
        <f t="shared" si="74"/>
        <v>0</v>
      </c>
      <c r="BA484" s="315">
        <f t="shared" si="74"/>
        <v>0</v>
      </c>
      <c r="BB484" s="315">
        <f t="shared" si="74"/>
        <v>0</v>
      </c>
      <c r="BC484" s="315">
        <f t="shared" si="74"/>
        <v>0</v>
      </c>
      <c r="BD484" s="315">
        <f t="shared" si="74"/>
        <v>0</v>
      </c>
      <c r="BE484" s="315">
        <f t="shared" si="74"/>
        <v>-3614947</v>
      </c>
      <c r="BF484" s="315">
        <f t="shared" si="74"/>
        <v>0</v>
      </c>
      <c r="BG484" s="315">
        <f t="shared" si="74"/>
        <v>0</v>
      </c>
      <c r="BH484" s="315">
        <f t="shared" si="74"/>
        <v>0</v>
      </c>
      <c r="BI484" s="315">
        <f t="shared" si="74"/>
        <v>0</v>
      </c>
      <c r="BJ484" s="315">
        <f t="shared" si="74"/>
        <v>-2163648</v>
      </c>
      <c r="BK484" s="315">
        <f t="shared" si="74"/>
        <v>0</v>
      </c>
      <c r="BL484" s="315">
        <f t="shared" si="74"/>
        <v>0</v>
      </c>
      <c r="BM484" s="315">
        <f t="shared" si="74"/>
        <v>0</v>
      </c>
      <c r="BN484" s="315">
        <f t="shared" si="74"/>
        <v>0</v>
      </c>
      <c r="BO484" s="315">
        <f t="shared" si="74"/>
        <v>-5639040</v>
      </c>
      <c r="BP484" s="315">
        <f t="shared" si="74"/>
        <v>0</v>
      </c>
      <c r="BQ484" s="315">
        <f t="shared" si="74"/>
        <v>0</v>
      </c>
      <c r="BR484" s="315">
        <f t="shared" si="74"/>
        <v>0</v>
      </c>
      <c r="BS484" s="315">
        <f t="shared" si="75"/>
        <v>0</v>
      </c>
      <c r="BT484" s="315">
        <f t="shared" si="75"/>
        <v>-2981741</v>
      </c>
      <c r="BU484" s="315">
        <f t="shared" si="75"/>
        <v>0</v>
      </c>
      <c r="BV484" s="315">
        <f t="shared" si="75"/>
        <v>0</v>
      </c>
      <c r="BW484" s="315">
        <f t="shared" si="75"/>
        <v>0</v>
      </c>
      <c r="BX484" s="315">
        <f t="shared" si="75"/>
        <v>0</v>
      </c>
      <c r="BZ484" s="315">
        <f t="shared" si="76"/>
        <v>0</v>
      </c>
      <c r="CA484" s="315">
        <f t="shared" si="76"/>
        <v>0</v>
      </c>
    </row>
    <row r="485" spans="7:79" hidden="1" x14ac:dyDescent="0.2">
      <c r="G485" s="315">
        <f t="shared" si="74"/>
        <v>0</v>
      </c>
      <c r="H485" s="315">
        <f t="shared" si="74"/>
        <v>0</v>
      </c>
      <c r="I485" s="315">
        <f t="shared" si="74"/>
        <v>0</v>
      </c>
      <c r="J485" s="315">
        <f t="shared" si="74"/>
        <v>0</v>
      </c>
      <c r="K485" s="315">
        <f t="shared" si="74"/>
        <v>0</v>
      </c>
      <c r="L485" s="315">
        <f t="shared" si="74"/>
        <v>0</v>
      </c>
      <c r="M485" s="315">
        <f t="shared" si="74"/>
        <v>0</v>
      </c>
      <c r="N485" s="315">
        <f t="shared" si="74"/>
        <v>0</v>
      </c>
      <c r="O485" s="315">
        <f t="shared" si="74"/>
        <v>0</v>
      </c>
      <c r="P485" s="315">
        <f t="shared" si="74"/>
        <v>0</v>
      </c>
      <c r="Q485" s="315">
        <f t="shared" si="74"/>
        <v>0</v>
      </c>
      <c r="R485" s="315">
        <f t="shared" si="74"/>
        <v>0</v>
      </c>
      <c r="S485" s="315">
        <f t="shared" si="74"/>
        <v>0</v>
      </c>
      <c r="T485" s="315">
        <f t="shared" si="74"/>
        <v>0</v>
      </c>
      <c r="U485" s="315">
        <f t="shared" si="74"/>
        <v>0</v>
      </c>
      <c r="V485" s="315">
        <f t="shared" si="74"/>
        <v>0</v>
      </c>
      <c r="W485" s="315">
        <f t="shared" si="74"/>
        <v>0</v>
      </c>
      <c r="X485" s="315">
        <f t="shared" si="74"/>
        <v>0</v>
      </c>
      <c r="Y485" s="315">
        <f t="shared" si="74"/>
        <v>0</v>
      </c>
      <c r="Z485" s="315">
        <f t="shared" si="74"/>
        <v>0</v>
      </c>
      <c r="AA485" s="315">
        <f t="shared" si="74"/>
        <v>0</v>
      </c>
      <c r="AB485" s="315">
        <f t="shared" si="74"/>
        <v>0</v>
      </c>
      <c r="AC485" s="315">
        <f t="shared" si="74"/>
        <v>0</v>
      </c>
      <c r="AD485" s="315">
        <f t="shared" si="74"/>
        <v>0</v>
      </c>
      <c r="AE485" s="315">
        <f t="shared" si="74"/>
        <v>0</v>
      </c>
      <c r="AF485" s="315">
        <f t="shared" si="74"/>
        <v>0</v>
      </c>
      <c r="AG485" s="315">
        <f t="shared" si="74"/>
        <v>0</v>
      </c>
      <c r="AH485" s="315">
        <f t="shared" si="74"/>
        <v>0</v>
      </c>
      <c r="AI485" s="315">
        <f t="shared" si="74"/>
        <v>0</v>
      </c>
      <c r="AJ485" s="315">
        <f t="shared" si="74"/>
        <v>0</v>
      </c>
      <c r="AK485" s="315">
        <f t="shared" si="74"/>
        <v>0</v>
      </c>
      <c r="AL485" s="315">
        <f t="shared" si="74"/>
        <v>0</v>
      </c>
      <c r="AM485" s="315">
        <f t="shared" si="74"/>
        <v>0</v>
      </c>
      <c r="AN485" s="315">
        <f t="shared" si="74"/>
        <v>0</v>
      </c>
      <c r="AO485" s="315">
        <f t="shared" si="74"/>
        <v>0</v>
      </c>
      <c r="AP485" s="315">
        <f t="shared" si="74"/>
        <v>0</v>
      </c>
      <c r="AQ485" s="315">
        <f t="shared" si="74"/>
        <v>0</v>
      </c>
      <c r="AR485" s="315">
        <f t="shared" si="74"/>
        <v>0</v>
      </c>
      <c r="AS485" s="315">
        <f t="shared" si="74"/>
        <v>0</v>
      </c>
      <c r="AT485" s="315">
        <f t="shared" si="74"/>
        <v>0</v>
      </c>
      <c r="AU485" s="315">
        <f t="shared" si="74"/>
        <v>0</v>
      </c>
      <c r="AV485" s="315">
        <f t="shared" si="74"/>
        <v>0</v>
      </c>
      <c r="AW485" s="315">
        <f t="shared" si="74"/>
        <v>0</v>
      </c>
      <c r="AX485" s="315">
        <f t="shared" si="74"/>
        <v>0</v>
      </c>
      <c r="AY485" s="315">
        <f t="shared" si="74"/>
        <v>0</v>
      </c>
      <c r="AZ485" s="315">
        <f t="shared" si="74"/>
        <v>0</v>
      </c>
      <c r="BA485" s="315">
        <f t="shared" si="74"/>
        <v>0</v>
      </c>
      <c r="BB485" s="315">
        <f t="shared" si="74"/>
        <v>0</v>
      </c>
      <c r="BC485" s="315">
        <f t="shared" si="74"/>
        <v>0</v>
      </c>
      <c r="BD485" s="315">
        <f t="shared" si="74"/>
        <v>0</v>
      </c>
      <c r="BE485" s="315">
        <f t="shared" si="74"/>
        <v>0</v>
      </c>
      <c r="BF485" s="315">
        <f t="shared" si="74"/>
        <v>0</v>
      </c>
      <c r="BG485" s="315">
        <f t="shared" si="74"/>
        <v>0</v>
      </c>
      <c r="BH485" s="315">
        <f t="shared" si="74"/>
        <v>0</v>
      </c>
      <c r="BI485" s="315">
        <f t="shared" si="74"/>
        <v>0</v>
      </c>
      <c r="BJ485" s="315">
        <f t="shared" si="74"/>
        <v>0</v>
      </c>
      <c r="BK485" s="315">
        <f t="shared" si="74"/>
        <v>0</v>
      </c>
      <c r="BL485" s="315">
        <f t="shared" si="74"/>
        <v>0</v>
      </c>
      <c r="BM485" s="315">
        <f t="shared" si="74"/>
        <v>0</v>
      </c>
      <c r="BN485" s="315">
        <f t="shared" si="74"/>
        <v>0</v>
      </c>
      <c r="BO485" s="315">
        <f t="shared" si="74"/>
        <v>0</v>
      </c>
      <c r="BP485" s="315">
        <f t="shared" si="74"/>
        <v>0</v>
      </c>
      <c r="BQ485" s="315">
        <f t="shared" si="74"/>
        <v>0</v>
      </c>
      <c r="BR485" s="315">
        <f t="shared" si="74"/>
        <v>0</v>
      </c>
      <c r="BS485" s="315">
        <f t="shared" si="75"/>
        <v>0</v>
      </c>
      <c r="BT485" s="315">
        <f t="shared" si="75"/>
        <v>0</v>
      </c>
      <c r="BU485" s="315">
        <f t="shared" si="75"/>
        <v>0</v>
      </c>
      <c r="BV485" s="315">
        <f t="shared" si="75"/>
        <v>0</v>
      </c>
      <c r="BW485" s="315">
        <f t="shared" si="75"/>
        <v>0</v>
      </c>
      <c r="BX485" s="315">
        <f t="shared" si="75"/>
        <v>0</v>
      </c>
      <c r="BZ485" s="315">
        <f t="shared" si="76"/>
        <v>0</v>
      </c>
      <c r="CA485" s="315">
        <f t="shared" si="76"/>
        <v>0</v>
      </c>
    </row>
    <row r="486" spans="7:79" hidden="1" x14ac:dyDescent="0.2">
      <c r="G486" s="315">
        <f t="shared" si="74"/>
        <v>1380312</v>
      </c>
      <c r="H486" s="315">
        <f t="shared" si="74"/>
        <v>0</v>
      </c>
      <c r="I486" s="315">
        <f t="shared" si="74"/>
        <v>0</v>
      </c>
      <c r="J486" s="315">
        <f t="shared" si="74"/>
        <v>0</v>
      </c>
      <c r="K486" s="315">
        <f t="shared" si="74"/>
        <v>0</v>
      </c>
      <c r="L486" s="315">
        <f t="shared" si="74"/>
        <v>493</v>
      </c>
      <c r="M486" s="315">
        <f t="shared" si="74"/>
        <v>0</v>
      </c>
      <c r="N486" s="315">
        <f t="shared" si="74"/>
        <v>0</v>
      </c>
      <c r="O486" s="315">
        <f t="shared" si="74"/>
        <v>0</v>
      </c>
      <c r="P486" s="315">
        <f t="shared" si="74"/>
        <v>0</v>
      </c>
      <c r="Q486" s="315">
        <f t="shared" si="74"/>
        <v>193807</v>
      </c>
      <c r="R486" s="315">
        <f t="shared" si="74"/>
        <v>0</v>
      </c>
      <c r="S486" s="315">
        <f t="shared" si="74"/>
        <v>0</v>
      </c>
      <c r="T486" s="315">
        <f t="shared" si="74"/>
        <v>0</v>
      </c>
      <c r="U486" s="315">
        <f t="shared" si="74"/>
        <v>0</v>
      </c>
      <c r="V486" s="315">
        <f t="shared" si="74"/>
        <v>0</v>
      </c>
      <c r="W486" s="315">
        <f t="shared" si="74"/>
        <v>0</v>
      </c>
      <c r="X486" s="315">
        <f t="shared" si="74"/>
        <v>0</v>
      </c>
      <c r="Y486" s="315">
        <f t="shared" si="74"/>
        <v>0</v>
      </c>
      <c r="Z486" s="315">
        <f t="shared" si="74"/>
        <v>0</v>
      </c>
      <c r="AA486" s="315">
        <f t="shared" si="74"/>
        <v>182826</v>
      </c>
      <c r="AB486" s="315">
        <f t="shared" si="74"/>
        <v>0</v>
      </c>
      <c r="AC486" s="315">
        <f t="shared" si="74"/>
        <v>0</v>
      </c>
      <c r="AD486" s="315">
        <f t="shared" si="74"/>
        <v>0</v>
      </c>
      <c r="AE486" s="315">
        <f t="shared" si="74"/>
        <v>0</v>
      </c>
      <c r="AF486" s="315">
        <f t="shared" si="74"/>
        <v>0</v>
      </c>
      <c r="AG486" s="315">
        <f t="shared" si="74"/>
        <v>0</v>
      </c>
      <c r="AH486" s="315">
        <f t="shared" si="74"/>
        <v>0</v>
      </c>
      <c r="AI486" s="315">
        <f t="shared" si="74"/>
        <v>0</v>
      </c>
      <c r="AJ486" s="315">
        <f t="shared" si="74"/>
        <v>0</v>
      </c>
      <c r="AK486" s="315">
        <f t="shared" si="74"/>
        <v>0</v>
      </c>
      <c r="AL486" s="315">
        <f t="shared" si="74"/>
        <v>0</v>
      </c>
      <c r="AM486" s="315">
        <f t="shared" si="74"/>
        <v>0</v>
      </c>
      <c r="AN486" s="315">
        <f t="shared" si="74"/>
        <v>0</v>
      </c>
      <c r="AO486" s="315">
        <f t="shared" si="74"/>
        <v>0</v>
      </c>
      <c r="AP486" s="315">
        <f t="shared" si="74"/>
        <v>0</v>
      </c>
      <c r="AQ486" s="315">
        <f t="shared" si="74"/>
        <v>0</v>
      </c>
      <c r="AR486" s="315">
        <f t="shared" si="74"/>
        <v>0</v>
      </c>
      <c r="AS486" s="315">
        <f t="shared" si="74"/>
        <v>0</v>
      </c>
      <c r="AT486" s="315">
        <f t="shared" si="74"/>
        <v>0</v>
      </c>
      <c r="AU486" s="315">
        <f t="shared" si="74"/>
        <v>18</v>
      </c>
      <c r="AV486" s="315">
        <f t="shared" si="74"/>
        <v>0</v>
      </c>
      <c r="AW486" s="315">
        <f t="shared" si="74"/>
        <v>0</v>
      </c>
      <c r="AX486" s="315">
        <f t="shared" si="74"/>
        <v>0</v>
      </c>
      <c r="AY486" s="315">
        <f t="shared" si="74"/>
        <v>0</v>
      </c>
      <c r="AZ486" s="315">
        <f t="shared" si="74"/>
        <v>0</v>
      </c>
      <c r="BA486" s="315">
        <f t="shared" si="74"/>
        <v>0</v>
      </c>
      <c r="BB486" s="315">
        <f t="shared" si="74"/>
        <v>0</v>
      </c>
      <c r="BC486" s="315">
        <f t="shared" si="74"/>
        <v>0</v>
      </c>
      <c r="BD486" s="315">
        <f t="shared" si="74"/>
        <v>0</v>
      </c>
      <c r="BE486" s="315">
        <f t="shared" si="74"/>
        <v>361232</v>
      </c>
      <c r="BF486" s="315">
        <f t="shared" si="74"/>
        <v>0</v>
      </c>
      <c r="BG486" s="315">
        <f t="shared" si="74"/>
        <v>0</v>
      </c>
      <c r="BH486" s="315">
        <f t="shared" si="74"/>
        <v>0</v>
      </c>
      <c r="BI486" s="315">
        <f t="shared" si="74"/>
        <v>0</v>
      </c>
      <c r="BJ486" s="315">
        <f t="shared" si="74"/>
        <v>209896</v>
      </c>
      <c r="BK486" s="315">
        <f t="shared" si="74"/>
        <v>0</v>
      </c>
      <c r="BL486" s="315">
        <f t="shared" si="74"/>
        <v>0</v>
      </c>
      <c r="BM486" s="315">
        <f t="shared" si="74"/>
        <v>0</v>
      </c>
      <c r="BN486" s="315">
        <f t="shared" si="74"/>
        <v>0</v>
      </c>
      <c r="BO486" s="315">
        <f t="shared" si="74"/>
        <v>432040</v>
      </c>
      <c r="BP486" s="315">
        <f t="shared" si="74"/>
        <v>0</v>
      </c>
      <c r="BQ486" s="315">
        <f t="shared" si="74"/>
        <v>0</v>
      </c>
      <c r="BR486" s="315">
        <f t="shared" ref="BR486:BX501" si="77">BR97-EJ97</f>
        <v>0</v>
      </c>
      <c r="BS486" s="315">
        <f t="shared" si="75"/>
        <v>0</v>
      </c>
      <c r="BT486" s="315">
        <f t="shared" si="75"/>
        <v>377126</v>
      </c>
      <c r="BU486" s="315">
        <f t="shared" si="75"/>
        <v>0</v>
      </c>
      <c r="BV486" s="315">
        <f t="shared" si="75"/>
        <v>0</v>
      </c>
      <c r="BW486" s="315">
        <f t="shared" si="75"/>
        <v>0</v>
      </c>
      <c r="BX486" s="315">
        <f t="shared" si="75"/>
        <v>0</v>
      </c>
      <c r="BZ486" s="315">
        <f t="shared" si="76"/>
        <v>0</v>
      </c>
      <c r="CA486" s="315">
        <f t="shared" si="76"/>
        <v>0</v>
      </c>
    </row>
    <row r="487" spans="7:79" hidden="1" x14ac:dyDescent="0.2">
      <c r="G487" s="315">
        <f t="shared" ref="G487:BQ491" si="78">G98-BY98</f>
        <v>0</v>
      </c>
      <c r="H487" s="315">
        <f t="shared" si="78"/>
        <v>0</v>
      </c>
      <c r="I487" s="315">
        <f t="shared" si="78"/>
        <v>0</v>
      </c>
      <c r="J487" s="315">
        <f t="shared" si="78"/>
        <v>0</v>
      </c>
      <c r="K487" s="315">
        <f t="shared" si="78"/>
        <v>0</v>
      </c>
      <c r="L487" s="315">
        <f t="shared" si="78"/>
        <v>0</v>
      </c>
      <c r="M487" s="315">
        <f t="shared" si="78"/>
        <v>0</v>
      </c>
      <c r="N487" s="315">
        <f t="shared" si="78"/>
        <v>0</v>
      </c>
      <c r="O487" s="315">
        <f t="shared" si="78"/>
        <v>0</v>
      </c>
      <c r="P487" s="315">
        <f t="shared" si="78"/>
        <v>0</v>
      </c>
      <c r="Q487" s="315">
        <f t="shared" si="78"/>
        <v>0</v>
      </c>
      <c r="R487" s="315">
        <f t="shared" si="78"/>
        <v>0</v>
      </c>
      <c r="S487" s="315">
        <f t="shared" si="78"/>
        <v>0</v>
      </c>
      <c r="T487" s="315">
        <f t="shared" si="78"/>
        <v>0</v>
      </c>
      <c r="U487" s="315">
        <f t="shared" si="78"/>
        <v>0</v>
      </c>
      <c r="V487" s="315">
        <f t="shared" si="78"/>
        <v>0</v>
      </c>
      <c r="W487" s="315">
        <f t="shared" si="78"/>
        <v>0</v>
      </c>
      <c r="X487" s="315">
        <f t="shared" si="78"/>
        <v>0</v>
      </c>
      <c r="Y487" s="315">
        <f t="shared" si="78"/>
        <v>0</v>
      </c>
      <c r="Z487" s="315">
        <f t="shared" si="78"/>
        <v>0</v>
      </c>
      <c r="AA487" s="315">
        <f t="shared" si="78"/>
        <v>0</v>
      </c>
      <c r="AB487" s="315">
        <f t="shared" si="78"/>
        <v>0</v>
      </c>
      <c r="AC487" s="315">
        <f t="shared" si="78"/>
        <v>0</v>
      </c>
      <c r="AD487" s="315">
        <f t="shared" si="78"/>
        <v>0</v>
      </c>
      <c r="AE487" s="315">
        <f t="shared" si="78"/>
        <v>0</v>
      </c>
      <c r="AF487" s="315">
        <f t="shared" si="78"/>
        <v>0</v>
      </c>
      <c r="AG487" s="315">
        <f t="shared" si="78"/>
        <v>0</v>
      </c>
      <c r="AH487" s="315">
        <f t="shared" si="78"/>
        <v>0</v>
      </c>
      <c r="AI487" s="315">
        <f t="shared" si="78"/>
        <v>0</v>
      </c>
      <c r="AJ487" s="315">
        <f t="shared" si="78"/>
        <v>0</v>
      </c>
      <c r="AK487" s="315">
        <f t="shared" si="78"/>
        <v>0</v>
      </c>
      <c r="AL487" s="315">
        <f t="shared" si="78"/>
        <v>0</v>
      </c>
      <c r="AM487" s="315">
        <f t="shared" si="78"/>
        <v>0</v>
      </c>
      <c r="AN487" s="315">
        <f t="shared" si="78"/>
        <v>0</v>
      </c>
      <c r="AO487" s="315">
        <f t="shared" si="78"/>
        <v>0</v>
      </c>
      <c r="AP487" s="315">
        <f t="shared" si="78"/>
        <v>0</v>
      </c>
      <c r="AQ487" s="315">
        <f t="shared" si="78"/>
        <v>0</v>
      </c>
      <c r="AR487" s="315">
        <f t="shared" si="78"/>
        <v>0</v>
      </c>
      <c r="AS487" s="315">
        <f t="shared" si="78"/>
        <v>0</v>
      </c>
      <c r="AT487" s="315">
        <f t="shared" si="78"/>
        <v>0</v>
      </c>
      <c r="AU487" s="315">
        <f t="shared" si="78"/>
        <v>0</v>
      </c>
      <c r="AV487" s="315">
        <f t="shared" si="78"/>
        <v>0</v>
      </c>
      <c r="AW487" s="315">
        <f t="shared" si="78"/>
        <v>0</v>
      </c>
      <c r="AX487" s="315">
        <f t="shared" si="78"/>
        <v>0</v>
      </c>
      <c r="AY487" s="315">
        <f t="shared" si="78"/>
        <v>0</v>
      </c>
      <c r="AZ487" s="315">
        <f t="shared" si="78"/>
        <v>0</v>
      </c>
      <c r="BA487" s="315">
        <f t="shared" si="78"/>
        <v>0</v>
      </c>
      <c r="BB487" s="315">
        <f t="shared" si="78"/>
        <v>0</v>
      </c>
      <c r="BC487" s="315">
        <f t="shared" si="78"/>
        <v>0</v>
      </c>
      <c r="BD487" s="315">
        <f t="shared" si="78"/>
        <v>0</v>
      </c>
      <c r="BE487" s="315">
        <f t="shared" si="78"/>
        <v>0</v>
      </c>
      <c r="BF487" s="315">
        <f t="shared" si="78"/>
        <v>0</v>
      </c>
      <c r="BG487" s="315">
        <f t="shared" si="78"/>
        <v>0</v>
      </c>
      <c r="BH487" s="315">
        <f t="shared" si="78"/>
        <v>0</v>
      </c>
      <c r="BI487" s="315">
        <f t="shared" si="78"/>
        <v>0</v>
      </c>
      <c r="BJ487" s="315">
        <f t="shared" si="78"/>
        <v>0</v>
      </c>
      <c r="BK487" s="315">
        <f t="shared" si="78"/>
        <v>0</v>
      </c>
      <c r="BL487" s="315">
        <f t="shared" si="78"/>
        <v>0</v>
      </c>
      <c r="BM487" s="315">
        <f t="shared" si="78"/>
        <v>0</v>
      </c>
      <c r="BN487" s="315">
        <f t="shared" si="78"/>
        <v>0</v>
      </c>
      <c r="BO487" s="315">
        <f t="shared" si="78"/>
        <v>0</v>
      </c>
      <c r="BP487" s="315">
        <f t="shared" si="78"/>
        <v>0</v>
      </c>
      <c r="BQ487" s="315">
        <f t="shared" si="78"/>
        <v>0</v>
      </c>
      <c r="BR487" s="315">
        <f t="shared" si="77"/>
        <v>0</v>
      </c>
      <c r="BS487" s="315">
        <f t="shared" si="75"/>
        <v>0</v>
      </c>
      <c r="BT487" s="315">
        <f t="shared" si="75"/>
        <v>0</v>
      </c>
      <c r="BU487" s="315">
        <f t="shared" si="75"/>
        <v>0</v>
      </c>
      <c r="BV487" s="315">
        <f t="shared" si="75"/>
        <v>0</v>
      </c>
      <c r="BW487" s="315">
        <f t="shared" si="75"/>
        <v>0</v>
      </c>
      <c r="BX487" s="315">
        <f t="shared" si="75"/>
        <v>0</v>
      </c>
      <c r="BZ487" s="315">
        <f t="shared" si="76"/>
        <v>0</v>
      </c>
      <c r="CA487" s="315">
        <f t="shared" si="76"/>
        <v>0</v>
      </c>
    </row>
    <row r="488" spans="7:79" hidden="1" x14ac:dyDescent="0.2">
      <c r="G488" s="315">
        <f t="shared" si="78"/>
        <v>-31297043</v>
      </c>
      <c r="H488" s="315">
        <f t="shared" si="78"/>
        <v>0</v>
      </c>
      <c r="I488" s="315">
        <f t="shared" si="78"/>
        <v>0</v>
      </c>
      <c r="J488" s="315">
        <f t="shared" si="78"/>
        <v>0</v>
      </c>
      <c r="K488" s="315">
        <f t="shared" si="78"/>
        <v>0</v>
      </c>
      <c r="L488" s="315">
        <f t="shared" si="78"/>
        <v>-1101625</v>
      </c>
      <c r="M488" s="315">
        <f t="shared" si="78"/>
        <v>0</v>
      </c>
      <c r="N488" s="315">
        <f t="shared" si="78"/>
        <v>0</v>
      </c>
      <c r="O488" s="315">
        <f t="shared" si="78"/>
        <v>0</v>
      </c>
      <c r="P488" s="315">
        <f t="shared" si="78"/>
        <v>0</v>
      </c>
      <c r="Q488" s="315">
        <f t="shared" si="78"/>
        <v>353000</v>
      </c>
      <c r="R488" s="315">
        <f t="shared" si="78"/>
        <v>0</v>
      </c>
      <c r="S488" s="315">
        <f t="shared" si="78"/>
        <v>0</v>
      </c>
      <c r="T488" s="315">
        <f t="shared" si="78"/>
        <v>0</v>
      </c>
      <c r="U488" s="315">
        <f t="shared" si="78"/>
        <v>0</v>
      </c>
      <c r="V488" s="315">
        <f t="shared" si="78"/>
        <v>0</v>
      </c>
      <c r="W488" s="315">
        <f t="shared" si="78"/>
        <v>0</v>
      </c>
      <c r="X488" s="315">
        <f t="shared" si="78"/>
        <v>0</v>
      </c>
      <c r="Y488" s="315">
        <f t="shared" si="78"/>
        <v>0</v>
      </c>
      <c r="Z488" s="315">
        <f t="shared" si="78"/>
        <v>0</v>
      </c>
      <c r="AA488" s="315">
        <f t="shared" si="78"/>
        <v>-5145000</v>
      </c>
      <c r="AB488" s="315">
        <f t="shared" si="78"/>
        <v>0</v>
      </c>
      <c r="AC488" s="315">
        <f t="shared" si="78"/>
        <v>0</v>
      </c>
      <c r="AD488" s="315">
        <f t="shared" si="78"/>
        <v>0</v>
      </c>
      <c r="AE488" s="315">
        <f t="shared" si="78"/>
        <v>0</v>
      </c>
      <c r="AF488" s="315">
        <f t="shared" si="78"/>
        <v>1420000</v>
      </c>
      <c r="AG488" s="315">
        <f t="shared" si="78"/>
        <v>0</v>
      </c>
      <c r="AH488" s="315">
        <f t="shared" si="78"/>
        <v>0</v>
      </c>
      <c r="AI488" s="315">
        <f t="shared" si="78"/>
        <v>0</v>
      </c>
      <c r="AJ488" s="315">
        <f t="shared" si="78"/>
        <v>0</v>
      </c>
      <c r="AK488" s="315">
        <f t="shared" si="78"/>
        <v>-647000</v>
      </c>
      <c r="AL488" s="315">
        <f t="shared" si="78"/>
        <v>0</v>
      </c>
      <c r="AM488" s="315">
        <f t="shared" si="78"/>
        <v>0</v>
      </c>
      <c r="AN488" s="315">
        <f t="shared" si="78"/>
        <v>0</v>
      </c>
      <c r="AO488" s="315">
        <f t="shared" si="78"/>
        <v>0</v>
      </c>
      <c r="AP488" s="315">
        <f t="shared" si="78"/>
        <v>1157000</v>
      </c>
      <c r="AQ488" s="315">
        <f t="shared" si="78"/>
        <v>0</v>
      </c>
      <c r="AR488" s="315">
        <f t="shared" si="78"/>
        <v>0</v>
      </c>
      <c r="AS488" s="315">
        <f t="shared" si="78"/>
        <v>0</v>
      </c>
      <c r="AT488" s="315">
        <f t="shared" si="78"/>
        <v>0</v>
      </c>
      <c r="AU488" s="315">
        <f t="shared" si="78"/>
        <v>-2742589</v>
      </c>
      <c r="AV488" s="315">
        <f t="shared" si="78"/>
        <v>0</v>
      </c>
      <c r="AW488" s="315">
        <f t="shared" si="78"/>
        <v>0</v>
      </c>
      <c r="AX488" s="315">
        <f t="shared" si="78"/>
        <v>0</v>
      </c>
      <c r="AY488" s="315">
        <f t="shared" si="78"/>
        <v>0</v>
      </c>
      <c r="AZ488" s="315">
        <f t="shared" si="78"/>
        <v>-1953000</v>
      </c>
      <c r="BA488" s="315">
        <f t="shared" si="78"/>
        <v>0</v>
      </c>
      <c r="BB488" s="315">
        <f t="shared" si="78"/>
        <v>0</v>
      </c>
      <c r="BC488" s="315">
        <f t="shared" si="78"/>
        <v>0</v>
      </c>
      <c r="BD488" s="315">
        <f t="shared" si="78"/>
        <v>0</v>
      </c>
      <c r="BE488" s="315">
        <f t="shared" si="78"/>
        <v>-3908439</v>
      </c>
      <c r="BF488" s="315">
        <f t="shared" si="78"/>
        <v>0</v>
      </c>
      <c r="BG488" s="315">
        <f t="shared" si="78"/>
        <v>0</v>
      </c>
      <c r="BH488" s="315">
        <f t="shared" si="78"/>
        <v>0</v>
      </c>
      <c r="BI488" s="315">
        <f t="shared" si="78"/>
        <v>0</v>
      </c>
      <c r="BJ488" s="315">
        <f t="shared" si="78"/>
        <v>-1300000</v>
      </c>
      <c r="BK488" s="315">
        <f t="shared" si="78"/>
        <v>0</v>
      </c>
      <c r="BL488" s="315">
        <f t="shared" si="78"/>
        <v>0</v>
      </c>
      <c r="BM488" s="315">
        <f t="shared" si="78"/>
        <v>0</v>
      </c>
      <c r="BN488" s="315">
        <f t="shared" si="78"/>
        <v>0</v>
      </c>
      <c r="BO488" s="315">
        <f t="shared" si="78"/>
        <v>-1953000</v>
      </c>
      <c r="BP488" s="315">
        <f t="shared" si="78"/>
        <v>0</v>
      </c>
      <c r="BQ488" s="315">
        <f t="shared" si="78"/>
        <v>0</v>
      </c>
      <c r="BR488" s="315">
        <f t="shared" si="77"/>
        <v>0</v>
      </c>
      <c r="BS488" s="315">
        <f t="shared" si="75"/>
        <v>0</v>
      </c>
      <c r="BT488" s="315">
        <f t="shared" si="75"/>
        <v>-3963625</v>
      </c>
      <c r="BU488" s="315">
        <f t="shared" si="75"/>
        <v>0</v>
      </c>
      <c r="BV488" s="315">
        <f t="shared" si="75"/>
        <v>0</v>
      </c>
      <c r="BW488" s="315">
        <f t="shared" si="75"/>
        <v>0</v>
      </c>
      <c r="BX488" s="315">
        <f t="shared" si="75"/>
        <v>0</v>
      </c>
      <c r="BZ488" s="315">
        <f t="shared" si="76"/>
        <v>0</v>
      </c>
      <c r="CA488" s="315">
        <f t="shared" si="76"/>
        <v>0</v>
      </c>
    </row>
    <row r="489" spans="7:79" hidden="1" x14ac:dyDescent="0.2">
      <c r="G489" s="315">
        <f t="shared" si="78"/>
        <v>-29049674</v>
      </c>
      <c r="H489" s="315">
        <f t="shared" si="78"/>
        <v>0</v>
      </c>
      <c r="I489" s="315">
        <f t="shared" si="78"/>
        <v>0</v>
      </c>
      <c r="J489" s="315">
        <f t="shared" si="78"/>
        <v>0</v>
      </c>
      <c r="K489" s="315">
        <f t="shared" si="78"/>
        <v>0</v>
      </c>
      <c r="L489" s="315">
        <f t="shared" si="78"/>
        <v>-1016981</v>
      </c>
      <c r="M489" s="315">
        <f t="shared" si="78"/>
        <v>0</v>
      </c>
      <c r="N489" s="315">
        <f t="shared" si="78"/>
        <v>0</v>
      </c>
      <c r="O489" s="315">
        <f t="shared" si="78"/>
        <v>0</v>
      </c>
      <c r="P489" s="315">
        <f t="shared" si="78"/>
        <v>0</v>
      </c>
      <c r="Q489" s="315">
        <f t="shared" si="78"/>
        <v>182354</v>
      </c>
      <c r="R489" s="315">
        <f t="shared" si="78"/>
        <v>0</v>
      </c>
      <c r="S489" s="315">
        <f t="shared" si="78"/>
        <v>0</v>
      </c>
      <c r="T489" s="315">
        <f t="shared" si="78"/>
        <v>0</v>
      </c>
      <c r="U489" s="315">
        <f t="shared" si="78"/>
        <v>0</v>
      </c>
      <c r="V489" s="315">
        <f t="shared" si="78"/>
        <v>0</v>
      </c>
      <c r="W489" s="315">
        <f t="shared" si="78"/>
        <v>0</v>
      </c>
      <c r="X489" s="315">
        <f t="shared" si="78"/>
        <v>0</v>
      </c>
      <c r="Y489" s="315">
        <f t="shared" si="78"/>
        <v>0</v>
      </c>
      <c r="Z489" s="315">
        <f t="shared" si="78"/>
        <v>0</v>
      </c>
      <c r="AA489" s="315">
        <f t="shared" si="78"/>
        <v>-4870925</v>
      </c>
      <c r="AB489" s="315">
        <f t="shared" si="78"/>
        <v>0</v>
      </c>
      <c r="AC489" s="315">
        <f t="shared" si="78"/>
        <v>0</v>
      </c>
      <c r="AD489" s="315">
        <f t="shared" si="78"/>
        <v>0</v>
      </c>
      <c r="AE489" s="315">
        <f t="shared" si="78"/>
        <v>0</v>
      </c>
      <c r="AF489" s="315">
        <f t="shared" si="78"/>
        <v>1137905</v>
      </c>
      <c r="AG489" s="315">
        <f t="shared" si="78"/>
        <v>0</v>
      </c>
      <c r="AH489" s="315">
        <f t="shared" si="78"/>
        <v>0</v>
      </c>
      <c r="AI489" s="315">
        <f t="shared" si="78"/>
        <v>0</v>
      </c>
      <c r="AJ489" s="315">
        <f t="shared" si="78"/>
        <v>0</v>
      </c>
      <c r="AK489" s="315">
        <f t="shared" si="78"/>
        <v>-863360</v>
      </c>
      <c r="AL489" s="315">
        <f t="shared" si="78"/>
        <v>0</v>
      </c>
      <c r="AM489" s="315">
        <f t="shared" si="78"/>
        <v>0</v>
      </c>
      <c r="AN489" s="315">
        <f t="shared" si="78"/>
        <v>0</v>
      </c>
      <c r="AO489" s="315">
        <f t="shared" si="78"/>
        <v>0</v>
      </c>
      <c r="AP489" s="315">
        <f t="shared" si="78"/>
        <v>832140</v>
      </c>
      <c r="AQ489" s="315">
        <f t="shared" si="78"/>
        <v>0</v>
      </c>
      <c r="AR489" s="315">
        <f t="shared" si="78"/>
        <v>0</v>
      </c>
      <c r="AS489" s="315">
        <f t="shared" si="78"/>
        <v>0</v>
      </c>
      <c r="AT489" s="315">
        <f t="shared" si="78"/>
        <v>0</v>
      </c>
      <c r="AU489" s="315">
        <f t="shared" si="78"/>
        <v>-2506307</v>
      </c>
      <c r="AV489" s="315">
        <f t="shared" si="78"/>
        <v>0</v>
      </c>
      <c r="AW489" s="315">
        <f t="shared" si="78"/>
        <v>0</v>
      </c>
      <c r="AX489" s="315">
        <f t="shared" si="78"/>
        <v>0</v>
      </c>
      <c r="AY489" s="315">
        <f t="shared" si="78"/>
        <v>0</v>
      </c>
      <c r="AZ489" s="315">
        <f t="shared" si="78"/>
        <v>-1760847</v>
      </c>
      <c r="BA489" s="315">
        <f t="shared" si="78"/>
        <v>0</v>
      </c>
      <c r="BB489" s="315">
        <f t="shared" si="78"/>
        <v>0</v>
      </c>
      <c r="BC489" s="315">
        <f t="shared" si="78"/>
        <v>0</v>
      </c>
      <c r="BD489" s="315">
        <f t="shared" si="78"/>
        <v>0</v>
      </c>
      <c r="BE489" s="315">
        <f t="shared" si="78"/>
        <v>-3593757</v>
      </c>
      <c r="BF489" s="315">
        <f t="shared" si="78"/>
        <v>0</v>
      </c>
      <c r="BG489" s="315">
        <f t="shared" si="78"/>
        <v>0</v>
      </c>
      <c r="BH489" s="315">
        <f t="shared" si="78"/>
        <v>0</v>
      </c>
      <c r="BI489" s="315">
        <f t="shared" si="78"/>
        <v>0</v>
      </c>
      <c r="BJ489" s="315">
        <f t="shared" si="78"/>
        <v>-1215513</v>
      </c>
      <c r="BK489" s="315">
        <f t="shared" si="78"/>
        <v>0</v>
      </c>
      <c r="BL489" s="315">
        <f t="shared" si="78"/>
        <v>0</v>
      </c>
      <c r="BM489" s="315">
        <f t="shared" si="78"/>
        <v>0</v>
      </c>
      <c r="BN489" s="315">
        <f t="shared" si="78"/>
        <v>0</v>
      </c>
      <c r="BO489" s="315">
        <f t="shared" si="78"/>
        <v>-1760400</v>
      </c>
      <c r="BP489" s="315">
        <f t="shared" si="78"/>
        <v>0</v>
      </c>
      <c r="BQ489" s="315">
        <f t="shared" si="78"/>
        <v>0</v>
      </c>
      <c r="BR489" s="315">
        <f t="shared" si="77"/>
        <v>0</v>
      </c>
      <c r="BS489" s="315">
        <f t="shared" si="75"/>
        <v>0</v>
      </c>
      <c r="BT489" s="315">
        <f t="shared" si="75"/>
        <v>-4598867</v>
      </c>
      <c r="BU489" s="315">
        <f t="shared" si="75"/>
        <v>0</v>
      </c>
      <c r="BV489" s="315">
        <f t="shared" si="75"/>
        <v>0</v>
      </c>
      <c r="BW489" s="315">
        <f t="shared" si="75"/>
        <v>0</v>
      </c>
      <c r="BX489" s="315">
        <f t="shared" si="75"/>
        <v>0</v>
      </c>
      <c r="BZ489" s="315">
        <f t="shared" si="76"/>
        <v>0</v>
      </c>
      <c r="CA489" s="315">
        <f t="shared" si="76"/>
        <v>0</v>
      </c>
    </row>
    <row r="490" spans="7:79" hidden="1" x14ac:dyDescent="0.2">
      <c r="G490" s="315">
        <f t="shared" si="78"/>
        <v>-2247369</v>
      </c>
      <c r="H490" s="315">
        <f t="shared" si="78"/>
        <v>0</v>
      </c>
      <c r="I490" s="315">
        <f t="shared" si="78"/>
        <v>0</v>
      </c>
      <c r="J490" s="315">
        <f t="shared" si="78"/>
        <v>0</v>
      </c>
      <c r="K490" s="315">
        <f t="shared" si="78"/>
        <v>0</v>
      </c>
      <c r="L490" s="315">
        <f t="shared" si="78"/>
        <v>-84644</v>
      </c>
      <c r="M490" s="315">
        <f t="shared" si="78"/>
        <v>0</v>
      </c>
      <c r="N490" s="315">
        <f t="shared" si="78"/>
        <v>0</v>
      </c>
      <c r="O490" s="315">
        <f t="shared" si="78"/>
        <v>0</v>
      </c>
      <c r="P490" s="315">
        <f t="shared" si="78"/>
        <v>0</v>
      </c>
      <c r="Q490" s="315">
        <f t="shared" si="78"/>
        <v>170646</v>
      </c>
      <c r="R490" s="315">
        <f t="shared" si="78"/>
        <v>0</v>
      </c>
      <c r="S490" s="315">
        <f t="shared" si="78"/>
        <v>0</v>
      </c>
      <c r="T490" s="315">
        <f t="shared" si="78"/>
        <v>0</v>
      </c>
      <c r="U490" s="315">
        <f t="shared" si="78"/>
        <v>0</v>
      </c>
      <c r="V490" s="315">
        <f t="shared" si="78"/>
        <v>0</v>
      </c>
      <c r="W490" s="315">
        <f t="shared" si="78"/>
        <v>0</v>
      </c>
      <c r="X490" s="315">
        <f t="shared" si="78"/>
        <v>0</v>
      </c>
      <c r="Y490" s="315">
        <f t="shared" si="78"/>
        <v>0</v>
      </c>
      <c r="Z490" s="315">
        <f t="shared" si="78"/>
        <v>0</v>
      </c>
      <c r="AA490" s="315">
        <f t="shared" si="78"/>
        <v>-274075</v>
      </c>
      <c r="AB490" s="315">
        <f t="shared" si="78"/>
        <v>0</v>
      </c>
      <c r="AC490" s="315">
        <f t="shared" si="78"/>
        <v>0</v>
      </c>
      <c r="AD490" s="315">
        <f t="shared" si="78"/>
        <v>0</v>
      </c>
      <c r="AE490" s="315">
        <f t="shared" si="78"/>
        <v>0</v>
      </c>
      <c r="AF490" s="315">
        <f t="shared" si="78"/>
        <v>282095</v>
      </c>
      <c r="AG490" s="315">
        <f t="shared" si="78"/>
        <v>0</v>
      </c>
      <c r="AH490" s="315">
        <f t="shared" si="78"/>
        <v>0</v>
      </c>
      <c r="AI490" s="315">
        <f t="shared" si="78"/>
        <v>0</v>
      </c>
      <c r="AJ490" s="315">
        <f t="shared" si="78"/>
        <v>0</v>
      </c>
      <c r="AK490" s="315">
        <f t="shared" si="78"/>
        <v>216360</v>
      </c>
      <c r="AL490" s="315">
        <f t="shared" si="78"/>
        <v>0</v>
      </c>
      <c r="AM490" s="315">
        <f t="shared" si="78"/>
        <v>0</v>
      </c>
      <c r="AN490" s="315">
        <f t="shared" si="78"/>
        <v>0</v>
      </c>
      <c r="AO490" s="315">
        <f t="shared" si="78"/>
        <v>0</v>
      </c>
      <c r="AP490" s="315">
        <f t="shared" si="78"/>
        <v>324860</v>
      </c>
      <c r="AQ490" s="315">
        <f t="shared" si="78"/>
        <v>0</v>
      </c>
      <c r="AR490" s="315">
        <f t="shared" si="78"/>
        <v>0</v>
      </c>
      <c r="AS490" s="315">
        <f t="shared" si="78"/>
        <v>0</v>
      </c>
      <c r="AT490" s="315">
        <f t="shared" si="78"/>
        <v>0</v>
      </c>
      <c r="AU490" s="315">
        <f t="shared" si="78"/>
        <v>-236282</v>
      </c>
      <c r="AV490" s="315">
        <f t="shared" si="78"/>
        <v>0</v>
      </c>
      <c r="AW490" s="315">
        <f t="shared" si="78"/>
        <v>0</v>
      </c>
      <c r="AX490" s="315">
        <f t="shared" si="78"/>
        <v>0</v>
      </c>
      <c r="AY490" s="315">
        <f t="shared" si="78"/>
        <v>0</v>
      </c>
      <c r="AZ490" s="315">
        <f t="shared" si="78"/>
        <v>-192153</v>
      </c>
      <c r="BA490" s="315">
        <f t="shared" si="78"/>
        <v>0</v>
      </c>
      <c r="BB490" s="315">
        <f t="shared" si="78"/>
        <v>0</v>
      </c>
      <c r="BC490" s="315">
        <f t="shared" si="78"/>
        <v>0</v>
      </c>
      <c r="BD490" s="315">
        <f t="shared" si="78"/>
        <v>0</v>
      </c>
      <c r="BE490" s="315">
        <f t="shared" si="78"/>
        <v>-314682</v>
      </c>
      <c r="BF490" s="315">
        <f t="shared" si="78"/>
        <v>0</v>
      </c>
      <c r="BG490" s="315">
        <f t="shared" si="78"/>
        <v>0</v>
      </c>
      <c r="BH490" s="315">
        <f t="shared" si="78"/>
        <v>0</v>
      </c>
      <c r="BI490" s="315">
        <f t="shared" si="78"/>
        <v>0</v>
      </c>
      <c r="BJ490" s="315">
        <f t="shared" si="78"/>
        <v>-84487</v>
      </c>
      <c r="BK490" s="315">
        <f t="shared" si="78"/>
        <v>0</v>
      </c>
      <c r="BL490" s="315">
        <f t="shared" si="78"/>
        <v>0</v>
      </c>
      <c r="BM490" s="315">
        <f t="shared" si="78"/>
        <v>0</v>
      </c>
      <c r="BN490" s="315">
        <f t="shared" si="78"/>
        <v>0</v>
      </c>
      <c r="BO490" s="315">
        <f t="shared" si="78"/>
        <v>-192600</v>
      </c>
      <c r="BP490" s="315">
        <f t="shared" si="78"/>
        <v>0</v>
      </c>
      <c r="BQ490" s="315">
        <f t="shared" si="78"/>
        <v>0</v>
      </c>
      <c r="BR490" s="315">
        <f t="shared" si="77"/>
        <v>0</v>
      </c>
      <c r="BS490" s="315">
        <f t="shared" si="75"/>
        <v>0</v>
      </c>
      <c r="BT490" s="315">
        <f t="shared" si="75"/>
        <v>635242</v>
      </c>
      <c r="BU490" s="315">
        <f t="shared" si="75"/>
        <v>0</v>
      </c>
      <c r="BV490" s="315">
        <f t="shared" si="75"/>
        <v>0</v>
      </c>
      <c r="BW490" s="315">
        <f t="shared" si="75"/>
        <v>0</v>
      </c>
      <c r="BX490" s="315">
        <f t="shared" si="75"/>
        <v>0</v>
      </c>
      <c r="BZ490" s="315">
        <f t="shared" si="76"/>
        <v>0</v>
      </c>
      <c r="CA490" s="315">
        <f t="shared" si="76"/>
        <v>0</v>
      </c>
    </row>
    <row r="491" spans="7:79" hidden="1" x14ac:dyDescent="0.2">
      <c r="G491" s="315">
        <f t="shared" si="78"/>
        <v>0</v>
      </c>
      <c r="H491" s="315">
        <f t="shared" si="78"/>
        <v>0</v>
      </c>
      <c r="I491" s="315">
        <f t="shared" si="78"/>
        <v>0</v>
      </c>
      <c r="J491" s="315">
        <f t="shared" ref="J491:BQ495" si="79">J102-CB102</f>
        <v>0</v>
      </c>
      <c r="K491" s="315">
        <f t="shared" si="79"/>
        <v>0</v>
      </c>
      <c r="L491" s="315">
        <f t="shared" si="79"/>
        <v>0</v>
      </c>
      <c r="M491" s="315">
        <f t="shared" si="79"/>
        <v>0</v>
      </c>
      <c r="N491" s="315">
        <f t="shared" si="79"/>
        <v>0</v>
      </c>
      <c r="O491" s="315">
        <f t="shared" si="79"/>
        <v>0</v>
      </c>
      <c r="P491" s="315">
        <f t="shared" si="79"/>
        <v>0</v>
      </c>
      <c r="Q491" s="315">
        <f t="shared" si="79"/>
        <v>0</v>
      </c>
      <c r="R491" s="315">
        <f t="shared" si="79"/>
        <v>0</v>
      </c>
      <c r="S491" s="315">
        <f t="shared" si="79"/>
        <v>0</v>
      </c>
      <c r="T491" s="315">
        <f t="shared" si="79"/>
        <v>0</v>
      </c>
      <c r="U491" s="315">
        <f t="shared" si="79"/>
        <v>0</v>
      </c>
      <c r="V491" s="315">
        <f t="shared" si="79"/>
        <v>0</v>
      </c>
      <c r="W491" s="315">
        <f t="shared" si="79"/>
        <v>0</v>
      </c>
      <c r="X491" s="315">
        <f t="shared" si="79"/>
        <v>0</v>
      </c>
      <c r="Y491" s="315">
        <f t="shared" si="79"/>
        <v>0</v>
      </c>
      <c r="Z491" s="315">
        <f t="shared" si="79"/>
        <v>0</v>
      </c>
      <c r="AA491" s="315">
        <f t="shared" si="79"/>
        <v>0</v>
      </c>
      <c r="AB491" s="315">
        <f t="shared" si="79"/>
        <v>0</v>
      </c>
      <c r="AC491" s="315">
        <f t="shared" si="79"/>
        <v>0</v>
      </c>
      <c r="AD491" s="315">
        <f t="shared" si="79"/>
        <v>0</v>
      </c>
      <c r="AE491" s="315">
        <f t="shared" si="79"/>
        <v>0</v>
      </c>
      <c r="AF491" s="315">
        <f t="shared" si="79"/>
        <v>0</v>
      </c>
      <c r="AG491" s="315">
        <f t="shared" si="79"/>
        <v>0</v>
      </c>
      <c r="AH491" s="315">
        <f t="shared" si="79"/>
        <v>0</v>
      </c>
      <c r="AI491" s="315">
        <f t="shared" si="79"/>
        <v>0</v>
      </c>
      <c r="AJ491" s="315">
        <f t="shared" si="79"/>
        <v>0</v>
      </c>
      <c r="AK491" s="315">
        <f t="shared" si="79"/>
        <v>0</v>
      </c>
      <c r="AL491" s="315">
        <f t="shared" si="79"/>
        <v>0</v>
      </c>
      <c r="AM491" s="315">
        <f t="shared" si="79"/>
        <v>0</v>
      </c>
      <c r="AN491" s="315">
        <f t="shared" si="79"/>
        <v>0</v>
      </c>
      <c r="AO491" s="315">
        <f t="shared" si="79"/>
        <v>0</v>
      </c>
      <c r="AP491" s="315">
        <f t="shared" si="79"/>
        <v>0</v>
      </c>
      <c r="AQ491" s="315">
        <f t="shared" si="79"/>
        <v>0</v>
      </c>
      <c r="AR491" s="315">
        <f t="shared" si="79"/>
        <v>0</v>
      </c>
      <c r="AS491" s="315">
        <f t="shared" si="79"/>
        <v>0</v>
      </c>
      <c r="AT491" s="315">
        <f t="shared" si="79"/>
        <v>0</v>
      </c>
      <c r="AU491" s="315">
        <f t="shared" si="79"/>
        <v>0</v>
      </c>
      <c r="AV491" s="315">
        <f t="shared" si="79"/>
        <v>0</v>
      </c>
      <c r="AW491" s="315">
        <f t="shared" si="79"/>
        <v>0</v>
      </c>
      <c r="AX491" s="315">
        <f t="shared" si="79"/>
        <v>0</v>
      </c>
      <c r="AY491" s="315">
        <f t="shared" si="79"/>
        <v>0</v>
      </c>
      <c r="AZ491" s="315">
        <f t="shared" si="79"/>
        <v>0</v>
      </c>
      <c r="BA491" s="315">
        <f t="shared" si="79"/>
        <v>0</v>
      </c>
      <c r="BB491" s="315">
        <f t="shared" si="79"/>
        <v>0</v>
      </c>
      <c r="BC491" s="315">
        <f t="shared" si="79"/>
        <v>0</v>
      </c>
      <c r="BD491" s="315">
        <f t="shared" si="79"/>
        <v>0</v>
      </c>
      <c r="BE491" s="315">
        <f t="shared" si="79"/>
        <v>0</v>
      </c>
      <c r="BF491" s="315">
        <f t="shared" si="79"/>
        <v>0</v>
      </c>
      <c r="BG491" s="315">
        <f t="shared" si="79"/>
        <v>0</v>
      </c>
      <c r="BH491" s="315">
        <f t="shared" si="79"/>
        <v>0</v>
      </c>
      <c r="BI491" s="315">
        <f t="shared" si="79"/>
        <v>0</v>
      </c>
      <c r="BJ491" s="315">
        <f t="shared" si="79"/>
        <v>0</v>
      </c>
      <c r="BK491" s="315">
        <f t="shared" si="79"/>
        <v>0</v>
      </c>
      <c r="BL491" s="315">
        <f t="shared" si="79"/>
        <v>0</v>
      </c>
      <c r="BM491" s="315">
        <f t="shared" si="79"/>
        <v>0</v>
      </c>
      <c r="BN491" s="315">
        <f t="shared" si="79"/>
        <v>0</v>
      </c>
      <c r="BO491" s="315">
        <f t="shared" si="79"/>
        <v>0</v>
      </c>
      <c r="BP491" s="315">
        <f t="shared" si="79"/>
        <v>0</v>
      </c>
      <c r="BQ491" s="315">
        <f t="shared" si="79"/>
        <v>0</v>
      </c>
      <c r="BR491" s="315">
        <f t="shared" si="77"/>
        <v>0</v>
      </c>
      <c r="BS491" s="315">
        <f t="shared" si="75"/>
        <v>0</v>
      </c>
      <c r="BT491" s="315">
        <f t="shared" si="75"/>
        <v>0</v>
      </c>
      <c r="BU491" s="315">
        <f t="shared" si="75"/>
        <v>0</v>
      </c>
      <c r="BV491" s="315">
        <f t="shared" si="75"/>
        <v>0</v>
      </c>
      <c r="BW491" s="315">
        <f t="shared" si="75"/>
        <v>0</v>
      </c>
      <c r="BX491" s="315">
        <f t="shared" si="75"/>
        <v>0</v>
      </c>
      <c r="BZ491" s="315">
        <f t="shared" si="76"/>
        <v>0</v>
      </c>
      <c r="CA491" s="315">
        <f t="shared" si="76"/>
        <v>0</v>
      </c>
    </row>
    <row r="492" spans="7:79" hidden="1" x14ac:dyDescent="0.2">
      <c r="G492" s="315">
        <f t="shared" ref="G492:V507" si="80">G103-BY103</f>
        <v>0</v>
      </c>
      <c r="H492" s="315">
        <f t="shared" si="80"/>
        <v>0</v>
      </c>
      <c r="I492" s="315">
        <f t="shared" si="80"/>
        <v>0</v>
      </c>
      <c r="J492" s="315">
        <f t="shared" si="79"/>
        <v>0</v>
      </c>
      <c r="K492" s="315">
        <f t="shared" si="79"/>
        <v>0</v>
      </c>
      <c r="L492" s="315">
        <f t="shared" si="79"/>
        <v>0</v>
      </c>
      <c r="M492" s="315">
        <f t="shared" si="79"/>
        <v>0</v>
      </c>
      <c r="N492" s="315">
        <f t="shared" si="79"/>
        <v>0</v>
      </c>
      <c r="O492" s="315">
        <f t="shared" si="79"/>
        <v>0</v>
      </c>
      <c r="P492" s="315">
        <f t="shared" si="79"/>
        <v>0</v>
      </c>
      <c r="Q492" s="315">
        <f t="shared" si="79"/>
        <v>0</v>
      </c>
      <c r="R492" s="315">
        <f t="shared" si="79"/>
        <v>0</v>
      </c>
      <c r="S492" s="315">
        <f t="shared" si="79"/>
        <v>0</v>
      </c>
      <c r="T492" s="315">
        <f t="shared" si="79"/>
        <v>0</v>
      </c>
      <c r="U492" s="315">
        <f t="shared" si="79"/>
        <v>0</v>
      </c>
      <c r="V492" s="315">
        <f t="shared" si="79"/>
        <v>0</v>
      </c>
      <c r="W492" s="315">
        <f t="shared" si="79"/>
        <v>0</v>
      </c>
      <c r="X492" s="315">
        <f t="shared" si="79"/>
        <v>0</v>
      </c>
      <c r="Y492" s="315">
        <f t="shared" si="79"/>
        <v>0</v>
      </c>
      <c r="Z492" s="315">
        <f t="shared" si="79"/>
        <v>0</v>
      </c>
      <c r="AA492" s="315">
        <f t="shared" si="79"/>
        <v>0</v>
      </c>
      <c r="AB492" s="315">
        <f t="shared" si="79"/>
        <v>0</v>
      </c>
      <c r="AC492" s="315">
        <f t="shared" si="79"/>
        <v>0</v>
      </c>
      <c r="AD492" s="315">
        <f t="shared" si="79"/>
        <v>0</v>
      </c>
      <c r="AE492" s="315">
        <f t="shared" si="79"/>
        <v>0</v>
      </c>
      <c r="AF492" s="315">
        <f t="shared" si="79"/>
        <v>0</v>
      </c>
      <c r="AG492" s="315">
        <f t="shared" si="79"/>
        <v>0</v>
      </c>
      <c r="AH492" s="315">
        <f t="shared" si="79"/>
        <v>0</v>
      </c>
      <c r="AI492" s="315">
        <f t="shared" si="79"/>
        <v>0</v>
      </c>
      <c r="AJ492" s="315">
        <f t="shared" si="79"/>
        <v>0</v>
      </c>
      <c r="AK492" s="315">
        <f t="shared" si="79"/>
        <v>0</v>
      </c>
      <c r="AL492" s="315">
        <f t="shared" si="79"/>
        <v>0</v>
      </c>
      <c r="AM492" s="315">
        <f t="shared" si="79"/>
        <v>0</v>
      </c>
      <c r="AN492" s="315">
        <f t="shared" si="79"/>
        <v>0</v>
      </c>
      <c r="AO492" s="315">
        <f t="shared" si="79"/>
        <v>0</v>
      </c>
      <c r="AP492" s="315">
        <f t="shared" si="79"/>
        <v>0</v>
      </c>
      <c r="AQ492" s="315">
        <f t="shared" si="79"/>
        <v>0</v>
      </c>
      <c r="AR492" s="315">
        <f t="shared" si="79"/>
        <v>0</v>
      </c>
      <c r="AS492" s="315">
        <f t="shared" si="79"/>
        <v>0</v>
      </c>
      <c r="AT492" s="315">
        <f t="shared" si="79"/>
        <v>0</v>
      </c>
      <c r="AU492" s="315">
        <f t="shared" si="79"/>
        <v>0</v>
      </c>
      <c r="AV492" s="315">
        <f t="shared" si="79"/>
        <v>0</v>
      </c>
      <c r="AW492" s="315">
        <f t="shared" si="79"/>
        <v>0</v>
      </c>
      <c r="AX492" s="315">
        <f t="shared" si="79"/>
        <v>0</v>
      </c>
      <c r="AY492" s="315">
        <f t="shared" si="79"/>
        <v>0</v>
      </c>
      <c r="AZ492" s="315">
        <f t="shared" si="79"/>
        <v>0</v>
      </c>
      <c r="BA492" s="315">
        <f t="shared" si="79"/>
        <v>0</v>
      </c>
      <c r="BB492" s="315">
        <f t="shared" si="79"/>
        <v>0</v>
      </c>
      <c r="BC492" s="315">
        <f t="shared" si="79"/>
        <v>0</v>
      </c>
      <c r="BD492" s="315">
        <f t="shared" si="79"/>
        <v>0</v>
      </c>
      <c r="BE492" s="315">
        <f t="shared" si="79"/>
        <v>0</v>
      </c>
      <c r="BF492" s="315">
        <f t="shared" si="79"/>
        <v>0</v>
      </c>
      <c r="BG492" s="315">
        <f t="shared" si="79"/>
        <v>0</v>
      </c>
      <c r="BH492" s="315">
        <f t="shared" si="79"/>
        <v>0</v>
      </c>
      <c r="BI492" s="315">
        <f t="shared" si="79"/>
        <v>0</v>
      </c>
      <c r="BJ492" s="315">
        <f t="shared" si="79"/>
        <v>0</v>
      </c>
      <c r="BK492" s="315">
        <f t="shared" si="79"/>
        <v>0</v>
      </c>
      <c r="BL492" s="315">
        <f t="shared" si="79"/>
        <v>0</v>
      </c>
      <c r="BM492" s="315">
        <f t="shared" si="79"/>
        <v>0</v>
      </c>
      <c r="BN492" s="315">
        <f t="shared" si="79"/>
        <v>0</v>
      </c>
      <c r="BO492" s="315">
        <f t="shared" si="79"/>
        <v>0</v>
      </c>
      <c r="BP492" s="315">
        <f t="shared" si="79"/>
        <v>0</v>
      </c>
      <c r="BQ492" s="315">
        <f t="shared" si="79"/>
        <v>0</v>
      </c>
      <c r="BR492" s="315">
        <f t="shared" si="77"/>
        <v>0</v>
      </c>
      <c r="BS492" s="315">
        <f t="shared" si="75"/>
        <v>0</v>
      </c>
      <c r="BT492" s="315">
        <f t="shared" si="75"/>
        <v>0</v>
      </c>
      <c r="BU492" s="315">
        <f t="shared" si="75"/>
        <v>0</v>
      </c>
      <c r="BV492" s="315">
        <f t="shared" si="75"/>
        <v>0</v>
      </c>
      <c r="BW492" s="315">
        <f t="shared" si="75"/>
        <v>0</v>
      </c>
      <c r="BX492" s="315">
        <f t="shared" si="75"/>
        <v>0</v>
      </c>
      <c r="BZ492" s="315">
        <f t="shared" si="76"/>
        <v>0</v>
      </c>
      <c r="CA492" s="315">
        <f t="shared" si="76"/>
        <v>0</v>
      </c>
    </row>
    <row r="493" spans="7:79" hidden="1" x14ac:dyDescent="0.2">
      <c r="G493" s="315">
        <f t="shared" si="80"/>
        <v>-22953000</v>
      </c>
      <c r="H493" s="315">
        <f t="shared" si="80"/>
        <v>0</v>
      </c>
      <c r="I493" s="315">
        <f t="shared" si="80"/>
        <v>0</v>
      </c>
      <c r="J493" s="315">
        <f t="shared" si="79"/>
        <v>0</v>
      </c>
      <c r="K493" s="315">
        <f t="shared" si="79"/>
        <v>0</v>
      </c>
      <c r="L493" s="315">
        <f t="shared" si="79"/>
        <v>-4806000</v>
      </c>
      <c r="M493" s="315">
        <f t="shared" si="79"/>
        <v>0</v>
      </c>
      <c r="N493" s="315">
        <f t="shared" si="79"/>
        <v>0</v>
      </c>
      <c r="O493" s="315">
        <f t="shared" si="79"/>
        <v>0</v>
      </c>
      <c r="P493" s="315">
        <f t="shared" si="79"/>
        <v>0</v>
      </c>
      <c r="Q493" s="315">
        <f t="shared" si="79"/>
        <v>-1638000</v>
      </c>
      <c r="R493" s="315">
        <f t="shared" si="79"/>
        <v>0</v>
      </c>
      <c r="S493" s="315">
        <f t="shared" si="79"/>
        <v>0</v>
      </c>
      <c r="T493" s="315">
        <f t="shared" si="79"/>
        <v>0</v>
      </c>
      <c r="U493" s="315">
        <f t="shared" si="79"/>
        <v>0</v>
      </c>
      <c r="V493" s="315">
        <f t="shared" si="79"/>
        <v>-2823000</v>
      </c>
      <c r="W493" s="315">
        <f t="shared" si="79"/>
        <v>0</v>
      </c>
      <c r="X493" s="315">
        <f t="shared" si="79"/>
        <v>0</v>
      </c>
      <c r="Y493" s="315">
        <f t="shared" si="79"/>
        <v>0</v>
      </c>
      <c r="Z493" s="315">
        <f t="shared" si="79"/>
        <v>0</v>
      </c>
      <c r="AA493" s="315">
        <f t="shared" si="79"/>
        <v>1953000</v>
      </c>
      <c r="AB493" s="315">
        <f t="shared" si="79"/>
        <v>0</v>
      </c>
      <c r="AC493" s="315">
        <f t="shared" si="79"/>
        <v>0</v>
      </c>
      <c r="AD493" s="315">
        <f t="shared" si="79"/>
        <v>0</v>
      </c>
      <c r="AE493" s="315">
        <f t="shared" si="79"/>
        <v>0</v>
      </c>
      <c r="AF493" s="315">
        <f t="shared" si="79"/>
        <v>-835000</v>
      </c>
      <c r="AG493" s="315">
        <f t="shared" si="79"/>
        <v>0</v>
      </c>
      <c r="AH493" s="315">
        <f t="shared" si="79"/>
        <v>0</v>
      </c>
      <c r="AI493" s="315">
        <f t="shared" si="79"/>
        <v>0</v>
      </c>
      <c r="AJ493" s="315">
        <f t="shared" si="79"/>
        <v>0</v>
      </c>
      <c r="AK493" s="315">
        <f t="shared" si="79"/>
        <v>-490000</v>
      </c>
      <c r="AL493" s="315">
        <f t="shared" si="79"/>
        <v>0</v>
      </c>
      <c r="AM493" s="315">
        <f t="shared" si="79"/>
        <v>0</v>
      </c>
      <c r="AN493" s="315">
        <f t="shared" si="79"/>
        <v>0</v>
      </c>
      <c r="AO493" s="315">
        <f t="shared" si="79"/>
        <v>0</v>
      </c>
      <c r="AP493" s="315">
        <f t="shared" si="79"/>
        <v>1300000</v>
      </c>
      <c r="AQ493" s="315">
        <f t="shared" si="79"/>
        <v>0</v>
      </c>
      <c r="AR493" s="315">
        <f t="shared" si="79"/>
        <v>0</v>
      </c>
      <c r="AS493" s="315">
        <f t="shared" si="79"/>
        <v>0</v>
      </c>
      <c r="AT493" s="315">
        <f t="shared" si="79"/>
        <v>0</v>
      </c>
      <c r="AU493" s="315">
        <f t="shared" si="79"/>
        <v>-1950000</v>
      </c>
      <c r="AV493" s="315">
        <f t="shared" si="79"/>
        <v>0</v>
      </c>
      <c r="AW493" s="315">
        <f t="shared" si="79"/>
        <v>0</v>
      </c>
      <c r="AX493" s="315">
        <f t="shared" si="79"/>
        <v>0</v>
      </c>
      <c r="AY493" s="315">
        <f t="shared" si="79"/>
        <v>0</v>
      </c>
      <c r="AZ493" s="315">
        <f t="shared" si="79"/>
        <v>0</v>
      </c>
      <c r="BA493" s="315">
        <f t="shared" si="79"/>
        <v>0</v>
      </c>
      <c r="BB493" s="315">
        <f t="shared" si="79"/>
        <v>0</v>
      </c>
      <c r="BC493" s="315">
        <f t="shared" si="79"/>
        <v>0</v>
      </c>
      <c r="BD493" s="315">
        <f t="shared" si="79"/>
        <v>0</v>
      </c>
      <c r="BE493" s="315">
        <f t="shared" si="79"/>
        <v>0</v>
      </c>
      <c r="BF493" s="315">
        <f t="shared" si="79"/>
        <v>0</v>
      </c>
      <c r="BG493" s="315">
        <f t="shared" si="79"/>
        <v>0</v>
      </c>
      <c r="BH493" s="315">
        <f t="shared" si="79"/>
        <v>0</v>
      </c>
      <c r="BI493" s="315">
        <f t="shared" si="79"/>
        <v>0</v>
      </c>
      <c r="BJ493" s="315">
        <f t="shared" si="79"/>
        <v>-1953000</v>
      </c>
      <c r="BK493" s="315">
        <f t="shared" si="79"/>
        <v>0</v>
      </c>
      <c r="BL493" s="315">
        <f t="shared" si="79"/>
        <v>0</v>
      </c>
      <c r="BM493" s="315">
        <f t="shared" si="79"/>
        <v>0</v>
      </c>
      <c r="BN493" s="315">
        <f t="shared" si="79"/>
        <v>0</v>
      </c>
      <c r="BO493" s="315">
        <f t="shared" si="79"/>
        <v>0</v>
      </c>
      <c r="BP493" s="315">
        <f t="shared" si="79"/>
        <v>0</v>
      </c>
      <c r="BQ493" s="315">
        <f t="shared" si="79"/>
        <v>0</v>
      </c>
      <c r="BR493" s="315">
        <f t="shared" si="77"/>
        <v>0</v>
      </c>
      <c r="BS493" s="315">
        <f t="shared" si="75"/>
        <v>0</v>
      </c>
      <c r="BT493" s="315">
        <f t="shared" si="75"/>
        <v>-7339000</v>
      </c>
      <c r="BU493" s="315">
        <f t="shared" si="75"/>
        <v>0</v>
      </c>
      <c r="BV493" s="315">
        <f t="shared" si="75"/>
        <v>0</v>
      </c>
      <c r="BW493" s="315">
        <f t="shared" si="75"/>
        <v>0</v>
      </c>
      <c r="BX493" s="315">
        <f t="shared" si="75"/>
        <v>0</v>
      </c>
      <c r="BZ493" s="315">
        <f t="shared" si="76"/>
        <v>0</v>
      </c>
      <c r="CA493" s="315">
        <f t="shared" si="76"/>
        <v>0</v>
      </c>
    </row>
    <row r="494" spans="7:79" hidden="1" x14ac:dyDescent="0.2">
      <c r="G494" s="315">
        <f t="shared" si="80"/>
        <v>-19478598</v>
      </c>
      <c r="H494" s="315">
        <f t="shared" si="80"/>
        <v>0</v>
      </c>
      <c r="I494" s="315">
        <f t="shared" si="80"/>
        <v>0</v>
      </c>
      <c r="J494" s="315">
        <f t="shared" si="79"/>
        <v>0</v>
      </c>
      <c r="K494" s="315">
        <f t="shared" si="79"/>
        <v>0</v>
      </c>
      <c r="L494" s="315">
        <f t="shared" si="79"/>
        <v>-4002361</v>
      </c>
      <c r="M494" s="315">
        <f t="shared" si="79"/>
        <v>0</v>
      </c>
      <c r="N494" s="315">
        <f t="shared" si="79"/>
        <v>0</v>
      </c>
      <c r="O494" s="315">
        <f t="shared" si="79"/>
        <v>0</v>
      </c>
      <c r="P494" s="315">
        <f t="shared" si="79"/>
        <v>0</v>
      </c>
      <c r="Q494" s="315">
        <f t="shared" si="79"/>
        <v>-1412004</v>
      </c>
      <c r="R494" s="315">
        <f t="shared" si="79"/>
        <v>0</v>
      </c>
      <c r="S494" s="315">
        <f t="shared" si="79"/>
        <v>0</v>
      </c>
      <c r="T494" s="315">
        <f t="shared" si="79"/>
        <v>0</v>
      </c>
      <c r="U494" s="315">
        <f t="shared" si="79"/>
        <v>0</v>
      </c>
      <c r="V494" s="315">
        <f t="shared" si="79"/>
        <v>-2499450</v>
      </c>
      <c r="W494" s="315">
        <f t="shared" si="79"/>
        <v>0</v>
      </c>
      <c r="X494" s="315">
        <f t="shared" si="79"/>
        <v>0</v>
      </c>
      <c r="Y494" s="315">
        <f t="shared" si="79"/>
        <v>0</v>
      </c>
      <c r="Z494" s="315">
        <f t="shared" si="79"/>
        <v>0</v>
      </c>
      <c r="AA494" s="315">
        <f t="shared" si="79"/>
        <v>1491451</v>
      </c>
      <c r="AB494" s="315">
        <f t="shared" si="79"/>
        <v>0</v>
      </c>
      <c r="AC494" s="315">
        <f t="shared" si="79"/>
        <v>0</v>
      </c>
      <c r="AD494" s="315">
        <f t="shared" si="79"/>
        <v>0</v>
      </c>
      <c r="AE494" s="315">
        <f t="shared" si="79"/>
        <v>0</v>
      </c>
      <c r="AF494" s="315">
        <f t="shared" si="79"/>
        <v>-941911</v>
      </c>
      <c r="AG494" s="315">
        <f t="shared" si="79"/>
        <v>0</v>
      </c>
      <c r="AH494" s="315">
        <f t="shared" si="79"/>
        <v>0</v>
      </c>
      <c r="AI494" s="315">
        <f t="shared" si="79"/>
        <v>0</v>
      </c>
      <c r="AJ494" s="315">
        <f t="shared" si="79"/>
        <v>0</v>
      </c>
      <c r="AK494" s="315">
        <f t="shared" si="79"/>
        <v>-501872</v>
      </c>
      <c r="AL494" s="315">
        <f t="shared" si="79"/>
        <v>0</v>
      </c>
      <c r="AM494" s="315">
        <f t="shared" si="79"/>
        <v>0</v>
      </c>
      <c r="AN494" s="315">
        <f t="shared" si="79"/>
        <v>0</v>
      </c>
      <c r="AO494" s="315">
        <f t="shared" si="79"/>
        <v>0</v>
      </c>
      <c r="AP494" s="315">
        <f t="shared" si="79"/>
        <v>1008401</v>
      </c>
      <c r="AQ494" s="315">
        <f t="shared" si="79"/>
        <v>0</v>
      </c>
      <c r="AR494" s="315">
        <f t="shared" si="79"/>
        <v>0</v>
      </c>
      <c r="AS494" s="315">
        <f t="shared" si="79"/>
        <v>0</v>
      </c>
      <c r="AT494" s="315">
        <f t="shared" si="79"/>
        <v>0</v>
      </c>
      <c r="AU494" s="315">
        <f t="shared" si="79"/>
        <v>-1602963</v>
      </c>
      <c r="AV494" s="315">
        <f t="shared" si="79"/>
        <v>0</v>
      </c>
      <c r="AW494" s="315">
        <f t="shared" si="79"/>
        <v>0</v>
      </c>
      <c r="AX494" s="315">
        <f t="shared" si="79"/>
        <v>0</v>
      </c>
      <c r="AY494" s="315">
        <f t="shared" si="79"/>
        <v>0</v>
      </c>
      <c r="AZ494" s="315">
        <f t="shared" si="79"/>
        <v>0</v>
      </c>
      <c r="BA494" s="315">
        <f t="shared" si="79"/>
        <v>0</v>
      </c>
      <c r="BB494" s="315">
        <f t="shared" si="79"/>
        <v>0</v>
      </c>
      <c r="BC494" s="315">
        <f t="shared" si="79"/>
        <v>0</v>
      </c>
      <c r="BD494" s="315">
        <f t="shared" si="79"/>
        <v>0</v>
      </c>
      <c r="BE494" s="315">
        <f t="shared" si="79"/>
        <v>0</v>
      </c>
      <c r="BF494" s="315">
        <f t="shared" si="79"/>
        <v>0</v>
      </c>
      <c r="BG494" s="315">
        <f t="shared" si="79"/>
        <v>0</v>
      </c>
      <c r="BH494" s="315">
        <f t="shared" si="79"/>
        <v>0</v>
      </c>
      <c r="BI494" s="315">
        <f t="shared" si="79"/>
        <v>0</v>
      </c>
      <c r="BJ494" s="315">
        <f t="shared" si="79"/>
        <v>-1670491</v>
      </c>
      <c r="BK494" s="315">
        <f t="shared" si="79"/>
        <v>0</v>
      </c>
      <c r="BL494" s="315">
        <f t="shared" si="79"/>
        <v>0</v>
      </c>
      <c r="BM494" s="315">
        <f t="shared" si="79"/>
        <v>0</v>
      </c>
      <c r="BN494" s="315">
        <f t="shared" si="79"/>
        <v>0</v>
      </c>
      <c r="BO494" s="315">
        <f t="shared" si="79"/>
        <v>0</v>
      </c>
      <c r="BP494" s="315">
        <f t="shared" si="79"/>
        <v>0</v>
      </c>
      <c r="BQ494" s="315">
        <f t="shared" si="79"/>
        <v>0</v>
      </c>
      <c r="BR494" s="315">
        <f t="shared" si="77"/>
        <v>0</v>
      </c>
      <c r="BS494" s="315">
        <f t="shared" si="75"/>
        <v>0</v>
      </c>
      <c r="BT494" s="315">
        <f t="shared" si="75"/>
        <v>-6857746</v>
      </c>
      <c r="BU494" s="315">
        <f t="shared" si="75"/>
        <v>0</v>
      </c>
      <c r="BV494" s="315">
        <f t="shared" si="75"/>
        <v>0</v>
      </c>
      <c r="BW494" s="315">
        <f t="shared" si="75"/>
        <v>0</v>
      </c>
      <c r="BX494" s="315">
        <f t="shared" si="75"/>
        <v>0</v>
      </c>
      <c r="BZ494" s="315">
        <f t="shared" si="76"/>
        <v>0</v>
      </c>
      <c r="CA494" s="315">
        <f t="shared" si="76"/>
        <v>0</v>
      </c>
    </row>
    <row r="495" spans="7:79" hidden="1" x14ac:dyDescent="0.2">
      <c r="G495" s="315">
        <f t="shared" si="80"/>
        <v>-3474402</v>
      </c>
      <c r="H495" s="315">
        <f t="shared" si="80"/>
        <v>0</v>
      </c>
      <c r="I495" s="315">
        <f t="shared" si="80"/>
        <v>0</v>
      </c>
      <c r="J495" s="315">
        <f t="shared" si="79"/>
        <v>0</v>
      </c>
      <c r="K495" s="315">
        <f t="shared" si="79"/>
        <v>0</v>
      </c>
      <c r="L495" s="315">
        <f t="shared" si="79"/>
        <v>-803639</v>
      </c>
      <c r="M495" s="315">
        <f t="shared" si="79"/>
        <v>0</v>
      </c>
      <c r="N495" s="315">
        <f t="shared" si="79"/>
        <v>0</v>
      </c>
      <c r="O495" s="315">
        <f t="shared" si="79"/>
        <v>0</v>
      </c>
      <c r="P495" s="315">
        <f t="shared" si="79"/>
        <v>0</v>
      </c>
      <c r="Q495" s="315">
        <f t="shared" si="79"/>
        <v>-225996</v>
      </c>
      <c r="R495" s="315">
        <f t="shared" si="79"/>
        <v>0</v>
      </c>
      <c r="S495" s="315">
        <f t="shared" si="79"/>
        <v>0</v>
      </c>
      <c r="T495" s="315">
        <f t="shared" si="79"/>
        <v>0</v>
      </c>
      <c r="U495" s="315">
        <f t="shared" si="79"/>
        <v>0</v>
      </c>
      <c r="V495" s="315">
        <f t="shared" si="79"/>
        <v>-323550</v>
      </c>
      <c r="W495" s="315">
        <f t="shared" si="79"/>
        <v>0</v>
      </c>
      <c r="X495" s="315">
        <f t="shared" si="79"/>
        <v>0</v>
      </c>
      <c r="Y495" s="315">
        <f t="shared" ref="Y495:BQ500" si="81">Y106-CQ106</f>
        <v>0</v>
      </c>
      <c r="Z495" s="315">
        <f t="shared" si="81"/>
        <v>0</v>
      </c>
      <c r="AA495" s="315">
        <f t="shared" si="81"/>
        <v>461549</v>
      </c>
      <c r="AB495" s="315">
        <f t="shared" si="81"/>
        <v>0</v>
      </c>
      <c r="AC495" s="315">
        <f t="shared" si="81"/>
        <v>0</v>
      </c>
      <c r="AD495" s="315">
        <f t="shared" si="81"/>
        <v>0</v>
      </c>
      <c r="AE495" s="315">
        <f t="shared" si="81"/>
        <v>0</v>
      </c>
      <c r="AF495" s="315">
        <f t="shared" si="81"/>
        <v>106911</v>
      </c>
      <c r="AG495" s="315">
        <f t="shared" si="81"/>
        <v>0</v>
      </c>
      <c r="AH495" s="315">
        <f t="shared" si="81"/>
        <v>0</v>
      </c>
      <c r="AI495" s="315">
        <f t="shared" si="81"/>
        <v>0</v>
      </c>
      <c r="AJ495" s="315">
        <f t="shared" si="81"/>
        <v>0</v>
      </c>
      <c r="AK495" s="315">
        <f t="shared" si="81"/>
        <v>11872</v>
      </c>
      <c r="AL495" s="315">
        <f t="shared" si="81"/>
        <v>0</v>
      </c>
      <c r="AM495" s="315">
        <f t="shared" si="81"/>
        <v>0</v>
      </c>
      <c r="AN495" s="315">
        <f t="shared" si="81"/>
        <v>0</v>
      </c>
      <c r="AO495" s="315">
        <f t="shared" si="81"/>
        <v>0</v>
      </c>
      <c r="AP495" s="315">
        <f t="shared" si="81"/>
        <v>291599</v>
      </c>
      <c r="AQ495" s="315">
        <f t="shared" si="81"/>
        <v>0</v>
      </c>
      <c r="AR495" s="315">
        <f t="shared" si="81"/>
        <v>0</v>
      </c>
      <c r="AS495" s="315">
        <f t="shared" si="81"/>
        <v>0</v>
      </c>
      <c r="AT495" s="315">
        <f t="shared" si="81"/>
        <v>0</v>
      </c>
      <c r="AU495" s="315">
        <f t="shared" si="81"/>
        <v>-347037</v>
      </c>
      <c r="AV495" s="315">
        <f t="shared" si="81"/>
        <v>0</v>
      </c>
      <c r="AW495" s="315">
        <f t="shared" si="81"/>
        <v>0</v>
      </c>
      <c r="AX495" s="315">
        <f t="shared" si="81"/>
        <v>0</v>
      </c>
      <c r="AY495" s="315">
        <f t="shared" si="81"/>
        <v>0</v>
      </c>
      <c r="AZ495" s="315">
        <f t="shared" si="81"/>
        <v>0</v>
      </c>
      <c r="BA495" s="315">
        <f t="shared" si="81"/>
        <v>0</v>
      </c>
      <c r="BB495" s="315">
        <f t="shared" si="81"/>
        <v>0</v>
      </c>
      <c r="BC495" s="315">
        <f t="shared" si="81"/>
        <v>0</v>
      </c>
      <c r="BD495" s="315">
        <f t="shared" si="81"/>
        <v>0</v>
      </c>
      <c r="BE495" s="315">
        <f t="shared" si="81"/>
        <v>0</v>
      </c>
      <c r="BF495" s="315">
        <f t="shared" si="81"/>
        <v>0</v>
      </c>
      <c r="BG495" s="315">
        <f t="shared" si="81"/>
        <v>0</v>
      </c>
      <c r="BH495" s="315">
        <f t="shared" si="81"/>
        <v>0</v>
      </c>
      <c r="BI495" s="315">
        <f t="shared" si="81"/>
        <v>0</v>
      </c>
      <c r="BJ495" s="315">
        <f t="shared" si="81"/>
        <v>-282509</v>
      </c>
      <c r="BK495" s="315">
        <f t="shared" si="81"/>
        <v>0</v>
      </c>
      <c r="BL495" s="315">
        <f t="shared" si="81"/>
        <v>0</v>
      </c>
      <c r="BM495" s="315">
        <f t="shared" si="81"/>
        <v>0</v>
      </c>
      <c r="BN495" s="315">
        <f t="shared" si="81"/>
        <v>0</v>
      </c>
      <c r="BO495" s="315">
        <f t="shared" si="81"/>
        <v>0</v>
      </c>
      <c r="BP495" s="315">
        <f t="shared" si="81"/>
        <v>0</v>
      </c>
      <c r="BQ495" s="315">
        <f t="shared" si="81"/>
        <v>0</v>
      </c>
      <c r="BR495" s="315">
        <f t="shared" si="77"/>
        <v>0</v>
      </c>
      <c r="BS495" s="315">
        <f t="shared" si="75"/>
        <v>0</v>
      </c>
      <c r="BT495" s="315">
        <f t="shared" si="75"/>
        <v>-481254</v>
      </c>
      <c r="BU495" s="315">
        <f t="shared" si="75"/>
        <v>0</v>
      </c>
      <c r="BV495" s="315">
        <f t="shared" si="75"/>
        <v>0</v>
      </c>
      <c r="BW495" s="315">
        <f t="shared" si="75"/>
        <v>0</v>
      </c>
      <c r="BX495" s="315">
        <f t="shared" si="75"/>
        <v>0</v>
      </c>
      <c r="BZ495" s="315">
        <f t="shared" si="76"/>
        <v>0</v>
      </c>
      <c r="CA495" s="315">
        <f t="shared" si="76"/>
        <v>0</v>
      </c>
    </row>
    <row r="496" spans="7:79" hidden="1" x14ac:dyDescent="0.2">
      <c r="G496" s="315">
        <f t="shared" si="80"/>
        <v>0</v>
      </c>
      <c r="H496" s="315">
        <f t="shared" si="80"/>
        <v>0</v>
      </c>
      <c r="I496" s="315">
        <f t="shared" si="80"/>
        <v>0</v>
      </c>
      <c r="J496" s="315">
        <f t="shared" si="80"/>
        <v>0</v>
      </c>
      <c r="K496" s="315">
        <f t="shared" si="80"/>
        <v>0</v>
      </c>
      <c r="L496" s="315">
        <f t="shared" si="80"/>
        <v>0</v>
      </c>
      <c r="M496" s="315">
        <f t="shared" si="80"/>
        <v>0</v>
      </c>
      <c r="N496" s="315">
        <f t="shared" si="80"/>
        <v>0</v>
      </c>
      <c r="O496" s="315">
        <f t="shared" si="80"/>
        <v>0</v>
      </c>
      <c r="P496" s="315">
        <f t="shared" si="80"/>
        <v>0</v>
      </c>
      <c r="Q496" s="315">
        <f t="shared" si="80"/>
        <v>0</v>
      </c>
      <c r="R496" s="315">
        <f t="shared" si="80"/>
        <v>0</v>
      </c>
      <c r="S496" s="315">
        <f t="shared" si="80"/>
        <v>0</v>
      </c>
      <c r="T496" s="315">
        <f t="shared" si="80"/>
        <v>0</v>
      </c>
      <c r="U496" s="315">
        <f t="shared" si="80"/>
        <v>0</v>
      </c>
      <c r="V496" s="315">
        <f t="shared" si="80"/>
        <v>0</v>
      </c>
      <c r="W496" s="315">
        <f t="shared" ref="W496:AL511" si="82">W107-CO107</f>
        <v>0</v>
      </c>
      <c r="X496" s="315">
        <f t="shared" si="82"/>
        <v>0</v>
      </c>
      <c r="Y496" s="315">
        <f t="shared" si="81"/>
        <v>0</v>
      </c>
      <c r="Z496" s="315">
        <f t="shared" si="81"/>
        <v>0</v>
      </c>
      <c r="AA496" s="315">
        <f t="shared" si="81"/>
        <v>0</v>
      </c>
      <c r="AB496" s="315">
        <f t="shared" si="81"/>
        <v>0</v>
      </c>
      <c r="AC496" s="315">
        <f t="shared" si="81"/>
        <v>0</v>
      </c>
      <c r="AD496" s="315">
        <f t="shared" si="81"/>
        <v>0</v>
      </c>
      <c r="AE496" s="315">
        <f t="shared" si="81"/>
        <v>0</v>
      </c>
      <c r="AF496" s="315">
        <f t="shared" si="81"/>
        <v>0</v>
      </c>
      <c r="AG496" s="315">
        <f t="shared" si="81"/>
        <v>0</v>
      </c>
      <c r="AH496" s="315">
        <f t="shared" si="81"/>
        <v>0</v>
      </c>
      <c r="AI496" s="315">
        <f t="shared" si="81"/>
        <v>0</v>
      </c>
      <c r="AJ496" s="315">
        <f t="shared" si="81"/>
        <v>0</v>
      </c>
      <c r="AK496" s="315">
        <f t="shared" si="81"/>
        <v>0</v>
      </c>
      <c r="AL496" s="315">
        <f t="shared" si="81"/>
        <v>0</v>
      </c>
      <c r="AM496" s="315">
        <f t="shared" si="81"/>
        <v>0</v>
      </c>
      <c r="AN496" s="315">
        <f t="shared" si="81"/>
        <v>0</v>
      </c>
      <c r="AO496" s="315">
        <f t="shared" si="81"/>
        <v>0</v>
      </c>
      <c r="AP496" s="315">
        <f t="shared" si="81"/>
        <v>0</v>
      </c>
      <c r="AQ496" s="315">
        <f t="shared" si="81"/>
        <v>0</v>
      </c>
      <c r="AR496" s="315">
        <f t="shared" si="81"/>
        <v>0</v>
      </c>
      <c r="AS496" s="315">
        <f t="shared" si="81"/>
        <v>0</v>
      </c>
      <c r="AT496" s="315">
        <f t="shared" si="81"/>
        <v>0</v>
      </c>
      <c r="AU496" s="315">
        <f t="shared" si="81"/>
        <v>0</v>
      </c>
      <c r="AV496" s="315">
        <f t="shared" si="81"/>
        <v>0</v>
      </c>
      <c r="AW496" s="315">
        <f t="shared" si="81"/>
        <v>0</v>
      </c>
      <c r="AX496" s="315">
        <f t="shared" si="81"/>
        <v>0</v>
      </c>
      <c r="AY496" s="315">
        <f t="shared" si="81"/>
        <v>0</v>
      </c>
      <c r="AZ496" s="315">
        <f t="shared" si="81"/>
        <v>0</v>
      </c>
      <c r="BA496" s="315">
        <f t="shared" si="81"/>
        <v>0</v>
      </c>
      <c r="BB496" s="315">
        <f t="shared" si="81"/>
        <v>0</v>
      </c>
      <c r="BC496" s="315">
        <f t="shared" si="81"/>
        <v>0</v>
      </c>
      <c r="BD496" s="315">
        <f t="shared" si="81"/>
        <v>0</v>
      </c>
      <c r="BE496" s="315">
        <f t="shared" si="81"/>
        <v>0</v>
      </c>
      <c r="BF496" s="315">
        <f t="shared" si="81"/>
        <v>0</v>
      </c>
      <c r="BG496" s="315">
        <f t="shared" si="81"/>
        <v>0</v>
      </c>
      <c r="BH496" s="315">
        <f t="shared" si="81"/>
        <v>0</v>
      </c>
      <c r="BI496" s="315">
        <f t="shared" si="81"/>
        <v>0</v>
      </c>
      <c r="BJ496" s="315">
        <f t="shared" si="81"/>
        <v>0</v>
      </c>
      <c r="BK496" s="315">
        <f t="shared" si="81"/>
        <v>0</v>
      </c>
      <c r="BL496" s="315">
        <f t="shared" si="81"/>
        <v>0</v>
      </c>
      <c r="BM496" s="315">
        <f t="shared" si="81"/>
        <v>0</v>
      </c>
      <c r="BN496" s="315">
        <f t="shared" si="81"/>
        <v>0</v>
      </c>
      <c r="BO496" s="315">
        <f t="shared" si="81"/>
        <v>0</v>
      </c>
      <c r="BP496" s="315">
        <f t="shared" si="81"/>
        <v>0</v>
      </c>
      <c r="BQ496" s="315">
        <f t="shared" si="81"/>
        <v>0</v>
      </c>
      <c r="BR496" s="315">
        <f t="shared" si="77"/>
        <v>0</v>
      </c>
      <c r="BS496" s="315">
        <f t="shared" si="75"/>
        <v>0</v>
      </c>
      <c r="BT496" s="315">
        <f t="shared" si="75"/>
        <v>0</v>
      </c>
      <c r="BU496" s="315">
        <f t="shared" si="75"/>
        <v>0</v>
      </c>
      <c r="BV496" s="315">
        <f t="shared" si="75"/>
        <v>0</v>
      </c>
      <c r="BW496" s="315">
        <f t="shared" si="75"/>
        <v>0</v>
      </c>
      <c r="BX496" s="315">
        <f t="shared" si="75"/>
        <v>0</v>
      </c>
      <c r="BZ496" s="315">
        <f t="shared" si="76"/>
        <v>0</v>
      </c>
      <c r="CA496" s="315">
        <f t="shared" si="76"/>
        <v>0</v>
      </c>
    </row>
    <row r="497" spans="7:79" hidden="1" x14ac:dyDescent="0.2">
      <c r="G497" s="315">
        <f t="shared" si="80"/>
        <v>0</v>
      </c>
      <c r="H497" s="315">
        <f t="shared" si="80"/>
        <v>0</v>
      </c>
      <c r="I497" s="315">
        <f t="shared" si="80"/>
        <v>0</v>
      </c>
      <c r="J497" s="315">
        <f t="shared" si="80"/>
        <v>0</v>
      </c>
      <c r="K497" s="315">
        <f t="shared" si="80"/>
        <v>0</v>
      </c>
      <c r="L497" s="315">
        <f t="shared" si="80"/>
        <v>0</v>
      </c>
      <c r="M497" s="315">
        <f t="shared" si="80"/>
        <v>0</v>
      </c>
      <c r="N497" s="315">
        <f t="shared" si="80"/>
        <v>0</v>
      </c>
      <c r="O497" s="315">
        <f t="shared" si="80"/>
        <v>0</v>
      </c>
      <c r="P497" s="315">
        <f t="shared" si="80"/>
        <v>0</v>
      </c>
      <c r="Q497" s="315">
        <f t="shared" si="80"/>
        <v>0</v>
      </c>
      <c r="R497" s="315">
        <f t="shared" si="80"/>
        <v>0</v>
      </c>
      <c r="S497" s="315">
        <f t="shared" si="80"/>
        <v>0</v>
      </c>
      <c r="T497" s="315">
        <f t="shared" si="80"/>
        <v>0</v>
      </c>
      <c r="U497" s="315">
        <f t="shared" si="80"/>
        <v>0</v>
      </c>
      <c r="V497" s="315">
        <f t="shared" si="80"/>
        <v>0</v>
      </c>
      <c r="W497" s="315">
        <f t="shared" si="82"/>
        <v>0</v>
      </c>
      <c r="X497" s="315">
        <f t="shared" si="82"/>
        <v>0</v>
      </c>
      <c r="Y497" s="315">
        <f t="shared" si="81"/>
        <v>0</v>
      </c>
      <c r="Z497" s="315">
        <f t="shared" si="81"/>
        <v>0</v>
      </c>
      <c r="AA497" s="315">
        <f t="shared" si="81"/>
        <v>0</v>
      </c>
      <c r="AB497" s="315">
        <f t="shared" si="81"/>
        <v>0</v>
      </c>
      <c r="AC497" s="315">
        <f t="shared" si="81"/>
        <v>0</v>
      </c>
      <c r="AD497" s="315">
        <f t="shared" si="81"/>
        <v>0</v>
      </c>
      <c r="AE497" s="315">
        <f t="shared" si="81"/>
        <v>0</v>
      </c>
      <c r="AF497" s="315">
        <f t="shared" si="81"/>
        <v>0</v>
      </c>
      <c r="AG497" s="315">
        <f t="shared" si="81"/>
        <v>0</v>
      </c>
      <c r="AH497" s="315">
        <f t="shared" si="81"/>
        <v>0</v>
      </c>
      <c r="AI497" s="315">
        <f t="shared" si="81"/>
        <v>0</v>
      </c>
      <c r="AJ497" s="315">
        <f t="shared" si="81"/>
        <v>0</v>
      </c>
      <c r="AK497" s="315">
        <f t="shared" si="81"/>
        <v>0</v>
      </c>
      <c r="AL497" s="315">
        <f t="shared" si="81"/>
        <v>0</v>
      </c>
      <c r="AM497" s="315">
        <f t="shared" si="81"/>
        <v>0</v>
      </c>
      <c r="AN497" s="315">
        <f t="shared" si="81"/>
        <v>0</v>
      </c>
      <c r="AO497" s="315">
        <f t="shared" si="81"/>
        <v>0</v>
      </c>
      <c r="AP497" s="315">
        <f t="shared" si="81"/>
        <v>0</v>
      </c>
      <c r="AQ497" s="315">
        <f t="shared" si="81"/>
        <v>0</v>
      </c>
      <c r="AR497" s="315">
        <f t="shared" si="81"/>
        <v>0</v>
      </c>
      <c r="AS497" s="315">
        <f t="shared" si="81"/>
        <v>0</v>
      </c>
      <c r="AT497" s="315">
        <f t="shared" si="81"/>
        <v>0</v>
      </c>
      <c r="AU497" s="315">
        <f t="shared" si="81"/>
        <v>0</v>
      </c>
      <c r="AV497" s="315">
        <f t="shared" si="81"/>
        <v>0</v>
      </c>
      <c r="AW497" s="315">
        <f t="shared" si="81"/>
        <v>0</v>
      </c>
      <c r="AX497" s="315">
        <f t="shared" si="81"/>
        <v>0</v>
      </c>
      <c r="AY497" s="315">
        <f t="shared" si="81"/>
        <v>0</v>
      </c>
      <c r="AZ497" s="315">
        <f t="shared" si="81"/>
        <v>0</v>
      </c>
      <c r="BA497" s="315">
        <f t="shared" si="81"/>
        <v>0</v>
      </c>
      <c r="BB497" s="315">
        <f t="shared" si="81"/>
        <v>0</v>
      </c>
      <c r="BC497" s="315">
        <f t="shared" si="81"/>
        <v>0</v>
      </c>
      <c r="BD497" s="315">
        <f t="shared" si="81"/>
        <v>0</v>
      </c>
      <c r="BE497" s="315">
        <f t="shared" si="81"/>
        <v>0</v>
      </c>
      <c r="BF497" s="315">
        <f t="shared" si="81"/>
        <v>0</v>
      </c>
      <c r="BG497" s="315">
        <f t="shared" si="81"/>
        <v>0</v>
      </c>
      <c r="BH497" s="315">
        <f t="shared" si="81"/>
        <v>0</v>
      </c>
      <c r="BI497" s="315">
        <f t="shared" si="81"/>
        <v>0</v>
      </c>
      <c r="BJ497" s="315">
        <f t="shared" si="81"/>
        <v>0</v>
      </c>
      <c r="BK497" s="315">
        <f t="shared" si="81"/>
        <v>0</v>
      </c>
      <c r="BL497" s="315">
        <f t="shared" si="81"/>
        <v>0</v>
      </c>
      <c r="BM497" s="315">
        <f t="shared" si="81"/>
        <v>0</v>
      </c>
      <c r="BN497" s="315">
        <f t="shared" si="81"/>
        <v>0</v>
      </c>
      <c r="BO497" s="315">
        <f t="shared" si="81"/>
        <v>0</v>
      </c>
      <c r="BP497" s="315">
        <f t="shared" si="81"/>
        <v>0</v>
      </c>
      <c r="BQ497" s="315">
        <f t="shared" si="81"/>
        <v>0</v>
      </c>
      <c r="BR497" s="315">
        <f t="shared" si="77"/>
        <v>0</v>
      </c>
      <c r="BS497" s="315">
        <f t="shared" si="75"/>
        <v>0</v>
      </c>
      <c r="BT497" s="315">
        <f t="shared" si="75"/>
        <v>0</v>
      </c>
      <c r="BU497" s="315">
        <f t="shared" si="75"/>
        <v>0</v>
      </c>
      <c r="BV497" s="315">
        <f t="shared" si="75"/>
        <v>0</v>
      </c>
      <c r="BW497" s="315">
        <f t="shared" si="75"/>
        <v>0</v>
      </c>
      <c r="BX497" s="315">
        <f t="shared" si="75"/>
        <v>0</v>
      </c>
      <c r="BZ497" s="315">
        <f t="shared" si="76"/>
        <v>0</v>
      </c>
      <c r="CA497" s="315">
        <f t="shared" si="76"/>
        <v>0</v>
      </c>
    </row>
    <row r="498" spans="7:79" hidden="1" x14ac:dyDescent="0.2">
      <c r="G498" s="315">
        <f t="shared" si="80"/>
        <v>-36346170</v>
      </c>
      <c r="H498" s="315">
        <f t="shared" si="80"/>
        <v>0</v>
      </c>
      <c r="I498" s="315">
        <f t="shared" si="80"/>
        <v>0</v>
      </c>
      <c r="J498" s="315">
        <f t="shared" si="80"/>
        <v>0</v>
      </c>
      <c r="K498" s="315">
        <f t="shared" si="80"/>
        <v>0</v>
      </c>
      <c r="L498" s="315">
        <f t="shared" si="80"/>
        <v>2153000</v>
      </c>
      <c r="M498" s="315">
        <f t="shared" si="80"/>
        <v>0</v>
      </c>
      <c r="N498" s="315">
        <f t="shared" si="80"/>
        <v>0</v>
      </c>
      <c r="O498" s="315">
        <f t="shared" si="80"/>
        <v>0</v>
      </c>
      <c r="P498" s="315">
        <f t="shared" si="80"/>
        <v>0</v>
      </c>
      <c r="Q498" s="315">
        <f t="shared" si="80"/>
        <v>2293036</v>
      </c>
      <c r="R498" s="315">
        <f t="shared" si="80"/>
        <v>0</v>
      </c>
      <c r="S498" s="315">
        <f t="shared" si="80"/>
        <v>0</v>
      </c>
      <c r="T498" s="315">
        <f t="shared" si="80"/>
        <v>0</v>
      </c>
      <c r="U498" s="315">
        <f t="shared" si="80"/>
        <v>0</v>
      </c>
      <c r="V498" s="315">
        <f t="shared" si="80"/>
        <v>-3890000</v>
      </c>
      <c r="W498" s="315">
        <f t="shared" si="82"/>
        <v>0</v>
      </c>
      <c r="X498" s="315">
        <f t="shared" si="82"/>
        <v>0</v>
      </c>
      <c r="Y498" s="315">
        <f t="shared" si="81"/>
        <v>0</v>
      </c>
      <c r="Z498" s="315">
        <f t="shared" si="81"/>
        <v>0</v>
      </c>
      <c r="AA498" s="315">
        <f t="shared" si="81"/>
        <v>-1007000</v>
      </c>
      <c r="AB498" s="315">
        <f t="shared" si="81"/>
        <v>0</v>
      </c>
      <c r="AC498" s="315">
        <f t="shared" si="81"/>
        <v>0</v>
      </c>
      <c r="AD498" s="315">
        <f t="shared" si="81"/>
        <v>0</v>
      </c>
      <c r="AE498" s="315">
        <f t="shared" si="81"/>
        <v>0</v>
      </c>
      <c r="AF498" s="315">
        <f t="shared" si="81"/>
        <v>0</v>
      </c>
      <c r="AG498" s="315">
        <f t="shared" si="81"/>
        <v>0</v>
      </c>
      <c r="AH498" s="315">
        <f t="shared" si="81"/>
        <v>0</v>
      </c>
      <c r="AI498" s="315">
        <f t="shared" si="81"/>
        <v>0</v>
      </c>
      <c r="AJ498" s="315">
        <f t="shared" si="81"/>
        <v>0</v>
      </c>
      <c r="AK498" s="315">
        <f t="shared" si="81"/>
        <v>1886000</v>
      </c>
      <c r="AL498" s="315">
        <f t="shared" si="81"/>
        <v>0</v>
      </c>
      <c r="AM498" s="315">
        <f t="shared" si="81"/>
        <v>0</v>
      </c>
      <c r="AN498" s="315">
        <f t="shared" si="81"/>
        <v>0</v>
      </c>
      <c r="AO498" s="315">
        <f t="shared" si="81"/>
        <v>0</v>
      </c>
      <c r="AP498" s="315">
        <f t="shared" si="81"/>
        <v>-655000</v>
      </c>
      <c r="AQ498" s="315">
        <f t="shared" si="81"/>
        <v>0</v>
      </c>
      <c r="AR498" s="315">
        <f t="shared" si="81"/>
        <v>0</v>
      </c>
      <c r="AS498" s="315">
        <f t="shared" si="81"/>
        <v>0</v>
      </c>
      <c r="AT498" s="315">
        <f t="shared" si="81"/>
        <v>0</v>
      </c>
      <c r="AU498" s="315">
        <f t="shared" si="81"/>
        <v>-3022000</v>
      </c>
      <c r="AV498" s="315">
        <f t="shared" si="81"/>
        <v>0</v>
      </c>
      <c r="AW498" s="315">
        <f t="shared" si="81"/>
        <v>0</v>
      </c>
      <c r="AX498" s="315">
        <f t="shared" si="81"/>
        <v>0</v>
      </c>
      <c r="AY498" s="315">
        <f t="shared" si="81"/>
        <v>0</v>
      </c>
      <c r="AZ498" s="315">
        <f t="shared" si="81"/>
        <v>-3908206</v>
      </c>
      <c r="BA498" s="315">
        <f t="shared" si="81"/>
        <v>0</v>
      </c>
      <c r="BB498" s="315">
        <f t="shared" si="81"/>
        <v>0</v>
      </c>
      <c r="BC498" s="315">
        <f t="shared" si="81"/>
        <v>0</v>
      </c>
      <c r="BD498" s="315">
        <f t="shared" si="81"/>
        <v>0</v>
      </c>
      <c r="BE498" s="315">
        <f t="shared" si="81"/>
        <v>0</v>
      </c>
      <c r="BF498" s="315">
        <f t="shared" si="81"/>
        <v>0</v>
      </c>
      <c r="BG498" s="315">
        <f t="shared" si="81"/>
        <v>0</v>
      </c>
      <c r="BH498" s="315">
        <f t="shared" si="81"/>
        <v>0</v>
      </c>
      <c r="BI498" s="315">
        <f t="shared" si="81"/>
        <v>0</v>
      </c>
      <c r="BJ498" s="315">
        <f t="shared" si="81"/>
        <v>-4913000</v>
      </c>
      <c r="BK498" s="315">
        <f t="shared" si="81"/>
        <v>0</v>
      </c>
      <c r="BL498" s="315">
        <f t="shared" si="81"/>
        <v>0</v>
      </c>
      <c r="BM498" s="315">
        <f t="shared" si="81"/>
        <v>0</v>
      </c>
      <c r="BN498" s="315">
        <f t="shared" si="81"/>
        <v>0</v>
      </c>
      <c r="BO498" s="315">
        <f t="shared" si="81"/>
        <v>-3250000</v>
      </c>
      <c r="BP498" s="315">
        <f t="shared" si="81"/>
        <v>0</v>
      </c>
      <c r="BQ498" s="315">
        <f t="shared" si="81"/>
        <v>0</v>
      </c>
      <c r="BR498" s="315">
        <f t="shared" si="77"/>
        <v>0</v>
      </c>
      <c r="BS498" s="315">
        <f t="shared" si="75"/>
        <v>0</v>
      </c>
      <c r="BT498" s="315">
        <f t="shared" si="75"/>
        <v>780036</v>
      </c>
      <c r="BU498" s="315">
        <f t="shared" si="75"/>
        <v>0</v>
      </c>
      <c r="BV498" s="315">
        <f t="shared" si="75"/>
        <v>0</v>
      </c>
      <c r="BW498" s="315">
        <f t="shared" si="75"/>
        <v>0</v>
      </c>
      <c r="BX498" s="315">
        <f t="shared" si="75"/>
        <v>0</v>
      </c>
      <c r="BZ498" s="315">
        <f t="shared" si="76"/>
        <v>0</v>
      </c>
      <c r="CA498" s="315">
        <f t="shared" si="76"/>
        <v>0</v>
      </c>
    </row>
    <row r="499" spans="7:79" hidden="1" x14ac:dyDescent="0.2">
      <c r="G499" s="315">
        <f t="shared" si="80"/>
        <v>-32674556</v>
      </c>
      <c r="H499" s="315">
        <f t="shared" si="80"/>
        <v>0</v>
      </c>
      <c r="I499" s="315">
        <f t="shared" si="80"/>
        <v>0</v>
      </c>
      <c r="J499" s="315">
        <f t="shared" si="80"/>
        <v>0</v>
      </c>
      <c r="K499" s="315">
        <f t="shared" si="80"/>
        <v>0</v>
      </c>
      <c r="L499" s="315">
        <f t="shared" si="80"/>
        <v>1976408</v>
      </c>
      <c r="M499" s="315">
        <f t="shared" si="80"/>
        <v>0</v>
      </c>
      <c r="N499" s="315">
        <f t="shared" si="80"/>
        <v>0</v>
      </c>
      <c r="O499" s="315">
        <f t="shared" si="80"/>
        <v>0</v>
      </c>
      <c r="P499" s="315">
        <f t="shared" si="80"/>
        <v>0</v>
      </c>
      <c r="Q499" s="315">
        <f t="shared" si="80"/>
        <v>1947166</v>
      </c>
      <c r="R499" s="315">
        <f t="shared" si="80"/>
        <v>0</v>
      </c>
      <c r="S499" s="315">
        <f t="shared" si="80"/>
        <v>0</v>
      </c>
      <c r="T499" s="315">
        <f t="shared" si="80"/>
        <v>0</v>
      </c>
      <c r="U499" s="315">
        <f t="shared" si="80"/>
        <v>0</v>
      </c>
      <c r="V499" s="315">
        <f t="shared" si="80"/>
        <v>-3608916</v>
      </c>
      <c r="W499" s="315">
        <f t="shared" si="82"/>
        <v>0</v>
      </c>
      <c r="X499" s="315">
        <f t="shared" si="82"/>
        <v>0</v>
      </c>
      <c r="Y499" s="315">
        <f t="shared" si="81"/>
        <v>0</v>
      </c>
      <c r="Z499" s="315">
        <f t="shared" si="81"/>
        <v>0</v>
      </c>
      <c r="AA499" s="315">
        <f t="shared" si="81"/>
        <v>-1084224</v>
      </c>
      <c r="AB499" s="315">
        <f t="shared" si="81"/>
        <v>0</v>
      </c>
      <c r="AC499" s="315">
        <f t="shared" si="81"/>
        <v>0</v>
      </c>
      <c r="AD499" s="315">
        <f t="shared" si="81"/>
        <v>0</v>
      </c>
      <c r="AE499" s="315">
        <f t="shared" si="81"/>
        <v>0</v>
      </c>
      <c r="AF499" s="315">
        <f t="shared" si="81"/>
        <v>-210827</v>
      </c>
      <c r="AG499" s="315">
        <f t="shared" si="81"/>
        <v>0</v>
      </c>
      <c r="AH499" s="315">
        <f t="shared" si="81"/>
        <v>0</v>
      </c>
      <c r="AI499" s="315">
        <f t="shared" si="81"/>
        <v>0</v>
      </c>
      <c r="AJ499" s="315">
        <f t="shared" si="81"/>
        <v>0</v>
      </c>
      <c r="AK499" s="315">
        <f t="shared" si="81"/>
        <v>1520806</v>
      </c>
      <c r="AL499" s="315">
        <f t="shared" si="81"/>
        <v>0</v>
      </c>
      <c r="AM499" s="315">
        <f t="shared" si="81"/>
        <v>0</v>
      </c>
      <c r="AN499" s="315">
        <f t="shared" si="81"/>
        <v>0</v>
      </c>
      <c r="AO499" s="315">
        <f t="shared" si="81"/>
        <v>0</v>
      </c>
      <c r="AP499" s="315">
        <f t="shared" si="81"/>
        <v>-718520</v>
      </c>
      <c r="AQ499" s="315">
        <f t="shared" si="81"/>
        <v>0</v>
      </c>
      <c r="AR499" s="315">
        <f t="shared" si="81"/>
        <v>0</v>
      </c>
      <c r="AS499" s="315">
        <f t="shared" si="81"/>
        <v>0</v>
      </c>
      <c r="AT499" s="315">
        <f t="shared" si="81"/>
        <v>0</v>
      </c>
      <c r="AU499" s="315">
        <f t="shared" si="81"/>
        <v>-2682755</v>
      </c>
      <c r="AV499" s="315">
        <f t="shared" si="81"/>
        <v>0</v>
      </c>
      <c r="AW499" s="315">
        <f t="shared" si="81"/>
        <v>0</v>
      </c>
      <c r="AX499" s="315">
        <f t="shared" si="81"/>
        <v>0</v>
      </c>
      <c r="AY499" s="315">
        <f t="shared" si="81"/>
        <v>0</v>
      </c>
      <c r="AZ499" s="315">
        <f t="shared" si="81"/>
        <v>-3492449</v>
      </c>
      <c r="BA499" s="315">
        <f t="shared" si="81"/>
        <v>0</v>
      </c>
      <c r="BB499" s="315">
        <f t="shared" si="81"/>
        <v>0</v>
      </c>
      <c r="BC499" s="315">
        <f t="shared" si="81"/>
        <v>0</v>
      </c>
      <c r="BD499" s="315">
        <f t="shared" si="81"/>
        <v>0</v>
      </c>
      <c r="BE499" s="315">
        <f t="shared" si="81"/>
        <v>0</v>
      </c>
      <c r="BF499" s="315">
        <f t="shared" si="81"/>
        <v>0</v>
      </c>
      <c r="BG499" s="315">
        <f t="shared" si="81"/>
        <v>0</v>
      </c>
      <c r="BH499" s="315">
        <f t="shared" si="81"/>
        <v>0</v>
      </c>
      <c r="BI499" s="315">
        <f t="shared" si="81"/>
        <v>0</v>
      </c>
      <c r="BJ499" s="315">
        <f t="shared" si="81"/>
        <v>-4459231</v>
      </c>
      <c r="BK499" s="315">
        <f t="shared" si="81"/>
        <v>0</v>
      </c>
      <c r="BL499" s="315">
        <f t="shared" si="81"/>
        <v>0</v>
      </c>
      <c r="BM499" s="315">
        <f t="shared" si="81"/>
        <v>0</v>
      </c>
      <c r="BN499" s="315">
        <f t="shared" si="81"/>
        <v>0</v>
      </c>
      <c r="BO499" s="315">
        <f t="shared" si="81"/>
        <v>-2888811</v>
      </c>
      <c r="BP499" s="315">
        <f t="shared" si="81"/>
        <v>0</v>
      </c>
      <c r="BQ499" s="315">
        <f t="shared" si="81"/>
        <v>0</v>
      </c>
      <c r="BR499" s="315">
        <f t="shared" si="77"/>
        <v>0</v>
      </c>
      <c r="BS499" s="315">
        <f t="shared" si="77"/>
        <v>0</v>
      </c>
      <c r="BT499" s="315">
        <f t="shared" si="77"/>
        <v>-178107</v>
      </c>
      <c r="BU499" s="315">
        <f t="shared" si="77"/>
        <v>0</v>
      </c>
      <c r="BV499" s="315">
        <f t="shared" si="77"/>
        <v>0</v>
      </c>
      <c r="BW499" s="315">
        <f t="shared" si="77"/>
        <v>0</v>
      </c>
      <c r="BX499" s="315">
        <f t="shared" si="77"/>
        <v>0</v>
      </c>
      <c r="BZ499" s="315">
        <f t="shared" ref="BZ499:CA514" si="83">BZ110-ER110</f>
        <v>0</v>
      </c>
      <c r="CA499" s="315">
        <f t="shared" si="83"/>
        <v>0</v>
      </c>
    </row>
    <row r="500" spans="7:79" hidden="1" x14ac:dyDescent="0.2">
      <c r="G500" s="315">
        <f t="shared" si="80"/>
        <v>-3671614</v>
      </c>
      <c r="H500" s="315">
        <f t="shared" si="80"/>
        <v>0</v>
      </c>
      <c r="I500" s="315">
        <f t="shared" si="80"/>
        <v>0</v>
      </c>
      <c r="J500" s="315">
        <f t="shared" si="80"/>
        <v>0</v>
      </c>
      <c r="K500" s="315">
        <f t="shared" si="80"/>
        <v>0</v>
      </c>
      <c r="L500" s="315">
        <f t="shared" si="80"/>
        <v>176592</v>
      </c>
      <c r="M500" s="315">
        <f t="shared" si="80"/>
        <v>0</v>
      </c>
      <c r="N500" s="315">
        <f t="shared" si="80"/>
        <v>0</v>
      </c>
      <c r="O500" s="315">
        <f t="shared" si="80"/>
        <v>0</v>
      </c>
      <c r="P500" s="315">
        <f t="shared" si="80"/>
        <v>0</v>
      </c>
      <c r="Q500" s="315">
        <f t="shared" si="80"/>
        <v>345870</v>
      </c>
      <c r="R500" s="315">
        <f t="shared" si="80"/>
        <v>0</v>
      </c>
      <c r="S500" s="315">
        <f t="shared" si="80"/>
        <v>0</v>
      </c>
      <c r="T500" s="315">
        <f t="shared" si="80"/>
        <v>0</v>
      </c>
      <c r="U500" s="315">
        <f t="shared" si="80"/>
        <v>0</v>
      </c>
      <c r="V500" s="315">
        <f t="shared" si="80"/>
        <v>-281084</v>
      </c>
      <c r="W500" s="315">
        <f t="shared" si="82"/>
        <v>0</v>
      </c>
      <c r="X500" s="315">
        <f t="shared" si="82"/>
        <v>0</v>
      </c>
      <c r="Y500" s="315">
        <f t="shared" si="81"/>
        <v>0</v>
      </c>
      <c r="Z500" s="315">
        <f t="shared" si="81"/>
        <v>0</v>
      </c>
      <c r="AA500" s="315">
        <f t="shared" si="81"/>
        <v>77224</v>
      </c>
      <c r="AB500" s="315">
        <f t="shared" si="81"/>
        <v>0</v>
      </c>
      <c r="AC500" s="315">
        <f t="shared" si="81"/>
        <v>0</v>
      </c>
      <c r="AD500" s="315">
        <f t="shared" si="81"/>
        <v>0</v>
      </c>
      <c r="AE500" s="315">
        <f t="shared" si="81"/>
        <v>0</v>
      </c>
      <c r="AF500" s="315">
        <f t="shared" si="81"/>
        <v>210827</v>
      </c>
      <c r="AG500" s="315">
        <f t="shared" si="81"/>
        <v>0</v>
      </c>
      <c r="AH500" s="315">
        <f t="shared" si="81"/>
        <v>0</v>
      </c>
      <c r="AI500" s="315">
        <f t="shared" si="81"/>
        <v>0</v>
      </c>
      <c r="AJ500" s="315">
        <f t="shared" si="81"/>
        <v>0</v>
      </c>
      <c r="AK500" s="315">
        <f t="shared" si="81"/>
        <v>365194</v>
      </c>
      <c r="AL500" s="315">
        <f t="shared" si="81"/>
        <v>0</v>
      </c>
      <c r="AM500" s="315">
        <f t="shared" si="81"/>
        <v>0</v>
      </c>
      <c r="AN500" s="315">
        <f t="shared" si="81"/>
        <v>0</v>
      </c>
      <c r="AO500" s="315">
        <f t="shared" si="81"/>
        <v>0</v>
      </c>
      <c r="AP500" s="315">
        <f t="shared" si="81"/>
        <v>63520</v>
      </c>
      <c r="AQ500" s="315">
        <f t="shared" si="81"/>
        <v>0</v>
      </c>
      <c r="AR500" s="315">
        <f t="shared" si="81"/>
        <v>0</v>
      </c>
      <c r="AS500" s="315">
        <f t="shared" si="81"/>
        <v>0</v>
      </c>
      <c r="AT500" s="315">
        <f t="shared" si="81"/>
        <v>0</v>
      </c>
      <c r="AU500" s="315">
        <f t="shared" si="81"/>
        <v>-339245</v>
      </c>
      <c r="AV500" s="315">
        <f t="shared" si="81"/>
        <v>0</v>
      </c>
      <c r="AW500" s="315">
        <f t="shared" si="81"/>
        <v>0</v>
      </c>
      <c r="AX500" s="315">
        <f t="shared" si="81"/>
        <v>0</v>
      </c>
      <c r="AY500" s="315">
        <f t="shared" si="81"/>
        <v>0</v>
      </c>
      <c r="AZ500" s="315">
        <f t="shared" si="81"/>
        <v>-415757</v>
      </c>
      <c r="BA500" s="315">
        <f t="shared" si="81"/>
        <v>0</v>
      </c>
      <c r="BB500" s="315">
        <f t="shared" si="81"/>
        <v>0</v>
      </c>
      <c r="BC500" s="315">
        <f t="shared" ref="BC500:BR515" si="84">BC111-DU111</f>
        <v>0</v>
      </c>
      <c r="BD500" s="315">
        <f t="shared" si="84"/>
        <v>0</v>
      </c>
      <c r="BE500" s="315">
        <f t="shared" si="84"/>
        <v>0</v>
      </c>
      <c r="BF500" s="315">
        <f t="shared" si="84"/>
        <v>0</v>
      </c>
      <c r="BG500" s="315">
        <f t="shared" si="84"/>
        <v>0</v>
      </c>
      <c r="BH500" s="315">
        <f t="shared" si="84"/>
        <v>0</v>
      </c>
      <c r="BI500" s="315">
        <f t="shared" si="84"/>
        <v>0</v>
      </c>
      <c r="BJ500" s="315">
        <f t="shared" si="84"/>
        <v>-453769</v>
      </c>
      <c r="BK500" s="315">
        <f t="shared" si="84"/>
        <v>0</v>
      </c>
      <c r="BL500" s="315">
        <f t="shared" si="84"/>
        <v>0</v>
      </c>
      <c r="BM500" s="315">
        <f t="shared" si="84"/>
        <v>0</v>
      </c>
      <c r="BN500" s="315">
        <f t="shared" si="84"/>
        <v>0</v>
      </c>
      <c r="BO500" s="315">
        <f t="shared" si="84"/>
        <v>-361189</v>
      </c>
      <c r="BP500" s="315">
        <f t="shared" si="84"/>
        <v>0</v>
      </c>
      <c r="BQ500" s="315">
        <f t="shared" si="84"/>
        <v>0</v>
      </c>
      <c r="BR500" s="315">
        <f t="shared" si="77"/>
        <v>0</v>
      </c>
      <c r="BS500" s="315">
        <f t="shared" si="77"/>
        <v>0</v>
      </c>
      <c r="BT500" s="315">
        <f t="shared" si="77"/>
        <v>958143</v>
      </c>
      <c r="BU500" s="315">
        <f t="shared" si="77"/>
        <v>0</v>
      </c>
      <c r="BV500" s="315">
        <f t="shared" si="77"/>
        <v>0</v>
      </c>
      <c r="BW500" s="315">
        <f t="shared" si="77"/>
        <v>0</v>
      </c>
      <c r="BX500" s="315">
        <f t="shared" si="77"/>
        <v>0</v>
      </c>
      <c r="BZ500" s="315">
        <f t="shared" si="83"/>
        <v>0</v>
      </c>
      <c r="CA500" s="315">
        <f t="shared" si="83"/>
        <v>0</v>
      </c>
    </row>
    <row r="501" spans="7:79" hidden="1" x14ac:dyDescent="0.2">
      <c r="G501" s="315">
        <f t="shared" si="80"/>
        <v>0</v>
      </c>
      <c r="H501" s="315">
        <f t="shared" si="80"/>
        <v>0</v>
      </c>
      <c r="I501" s="315">
        <f t="shared" si="80"/>
        <v>0</v>
      </c>
      <c r="J501" s="315">
        <f t="shared" si="80"/>
        <v>0</v>
      </c>
      <c r="K501" s="315">
        <f t="shared" si="80"/>
        <v>0</v>
      </c>
      <c r="L501" s="315">
        <f t="shared" si="80"/>
        <v>0</v>
      </c>
      <c r="M501" s="315">
        <f t="shared" si="80"/>
        <v>0</v>
      </c>
      <c r="N501" s="315">
        <f t="shared" si="80"/>
        <v>0</v>
      </c>
      <c r="O501" s="315">
        <f t="shared" si="80"/>
        <v>0</v>
      </c>
      <c r="P501" s="315">
        <f t="shared" si="80"/>
        <v>0</v>
      </c>
      <c r="Q501" s="315">
        <f t="shared" si="80"/>
        <v>0</v>
      </c>
      <c r="R501" s="315">
        <f t="shared" si="80"/>
        <v>0</v>
      </c>
      <c r="S501" s="315">
        <f t="shared" si="80"/>
        <v>0</v>
      </c>
      <c r="T501" s="315">
        <f t="shared" si="80"/>
        <v>0</v>
      </c>
      <c r="U501" s="315">
        <f t="shared" si="80"/>
        <v>0</v>
      </c>
      <c r="V501" s="315">
        <f t="shared" si="80"/>
        <v>0</v>
      </c>
      <c r="W501" s="315">
        <f t="shared" si="82"/>
        <v>0</v>
      </c>
      <c r="X501" s="315">
        <f t="shared" si="82"/>
        <v>0</v>
      </c>
      <c r="Y501" s="315">
        <f t="shared" si="82"/>
        <v>0</v>
      </c>
      <c r="Z501" s="315">
        <f t="shared" si="82"/>
        <v>0</v>
      </c>
      <c r="AA501" s="315">
        <f t="shared" si="82"/>
        <v>0</v>
      </c>
      <c r="AB501" s="315">
        <f t="shared" si="82"/>
        <v>0</v>
      </c>
      <c r="AC501" s="315">
        <f t="shared" si="82"/>
        <v>0</v>
      </c>
      <c r="AD501" s="315">
        <f t="shared" si="82"/>
        <v>0</v>
      </c>
      <c r="AE501" s="315">
        <f t="shared" si="82"/>
        <v>0</v>
      </c>
      <c r="AF501" s="315">
        <f t="shared" si="82"/>
        <v>0</v>
      </c>
      <c r="AG501" s="315">
        <f t="shared" si="82"/>
        <v>0</v>
      </c>
      <c r="AH501" s="315">
        <f t="shared" si="82"/>
        <v>0</v>
      </c>
      <c r="AI501" s="315">
        <f t="shared" si="82"/>
        <v>0</v>
      </c>
      <c r="AJ501" s="315">
        <f t="shared" si="82"/>
        <v>0</v>
      </c>
      <c r="AK501" s="315">
        <f t="shared" si="82"/>
        <v>0</v>
      </c>
      <c r="AL501" s="315">
        <f t="shared" si="82"/>
        <v>0</v>
      </c>
      <c r="AM501" s="315">
        <f t="shared" ref="AM501:BB516" si="85">AM112-DE112</f>
        <v>0</v>
      </c>
      <c r="AN501" s="315">
        <f t="shared" si="85"/>
        <v>0</v>
      </c>
      <c r="AO501" s="315">
        <f t="shared" si="85"/>
        <v>0</v>
      </c>
      <c r="AP501" s="315">
        <f t="shared" si="85"/>
        <v>0</v>
      </c>
      <c r="AQ501" s="315">
        <f t="shared" si="85"/>
        <v>0</v>
      </c>
      <c r="AR501" s="315">
        <f t="shared" si="85"/>
        <v>0</v>
      </c>
      <c r="AS501" s="315">
        <f t="shared" si="85"/>
        <v>0</v>
      </c>
      <c r="AT501" s="315">
        <f t="shared" si="85"/>
        <v>0</v>
      </c>
      <c r="AU501" s="315">
        <f t="shared" si="85"/>
        <v>0</v>
      </c>
      <c r="AV501" s="315">
        <f t="shared" si="85"/>
        <v>0</v>
      </c>
      <c r="AW501" s="315">
        <f t="shared" si="85"/>
        <v>0</v>
      </c>
      <c r="AX501" s="315">
        <f t="shared" si="85"/>
        <v>0</v>
      </c>
      <c r="AY501" s="315">
        <f t="shared" si="85"/>
        <v>0</v>
      </c>
      <c r="AZ501" s="315">
        <f t="shared" si="85"/>
        <v>0</v>
      </c>
      <c r="BA501" s="315">
        <f t="shared" si="85"/>
        <v>0</v>
      </c>
      <c r="BB501" s="315">
        <f t="shared" si="85"/>
        <v>0</v>
      </c>
      <c r="BC501" s="315">
        <f t="shared" si="84"/>
        <v>0</v>
      </c>
      <c r="BD501" s="315">
        <f t="shared" si="84"/>
        <v>0</v>
      </c>
      <c r="BE501" s="315">
        <f t="shared" si="84"/>
        <v>0</v>
      </c>
      <c r="BF501" s="315">
        <f t="shared" si="84"/>
        <v>0</v>
      </c>
      <c r="BG501" s="315">
        <f t="shared" si="84"/>
        <v>0</v>
      </c>
      <c r="BH501" s="315">
        <f t="shared" si="84"/>
        <v>0</v>
      </c>
      <c r="BI501" s="315">
        <f t="shared" si="84"/>
        <v>0</v>
      </c>
      <c r="BJ501" s="315">
        <f t="shared" si="84"/>
        <v>0</v>
      </c>
      <c r="BK501" s="315">
        <f t="shared" si="84"/>
        <v>0</v>
      </c>
      <c r="BL501" s="315">
        <f t="shared" si="84"/>
        <v>0</v>
      </c>
      <c r="BM501" s="315">
        <f t="shared" si="84"/>
        <v>0</v>
      </c>
      <c r="BN501" s="315">
        <f t="shared" si="84"/>
        <v>0</v>
      </c>
      <c r="BO501" s="315">
        <f t="shared" si="84"/>
        <v>0</v>
      </c>
      <c r="BP501" s="315">
        <f t="shared" si="84"/>
        <v>0</v>
      </c>
      <c r="BQ501" s="315">
        <f t="shared" si="84"/>
        <v>0</v>
      </c>
      <c r="BR501" s="315">
        <f t="shared" si="77"/>
        <v>0</v>
      </c>
      <c r="BS501" s="315">
        <f t="shared" si="77"/>
        <v>0</v>
      </c>
      <c r="BT501" s="315">
        <f t="shared" si="77"/>
        <v>0</v>
      </c>
      <c r="BU501" s="315">
        <f t="shared" si="77"/>
        <v>0</v>
      </c>
      <c r="BV501" s="315">
        <f t="shared" si="77"/>
        <v>0</v>
      </c>
      <c r="BW501" s="315">
        <f t="shared" si="77"/>
        <v>0</v>
      </c>
      <c r="BX501" s="315">
        <f t="shared" si="77"/>
        <v>0</v>
      </c>
      <c r="BZ501" s="315">
        <f t="shared" si="83"/>
        <v>0</v>
      </c>
      <c r="CA501" s="315">
        <f t="shared" si="83"/>
        <v>0</v>
      </c>
    </row>
    <row r="502" spans="7:79" hidden="1" x14ac:dyDescent="0.2">
      <c r="G502" s="315">
        <f t="shared" si="80"/>
        <v>0</v>
      </c>
      <c r="H502" s="315">
        <f t="shared" si="80"/>
        <v>0</v>
      </c>
      <c r="I502" s="315">
        <f t="shared" si="80"/>
        <v>0</v>
      </c>
      <c r="J502" s="315">
        <f t="shared" si="80"/>
        <v>0</v>
      </c>
      <c r="K502" s="315">
        <f t="shared" si="80"/>
        <v>0</v>
      </c>
      <c r="L502" s="315">
        <f t="shared" si="80"/>
        <v>0</v>
      </c>
      <c r="M502" s="315">
        <f t="shared" si="80"/>
        <v>0</v>
      </c>
      <c r="N502" s="315">
        <f t="shared" si="80"/>
        <v>0</v>
      </c>
      <c r="O502" s="315">
        <f t="shared" si="80"/>
        <v>0</v>
      </c>
      <c r="P502" s="315">
        <f t="shared" si="80"/>
        <v>0</v>
      </c>
      <c r="Q502" s="315">
        <f t="shared" si="80"/>
        <v>0</v>
      </c>
      <c r="R502" s="315">
        <f t="shared" si="80"/>
        <v>0</v>
      </c>
      <c r="S502" s="315">
        <f t="shared" si="80"/>
        <v>0</v>
      </c>
      <c r="T502" s="315">
        <f t="shared" si="80"/>
        <v>0</v>
      </c>
      <c r="U502" s="315">
        <f t="shared" si="80"/>
        <v>0</v>
      </c>
      <c r="V502" s="315">
        <f t="shared" si="80"/>
        <v>0</v>
      </c>
      <c r="W502" s="315">
        <f t="shared" si="82"/>
        <v>0</v>
      </c>
      <c r="X502" s="315">
        <f t="shared" si="82"/>
        <v>0</v>
      </c>
      <c r="Y502" s="315">
        <f t="shared" si="82"/>
        <v>0</v>
      </c>
      <c r="Z502" s="315">
        <f t="shared" si="82"/>
        <v>0</v>
      </c>
      <c r="AA502" s="315">
        <f t="shared" si="82"/>
        <v>0</v>
      </c>
      <c r="AB502" s="315">
        <f t="shared" si="82"/>
        <v>0</v>
      </c>
      <c r="AC502" s="315">
        <f t="shared" si="82"/>
        <v>0</v>
      </c>
      <c r="AD502" s="315">
        <f t="shared" si="82"/>
        <v>0</v>
      </c>
      <c r="AE502" s="315">
        <f t="shared" si="82"/>
        <v>0</v>
      </c>
      <c r="AF502" s="315">
        <f t="shared" si="82"/>
        <v>0</v>
      </c>
      <c r="AG502" s="315">
        <f t="shared" si="82"/>
        <v>0</v>
      </c>
      <c r="AH502" s="315">
        <f t="shared" si="82"/>
        <v>0</v>
      </c>
      <c r="AI502" s="315">
        <f t="shared" si="82"/>
        <v>0</v>
      </c>
      <c r="AJ502" s="315">
        <f t="shared" si="82"/>
        <v>0</v>
      </c>
      <c r="AK502" s="315">
        <f t="shared" si="82"/>
        <v>0</v>
      </c>
      <c r="AL502" s="315">
        <f t="shared" si="82"/>
        <v>0</v>
      </c>
      <c r="AM502" s="315">
        <f t="shared" si="85"/>
        <v>0</v>
      </c>
      <c r="AN502" s="315">
        <f t="shared" si="85"/>
        <v>0</v>
      </c>
      <c r="AO502" s="315">
        <f t="shared" si="85"/>
        <v>0</v>
      </c>
      <c r="AP502" s="315">
        <f t="shared" si="85"/>
        <v>0</v>
      </c>
      <c r="AQ502" s="315">
        <f t="shared" si="85"/>
        <v>0</v>
      </c>
      <c r="AR502" s="315">
        <f t="shared" si="85"/>
        <v>0</v>
      </c>
      <c r="AS502" s="315">
        <f t="shared" si="85"/>
        <v>0</v>
      </c>
      <c r="AT502" s="315">
        <f t="shared" si="85"/>
        <v>0</v>
      </c>
      <c r="AU502" s="315">
        <f t="shared" si="85"/>
        <v>0</v>
      </c>
      <c r="AV502" s="315">
        <f t="shared" si="85"/>
        <v>0</v>
      </c>
      <c r="AW502" s="315">
        <f t="shared" si="85"/>
        <v>0</v>
      </c>
      <c r="AX502" s="315">
        <f t="shared" si="85"/>
        <v>0</v>
      </c>
      <c r="AY502" s="315">
        <f t="shared" si="85"/>
        <v>0</v>
      </c>
      <c r="AZ502" s="315">
        <f t="shared" si="85"/>
        <v>0</v>
      </c>
      <c r="BA502" s="315">
        <f t="shared" si="85"/>
        <v>0</v>
      </c>
      <c r="BB502" s="315">
        <f t="shared" si="85"/>
        <v>0</v>
      </c>
      <c r="BC502" s="315">
        <f t="shared" si="84"/>
        <v>0</v>
      </c>
      <c r="BD502" s="315">
        <f t="shared" si="84"/>
        <v>0</v>
      </c>
      <c r="BE502" s="315">
        <f t="shared" si="84"/>
        <v>0</v>
      </c>
      <c r="BF502" s="315">
        <f t="shared" si="84"/>
        <v>0</v>
      </c>
      <c r="BG502" s="315">
        <f t="shared" si="84"/>
        <v>0</v>
      </c>
      <c r="BH502" s="315">
        <f t="shared" si="84"/>
        <v>0</v>
      </c>
      <c r="BI502" s="315">
        <f t="shared" si="84"/>
        <v>0</v>
      </c>
      <c r="BJ502" s="315">
        <f t="shared" si="84"/>
        <v>0</v>
      </c>
      <c r="BK502" s="315">
        <f t="shared" si="84"/>
        <v>0</v>
      </c>
      <c r="BL502" s="315">
        <f t="shared" si="84"/>
        <v>0</v>
      </c>
      <c r="BM502" s="315">
        <f t="shared" si="84"/>
        <v>0</v>
      </c>
      <c r="BN502" s="315">
        <f t="shared" si="84"/>
        <v>0</v>
      </c>
      <c r="BO502" s="315">
        <f t="shared" si="84"/>
        <v>0</v>
      </c>
      <c r="BP502" s="315">
        <f t="shared" si="84"/>
        <v>0</v>
      </c>
      <c r="BQ502" s="315">
        <f t="shared" si="84"/>
        <v>0</v>
      </c>
      <c r="BR502" s="315">
        <f t="shared" si="84"/>
        <v>0</v>
      </c>
      <c r="BS502" s="315">
        <f t="shared" ref="BS502:BX517" si="86">BS113-EK113</f>
        <v>0</v>
      </c>
      <c r="BT502" s="315">
        <f t="shared" si="86"/>
        <v>0</v>
      </c>
      <c r="BU502" s="315">
        <f t="shared" si="86"/>
        <v>0</v>
      </c>
      <c r="BV502" s="315">
        <f t="shared" si="86"/>
        <v>0</v>
      </c>
      <c r="BW502" s="315">
        <f t="shared" si="86"/>
        <v>0</v>
      </c>
      <c r="BX502" s="315">
        <f t="shared" si="86"/>
        <v>0</v>
      </c>
      <c r="BZ502" s="315">
        <f t="shared" si="83"/>
        <v>0</v>
      </c>
      <c r="CA502" s="315">
        <f t="shared" si="83"/>
        <v>0</v>
      </c>
    </row>
    <row r="503" spans="7:79" hidden="1" x14ac:dyDescent="0.2">
      <c r="G503" s="315">
        <f t="shared" si="80"/>
        <v>-36214000</v>
      </c>
      <c r="H503" s="315">
        <f t="shared" si="80"/>
        <v>0</v>
      </c>
      <c r="I503" s="315">
        <f t="shared" si="80"/>
        <v>0</v>
      </c>
      <c r="J503" s="315">
        <f t="shared" si="80"/>
        <v>0</v>
      </c>
      <c r="K503" s="315">
        <f t="shared" si="80"/>
        <v>0</v>
      </c>
      <c r="L503" s="315">
        <f t="shared" si="80"/>
        <v>857265</v>
      </c>
      <c r="M503" s="315">
        <f t="shared" si="80"/>
        <v>0</v>
      </c>
      <c r="N503" s="315">
        <f t="shared" si="80"/>
        <v>0</v>
      </c>
      <c r="O503" s="315">
        <f t="shared" si="80"/>
        <v>0</v>
      </c>
      <c r="P503" s="315">
        <f t="shared" si="80"/>
        <v>0</v>
      </c>
      <c r="Q503" s="315">
        <f t="shared" si="80"/>
        <v>-237000</v>
      </c>
      <c r="R503" s="315">
        <f t="shared" si="80"/>
        <v>0</v>
      </c>
      <c r="S503" s="315">
        <f t="shared" si="80"/>
        <v>0</v>
      </c>
      <c r="T503" s="315">
        <f t="shared" si="80"/>
        <v>0</v>
      </c>
      <c r="U503" s="315">
        <f t="shared" si="80"/>
        <v>0</v>
      </c>
      <c r="V503" s="315">
        <f t="shared" si="80"/>
        <v>54000</v>
      </c>
      <c r="W503" s="315">
        <f t="shared" si="82"/>
        <v>0</v>
      </c>
      <c r="X503" s="315">
        <f t="shared" si="82"/>
        <v>0</v>
      </c>
      <c r="Y503" s="315">
        <f t="shared" si="82"/>
        <v>0</v>
      </c>
      <c r="Z503" s="315">
        <f t="shared" si="82"/>
        <v>0</v>
      </c>
      <c r="AA503" s="315">
        <f t="shared" si="82"/>
        <v>-652000</v>
      </c>
      <c r="AB503" s="315">
        <f t="shared" si="82"/>
        <v>0</v>
      </c>
      <c r="AC503" s="315">
        <f t="shared" si="82"/>
        <v>0</v>
      </c>
      <c r="AD503" s="315">
        <f t="shared" si="82"/>
        <v>0</v>
      </c>
      <c r="AE503" s="315">
        <f t="shared" si="82"/>
        <v>0</v>
      </c>
      <c r="AF503" s="315">
        <f t="shared" si="82"/>
        <v>1000</v>
      </c>
      <c r="AG503" s="315">
        <f t="shared" si="82"/>
        <v>0</v>
      </c>
      <c r="AH503" s="315">
        <f t="shared" si="82"/>
        <v>0</v>
      </c>
      <c r="AI503" s="315">
        <f t="shared" si="82"/>
        <v>0</v>
      </c>
      <c r="AJ503" s="315">
        <f t="shared" si="82"/>
        <v>0</v>
      </c>
      <c r="AK503" s="315">
        <f t="shared" si="82"/>
        <v>651000</v>
      </c>
      <c r="AL503" s="315">
        <f t="shared" si="82"/>
        <v>0</v>
      </c>
      <c r="AM503" s="315">
        <f t="shared" si="85"/>
        <v>0</v>
      </c>
      <c r="AN503" s="315">
        <f t="shared" si="85"/>
        <v>0</v>
      </c>
      <c r="AO503" s="315">
        <f t="shared" si="85"/>
        <v>0</v>
      </c>
      <c r="AP503" s="315">
        <f t="shared" si="85"/>
        <v>-3083000</v>
      </c>
      <c r="AQ503" s="315">
        <f t="shared" si="85"/>
        <v>0</v>
      </c>
      <c r="AR503" s="315">
        <f t="shared" si="85"/>
        <v>0</v>
      </c>
      <c r="AS503" s="315">
        <f t="shared" si="85"/>
        <v>0</v>
      </c>
      <c r="AT503" s="315">
        <f t="shared" si="85"/>
        <v>0</v>
      </c>
      <c r="AU503" s="315">
        <f t="shared" si="85"/>
        <v>-5846000</v>
      </c>
      <c r="AV503" s="315">
        <f t="shared" si="85"/>
        <v>0</v>
      </c>
      <c r="AW503" s="315">
        <f t="shared" si="85"/>
        <v>0</v>
      </c>
      <c r="AX503" s="315">
        <f t="shared" si="85"/>
        <v>0</v>
      </c>
      <c r="AY503" s="315">
        <f t="shared" si="85"/>
        <v>0</v>
      </c>
      <c r="AZ503" s="315">
        <f t="shared" si="85"/>
        <v>0</v>
      </c>
      <c r="BA503" s="315">
        <f t="shared" si="85"/>
        <v>0</v>
      </c>
      <c r="BB503" s="315">
        <f t="shared" si="85"/>
        <v>0</v>
      </c>
      <c r="BC503" s="315">
        <f t="shared" si="84"/>
        <v>0</v>
      </c>
      <c r="BD503" s="315">
        <f t="shared" si="84"/>
        <v>0</v>
      </c>
      <c r="BE503" s="315">
        <f t="shared" si="84"/>
        <v>-1300000</v>
      </c>
      <c r="BF503" s="315">
        <f t="shared" si="84"/>
        <v>0</v>
      </c>
      <c r="BG503" s="315">
        <f t="shared" si="84"/>
        <v>0</v>
      </c>
      <c r="BH503" s="315">
        <f t="shared" si="84"/>
        <v>0</v>
      </c>
      <c r="BI503" s="315">
        <f t="shared" si="84"/>
        <v>0</v>
      </c>
      <c r="BJ503" s="315">
        <f t="shared" si="84"/>
        <v>-1951000</v>
      </c>
      <c r="BK503" s="315">
        <f t="shared" si="84"/>
        <v>0</v>
      </c>
      <c r="BL503" s="315">
        <f t="shared" si="84"/>
        <v>0</v>
      </c>
      <c r="BM503" s="315">
        <f t="shared" si="84"/>
        <v>0</v>
      </c>
      <c r="BN503" s="315">
        <f t="shared" si="84"/>
        <v>0</v>
      </c>
      <c r="BO503" s="315">
        <f t="shared" si="84"/>
        <v>-1300000</v>
      </c>
      <c r="BP503" s="315">
        <f t="shared" si="84"/>
        <v>0</v>
      </c>
      <c r="BQ503" s="315">
        <f t="shared" si="84"/>
        <v>0</v>
      </c>
      <c r="BR503" s="315">
        <f t="shared" si="84"/>
        <v>0</v>
      </c>
      <c r="BS503" s="315">
        <f t="shared" si="86"/>
        <v>0</v>
      </c>
      <c r="BT503" s="315">
        <f t="shared" si="86"/>
        <v>-2408735</v>
      </c>
      <c r="BU503" s="315">
        <f t="shared" si="86"/>
        <v>0</v>
      </c>
      <c r="BV503" s="315">
        <f t="shared" si="86"/>
        <v>0</v>
      </c>
      <c r="BW503" s="315">
        <f t="shared" si="86"/>
        <v>0</v>
      </c>
      <c r="BX503" s="315">
        <f t="shared" si="86"/>
        <v>0</v>
      </c>
      <c r="BZ503" s="315">
        <f t="shared" si="83"/>
        <v>0</v>
      </c>
      <c r="CA503" s="315">
        <f t="shared" si="83"/>
        <v>0</v>
      </c>
    </row>
    <row r="504" spans="7:79" hidden="1" x14ac:dyDescent="0.2">
      <c r="G504" s="315">
        <f t="shared" si="80"/>
        <v>-32279228</v>
      </c>
      <c r="H504" s="315">
        <f t="shared" si="80"/>
        <v>0</v>
      </c>
      <c r="I504" s="315">
        <f t="shared" si="80"/>
        <v>0</v>
      </c>
      <c r="J504" s="315">
        <f t="shared" si="80"/>
        <v>0</v>
      </c>
      <c r="K504" s="315">
        <f t="shared" si="80"/>
        <v>0</v>
      </c>
      <c r="L504" s="315">
        <f t="shared" si="80"/>
        <v>872006</v>
      </c>
      <c r="M504" s="315">
        <f t="shared" si="80"/>
        <v>0</v>
      </c>
      <c r="N504" s="315">
        <f t="shared" si="80"/>
        <v>0</v>
      </c>
      <c r="O504" s="315">
        <f t="shared" si="80"/>
        <v>0</v>
      </c>
      <c r="P504" s="315">
        <f t="shared" si="80"/>
        <v>0</v>
      </c>
      <c r="Q504" s="315">
        <f t="shared" si="80"/>
        <v>-263524</v>
      </c>
      <c r="R504" s="315">
        <f t="shared" si="80"/>
        <v>0</v>
      </c>
      <c r="S504" s="315">
        <f t="shared" si="80"/>
        <v>0</v>
      </c>
      <c r="T504" s="315">
        <f t="shared" si="80"/>
        <v>0</v>
      </c>
      <c r="U504" s="315">
        <f t="shared" si="80"/>
        <v>0</v>
      </c>
      <c r="V504" s="315">
        <f t="shared" si="80"/>
        <v>-137572</v>
      </c>
      <c r="W504" s="315">
        <f t="shared" si="82"/>
        <v>0</v>
      </c>
      <c r="X504" s="315">
        <f t="shared" si="82"/>
        <v>0</v>
      </c>
      <c r="Y504" s="315">
        <f t="shared" si="82"/>
        <v>0</v>
      </c>
      <c r="Z504" s="315">
        <f t="shared" si="82"/>
        <v>0</v>
      </c>
      <c r="AA504" s="315">
        <f t="shared" si="82"/>
        <v>-818990</v>
      </c>
      <c r="AB504" s="315">
        <f t="shared" si="82"/>
        <v>0</v>
      </c>
      <c r="AC504" s="315">
        <f t="shared" si="82"/>
        <v>0</v>
      </c>
      <c r="AD504" s="315">
        <f t="shared" si="82"/>
        <v>0</v>
      </c>
      <c r="AE504" s="315">
        <f t="shared" si="82"/>
        <v>0</v>
      </c>
      <c r="AF504" s="315">
        <f t="shared" si="82"/>
        <v>-111588</v>
      </c>
      <c r="AG504" s="315">
        <f t="shared" si="82"/>
        <v>0</v>
      </c>
      <c r="AH504" s="315">
        <f t="shared" si="82"/>
        <v>0</v>
      </c>
      <c r="AI504" s="315">
        <f t="shared" si="82"/>
        <v>0</v>
      </c>
      <c r="AJ504" s="315">
        <f t="shared" si="82"/>
        <v>0</v>
      </c>
      <c r="AK504" s="315">
        <f t="shared" si="82"/>
        <v>462003</v>
      </c>
      <c r="AL504" s="315">
        <f t="shared" si="82"/>
        <v>0</v>
      </c>
      <c r="AM504" s="315">
        <f t="shared" si="85"/>
        <v>0</v>
      </c>
      <c r="AN504" s="315">
        <f t="shared" si="85"/>
        <v>0</v>
      </c>
      <c r="AO504" s="315">
        <f t="shared" si="85"/>
        <v>0</v>
      </c>
      <c r="AP504" s="315">
        <f t="shared" si="85"/>
        <v>-2876640</v>
      </c>
      <c r="AQ504" s="315">
        <f t="shared" si="85"/>
        <v>0</v>
      </c>
      <c r="AR504" s="315">
        <f t="shared" si="85"/>
        <v>0</v>
      </c>
      <c r="AS504" s="315">
        <f t="shared" si="85"/>
        <v>0</v>
      </c>
      <c r="AT504" s="315">
        <f t="shared" si="85"/>
        <v>0</v>
      </c>
      <c r="AU504" s="315">
        <f t="shared" si="85"/>
        <v>-5210115</v>
      </c>
      <c r="AV504" s="315">
        <f t="shared" si="85"/>
        <v>0</v>
      </c>
      <c r="AW504" s="315">
        <f t="shared" si="85"/>
        <v>0</v>
      </c>
      <c r="AX504" s="315">
        <f t="shared" si="85"/>
        <v>0</v>
      </c>
      <c r="AY504" s="315">
        <f t="shared" si="85"/>
        <v>0</v>
      </c>
      <c r="AZ504" s="315">
        <f t="shared" si="85"/>
        <v>0</v>
      </c>
      <c r="BA504" s="315">
        <f t="shared" si="85"/>
        <v>0</v>
      </c>
      <c r="BB504" s="315">
        <f t="shared" si="85"/>
        <v>0</v>
      </c>
      <c r="BC504" s="315">
        <f t="shared" si="84"/>
        <v>0</v>
      </c>
      <c r="BD504" s="315">
        <f t="shared" si="84"/>
        <v>0</v>
      </c>
      <c r="BE504" s="315">
        <f t="shared" si="84"/>
        <v>-1173804</v>
      </c>
      <c r="BF504" s="315">
        <f t="shared" si="84"/>
        <v>0</v>
      </c>
      <c r="BG504" s="315">
        <f t="shared" si="84"/>
        <v>0</v>
      </c>
      <c r="BH504" s="315">
        <f t="shared" si="84"/>
        <v>0</v>
      </c>
      <c r="BI504" s="315">
        <f t="shared" si="84"/>
        <v>0</v>
      </c>
      <c r="BJ504" s="315">
        <f t="shared" si="84"/>
        <v>-1795815</v>
      </c>
      <c r="BK504" s="315">
        <f t="shared" si="84"/>
        <v>0</v>
      </c>
      <c r="BL504" s="315">
        <f t="shared" si="84"/>
        <v>0</v>
      </c>
      <c r="BM504" s="315">
        <f t="shared" si="84"/>
        <v>0</v>
      </c>
      <c r="BN504" s="315">
        <f t="shared" si="84"/>
        <v>0</v>
      </c>
      <c r="BO504" s="315">
        <f t="shared" si="84"/>
        <v>-1174030</v>
      </c>
      <c r="BP504" s="315">
        <f t="shared" si="84"/>
        <v>0</v>
      </c>
      <c r="BQ504" s="315">
        <f t="shared" si="84"/>
        <v>0</v>
      </c>
      <c r="BR504" s="315">
        <f t="shared" si="84"/>
        <v>0</v>
      </c>
      <c r="BS504" s="315">
        <f t="shared" si="86"/>
        <v>0</v>
      </c>
      <c r="BT504" s="315">
        <f t="shared" si="86"/>
        <v>-2874305</v>
      </c>
      <c r="BU504" s="315">
        <f t="shared" si="86"/>
        <v>0</v>
      </c>
      <c r="BV504" s="315">
        <f t="shared" si="86"/>
        <v>0</v>
      </c>
      <c r="BW504" s="315">
        <f t="shared" si="86"/>
        <v>0</v>
      </c>
      <c r="BX504" s="315">
        <f t="shared" si="86"/>
        <v>0</v>
      </c>
      <c r="BZ504" s="315">
        <f t="shared" si="83"/>
        <v>0</v>
      </c>
      <c r="CA504" s="315">
        <f t="shared" si="83"/>
        <v>0</v>
      </c>
    </row>
    <row r="505" spans="7:79" hidden="1" x14ac:dyDescent="0.2">
      <c r="G505" s="315">
        <f t="shared" si="80"/>
        <v>-3934772</v>
      </c>
      <c r="H505" s="315">
        <f t="shared" si="80"/>
        <v>0</v>
      </c>
      <c r="I505" s="315">
        <f t="shared" si="80"/>
        <v>0</v>
      </c>
      <c r="J505" s="315">
        <f t="shared" si="80"/>
        <v>0</v>
      </c>
      <c r="K505" s="315">
        <f t="shared" si="80"/>
        <v>0</v>
      </c>
      <c r="L505" s="315">
        <f t="shared" si="80"/>
        <v>-14741</v>
      </c>
      <c r="M505" s="315">
        <f t="shared" si="80"/>
        <v>0</v>
      </c>
      <c r="N505" s="315">
        <f t="shared" si="80"/>
        <v>0</v>
      </c>
      <c r="O505" s="315">
        <f t="shared" si="80"/>
        <v>0</v>
      </c>
      <c r="P505" s="315">
        <f t="shared" si="80"/>
        <v>0</v>
      </c>
      <c r="Q505" s="315">
        <f t="shared" si="80"/>
        <v>26524</v>
      </c>
      <c r="R505" s="315">
        <f t="shared" si="80"/>
        <v>0</v>
      </c>
      <c r="S505" s="315">
        <f t="shared" si="80"/>
        <v>0</v>
      </c>
      <c r="T505" s="315">
        <f t="shared" si="80"/>
        <v>0</v>
      </c>
      <c r="U505" s="315">
        <f t="shared" si="80"/>
        <v>0</v>
      </c>
      <c r="V505" s="315">
        <f t="shared" si="80"/>
        <v>191572</v>
      </c>
      <c r="W505" s="315">
        <f t="shared" si="82"/>
        <v>0</v>
      </c>
      <c r="X505" s="315">
        <f t="shared" si="82"/>
        <v>0</v>
      </c>
      <c r="Y505" s="315">
        <f t="shared" si="82"/>
        <v>0</v>
      </c>
      <c r="Z505" s="315">
        <f t="shared" si="82"/>
        <v>0</v>
      </c>
      <c r="AA505" s="315">
        <f t="shared" si="82"/>
        <v>166990</v>
      </c>
      <c r="AB505" s="315">
        <f t="shared" si="82"/>
        <v>0</v>
      </c>
      <c r="AC505" s="315">
        <f t="shared" si="82"/>
        <v>0</v>
      </c>
      <c r="AD505" s="315">
        <f t="shared" si="82"/>
        <v>0</v>
      </c>
      <c r="AE505" s="315">
        <f t="shared" si="82"/>
        <v>0</v>
      </c>
      <c r="AF505" s="315">
        <f t="shared" si="82"/>
        <v>112588</v>
      </c>
      <c r="AG505" s="315">
        <f t="shared" si="82"/>
        <v>0</v>
      </c>
      <c r="AH505" s="315">
        <f t="shared" si="82"/>
        <v>0</v>
      </c>
      <c r="AI505" s="315">
        <f t="shared" si="82"/>
        <v>0</v>
      </c>
      <c r="AJ505" s="315">
        <f t="shared" si="82"/>
        <v>0</v>
      </c>
      <c r="AK505" s="315">
        <f t="shared" si="82"/>
        <v>188997</v>
      </c>
      <c r="AL505" s="315">
        <f t="shared" si="82"/>
        <v>0</v>
      </c>
      <c r="AM505" s="315">
        <f t="shared" si="85"/>
        <v>0</v>
      </c>
      <c r="AN505" s="315">
        <f t="shared" si="85"/>
        <v>0</v>
      </c>
      <c r="AO505" s="315">
        <f t="shared" si="85"/>
        <v>0</v>
      </c>
      <c r="AP505" s="315">
        <f t="shared" si="85"/>
        <v>-206360</v>
      </c>
      <c r="AQ505" s="315">
        <f t="shared" si="85"/>
        <v>0</v>
      </c>
      <c r="AR505" s="315">
        <f t="shared" si="85"/>
        <v>0</v>
      </c>
      <c r="AS505" s="315">
        <f t="shared" si="85"/>
        <v>0</v>
      </c>
      <c r="AT505" s="315">
        <f t="shared" si="85"/>
        <v>0</v>
      </c>
      <c r="AU505" s="315">
        <f t="shared" si="85"/>
        <v>-635885</v>
      </c>
      <c r="AV505" s="315">
        <f t="shared" si="85"/>
        <v>0</v>
      </c>
      <c r="AW505" s="315">
        <f t="shared" si="85"/>
        <v>0</v>
      </c>
      <c r="AX505" s="315">
        <f t="shared" si="85"/>
        <v>0</v>
      </c>
      <c r="AY505" s="315">
        <f t="shared" si="85"/>
        <v>0</v>
      </c>
      <c r="AZ505" s="315">
        <f t="shared" si="85"/>
        <v>0</v>
      </c>
      <c r="BA505" s="315">
        <f t="shared" si="85"/>
        <v>0</v>
      </c>
      <c r="BB505" s="315">
        <f t="shared" si="85"/>
        <v>0</v>
      </c>
      <c r="BC505" s="315">
        <f t="shared" si="84"/>
        <v>0</v>
      </c>
      <c r="BD505" s="315">
        <f t="shared" si="84"/>
        <v>0</v>
      </c>
      <c r="BE505" s="315">
        <f t="shared" si="84"/>
        <v>-126196</v>
      </c>
      <c r="BF505" s="315">
        <f t="shared" si="84"/>
        <v>0</v>
      </c>
      <c r="BG505" s="315">
        <f t="shared" si="84"/>
        <v>0</v>
      </c>
      <c r="BH505" s="315">
        <f t="shared" si="84"/>
        <v>0</v>
      </c>
      <c r="BI505" s="315">
        <f t="shared" si="84"/>
        <v>0</v>
      </c>
      <c r="BJ505" s="315">
        <f t="shared" si="84"/>
        <v>-155185</v>
      </c>
      <c r="BK505" s="315">
        <f t="shared" si="84"/>
        <v>0</v>
      </c>
      <c r="BL505" s="315">
        <f t="shared" si="84"/>
        <v>0</v>
      </c>
      <c r="BM505" s="315">
        <f t="shared" si="84"/>
        <v>0</v>
      </c>
      <c r="BN505" s="315">
        <f t="shared" si="84"/>
        <v>0</v>
      </c>
      <c r="BO505" s="315">
        <f t="shared" si="84"/>
        <v>-125970</v>
      </c>
      <c r="BP505" s="315">
        <f t="shared" si="84"/>
        <v>0</v>
      </c>
      <c r="BQ505" s="315">
        <f t="shared" si="84"/>
        <v>0</v>
      </c>
      <c r="BR505" s="315">
        <f t="shared" si="84"/>
        <v>0</v>
      </c>
      <c r="BS505" s="315">
        <f t="shared" si="86"/>
        <v>0</v>
      </c>
      <c r="BT505" s="315">
        <f t="shared" si="86"/>
        <v>465570</v>
      </c>
      <c r="BU505" s="315">
        <f t="shared" si="86"/>
        <v>0</v>
      </c>
      <c r="BV505" s="315">
        <f t="shared" si="86"/>
        <v>0</v>
      </c>
      <c r="BW505" s="315">
        <f t="shared" si="86"/>
        <v>0</v>
      </c>
      <c r="BX505" s="315">
        <f t="shared" si="86"/>
        <v>0</v>
      </c>
      <c r="BZ505" s="315">
        <f t="shared" si="83"/>
        <v>0</v>
      </c>
      <c r="CA505" s="315">
        <f t="shared" si="83"/>
        <v>0</v>
      </c>
    </row>
    <row r="506" spans="7:79" hidden="1" x14ac:dyDescent="0.2">
      <c r="G506" s="315">
        <f t="shared" si="80"/>
        <v>0</v>
      </c>
      <c r="H506" s="315">
        <f t="shared" si="80"/>
        <v>0</v>
      </c>
      <c r="I506" s="315">
        <f t="shared" si="80"/>
        <v>0</v>
      </c>
      <c r="J506" s="315">
        <f t="shared" si="80"/>
        <v>0</v>
      </c>
      <c r="K506" s="315">
        <f t="shared" si="80"/>
        <v>0</v>
      </c>
      <c r="L506" s="315">
        <f t="shared" si="80"/>
        <v>0</v>
      </c>
      <c r="M506" s="315">
        <f t="shared" si="80"/>
        <v>0</v>
      </c>
      <c r="N506" s="315">
        <f t="shared" si="80"/>
        <v>0</v>
      </c>
      <c r="O506" s="315">
        <f t="shared" si="80"/>
        <v>0</v>
      </c>
      <c r="P506" s="315">
        <f t="shared" si="80"/>
        <v>0</v>
      </c>
      <c r="Q506" s="315">
        <f t="shared" si="80"/>
        <v>0</v>
      </c>
      <c r="R506" s="315">
        <f t="shared" si="80"/>
        <v>0</v>
      </c>
      <c r="S506" s="315">
        <f t="shared" si="80"/>
        <v>0</v>
      </c>
      <c r="T506" s="315">
        <f t="shared" si="80"/>
        <v>0</v>
      </c>
      <c r="U506" s="315">
        <f t="shared" si="80"/>
        <v>0</v>
      </c>
      <c r="V506" s="315">
        <f t="shared" si="80"/>
        <v>0</v>
      </c>
      <c r="W506" s="315">
        <f t="shared" si="82"/>
        <v>0</v>
      </c>
      <c r="X506" s="315">
        <f t="shared" si="82"/>
        <v>0</v>
      </c>
      <c r="Y506" s="315">
        <f t="shared" si="82"/>
        <v>0</v>
      </c>
      <c r="Z506" s="315">
        <f t="shared" si="82"/>
        <v>0</v>
      </c>
      <c r="AA506" s="315">
        <f t="shared" si="82"/>
        <v>0</v>
      </c>
      <c r="AB506" s="315">
        <f t="shared" si="82"/>
        <v>0</v>
      </c>
      <c r="AC506" s="315">
        <f t="shared" si="82"/>
        <v>0</v>
      </c>
      <c r="AD506" s="315">
        <f t="shared" si="82"/>
        <v>0</v>
      </c>
      <c r="AE506" s="315">
        <f t="shared" si="82"/>
        <v>0</v>
      </c>
      <c r="AF506" s="315">
        <f t="shared" si="82"/>
        <v>0</v>
      </c>
      <c r="AG506" s="315">
        <f t="shared" si="82"/>
        <v>0</v>
      </c>
      <c r="AH506" s="315">
        <f t="shared" si="82"/>
        <v>0</v>
      </c>
      <c r="AI506" s="315">
        <f t="shared" si="82"/>
        <v>0</v>
      </c>
      <c r="AJ506" s="315">
        <f t="shared" si="82"/>
        <v>0</v>
      </c>
      <c r="AK506" s="315">
        <f t="shared" si="82"/>
        <v>0</v>
      </c>
      <c r="AL506" s="315">
        <f t="shared" si="82"/>
        <v>0</v>
      </c>
      <c r="AM506" s="315">
        <f t="shared" si="85"/>
        <v>0</v>
      </c>
      <c r="AN506" s="315">
        <f t="shared" si="85"/>
        <v>0</v>
      </c>
      <c r="AO506" s="315">
        <f t="shared" si="85"/>
        <v>0</v>
      </c>
      <c r="AP506" s="315">
        <f t="shared" si="85"/>
        <v>0</v>
      </c>
      <c r="AQ506" s="315">
        <f t="shared" si="85"/>
        <v>0</v>
      </c>
      <c r="AR506" s="315">
        <f t="shared" si="85"/>
        <v>0</v>
      </c>
      <c r="AS506" s="315">
        <f t="shared" si="85"/>
        <v>0</v>
      </c>
      <c r="AT506" s="315">
        <f t="shared" si="85"/>
        <v>0</v>
      </c>
      <c r="AU506" s="315">
        <f t="shared" si="85"/>
        <v>0</v>
      </c>
      <c r="AV506" s="315">
        <f t="shared" si="85"/>
        <v>0</v>
      </c>
      <c r="AW506" s="315">
        <f t="shared" si="85"/>
        <v>0</v>
      </c>
      <c r="AX506" s="315">
        <f t="shared" si="85"/>
        <v>0</v>
      </c>
      <c r="AY506" s="315">
        <f t="shared" si="85"/>
        <v>0</v>
      </c>
      <c r="AZ506" s="315">
        <f t="shared" si="85"/>
        <v>0</v>
      </c>
      <c r="BA506" s="315">
        <f t="shared" si="85"/>
        <v>0</v>
      </c>
      <c r="BB506" s="315">
        <f t="shared" si="85"/>
        <v>0</v>
      </c>
      <c r="BC506" s="315">
        <f t="shared" si="84"/>
        <v>0</v>
      </c>
      <c r="BD506" s="315">
        <f t="shared" si="84"/>
        <v>0</v>
      </c>
      <c r="BE506" s="315">
        <f t="shared" si="84"/>
        <v>0</v>
      </c>
      <c r="BF506" s="315">
        <f t="shared" si="84"/>
        <v>0</v>
      </c>
      <c r="BG506" s="315">
        <f t="shared" si="84"/>
        <v>0</v>
      </c>
      <c r="BH506" s="315">
        <f t="shared" si="84"/>
        <v>0</v>
      </c>
      <c r="BI506" s="315">
        <f t="shared" si="84"/>
        <v>0</v>
      </c>
      <c r="BJ506" s="315">
        <f t="shared" si="84"/>
        <v>0</v>
      </c>
      <c r="BK506" s="315">
        <f t="shared" si="84"/>
        <v>0</v>
      </c>
      <c r="BL506" s="315">
        <f t="shared" si="84"/>
        <v>0</v>
      </c>
      <c r="BM506" s="315">
        <f t="shared" si="84"/>
        <v>0</v>
      </c>
      <c r="BN506" s="315">
        <f t="shared" si="84"/>
        <v>0</v>
      </c>
      <c r="BO506" s="315">
        <f t="shared" si="84"/>
        <v>0</v>
      </c>
      <c r="BP506" s="315">
        <f t="shared" si="84"/>
        <v>0</v>
      </c>
      <c r="BQ506" s="315">
        <f t="shared" si="84"/>
        <v>0</v>
      </c>
      <c r="BR506" s="315">
        <f t="shared" si="84"/>
        <v>0</v>
      </c>
      <c r="BS506" s="315">
        <f t="shared" si="86"/>
        <v>0</v>
      </c>
      <c r="BT506" s="315">
        <f t="shared" si="86"/>
        <v>0</v>
      </c>
      <c r="BU506" s="315">
        <f t="shared" si="86"/>
        <v>0</v>
      </c>
      <c r="BV506" s="315">
        <f t="shared" si="86"/>
        <v>0</v>
      </c>
      <c r="BW506" s="315">
        <f t="shared" si="86"/>
        <v>0</v>
      </c>
      <c r="BX506" s="315">
        <f t="shared" si="86"/>
        <v>0</v>
      </c>
      <c r="BZ506" s="315">
        <f t="shared" si="83"/>
        <v>0</v>
      </c>
      <c r="CA506" s="315">
        <f t="shared" si="83"/>
        <v>0</v>
      </c>
    </row>
    <row r="507" spans="7:79" hidden="1" x14ac:dyDescent="0.2">
      <c r="G507" s="315">
        <f t="shared" si="80"/>
        <v>0</v>
      </c>
      <c r="H507" s="315">
        <f t="shared" si="80"/>
        <v>0</v>
      </c>
      <c r="I507" s="315">
        <f t="shared" si="80"/>
        <v>0</v>
      </c>
      <c r="J507" s="315">
        <f t="shared" si="80"/>
        <v>0</v>
      </c>
      <c r="K507" s="315">
        <f t="shared" si="80"/>
        <v>0</v>
      </c>
      <c r="L507" s="315">
        <f t="shared" si="80"/>
        <v>0</v>
      </c>
      <c r="M507" s="315">
        <f t="shared" si="80"/>
        <v>0</v>
      </c>
      <c r="N507" s="315">
        <f t="shared" si="80"/>
        <v>0</v>
      </c>
      <c r="O507" s="315">
        <f t="shared" si="80"/>
        <v>0</v>
      </c>
      <c r="P507" s="315">
        <f t="shared" si="80"/>
        <v>0</v>
      </c>
      <c r="Q507" s="315">
        <f t="shared" si="80"/>
        <v>0</v>
      </c>
      <c r="R507" s="315">
        <f t="shared" si="80"/>
        <v>0</v>
      </c>
      <c r="S507" s="315">
        <f t="shared" si="80"/>
        <v>0</v>
      </c>
      <c r="T507" s="315">
        <f t="shared" si="80"/>
        <v>0</v>
      </c>
      <c r="U507" s="315">
        <f t="shared" si="80"/>
        <v>0</v>
      </c>
      <c r="V507" s="315">
        <f t="shared" si="80"/>
        <v>0</v>
      </c>
      <c r="W507" s="315">
        <f t="shared" si="82"/>
        <v>0</v>
      </c>
      <c r="X507" s="315">
        <f t="shared" si="82"/>
        <v>0</v>
      </c>
      <c r="Y507" s="315">
        <f t="shared" si="82"/>
        <v>0</v>
      </c>
      <c r="Z507" s="315">
        <f t="shared" si="82"/>
        <v>0</v>
      </c>
      <c r="AA507" s="315">
        <f t="shared" si="82"/>
        <v>0</v>
      </c>
      <c r="AB507" s="315">
        <f t="shared" si="82"/>
        <v>0</v>
      </c>
      <c r="AC507" s="315">
        <f t="shared" si="82"/>
        <v>0</v>
      </c>
      <c r="AD507" s="315">
        <f t="shared" si="82"/>
        <v>0</v>
      </c>
      <c r="AE507" s="315">
        <f t="shared" si="82"/>
        <v>0</v>
      </c>
      <c r="AF507" s="315">
        <f t="shared" si="82"/>
        <v>0</v>
      </c>
      <c r="AG507" s="315">
        <f t="shared" si="82"/>
        <v>0</v>
      </c>
      <c r="AH507" s="315">
        <f t="shared" si="82"/>
        <v>0</v>
      </c>
      <c r="AI507" s="315">
        <f t="shared" si="82"/>
        <v>0</v>
      </c>
      <c r="AJ507" s="315">
        <f t="shared" si="82"/>
        <v>0</v>
      </c>
      <c r="AK507" s="315">
        <f t="shared" si="82"/>
        <v>0</v>
      </c>
      <c r="AL507" s="315">
        <f t="shared" si="82"/>
        <v>0</v>
      </c>
      <c r="AM507" s="315">
        <f t="shared" si="85"/>
        <v>0</v>
      </c>
      <c r="AN507" s="315">
        <f t="shared" si="85"/>
        <v>0</v>
      </c>
      <c r="AO507" s="315">
        <f t="shared" si="85"/>
        <v>0</v>
      </c>
      <c r="AP507" s="315">
        <f t="shared" si="85"/>
        <v>0</v>
      </c>
      <c r="AQ507" s="315">
        <f t="shared" si="85"/>
        <v>0</v>
      </c>
      <c r="AR507" s="315">
        <f t="shared" si="85"/>
        <v>0</v>
      </c>
      <c r="AS507" s="315">
        <f t="shared" si="85"/>
        <v>0</v>
      </c>
      <c r="AT507" s="315">
        <f t="shared" si="85"/>
        <v>0</v>
      </c>
      <c r="AU507" s="315">
        <f t="shared" si="85"/>
        <v>0</v>
      </c>
      <c r="AV507" s="315">
        <f t="shared" si="85"/>
        <v>0</v>
      </c>
      <c r="AW507" s="315">
        <f t="shared" si="85"/>
        <v>0</v>
      </c>
      <c r="AX507" s="315">
        <f t="shared" si="85"/>
        <v>0</v>
      </c>
      <c r="AY507" s="315">
        <f t="shared" si="85"/>
        <v>0</v>
      </c>
      <c r="AZ507" s="315">
        <f t="shared" si="85"/>
        <v>0</v>
      </c>
      <c r="BA507" s="315">
        <f t="shared" si="85"/>
        <v>0</v>
      </c>
      <c r="BB507" s="315">
        <f t="shared" si="85"/>
        <v>0</v>
      </c>
      <c r="BC507" s="315">
        <f t="shared" si="84"/>
        <v>0</v>
      </c>
      <c r="BD507" s="315">
        <f t="shared" si="84"/>
        <v>0</v>
      </c>
      <c r="BE507" s="315">
        <f t="shared" si="84"/>
        <v>0</v>
      </c>
      <c r="BF507" s="315">
        <f t="shared" si="84"/>
        <v>0</v>
      </c>
      <c r="BG507" s="315">
        <f t="shared" si="84"/>
        <v>0</v>
      </c>
      <c r="BH507" s="315">
        <f t="shared" si="84"/>
        <v>0</v>
      </c>
      <c r="BI507" s="315">
        <f t="shared" si="84"/>
        <v>0</v>
      </c>
      <c r="BJ507" s="315">
        <f t="shared" si="84"/>
        <v>0</v>
      </c>
      <c r="BK507" s="315">
        <f t="shared" si="84"/>
        <v>0</v>
      </c>
      <c r="BL507" s="315">
        <f t="shared" si="84"/>
        <v>0</v>
      </c>
      <c r="BM507" s="315">
        <f t="shared" si="84"/>
        <v>0</v>
      </c>
      <c r="BN507" s="315">
        <f t="shared" si="84"/>
        <v>0</v>
      </c>
      <c r="BO507" s="315">
        <f t="shared" si="84"/>
        <v>0</v>
      </c>
      <c r="BP507" s="315">
        <f t="shared" si="84"/>
        <v>0</v>
      </c>
      <c r="BQ507" s="315">
        <f t="shared" si="84"/>
        <v>0</v>
      </c>
      <c r="BR507" s="315">
        <f t="shared" si="84"/>
        <v>0</v>
      </c>
      <c r="BS507" s="315">
        <f t="shared" si="86"/>
        <v>0</v>
      </c>
      <c r="BT507" s="315">
        <f t="shared" si="86"/>
        <v>0</v>
      </c>
      <c r="BU507" s="315">
        <f t="shared" si="86"/>
        <v>0</v>
      </c>
      <c r="BV507" s="315">
        <f t="shared" si="86"/>
        <v>0</v>
      </c>
      <c r="BW507" s="315">
        <f t="shared" si="86"/>
        <v>0</v>
      </c>
      <c r="BX507" s="315">
        <f t="shared" si="86"/>
        <v>0</v>
      </c>
      <c r="BZ507" s="315">
        <f t="shared" si="83"/>
        <v>0</v>
      </c>
      <c r="CA507" s="315">
        <f t="shared" si="83"/>
        <v>0</v>
      </c>
    </row>
    <row r="508" spans="7:79" hidden="1" x14ac:dyDescent="0.2">
      <c r="G508" s="315">
        <f t="shared" ref="G508:V517" si="87">G119-BY119</f>
        <v>0</v>
      </c>
      <c r="H508" s="315">
        <f t="shared" si="87"/>
        <v>0</v>
      </c>
      <c r="I508" s="315">
        <f t="shared" si="87"/>
        <v>0</v>
      </c>
      <c r="J508" s="315">
        <f t="shared" si="87"/>
        <v>0</v>
      </c>
      <c r="K508" s="315">
        <f t="shared" si="87"/>
        <v>0</v>
      </c>
      <c r="L508" s="315">
        <f t="shared" si="87"/>
        <v>0</v>
      </c>
      <c r="M508" s="315">
        <f t="shared" si="87"/>
        <v>0</v>
      </c>
      <c r="N508" s="315">
        <f t="shared" si="87"/>
        <v>0</v>
      </c>
      <c r="O508" s="315">
        <f t="shared" si="87"/>
        <v>0</v>
      </c>
      <c r="P508" s="315">
        <f t="shared" si="87"/>
        <v>0</v>
      </c>
      <c r="Q508" s="315">
        <f t="shared" si="87"/>
        <v>0</v>
      </c>
      <c r="R508" s="315">
        <f t="shared" si="87"/>
        <v>0</v>
      </c>
      <c r="S508" s="315">
        <f t="shared" si="87"/>
        <v>0</v>
      </c>
      <c r="T508" s="315">
        <f t="shared" si="87"/>
        <v>0</v>
      </c>
      <c r="U508" s="315">
        <f t="shared" si="87"/>
        <v>0</v>
      </c>
      <c r="V508" s="315">
        <f t="shared" si="87"/>
        <v>0</v>
      </c>
      <c r="W508" s="315">
        <f t="shared" si="82"/>
        <v>0</v>
      </c>
      <c r="X508" s="315">
        <f t="shared" si="82"/>
        <v>0</v>
      </c>
      <c r="Y508" s="315">
        <f t="shared" si="82"/>
        <v>0</v>
      </c>
      <c r="Z508" s="315">
        <f t="shared" si="82"/>
        <v>0</v>
      </c>
      <c r="AA508" s="315">
        <f t="shared" si="82"/>
        <v>0</v>
      </c>
      <c r="AB508" s="315">
        <f t="shared" si="82"/>
        <v>0</v>
      </c>
      <c r="AC508" s="315">
        <f t="shared" si="82"/>
        <v>0</v>
      </c>
      <c r="AD508" s="315">
        <f t="shared" si="82"/>
        <v>0</v>
      </c>
      <c r="AE508" s="315">
        <f t="shared" si="82"/>
        <v>0</v>
      </c>
      <c r="AF508" s="315">
        <f t="shared" si="82"/>
        <v>0</v>
      </c>
      <c r="AG508" s="315">
        <f t="shared" si="82"/>
        <v>0</v>
      </c>
      <c r="AH508" s="315">
        <f t="shared" si="82"/>
        <v>0</v>
      </c>
      <c r="AI508" s="315">
        <f t="shared" si="82"/>
        <v>0</v>
      </c>
      <c r="AJ508" s="315">
        <f t="shared" si="82"/>
        <v>0</v>
      </c>
      <c r="AK508" s="315">
        <f t="shared" si="82"/>
        <v>0</v>
      </c>
      <c r="AL508" s="315">
        <f t="shared" si="82"/>
        <v>0</v>
      </c>
      <c r="AM508" s="315">
        <f t="shared" si="85"/>
        <v>0</v>
      </c>
      <c r="AN508" s="315">
        <f t="shared" si="85"/>
        <v>0</v>
      </c>
      <c r="AO508" s="315">
        <f t="shared" si="85"/>
        <v>0</v>
      </c>
      <c r="AP508" s="315">
        <f t="shared" si="85"/>
        <v>0</v>
      </c>
      <c r="AQ508" s="315">
        <f t="shared" si="85"/>
        <v>0</v>
      </c>
      <c r="AR508" s="315">
        <f t="shared" si="85"/>
        <v>0</v>
      </c>
      <c r="AS508" s="315">
        <f t="shared" si="85"/>
        <v>0</v>
      </c>
      <c r="AT508" s="315">
        <f t="shared" si="85"/>
        <v>0</v>
      </c>
      <c r="AU508" s="315">
        <f t="shared" si="85"/>
        <v>0</v>
      </c>
      <c r="AV508" s="315">
        <f t="shared" si="85"/>
        <v>0</v>
      </c>
      <c r="AW508" s="315">
        <f t="shared" si="85"/>
        <v>0</v>
      </c>
      <c r="AX508" s="315">
        <f t="shared" si="85"/>
        <v>0</v>
      </c>
      <c r="AY508" s="315">
        <f t="shared" si="85"/>
        <v>0</v>
      </c>
      <c r="AZ508" s="315">
        <f t="shared" si="85"/>
        <v>0</v>
      </c>
      <c r="BA508" s="315">
        <f t="shared" si="85"/>
        <v>0</v>
      </c>
      <c r="BB508" s="315">
        <f t="shared" si="85"/>
        <v>0</v>
      </c>
      <c r="BC508" s="315">
        <f t="shared" si="84"/>
        <v>0</v>
      </c>
      <c r="BD508" s="315">
        <f t="shared" si="84"/>
        <v>0</v>
      </c>
      <c r="BE508" s="315">
        <f t="shared" si="84"/>
        <v>0</v>
      </c>
      <c r="BF508" s="315">
        <f t="shared" si="84"/>
        <v>0</v>
      </c>
      <c r="BG508" s="315">
        <f t="shared" si="84"/>
        <v>0</v>
      </c>
      <c r="BH508" s="315">
        <f t="shared" si="84"/>
        <v>0</v>
      </c>
      <c r="BI508" s="315">
        <f t="shared" si="84"/>
        <v>0</v>
      </c>
      <c r="BJ508" s="315">
        <f t="shared" si="84"/>
        <v>0</v>
      </c>
      <c r="BK508" s="315">
        <f t="shared" si="84"/>
        <v>0</v>
      </c>
      <c r="BL508" s="315">
        <f t="shared" si="84"/>
        <v>0</v>
      </c>
      <c r="BM508" s="315">
        <f t="shared" si="84"/>
        <v>0</v>
      </c>
      <c r="BN508" s="315">
        <f t="shared" si="84"/>
        <v>0</v>
      </c>
      <c r="BO508" s="315">
        <f t="shared" si="84"/>
        <v>0</v>
      </c>
      <c r="BP508" s="315">
        <f t="shared" si="84"/>
        <v>0</v>
      </c>
      <c r="BQ508" s="315">
        <f t="shared" si="84"/>
        <v>0</v>
      </c>
      <c r="BR508" s="315">
        <f t="shared" si="84"/>
        <v>0</v>
      </c>
      <c r="BS508" s="315">
        <f t="shared" si="86"/>
        <v>0</v>
      </c>
      <c r="BT508" s="315">
        <f t="shared" si="86"/>
        <v>0</v>
      </c>
      <c r="BU508" s="315">
        <f t="shared" si="86"/>
        <v>0</v>
      </c>
      <c r="BV508" s="315">
        <f t="shared" si="86"/>
        <v>0</v>
      </c>
      <c r="BW508" s="315">
        <f t="shared" si="86"/>
        <v>0</v>
      </c>
      <c r="BX508" s="315">
        <f t="shared" si="86"/>
        <v>0</v>
      </c>
      <c r="BZ508" s="315">
        <f t="shared" si="83"/>
        <v>0</v>
      </c>
      <c r="CA508" s="315">
        <f t="shared" si="83"/>
        <v>0</v>
      </c>
    </row>
    <row r="509" spans="7:79" hidden="1" x14ac:dyDescent="0.2">
      <c r="G509" s="315">
        <f t="shared" si="87"/>
        <v>0</v>
      </c>
      <c r="H509" s="315">
        <f t="shared" si="87"/>
        <v>0</v>
      </c>
      <c r="I509" s="315">
        <f t="shared" si="87"/>
        <v>0</v>
      </c>
      <c r="J509" s="315">
        <f t="shared" si="87"/>
        <v>0</v>
      </c>
      <c r="K509" s="315">
        <f t="shared" si="87"/>
        <v>0</v>
      </c>
      <c r="L509" s="315">
        <f t="shared" si="87"/>
        <v>0</v>
      </c>
      <c r="M509" s="315">
        <f t="shared" si="87"/>
        <v>0</v>
      </c>
      <c r="N509" s="315">
        <f t="shared" si="87"/>
        <v>0</v>
      </c>
      <c r="O509" s="315">
        <f t="shared" si="87"/>
        <v>0</v>
      </c>
      <c r="P509" s="315">
        <f t="shared" si="87"/>
        <v>0</v>
      </c>
      <c r="Q509" s="315">
        <f t="shared" si="87"/>
        <v>0</v>
      </c>
      <c r="R509" s="315">
        <f t="shared" si="87"/>
        <v>0</v>
      </c>
      <c r="S509" s="315">
        <f t="shared" si="87"/>
        <v>0</v>
      </c>
      <c r="T509" s="315">
        <f t="shared" si="87"/>
        <v>0</v>
      </c>
      <c r="U509" s="315">
        <f t="shared" si="87"/>
        <v>0</v>
      </c>
      <c r="V509" s="315">
        <f t="shared" si="87"/>
        <v>0</v>
      </c>
      <c r="W509" s="315">
        <f t="shared" si="82"/>
        <v>0</v>
      </c>
      <c r="X509" s="315">
        <f t="shared" si="82"/>
        <v>0</v>
      </c>
      <c r="Y509" s="315">
        <f t="shared" si="82"/>
        <v>0</v>
      </c>
      <c r="Z509" s="315">
        <f t="shared" si="82"/>
        <v>0</v>
      </c>
      <c r="AA509" s="315">
        <f t="shared" si="82"/>
        <v>0</v>
      </c>
      <c r="AB509" s="315">
        <f t="shared" si="82"/>
        <v>0</v>
      </c>
      <c r="AC509" s="315">
        <f t="shared" si="82"/>
        <v>0</v>
      </c>
      <c r="AD509" s="315">
        <f t="shared" si="82"/>
        <v>0</v>
      </c>
      <c r="AE509" s="315">
        <f t="shared" si="82"/>
        <v>0</v>
      </c>
      <c r="AF509" s="315">
        <f t="shared" si="82"/>
        <v>0</v>
      </c>
      <c r="AG509" s="315">
        <f t="shared" si="82"/>
        <v>0</v>
      </c>
      <c r="AH509" s="315">
        <f t="shared" si="82"/>
        <v>0</v>
      </c>
      <c r="AI509" s="315">
        <f t="shared" si="82"/>
        <v>0</v>
      </c>
      <c r="AJ509" s="315">
        <f t="shared" si="82"/>
        <v>0</v>
      </c>
      <c r="AK509" s="315">
        <f t="shared" si="82"/>
        <v>0</v>
      </c>
      <c r="AL509" s="315">
        <f t="shared" si="82"/>
        <v>0</v>
      </c>
      <c r="AM509" s="315">
        <f t="shared" si="85"/>
        <v>0</v>
      </c>
      <c r="AN509" s="315">
        <f t="shared" si="85"/>
        <v>0</v>
      </c>
      <c r="AO509" s="315">
        <f t="shared" si="85"/>
        <v>0</v>
      </c>
      <c r="AP509" s="315">
        <f t="shared" si="85"/>
        <v>0</v>
      </c>
      <c r="AQ509" s="315">
        <f t="shared" si="85"/>
        <v>0</v>
      </c>
      <c r="AR509" s="315">
        <f t="shared" si="85"/>
        <v>0</v>
      </c>
      <c r="AS509" s="315">
        <f t="shared" si="85"/>
        <v>0</v>
      </c>
      <c r="AT509" s="315">
        <f t="shared" si="85"/>
        <v>0</v>
      </c>
      <c r="AU509" s="315">
        <f t="shared" si="85"/>
        <v>0</v>
      </c>
      <c r="AV509" s="315">
        <f t="shared" si="85"/>
        <v>0</v>
      </c>
      <c r="AW509" s="315">
        <f t="shared" si="85"/>
        <v>0</v>
      </c>
      <c r="AX509" s="315">
        <f t="shared" si="85"/>
        <v>0</v>
      </c>
      <c r="AY509" s="315">
        <f t="shared" si="85"/>
        <v>0</v>
      </c>
      <c r="AZ509" s="315">
        <f t="shared" si="85"/>
        <v>0</v>
      </c>
      <c r="BA509" s="315">
        <f t="shared" si="85"/>
        <v>0</v>
      </c>
      <c r="BB509" s="315">
        <f t="shared" si="85"/>
        <v>0</v>
      </c>
      <c r="BC509" s="315">
        <f t="shared" si="84"/>
        <v>0</v>
      </c>
      <c r="BD509" s="315">
        <f t="shared" si="84"/>
        <v>0</v>
      </c>
      <c r="BE509" s="315">
        <f t="shared" si="84"/>
        <v>0</v>
      </c>
      <c r="BF509" s="315">
        <f t="shared" si="84"/>
        <v>0</v>
      </c>
      <c r="BG509" s="315">
        <f t="shared" si="84"/>
        <v>0</v>
      </c>
      <c r="BH509" s="315">
        <f t="shared" si="84"/>
        <v>0</v>
      </c>
      <c r="BI509" s="315">
        <f t="shared" si="84"/>
        <v>0</v>
      </c>
      <c r="BJ509" s="315">
        <f t="shared" si="84"/>
        <v>0</v>
      </c>
      <c r="BK509" s="315">
        <f t="shared" si="84"/>
        <v>0</v>
      </c>
      <c r="BL509" s="315">
        <f t="shared" si="84"/>
        <v>0</v>
      </c>
      <c r="BM509" s="315">
        <f t="shared" si="84"/>
        <v>0</v>
      </c>
      <c r="BN509" s="315">
        <f t="shared" si="84"/>
        <v>0</v>
      </c>
      <c r="BO509" s="315">
        <f t="shared" si="84"/>
        <v>0</v>
      </c>
      <c r="BP509" s="315">
        <f t="shared" si="84"/>
        <v>0</v>
      </c>
      <c r="BQ509" s="315">
        <f t="shared" si="84"/>
        <v>0</v>
      </c>
      <c r="BR509" s="315">
        <f t="shared" si="84"/>
        <v>0</v>
      </c>
      <c r="BS509" s="315">
        <f t="shared" si="86"/>
        <v>0</v>
      </c>
      <c r="BT509" s="315">
        <f t="shared" si="86"/>
        <v>0</v>
      </c>
      <c r="BU509" s="315">
        <f t="shared" si="86"/>
        <v>0</v>
      </c>
      <c r="BV509" s="315">
        <f t="shared" si="86"/>
        <v>0</v>
      </c>
      <c r="BW509" s="315">
        <f t="shared" si="86"/>
        <v>0</v>
      </c>
      <c r="BX509" s="315">
        <f t="shared" si="86"/>
        <v>0</v>
      </c>
      <c r="BZ509" s="315">
        <f t="shared" si="83"/>
        <v>0</v>
      </c>
      <c r="CA509" s="315">
        <f t="shared" si="83"/>
        <v>0</v>
      </c>
    </row>
    <row r="510" spans="7:79" hidden="1" x14ac:dyDescent="0.2">
      <c r="G510" s="315">
        <f t="shared" si="87"/>
        <v>0</v>
      </c>
      <c r="H510" s="315">
        <f t="shared" si="87"/>
        <v>0</v>
      </c>
      <c r="I510" s="315">
        <f t="shared" si="87"/>
        <v>0</v>
      </c>
      <c r="J510" s="315">
        <f t="shared" si="87"/>
        <v>0</v>
      </c>
      <c r="K510" s="315">
        <f t="shared" si="87"/>
        <v>0</v>
      </c>
      <c r="L510" s="315">
        <f t="shared" si="87"/>
        <v>0</v>
      </c>
      <c r="M510" s="315">
        <f t="shared" si="87"/>
        <v>0</v>
      </c>
      <c r="N510" s="315">
        <f t="shared" si="87"/>
        <v>0</v>
      </c>
      <c r="O510" s="315">
        <f t="shared" si="87"/>
        <v>0</v>
      </c>
      <c r="P510" s="315">
        <f t="shared" si="87"/>
        <v>0</v>
      </c>
      <c r="Q510" s="315">
        <f t="shared" si="87"/>
        <v>0</v>
      </c>
      <c r="R510" s="315">
        <f t="shared" si="87"/>
        <v>0</v>
      </c>
      <c r="S510" s="315">
        <f t="shared" si="87"/>
        <v>0</v>
      </c>
      <c r="T510" s="315">
        <f t="shared" si="87"/>
        <v>0</v>
      </c>
      <c r="U510" s="315">
        <f t="shared" si="87"/>
        <v>0</v>
      </c>
      <c r="V510" s="315">
        <f t="shared" si="87"/>
        <v>0</v>
      </c>
      <c r="W510" s="315">
        <f t="shared" si="82"/>
        <v>0</v>
      </c>
      <c r="X510" s="315">
        <f t="shared" si="82"/>
        <v>0</v>
      </c>
      <c r="Y510" s="315">
        <f t="shared" si="82"/>
        <v>0</v>
      </c>
      <c r="Z510" s="315">
        <f t="shared" si="82"/>
        <v>0</v>
      </c>
      <c r="AA510" s="315">
        <f t="shared" si="82"/>
        <v>0</v>
      </c>
      <c r="AB510" s="315">
        <f t="shared" si="82"/>
        <v>0</v>
      </c>
      <c r="AC510" s="315">
        <f t="shared" si="82"/>
        <v>0</v>
      </c>
      <c r="AD510" s="315">
        <f t="shared" si="82"/>
        <v>0</v>
      </c>
      <c r="AE510" s="315">
        <f t="shared" si="82"/>
        <v>0</v>
      </c>
      <c r="AF510" s="315">
        <f t="shared" si="82"/>
        <v>0</v>
      </c>
      <c r="AG510" s="315">
        <f t="shared" si="82"/>
        <v>0</v>
      </c>
      <c r="AH510" s="315">
        <f t="shared" si="82"/>
        <v>0</v>
      </c>
      <c r="AI510" s="315">
        <f t="shared" si="82"/>
        <v>0</v>
      </c>
      <c r="AJ510" s="315">
        <f t="shared" si="82"/>
        <v>0</v>
      </c>
      <c r="AK510" s="315">
        <f t="shared" si="82"/>
        <v>0</v>
      </c>
      <c r="AL510" s="315">
        <f t="shared" si="82"/>
        <v>0</v>
      </c>
      <c r="AM510" s="315">
        <f t="shared" si="85"/>
        <v>0</v>
      </c>
      <c r="AN510" s="315">
        <f t="shared" si="85"/>
        <v>0</v>
      </c>
      <c r="AO510" s="315">
        <f t="shared" si="85"/>
        <v>0</v>
      </c>
      <c r="AP510" s="315">
        <f t="shared" si="85"/>
        <v>0</v>
      </c>
      <c r="AQ510" s="315">
        <f t="shared" si="85"/>
        <v>0</v>
      </c>
      <c r="AR510" s="315">
        <f t="shared" si="85"/>
        <v>0</v>
      </c>
      <c r="AS510" s="315">
        <f t="shared" si="85"/>
        <v>0</v>
      </c>
      <c r="AT510" s="315">
        <f t="shared" si="85"/>
        <v>0</v>
      </c>
      <c r="AU510" s="315">
        <f t="shared" si="85"/>
        <v>0</v>
      </c>
      <c r="AV510" s="315">
        <f t="shared" si="85"/>
        <v>0</v>
      </c>
      <c r="AW510" s="315">
        <f t="shared" si="85"/>
        <v>0</v>
      </c>
      <c r="AX510" s="315">
        <f t="shared" si="85"/>
        <v>0</v>
      </c>
      <c r="AY510" s="315">
        <f t="shared" si="85"/>
        <v>0</v>
      </c>
      <c r="AZ510" s="315">
        <f t="shared" si="85"/>
        <v>0</v>
      </c>
      <c r="BA510" s="315">
        <f t="shared" si="85"/>
        <v>0</v>
      </c>
      <c r="BB510" s="315">
        <f t="shared" si="85"/>
        <v>0</v>
      </c>
      <c r="BC510" s="315">
        <f t="shared" si="84"/>
        <v>0</v>
      </c>
      <c r="BD510" s="315">
        <f t="shared" si="84"/>
        <v>0</v>
      </c>
      <c r="BE510" s="315">
        <f t="shared" si="84"/>
        <v>0</v>
      </c>
      <c r="BF510" s="315">
        <f t="shared" si="84"/>
        <v>0</v>
      </c>
      <c r="BG510" s="315">
        <f t="shared" si="84"/>
        <v>0</v>
      </c>
      <c r="BH510" s="315">
        <f t="shared" si="84"/>
        <v>0</v>
      </c>
      <c r="BI510" s="315">
        <f t="shared" si="84"/>
        <v>0</v>
      </c>
      <c r="BJ510" s="315">
        <f t="shared" si="84"/>
        <v>0</v>
      </c>
      <c r="BK510" s="315">
        <f t="shared" si="84"/>
        <v>0</v>
      </c>
      <c r="BL510" s="315">
        <f t="shared" si="84"/>
        <v>0</v>
      </c>
      <c r="BM510" s="315">
        <f t="shared" si="84"/>
        <v>0</v>
      </c>
      <c r="BN510" s="315">
        <f t="shared" si="84"/>
        <v>0</v>
      </c>
      <c r="BO510" s="315">
        <f t="shared" si="84"/>
        <v>0</v>
      </c>
      <c r="BP510" s="315">
        <f t="shared" si="84"/>
        <v>0</v>
      </c>
      <c r="BQ510" s="315">
        <f t="shared" si="84"/>
        <v>0</v>
      </c>
      <c r="BR510" s="315">
        <f t="shared" si="84"/>
        <v>0</v>
      </c>
      <c r="BS510" s="315">
        <f t="shared" si="86"/>
        <v>0</v>
      </c>
      <c r="BT510" s="315">
        <f t="shared" si="86"/>
        <v>0</v>
      </c>
      <c r="BU510" s="315">
        <f t="shared" si="86"/>
        <v>0</v>
      </c>
      <c r="BV510" s="315">
        <f t="shared" si="86"/>
        <v>0</v>
      </c>
      <c r="BW510" s="315">
        <f t="shared" si="86"/>
        <v>0</v>
      </c>
      <c r="BX510" s="315">
        <f t="shared" si="86"/>
        <v>0</v>
      </c>
      <c r="BZ510" s="315">
        <f t="shared" si="83"/>
        <v>0</v>
      </c>
      <c r="CA510" s="315">
        <f t="shared" si="83"/>
        <v>0</v>
      </c>
    </row>
    <row r="511" spans="7:79" hidden="1" x14ac:dyDescent="0.2">
      <c r="G511" s="315">
        <f t="shared" si="87"/>
        <v>0</v>
      </c>
      <c r="H511" s="315">
        <f t="shared" si="87"/>
        <v>0</v>
      </c>
      <c r="I511" s="315">
        <f t="shared" si="87"/>
        <v>0</v>
      </c>
      <c r="J511" s="315">
        <f t="shared" si="87"/>
        <v>0</v>
      </c>
      <c r="K511" s="315">
        <f t="shared" si="87"/>
        <v>0</v>
      </c>
      <c r="L511" s="315">
        <f t="shared" si="87"/>
        <v>0</v>
      </c>
      <c r="M511" s="315">
        <f t="shared" si="87"/>
        <v>0</v>
      </c>
      <c r="N511" s="315">
        <f t="shared" si="87"/>
        <v>0</v>
      </c>
      <c r="O511" s="315">
        <f t="shared" si="87"/>
        <v>0</v>
      </c>
      <c r="P511" s="315">
        <f t="shared" si="87"/>
        <v>0</v>
      </c>
      <c r="Q511" s="315">
        <f t="shared" si="87"/>
        <v>0</v>
      </c>
      <c r="R511" s="315">
        <f t="shared" si="87"/>
        <v>0</v>
      </c>
      <c r="S511" s="315">
        <f t="shared" si="87"/>
        <v>0</v>
      </c>
      <c r="T511" s="315">
        <f t="shared" si="87"/>
        <v>0</v>
      </c>
      <c r="U511" s="315">
        <f t="shared" si="87"/>
        <v>0</v>
      </c>
      <c r="V511" s="315">
        <f t="shared" si="87"/>
        <v>0</v>
      </c>
      <c r="W511" s="315">
        <f t="shared" si="82"/>
        <v>0</v>
      </c>
      <c r="X511" s="315">
        <f t="shared" si="82"/>
        <v>0</v>
      </c>
      <c r="Y511" s="315">
        <f t="shared" si="82"/>
        <v>0</v>
      </c>
      <c r="Z511" s="315">
        <f t="shared" si="82"/>
        <v>0</v>
      </c>
      <c r="AA511" s="315">
        <f t="shared" si="82"/>
        <v>0</v>
      </c>
      <c r="AB511" s="315">
        <f t="shared" si="82"/>
        <v>0</v>
      </c>
      <c r="AC511" s="315">
        <f t="shared" si="82"/>
        <v>0</v>
      </c>
      <c r="AD511" s="315">
        <f t="shared" si="82"/>
        <v>0</v>
      </c>
      <c r="AE511" s="315">
        <f t="shared" si="82"/>
        <v>0</v>
      </c>
      <c r="AF511" s="315">
        <f t="shared" si="82"/>
        <v>0</v>
      </c>
      <c r="AG511" s="315">
        <f t="shared" si="82"/>
        <v>0</v>
      </c>
      <c r="AH511" s="315">
        <f t="shared" si="82"/>
        <v>0</v>
      </c>
      <c r="AI511" s="315">
        <f t="shared" si="82"/>
        <v>0</v>
      </c>
      <c r="AJ511" s="315">
        <f t="shared" si="82"/>
        <v>0</v>
      </c>
      <c r="AK511" s="315">
        <f t="shared" si="82"/>
        <v>0</v>
      </c>
      <c r="AL511" s="315">
        <f t="shared" si="82"/>
        <v>0</v>
      </c>
      <c r="AM511" s="315">
        <f t="shared" si="85"/>
        <v>0</v>
      </c>
      <c r="AN511" s="315">
        <f t="shared" si="85"/>
        <v>0</v>
      </c>
      <c r="AO511" s="315">
        <f t="shared" si="85"/>
        <v>0</v>
      </c>
      <c r="AP511" s="315">
        <f t="shared" si="85"/>
        <v>0</v>
      </c>
      <c r="AQ511" s="315">
        <f t="shared" si="85"/>
        <v>0</v>
      </c>
      <c r="AR511" s="315">
        <f t="shared" si="85"/>
        <v>0</v>
      </c>
      <c r="AS511" s="315">
        <f t="shared" si="85"/>
        <v>0</v>
      </c>
      <c r="AT511" s="315">
        <f t="shared" si="85"/>
        <v>0</v>
      </c>
      <c r="AU511" s="315">
        <f t="shared" si="85"/>
        <v>0</v>
      </c>
      <c r="AV511" s="315">
        <f t="shared" si="85"/>
        <v>0</v>
      </c>
      <c r="AW511" s="315">
        <f t="shared" si="85"/>
        <v>0</v>
      </c>
      <c r="AX511" s="315">
        <f t="shared" si="85"/>
        <v>0</v>
      </c>
      <c r="AY511" s="315">
        <f t="shared" si="85"/>
        <v>0</v>
      </c>
      <c r="AZ511" s="315">
        <f t="shared" si="85"/>
        <v>0</v>
      </c>
      <c r="BA511" s="315">
        <f t="shared" si="85"/>
        <v>0</v>
      </c>
      <c r="BB511" s="315">
        <f t="shared" si="85"/>
        <v>0</v>
      </c>
      <c r="BC511" s="315">
        <f t="shared" si="84"/>
        <v>0</v>
      </c>
      <c r="BD511" s="315">
        <f t="shared" si="84"/>
        <v>0</v>
      </c>
      <c r="BE511" s="315">
        <f t="shared" si="84"/>
        <v>0</v>
      </c>
      <c r="BF511" s="315">
        <f t="shared" si="84"/>
        <v>0</v>
      </c>
      <c r="BG511" s="315">
        <f t="shared" si="84"/>
        <v>0</v>
      </c>
      <c r="BH511" s="315">
        <f t="shared" si="84"/>
        <v>0</v>
      </c>
      <c r="BI511" s="315">
        <f t="shared" si="84"/>
        <v>0</v>
      </c>
      <c r="BJ511" s="315">
        <f t="shared" si="84"/>
        <v>0</v>
      </c>
      <c r="BK511" s="315">
        <f t="shared" si="84"/>
        <v>0</v>
      </c>
      <c r="BL511" s="315">
        <f t="shared" si="84"/>
        <v>0</v>
      </c>
      <c r="BM511" s="315">
        <f t="shared" si="84"/>
        <v>0</v>
      </c>
      <c r="BN511" s="315">
        <f t="shared" si="84"/>
        <v>0</v>
      </c>
      <c r="BO511" s="315">
        <f t="shared" si="84"/>
        <v>0</v>
      </c>
      <c r="BP511" s="315">
        <f t="shared" si="84"/>
        <v>0</v>
      </c>
      <c r="BQ511" s="315">
        <f t="shared" si="84"/>
        <v>0</v>
      </c>
      <c r="BR511" s="315">
        <f t="shared" si="84"/>
        <v>0</v>
      </c>
      <c r="BS511" s="315">
        <f t="shared" si="86"/>
        <v>0</v>
      </c>
      <c r="BT511" s="315">
        <f t="shared" si="86"/>
        <v>0</v>
      </c>
      <c r="BU511" s="315">
        <f t="shared" si="86"/>
        <v>0</v>
      </c>
      <c r="BV511" s="315">
        <f t="shared" si="86"/>
        <v>0</v>
      </c>
      <c r="BW511" s="315">
        <f t="shared" si="86"/>
        <v>0</v>
      </c>
      <c r="BX511" s="315">
        <f t="shared" si="86"/>
        <v>0</v>
      </c>
      <c r="BZ511" s="315">
        <f t="shared" si="83"/>
        <v>0</v>
      </c>
      <c r="CA511" s="315">
        <f t="shared" si="83"/>
        <v>0</v>
      </c>
    </row>
    <row r="512" spans="7:79" hidden="1" x14ac:dyDescent="0.2">
      <c r="G512" s="315">
        <f t="shared" si="87"/>
        <v>0</v>
      </c>
      <c r="H512" s="315">
        <f t="shared" si="87"/>
        <v>0</v>
      </c>
      <c r="I512" s="315">
        <f t="shared" si="87"/>
        <v>0</v>
      </c>
      <c r="J512" s="315">
        <f t="shared" si="87"/>
        <v>0</v>
      </c>
      <c r="K512" s="315">
        <f t="shared" si="87"/>
        <v>0</v>
      </c>
      <c r="L512" s="315">
        <f t="shared" si="87"/>
        <v>0</v>
      </c>
      <c r="M512" s="315">
        <f t="shared" si="87"/>
        <v>0</v>
      </c>
      <c r="N512" s="315">
        <f t="shared" si="87"/>
        <v>0</v>
      </c>
      <c r="O512" s="315">
        <f t="shared" si="87"/>
        <v>0</v>
      </c>
      <c r="P512" s="315">
        <f t="shared" si="87"/>
        <v>0</v>
      </c>
      <c r="Q512" s="315">
        <f t="shared" si="87"/>
        <v>0</v>
      </c>
      <c r="R512" s="315">
        <f t="shared" si="87"/>
        <v>0</v>
      </c>
      <c r="S512" s="315">
        <f t="shared" si="87"/>
        <v>0</v>
      </c>
      <c r="T512" s="315">
        <f t="shared" si="87"/>
        <v>0</v>
      </c>
      <c r="U512" s="315">
        <f t="shared" si="87"/>
        <v>0</v>
      </c>
      <c r="V512" s="315">
        <f t="shared" si="87"/>
        <v>0</v>
      </c>
      <c r="W512" s="315">
        <f t="shared" ref="W512:AL517" si="88">W123-CO123</f>
        <v>0</v>
      </c>
      <c r="X512" s="315">
        <f t="shared" si="88"/>
        <v>0</v>
      </c>
      <c r="Y512" s="315">
        <f t="shared" si="88"/>
        <v>0</v>
      </c>
      <c r="Z512" s="315">
        <f t="shared" si="88"/>
        <v>0</v>
      </c>
      <c r="AA512" s="315">
        <f t="shared" si="88"/>
        <v>0</v>
      </c>
      <c r="AB512" s="315">
        <f t="shared" si="88"/>
        <v>0</v>
      </c>
      <c r="AC512" s="315">
        <f t="shared" si="88"/>
        <v>0</v>
      </c>
      <c r="AD512" s="315">
        <f t="shared" si="88"/>
        <v>0</v>
      </c>
      <c r="AE512" s="315">
        <f t="shared" si="88"/>
        <v>0</v>
      </c>
      <c r="AF512" s="315">
        <f t="shared" si="88"/>
        <v>0</v>
      </c>
      <c r="AG512" s="315">
        <f t="shared" si="88"/>
        <v>0</v>
      </c>
      <c r="AH512" s="315">
        <f t="shared" si="88"/>
        <v>0</v>
      </c>
      <c r="AI512" s="315">
        <f t="shared" si="88"/>
        <v>0</v>
      </c>
      <c r="AJ512" s="315">
        <f t="shared" si="88"/>
        <v>0</v>
      </c>
      <c r="AK512" s="315">
        <f t="shared" si="88"/>
        <v>0</v>
      </c>
      <c r="AL512" s="315">
        <f t="shared" si="88"/>
        <v>0</v>
      </c>
      <c r="AM512" s="315">
        <f t="shared" si="85"/>
        <v>0</v>
      </c>
      <c r="AN512" s="315">
        <f t="shared" si="85"/>
        <v>0</v>
      </c>
      <c r="AO512" s="315">
        <f t="shared" si="85"/>
        <v>0</v>
      </c>
      <c r="AP512" s="315">
        <f t="shared" si="85"/>
        <v>0</v>
      </c>
      <c r="AQ512" s="315">
        <f t="shared" si="85"/>
        <v>0</v>
      </c>
      <c r="AR512" s="315">
        <f t="shared" si="85"/>
        <v>0</v>
      </c>
      <c r="AS512" s="315">
        <f t="shared" si="85"/>
        <v>0</v>
      </c>
      <c r="AT512" s="315">
        <f t="shared" si="85"/>
        <v>0</v>
      </c>
      <c r="AU512" s="315">
        <f t="shared" si="85"/>
        <v>0</v>
      </c>
      <c r="AV512" s="315">
        <f t="shared" si="85"/>
        <v>0</v>
      </c>
      <c r="AW512" s="315">
        <f t="shared" si="85"/>
        <v>0</v>
      </c>
      <c r="AX512" s="315">
        <f t="shared" si="85"/>
        <v>0</v>
      </c>
      <c r="AY512" s="315">
        <f t="shared" si="85"/>
        <v>0</v>
      </c>
      <c r="AZ512" s="315">
        <f t="shared" si="85"/>
        <v>0</v>
      </c>
      <c r="BA512" s="315">
        <f t="shared" si="85"/>
        <v>0</v>
      </c>
      <c r="BB512" s="315">
        <f t="shared" si="85"/>
        <v>0</v>
      </c>
      <c r="BC512" s="315">
        <f t="shared" si="84"/>
        <v>0</v>
      </c>
      <c r="BD512" s="315">
        <f t="shared" si="84"/>
        <v>0</v>
      </c>
      <c r="BE512" s="315">
        <f t="shared" si="84"/>
        <v>0</v>
      </c>
      <c r="BF512" s="315">
        <f t="shared" si="84"/>
        <v>0</v>
      </c>
      <c r="BG512" s="315">
        <f t="shared" si="84"/>
        <v>0</v>
      </c>
      <c r="BH512" s="315">
        <f t="shared" si="84"/>
        <v>0</v>
      </c>
      <c r="BI512" s="315">
        <f t="shared" si="84"/>
        <v>0</v>
      </c>
      <c r="BJ512" s="315">
        <f t="shared" si="84"/>
        <v>0</v>
      </c>
      <c r="BK512" s="315">
        <f t="shared" si="84"/>
        <v>0</v>
      </c>
      <c r="BL512" s="315">
        <f t="shared" si="84"/>
        <v>0</v>
      </c>
      <c r="BM512" s="315">
        <f t="shared" si="84"/>
        <v>0</v>
      </c>
      <c r="BN512" s="315">
        <f t="shared" si="84"/>
        <v>0</v>
      </c>
      <c r="BO512" s="315">
        <f t="shared" si="84"/>
        <v>0</v>
      </c>
      <c r="BP512" s="315">
        <f t="shared" si="84"/>
        <v>0</v>
      </c>
      <c r="BQ512" s="315">
        <f t="shared" si="84"/>
        <v>0</v>
      </c>
      <c r="BR512" s="315">
        <f t="shared" si="84"/>
        <v>0</v>
      </c>
      <c r="BS512" s="315">
        <f t="shared" si="86"/>
        <v>0</v>
      </c>
      <c r="BT512" s="315">
        <f t="shared" si="86"/>
        <v>0</v>
      </c>
      <c r="BU512" s="315">
        <f t="shared" si="86"/>
        <v>0</v>
      </c>
      <c r="BV512" s="315">
        <f t="shared" si="86"/>
        <v>0</v>
      </c>
      <c r="BW512" s="315">
        <f t="shared" si="86"/>
        <v>0</v>
      </c>
      <c r="BX512" s="315">
        <f t="shared" si="86"/>
        <v>0</v>
      </c>
      <c r="BZ512" s="315">
        <f t="shared" si="83"/>
        <v>0</v>
      </c>
      <c r="CA512" s="315">
        <f t="shared" si="83"/>
        <v>0</v>
      </c>
    </row>
    <row r="513" spans="7:79" hidden="1" x14ac:dyDescent="0.2">
      <c r="G513" s="315">
        <f t="shared" si="87"/>
        <v>-30251715</v>
      </c>
      <c r="H513" s="315">
        <f t="shared" si="87"/>
        <v>0</v>
      </c>
      <c r="I513" s="315">
        <f t="shared" si="87"/>
        <v>0</v>
      </c>
      <c r="J513" s="315">
        <f t="shared" si="87"/>
        <v>0</v>
      </c>
      <c r="K513" s="315">
        <f t="shared" si="87"/>
        <v>0</v>
      </c>
      <c r="L513" s="315">
        <f t="shared" si="87"/>
        <v>-5833339</v>
      </c>
      <c r="M513" s="315">
        <f t="shared" si="87"/>
        <v>0</v>
      </c>
      <c r="N513" s="315">
        <f t="shared" si="87"/>
        <v>0</v>
      </c>
      <c r="O513" s="315">
        <f t="shared" si="87"/>
        <v>0</v>
      </c>
      <c r="P513" s="315">
        <f t="shared" si="87"/>
        <v>0</v>
      </c>
      <c r="Q513" s="315">
        <f t="shared" si="87"/>
        <v>-1659710</v>
      </c>
      <c r="R513" s="315">
        <f t="shared" si="87"/>
        <v>0</v>
      </c>
      <c r="S513" s="315">
        <f t="shared" si="87"/>
        <v>0</v>
      </c>
      <c r="T513" s="315">
        <f t="shared" si="87"/>
        <v>0</v>
      </c>
      <c r="U513" s="315">
        <f t="shared" si="87"/>
        <v>0</v>
      </c>
      <c r="V513" s="315">
        <f t="shared" si="87"/>
        <v>610000</v>
      </c>
      <c r="W513" s="315">
        <f t="shared" si="88"/>
        <v>0</v>
      </c>
      <c r="X513" s="315">
        <f t="shared" si="88"/>
        <v>0</v>
      </c>
      <c r="Y513" s="315">
        <f t="shared" si="88"/>
        <v>0</v>
      </c>
      <c r="Z513" s="315">
        <f t="shared" si="88"/>
        <v>0</v>
      </c>
      <c r="AA513" s="315">
        <f t="shared" si="88"/>
        <v>1250000</v>
      </c>
      <c r="AB513" s="315">
        <f t="shared" si="88"/>
        <v>0</v>
      </c>
      <c r="AC513" s="315">
        <f t="shared" si="88"/>
        <v>0</v>
      </c>
      <c r="AD513" s="315">
        <f t="shared" si="88"/>
        <v>0</v>
      </c>
      <c r="AE513" s="315">
        <f t="shared" si="88"/>
        <v>0</v>
      </c>
      <c r="AF513" s="315">
        <f t="shared" si="88"/>
        <v>3000</v>
      </c>
      <c r="AG513" s="315">
        <f t="shared" si="88"/>
        <v>0</v>
      </c>
      <c r="AH513" s="315">
        <f t="shared" si="88"/>
        <v>0</v>
      </c>
      <c r="AI513" s="315">
        <f t="shared" si="88"/>
        <v>0</v>
      </c>
      <c r="AJ513" s="315">
        <f t="shared" si="88"/>
        <v>0</v>
      </c>
      <c r="AK513" s="315">
        <f t="shared" si="88"/>
        <v>3069000</v>
      </c>
      <c r="AL513" s="315">
        <f t="shared" si="88"/>
        <v>0</v>
      </c>
      <c r="AM513" s="315">
        <f t="shared" si="85"/>
        <v>0</v>
      </c>
      <c r="AN513" s="315">
        <f t="shared" si="85"/>
        <v>0</v>
      </c>
      <c r="AO513" s="315">
        <f t="shared" si="85"/>
        <v>0</v>
      </c>
      <c r="AP513" s="315">
        <f t="shared" si="85"/>
        <v>1436000</v>
      </c>
      <c r="AQ513" s="315">
        <f t="shared" si="85"/>
        <v>0</v>
      </c>
      <c r="AR513" s="315">
        <f t="shared" si="85"/>
        <v>0</v>
      </c>
      <c r="AS513" s="315">
        <f t="shared" si="85"/>
        <v>0</v>
      </c>
      <c r="AT513" s="315">
        <f t="shared" si="85"/>
        <v>0</v>
      </c>
      <c r="AU513" s="315">
        <f t="shared" si="85"/>
        <v>-2848</v>
      </c>
      <c r="AV513" s="315">
        <f t="shared" si="85"/>
        <v>0</v>
      </c>
      <c r="AW513" s="315">
        <f t="shared" si="85"/>
        <v>0</v>
      </c>
      <c r="AX513" s="315">
        <f t="shared" si="85"/>
        <v>0</v>
      </c>
      <c r="AY513" s="315">
        <f t="shared" si="85"/>
        <v>0</v>
      </c>
      <c r="AZ513" s="315">
        <f t="shared" si="85"/>
        <v>-3901000</v>
      </c>
      <c r="BA513" s="315">
        <f t="shared" si="85"/>
        <v>0</v>
      </c>
      <c r="BB513" s="315">
        <f t="shared" si="85"/>
        <v>0</v>
      </c>
      <c r="BC513" s="315">
        <f t="shared" si="84"/>
        <v>0</v>
      </c>
      <c r="BD513" s="315">
        <f t="shared" si="84"/>
        <v>0</v>
      </c>
      <c r="BE513" s="315">
        <f t="shared" si="84"/>
        <v>-1957559</v>
      </c>
      <c r="BF513" s="315">
        <f t="shared" si="84"/>
        <v>0</v>
      </c>
      <c r="BG513" s="315">
        <f t="shared" si="84"/>
        <v>0</v>
      </c>
      <c r="BH513" s="315">
        <f t="shared" si="84"/>
        <v>0</v>
      </c>
      <c r="BI513" s="315">
        <f t="shared" si="84"/>
        <v>0</v>
      </c>
      <c r="BJ513" s="315">
        <f t="shared" si="84"/>
        <v>-1301259</v>
      </c>
      <c r="BK513" s="315">
        <f t="shared" si="84"/>
        <v>0</v>
      </c>
      <c r="BL513" s="315">
        <f t="shared" si="84"/>
        <v>0</v>
      </c>
      <c r="BM513" s="315">
        <f t="shared" si="84"/>
        <v>0</v>
      </c>
      <c r="BN513" s="315">
        <f t="shared" si="84"/>
        <v>0</v>
      </c>
      <c r="BO513" s="315">
        <f t="shared" si="84"/>
        <v>-3900000</v>
      </c>
      <c r="BP513" s="315">
        <f t="shared" si="84"/>
        <v>0</v>
      </c>
      <c r="BQ513" s="315">
        <f t="shared" si="84"/>
        <v>0</v>
      </c>
      <c r="BR513" s="315">
        <f t="shared" si="84"/>
        <v>0</v>
      </c>
      <c r="BS513" s="315">
        <f t="shared" si="86"/>
        <v>0</v>
      </c>
      <c r="BT513" s="315">
        <f t="shared" si="86"/>
        <v>-1125049</v>
      </c>
      <c r="BU513" s="315">
        <f t="shared" si="86"/>
        <v>0</v>
      </c>
      <c r="BV513" s="315">
        <f t="shared" si="86"/>
        <v>0</v>
      </c>
      <c r="BW513" s="315">
        <f t="shared" si="86"/>
        <v>0</v>
      </c>
      <c r="BX513" s="315">
        <f t="shared" si="86"/>
        <v>0</v>
      </c>
      <c r="BZ513" s="315">
        <f t="shared" si="83"/>
        <v>0</v>
      </c>
      <c r="CA513" s="315">
        <f t="shared" si="83"/>
        <v>0</v>
      </c>
    </row>
    <row r="514" spans="7:79" hidden="1" x14ac:dyDescent="0.2">
      <c r="G514" s="315">
        <f t="shared" si="87"/>
        <v>-25375940</v>
      </c>
      <c r="H514" s="315">
        <f t="shared" si="87"/>
        <v>0</v>
      </c>
      <c r="I514" s="315">
        <f t="shared" si="87"/>
        <v>0</v>
      </c>
      <c r="J514" s="315">
        <f t="shared" si="87"/>
        <v>0</v>
      </c>
      <c r="K514" s="315">
        <f t="shared" si="87"/>
        <v>0</v>
      </c>
      <c r="L514" s="315">
        <f t="shared" si="87"/>
        <v>-4694340</v>
      </c>
      <c r="M514" s="315">
        <f t="shared" si="87"/>
        <v>0</v>
      </c>
      <c r="N514" s="315">
        <f t="shared" si="87"/>
        <v>0</v>
      </c>
      <c r="O514" s="315">
        <f t="shared" si="87"/>
        <v>0</v>
      </c>
      <c r="P514" s="315">
        <f t="shared" si="87"/>
        <v>0</v>
      </c>
      <c r="Q514" s="315">
        <f t="shared" si="87"/>
        <v>-1391388</v>
      </c>
      <c r="R514" s="315">
        <f t="shared" si="87"/>
        <v>0</v>
      </c>
      <c r="S514" s="315">
        <f t="shared" si="87"/>
        <v>0</v>
      </c>
      <c r="T514" s="315">
        <f t="shared" si="87"/>
        <v>0</v>
      </c>
      <c r="U514" s="315">
        <f t="shared" si="87"/>
        <v>0</v>
      </c>
      <c r="V514" s="315">
        <f t="shared" si="87"/>
        <v>385195</v>
      </c>
      <c r="W514" s="315">
        <f t="shared" si="88"/>
        <v>0</v>
      </c>
      <c r="X514" s="315">
        <f t="shared" si="88"/>
        <v>0</v>
      </c>
      <c r="Y514" s="315">
        <f t="shared" si="88"/>
        <v>0</v>
      </c>
      <c r="Z514" s="315">
        <f t="shared" si="88"/>
        <v>0</v>
      </c>
      <c r="AA514" s="315">
        <f t="shared" si="88"/>
        <v>768601</v>
      </c>
      <c r="AB514" s="315">
        <f t="shared" si="88"/>
        <v>0</v>
      </c>
      <c r="AC514" s="315">
        <f t="shared" si="88"/>
        <v>0</v>
      </c>
      <c r="AD514" s="315">
        <f t="shared" si="88"/>
        <v>0</v>
      </c>
      <c r="AE514" s="315">
        <f t="shared" si="88"/>
        <v>0</v>
      </c>
      <c r="AF514" s="315">
        <f t="shared" si="88"/>
        <v>-80223</v>
      </c>
      <c r="AG514" s="315">
        <f t="shared" si="88"/>
        <v>0</v>
      </c>
      <c r="AH514" s="315">
        <f t="shared" si="88"/>
        <v>0</v>
      </c>
      <c r="AI514" s="315">
        <f t="shared" si="88"/>
        <v>0</v>
      </c>
      <c r="AJ514" s="315">
        <f t="shared" si="88"/>
        <v>0</v>
      </c>
      <c r="AK514" s="315">
        <f t="shared" si="88"/>
        <v>2344624</v>
      </c>
      <c r="AL514" s="315">
        <f t="shared" si="88"/>
        <v>0</v>
      </c>
      <c r="AM514" s="315">
        <f t="shared" si="85"/>
        <v>0</v>
      </c>
      <c r="AN514" s="315">
        <f t="shared" si="85"/>
        <v>0</v>
      </c>
      <c r="AO514" s="315">
        <f t="shared" si="85"/>
        <v>0</v>
      </c>
      <c r="AP514" s="315">
        <f t="shared" si="85"/>
        <v>1129892</v>
      </c>
      <c r="AQ514" s="315">
        <f t="shared" si="85"/>
        <v>0</v>
      </c>
      <c r="AR514" s="315">
        <f t="shared" si="85"/>
        <v>0</v>
      </c>
      <c r="AS514" s="315">
        <f t="shared" si="85"/>
        <v>0</v>
      </c>
      <c r="AT514" s="315">
        <f t="shared" si="85"/>
        <v>0</v>
      </c>
      <c r="AU514" s="315">
        <f t="shared" si="85"/>
        <v>-2370</v>
      </c>
      <c r="AV514" s="315">
        <f t="shared" si="85"/>
        <v>0</v>
      </c>
      <c r="AW514" s="315">
        <f t="shared" si="85"/>
        <v>0</v>
      </c>
      <c r="AX514" s="315">
        <f t="shared" si="85"/>
        <v>0</v>
      </c>
      <c r="AY514" s="315">
        <f t="shared" si="85"/>
        <v>0</v>
      </c>
      <c r="AZ514" s="315">
        <f t="shared" si="85"/>
        <v>-3247731</v>
      </c>
      <c r="BA514" s="315">
        <f t="shared" si="85"/>
        <v>0</v>
      </c>
      <c r="BB514" s="315">
        <f t="shared" si="85"/>
        <v>0</v>
      </c>
      <c r="BC514" s="315">
        <f t="shared" si="84"/>
        <v>0</v>
      </c>
      <c r="BD514" s="315">
        <f t="shared" si="84"/>
        <v>0</v>
      </c>
      <c r="BE514" s="315">
        <f t="shared" si="84"/>
        <v>-1633143</v>
      </c>
      <c r="BF514" s="315">
        <f t="shared" si="84"/>
        <v>0</v>
      </c>
      <c r="BG514" s="315">
        <f t="shared" si="84"/>
        <v>0</v>
      </c>
      <c r="BH514" s="315">
        <f t="shared" si="84"/>
        <v>0</v>
      </c>
      <c r="BI514" s="315">
        <f t="shared" si="84"/>
        <v>0</v>
      </c>
      <c r="BJ514" s="315">
        <f t="shared" si="84"/>
        <v>-1136065</v>
      </c>
      <c r="BK514" s="315">
        <f t="shared" si="84"/>
        <v>0</v>
      </c>
      <c r="BL514" s="315">
        <f t="shared" si="84"/>
        <v>0</v>
      </c>
      <c r="BM514" s="315">
        <f t="shared" si="84"/>
        <v>0</v>
      </c>
      <c r="BN514" s="315">
        <f t="shared" si="84"/>
        <v>0</v>
      </c>
      <c r="BO514" s="315">
        <f t="shared" si="84"/>
        <v>-3210256</v>
      </c>
      <c r="BP514" s="315">
        <f t="shared" si="84"/>
        <v>0</v>
      </c>
      <c r="BQ514" s="315">
        <f t="shared" si="84"/>
        <v>0</v>
      </c>
      <c r="BR514" s="315">
        <f t="shared" si="84"/>
        <v>0</v>
      </c>
      <c r="BS514" s="315">
        <f t="shared" si="86"/>
        <v>0</v>
      </c>
      <c r="BT514" s="315">
        <f t="shared" si="86"/>
        <v>-1537639</v>
      </c>
      <c r="BU514" s="315">
        <f t="shared" si="86"/>
        <v>0</v>
      </c>
      <c r="BV514" s="315">
        <f t="shared" si="86"/>
        <v>0</v>
      </c>
      <c r="BW514" s="315">
        <f t="shared" si="86"/>
        <v>0</v>
      </c>
      <c r="BX514" s="315">
        <f t="shared" si="86"/>
        <v>0</v>
      </c>
      <c r="BZ514" s="315">
        <f t="shared" si="83"/>
        <v>0</v>
      </c>
      <c r="CA514" s="315">
        <f t="shared" si="83"/>
        <v>0</v>
      </c>
    </row>
    <row r="515" spans="7:79" hidden="1" x14ac:dyDescent="0.2">
      <c r="G515" s="315">
        <f t="shared" si="87"/>
        <v>-4875775</v>
      </c>
      <c r="H515" s="315">
        <f t="shared" si="87"/>
        <v>0</v>
      </c>
      <c r="I515" s="315">
        <f t="shared" si="87"/>
        <v>0</v>
      </c>
      <c r="J515" s="315">
        <f t="shared" si="87"/>
        <v>0</v>
      </c>
      <c r="K515" s="315">
        <f t="shared" si="87"/>
        <v>0</v>
      </c>
      <c r="L515" s="315">
        <f t="shared" si="87"/>
        <v>-1138999</v>
      </c>
      <c r="M515" s="315">
        <f t="shared" si="87"/>
        <v>0</v>
      </c>
      <c r="N515" s="315">
        <f t="shared" si="87"/>
        <v>0</v>
      </c>
      <c r="O515" s="315">
        <f t="shared" si="87"/>
        <v>0</v>
      </c>
      <c r="P515" s="315">
        <f t="shared" si="87"/>
        <v>0</v>
      </c>
      <c r="Q515" s="315">
        <f t="shared" si="87"/>
        <v>-268322</v>
      </c>
      <c r="R515" s="315">
        <f t="shared" si="87"/>
        <v>0</v>
      </c>
      <c r="S515" s="315">
        <f t="shared" si="87"/>
        <v>0</v>
      </c>
      <c r="T515" s="315">
        <f t="shared" si="87"/>
        <v>0</v>
      </c>
      <c r="U515" s="315">
        <f t="shared" si="87"/>
        <v>0</v>
      </c>
      <c r="V515" s="315">
        <f t="shared" si="87"/>
        <v>224805</v>
      </c>
      <c r="W515" s="315">
        <f t="shared" si="88"/>
        <v>0</v>
      </c>
      <c r="X515" s="315">
        <f t="shared" si="88"/>
        <v>0</v>
      </c>
      <c r="Y515" s="315">
        <f t="shared" si="88"/>
        <v>0</v>
      </c>
      <c r="Z515" s="315">
        <f t="shared" si="88"/>
        <v>0</v>
      </c>
      <c r="AA515" s="315">
        <f t="shared" si="88"/>
        <v>481399</v>
      </c>
      <c r="AB515" s="315">
        <f t="shared" si="88"/>
        <v>0</v>
      </c>
      <c r="AC515" s="315">
        <f t="shared" si="88"/>
        <v>0</v>
      </c>
      <c r="AD515" s="315">
        <f t="shared" si="88"/>
        <v>0</v>
      </c>
      <c r="AE515" s="315">
        <f t="shared" si="88"/>
        <v>0</v>
      </c>
      <c r="AF515" s="315">
        <f t="shared" si="88"/>
        <v>83223</v>
      </c>
      <c r="AG515" s="315">
        <f t="shared" si="88"/>
        <v>0</v>
      </c>
      <c r="AH515" s="315">
        <f t="shared" si="88"/>
        <v>0</v>
      </c>
      <c r="AI515" s="315">
        <f t="shared" si="88"/>
        <v>0</v>
      </c>
      <c r="AJ515" s="315">
        <f t="shared" si="88"/>
        <v>0</v>
      </c>
      <c r="AK515" s="315">
        <f t="shared" si="88"/>
        <v>724376</v>
      </c>
      <c r="AL515" s="315">
        <f t="shared" si="88"/>
        <v>0</v>
      </c>
      <c r="AM515" s="315">
        <f t="shared" si="85"/>
        <v>0</v>
      </c>
      <c r="AN515" s="315">
        <f t="shared" si="85"/>
        <v>0</v>
      </c>
      <c r="AO515" s="315">
        <f t="shared" si="85"/>
        <v>0</v>
      </c>
      <c r="AP515" s="315">
        <f t="shared" si="85"/>
        <v>306108</v>
      </c>
      <c r="AQ515" s="315">
        <f t="shared" si="85"/>
        <v>0</v>
      </c>
      <c r="AR515" s="315">
        <f t="shared" si="85"/>
        <v>0</v>
      </c>
      <c r="AS515" s="315">
        <f t="shared" si="85"/>
        <v>0</v>
      </c>
      <c r="AT515" s="315">
        <f t="shared" si="85"/>
        <v>0</v>
      </c>
      <c r="AU515" s="315">
        <f t="shared" si="85"/>
        <v>-478</v>
      </c>
      <c r="AV515" s="315">
        <f t="shared" si="85"/>
        <v>0</v>
      </c>
      <c r="AW515" s="315">
        <f t="shared" si="85"/>
        <v>0</v>
      </c>
      <c r="AX515" s="315">
        <f t="shared" si="85"/>
        <v>0</v>
      </c>
      <c r="AY515" s="315">
        <f t="shared" si="85"/>
        <v>0</v>
      </c>
      <c r="AZ515" s="315">
        <f t="shared" si="85"/>
        <v>-653269</v>
      </c>
      <c r="BA515" s="315">
        <f t="shared" si="85"/>
        <v>0</v>
      </c>
      <c r="BB515" s="315">
        <f t="shared" si="85"/>
        <v>0</v>
      </c>
      <c r="BC515" s="315">
        <f t="shared" si="84"/>
        <v>0</v>
      </c>
      <c r="BD515" s="315">
        <f t="shared" si="84"/>
        <v>0</v>
      </c>
      <c r="BE515" s="315">
        <f t="shared" si="84"/>
        <v>-324416</v>
      </c>
      <c r="BF515" s="315">
        <f t="shared" si="84"/>
        <v>0</v>
      </c>
      <c r="BG515" s="315">
        <f t="shared" si="84"/>
        <v>0</v>
      </c>
      <c r="BH515" s="315">
        <f t="shared" si="84"/>
        <v>0</v>
      </c>
      <c r="BI515" s="315">
        <f t="shared" si="84"/>
        <v>0</v>
      </c>
      <c r="BJ515" s="315">
        <f t="shared" si="84"/>
        <v>-165194</v>
      </c>
      <c r="BK515" s="315">
        <f t="shared" si="84"/>
        <v>0</v>
      </c>
      <c r="BL515" s="315">
        <f t="shared" si="84"/>
        <v>0</v>
      </c>
      <c r="BM515" s="315">
        <f t="shared" si="84"/>
        <v>0</v>
      </c>
      <c r="BN515" s="315">
        <f t="shared" si="84"/>
        <v>0</v>
      </c>
      <c r="BO515" s="315">
        <f t="shared" si="84"/>
        <v>-689744</v>
      </c>
      <c r="BP515" s="315">
        <f t="shared" si="84"/>
        <v>0</v>
      </c>
      <c r="BQ515" s="315">
        <f t="shared" si="84"/>
        <v>0</v>
      </c>
      <c r="BR515" s="315">
        <f t="shared" si="84"/>
        <v>0</v>
      </c>
      <c r="BS515" s="315">
        <f t="shared" si="86"/>
        <v>0</v>
      </c>
      <c r="BT515" s="315">
        <f t="shared" si="86"/>
        <v>412590</v>
      </c>
      <c r="BU515" s="315">
        <f t="shared" si="86"/>
        <v>0</v>
      </c>
      <c r="BV515" s="315">
        <f t="shared" si="86"/>
        <v>0</v>
      </c>
      <c r="BW515" s="315">
        <f t="shared" si="86"/>
        <v>0</v>
      </c>
      <c r="BX515" s="315">
        <f t="shared" si="86"/>
        <v>0</v>
      </c>
      <c r="BZ515" s="315">
        <f t="shared" ref="BZ515:CA517" si="89">BZ126-ER126</f>
        <v>0</v>
      </c>
      <c r="CA515" s="315">
        <f t="shared" si="89"/>
        <v>0</v>
      </c>
    </row>
    <row r="516" spans="7:79" hidden="1" x14ac:dyDescent="0.2">
      <c r="G516" s="315">
        <f t="shared" si="87"/>
        <v>0</v>
      </c>
      <c r="H516" s="315">
        <f t="shared" si="87"/>
        <v>0</v>
      </c>
      <c r="I516" s="315">
        <f t="shared" si="87"/>
        <v>0</v>
      </c>
      <c r="J516" s="315">
        <f t="shared" si="87"/>
        <v>0</v>
      </c>
      <c r="K516" s="315">
        <f t="shared" si="87"/>
        <v>0</v>
      </c>
      <c r="L516" s="315">
        <f t="shared" si="87"/>
        <v>0</v>
      </c>
      <c r="M516" s="315">
        <f t="shared" si="87"/>
        <v>0</v>
      </c>
      <c r="N516" s="315">
        <f t="shared" si="87"/>
        <v>0</v>
      </c>
      <c r="O516" s="315">
        <f t="shared" si="87"/>
        <v>0</v>
      </c>
      <c r="P516" s="315">
        <f t="shared" si="87"/>
        <v>0</v>
      </c>
      <c r="Q516" s="315">
        <f t="shared" si="87"/>
        <v>0</v>
      </c>
      <c r="R516" s="315">
        <f t="shared" si="87"/>
        <v>0</v>
      </c>
      <c r="S516" s="315">
        <f t="shared" si="87"/>
        <v>0</v>
      </c>
      <c r="T516" s="315">
        <f t="shared" si="87"/>
        <v>0</v>
      </c>
      <c r="U516" s="315">
        <f t="shared" si="87"/>
        <v>0</v>
      </c>
      <c r="V516" s="315">
        <f t="shared" si="87"/>
        <v>0</v>
      </c>
      <c r="W516" s="315">
        <f t="shared" si="88"/>
        <v>0</v>
      </c>
      <c r="X516" s="315">
        <f t="shared" si="88"/>
        <v>0</v>
      </c>
      <c r="Y516" s="315">
        <f t="shared" si="88"/>
        <v>0</v>
      </c>
      <c r="Z516" s="315">
        <f t="shared" si="88"/>
        <v>0</v>
      </c>
      <c r="AA516" s="315">
        <f t="shared" si="88"/>
        <v>0</v>
      </c>
      <c r="AB516" s="315">
        <f t="shared" si="88"/>
        <v>0</v>
      </c>
      <c r="AC516" s="315">
        <f t="shared" si="88"/>
        <v>0</v>
      </c>
      <c r="AD516" s="315">
        <f t="shared" si="88"/>
        <v>0</v>
      </c>
      <c r="AE516" s="315">
        <f t="shared" si="88"/>
        <v>0</v>
      </c>
      <c r="AF516" s="315">
        <f t="shared" si="88"/>
        <v>0</v>
      </c>
      <c r="AG516" s="315">
        <f t="shared" si="88"/>
        <v>0</v>
      </c>
      <c r="AH516" s="315">
        <f t="shared" si="88"/>
        <v>0</v>
      </c>
      <c r="AI516" s="315">
        <f t="shared" si="88"/>
        <v>0</v>
      </c>
      <c r="AJ516" s="315">
        <f t="shared" si="88"/>
        <v>0</v>
      </c>
      <c r="AK516" s="315">
        <f t="shared" si="88"/>
        <v>0</v>
      </c>
      <c r="AL516" s="315">
        <f t="shared" si="88"/>
        <v>0</v>
      </c>
      <c r="AM516" s="315">
        <f t="shared" si="85"/>
        <v>0</v>
      </c>
      <c r="AN516" s="315">
        <f t="shared" si="85"/>
        <v>0</v>
      </c>
      <c r="AO516" s="315">
        <f t="shared" si="85"/>
        <v>0</v>
      </c>
      <c r="AP516" s="315">
        <f t="shared" si="85"/>
        <v>0</v>
      </c>
      <c r="AQ516" s="315">
        <f t="shared" si="85"/>
        <v>0</v>
      </c>
      <c r="AR516" s="315">
        <f t="shared" si="85"/>
        <v>0</v>
      </c>
      <c r="AS516" s="315">
        <f t="shared" si="85"/>
        <v>0</v>
      </c>
      <c r="AT516" s="315">
        <f t="shared" si="85"/>
        <v>0</v>
      </c>
      <c r="AU516" s="315">
        <f t="shared" si="85"/>
        <v>0</v>
      </c>
      <c r="AV516" s="315">
        <f t="shared" si="85"/>
        <v>0</v>
      </c>
      <c r="AW516" s="315">
        <f t="shared" si="85"/>
        <v>0</v>
      </c>
      <c r="AX516" s="315">
        <f t="shared" si="85"/>
        <v>0</v>
      </c>
      <c r="AY516" s="315">
        <f t="shared" si="85"/>
        <v>0</v>
      </c>
      <c r="AZ516" s="315">
        <f t="shared" si="85"/>
        <v>0</v>
      </c>
      <c r="BA516" s="315">
        <f t="shared" si="85"/>
        <v>0</v>
      </c>
      <c r="BB516" s="315">
        <f t="shared" ref="BB516:BR517" si="90">BB127-DT127</f>
        <v>0</v>
      </c>
      <c r="BC516" s="315">
        <f t="shared" si="90"/>
        <v>0</v>
      </c>
      <c r="BD516" s="315">
        <f t="shared" si="90"/>
        <v>0</v>
      </c>
      <c r="BE516" s="315">
        <f t="shared" si="90"/>
        <v>0</v>
      </c>
      <c r="BF516" s="315">
        <f t="shared" si="90"/>
        <v>0</v>
      </c>
      <c r="BG516" s="315">
        <f t="shared" si="90"/>
        <v>0</v>
      </c>
      <c r="BH516" s="315">
        <f t="shared" si="90"/>
        <v>0</v>
      </c>
      <c r="BI516" s="315">
        <f t="shared" si="90"/>
        <v>0</v>
      </c>
      <c r="BJ516" s="315">
        <f t="shared" si="90"/>
        <v>0</v>
      </c>
      <c r="BK516" s="315">
        <f t="shared" si="90"/>
        <v>0</v>
      </c>
      <c r="BL516" s="315">
        <f t="shared" si="90"/>
        <v>0</v>
      </c>
      <c r="BM516" s="315">
        <f t="shared" si="90"/>
        <v>0</v>
      </c>
      <c r="BN516" s="315">
        <f t="shared" si="90"/>
        <v>0</v>
      </c>
      <c r="BO516" s="315">
        <f t="shared" si="90"/>
        <v>0</v>
      </c>
      <c r="BP516" s="315">
        <f t="shared" si="90"/>
        <v>0</v>
      </c>
      <c r="BQ516" s="315">
        <f t="shared" si="90"/>
        <v>0</v>
      </c>
      <c r="BR516" s="315">
        <f t="shared" si="90"/>
        <v>0</v>
      </c>
      <c r="BS516" s="315">
        <f t="shared" si="86"/>
        <v>0</v>
      </c>
      <c r="BT516" s="315">
        <f t="shared" si="86"/>
        <v>0</v>
      </c>
      <c r="BU516" s="315">
        <f t="shared" si="86"/>
        <v>0</v>
      </c>
      <c r="BV516" s="315">
        <f t="shared" si="86"/>
        <v>0</v>
      </c>
      <c r="BW516" s="315">
        <f t="shared" si="86"/>
        <v>0</v>
      </c>
      <c r="BX516" s="315">
        <f t="shared" si="86"/>
        <v>0</v>
      </c>
      <c r="BZ516" s="315">
        <f t="shared" si="89"/>
        <v>0</v>
      </c>
      <c r="CA516" s="315">
        <f t="shared" si="89"/>
        <v>0</v>
      </c>
    </row>
    <row r="517" spans="7:79" hidden="1" x14ac:dyDescent="0.2">
      <c r="G517" s="315">
        <f t="shared" si="87"/>
        <v>0</v>
      </c>
      <c r="H517" s="315">
        <f t="shared" si="87"/>
        <v>0</v>
      </c>
      <c r="I517" s="315">
        <f t="shared" si="87"/>
        <v>0</v>
      </c>
      <c r="J517" s="315">
        <f t="shared" si="87"/>
        <v>0</v>
      </c>
      <c r="K517" s="315">
        <f t="shared" si="87"/>
        <v>0</v>
      </c>
      <c r="L517" s="315">
        <f t="shared" si="87"/>
        <v>0</v>
      </c>
      <c r="M517" s="315">
        <f t="shared" si="87"/>
        <v>0</v>
      </c>
      <c r="N517" s="315">
        <f t="shared" si="87"/>
        <v>0</v>
      </c>
      <c r="O517" s="315">
        <f t="shared" si="87"/>
        <v>0</v>
      </c>
      <c r="P517" s="315">
        <f t="shared" si="87"/>
        <v>0</v>
      </c>
      <c r="Q517" s="315">
        <f t="shared" si="87"/>
        <v>0</v>
      </c>
      <c r="R517" s="315">
        <f t="shared" si="87"/>
        <v>0</v>
      </c>
      <c r="S517" s="315">
        <f t="shared" si="87"/>
        <v>0</v>
      </c>
      <c r="T517" s="315">
        <f t="shared" si="87"/>
        <v>0</v>
      </c>
      <c r="U517" s="315">
        <f t="shared" si="87"/>
        <v>0</v>
      </c>
      <c r="V517" s="315">
        <f t="shared" si="87"/>
        <v>0</v>
      </c>
      <c r="W517" s="315">
        <f t="shared" si="88"/>
        <v>0</v>
      </c>
      <c r="X517" s="315">
        <f t="shared" si="88"/>
        <v>0</v>
      </c>
      <c r="Y517" s="315">
        <f t="shared" si="88"/>
        <v>0</v>
      </c>
      <c r="Z517" s="315">
        <f t="shared" si="88"/>
        <v>0</v>
      </c>
      <c r="AA517" s="315">
        <f t="shared" si="88"/>
        <v>0</v>
      </c>
      <c r="AB517" s="315">
        <f t="shared" si="88"/>
        <v>0</v>
      </c>
      <c r="AC517" s="315">
        <f t="shared" si="88"/>
        <v>0</v>
      </c>
      <c r="AD517" s="315">
        <f t="shared" si="88"/>
        <v>0</v>
      </c>
      <c r="AE517" s="315">
        <f t="shared" si="88"/>
        <v>0</v>
      </c>
      <c r="AF517" s="315">
        <f t="shared" si="88"/>
        <v>0</v>
      </c>
      <c r="AG517" s="315">
        <f t="shared" si="88"/>
        <v>0</v>
      </c>
      <c r="AH517" s="315">
        <f t="shared" si="88"/>
        <v>0</v>
      </c>
      <c r="AI517" s="315">
        <f t="shared" si="88"/>
        <v>0</v>
      </c>
      <c r="AJ517" s="315">
        <f t="shared" si="88"/>
        <v>0</v>
      </c>
      <c r="AK517" s="315">
        <f t="shared" si="88"/>
        <v>0</v>
      </c>
      <c r="AL517" s="315">
        <f t="shared" si="88"/>
        <v>0</v>
      </c>
      <c r="AM517" s="315">
        <f t="shared" ref="AM517:BA517" si="91">AM128-DE128</f>
        <v>0</v>
      </c>
      <c r="AN517" s="315">
        <f t="shared" si="91"/>
        <v>0</v>
      </c>
      <c r="AO517" s="315">
        <f t="shared" si="91"/>
        <v>0</v>
      </c>
      <c r="AP517" s="315">
        <f t="shared" si="91"/>
        <v>0</v>
      </c>
      <c r="AQ517" s="315">
        <f t="shared" si="91"/>
        <v>0</v>
      </c>
      <c r="AR517" s="315">
        <f t="shared" si="91"/>
        <v>0</v>
      </c>
      <c r="AS517" s="315">
        <f t="shared" si="91"/>
        <v>0</v>
      </c>
      <c r="AT517" s="315">
        <f t="shared" si="91"/>
        <v>0</v>
      </c>
      <c r="AU517" s="315">
        <f t="shared" si="91"/>
        <v>0</v>
      </c>
      <c r="AV517" s="315">
        <f t="shared" si="91"/>
        <v>0</v>
      </c>
      <c r="AW517" s="315">
        <f t="shared" si="91"/>
        <v>0</v>
      </c>
      <c r="AX517" s="315">
        <f t="shared" si="91"/>
        <v>0</v>
      </c>
      <c r="AY517" s="315">
        <f t="shared" si="91"/>
        <v>0</v>
      </c>
      <c r="AZ517" s="315">
        <f t="shared" si="91"/>
        <v>0</v>
      </c>
      <c r="BA517" s="315">
        <f t="shared" si="91"/>
        <v>0</v>
      </c>
      <c r="BB517" s="315">
        <f t="shared" si="90"/>
        <v>0</v>
      </c>
      <c r="BC517" s="315">
        <f t="shared" si="90"/>
        <v>0</v>
      </c>
      <c r="BD517" s="315">
        <f t="shared" si="90"/>
        <v>0</v>
      </c>
      <c r="BE517" s="315">
        <f t="shared" si="90"/>
        <v>0</v>
      </c>
      <c r="BF517" s="315">
        <f t="shared" si="90"/>
        <v>0</v>
      </c>
      <c r="BG517" s="315">
        <f t="shared" si="90"/>
        <v>0</v>
      </c>
      <c r="BH517" s="315">
        <f t="shared" si="90"/>
        <v>0</v>
      </c>
      <c r="BI517" s="315">
        <f t="shared" si="90"/>
        <v>0</v>
      </c>
      <c r="BJ517" s="315">
        <f t="shared" si="90"/>
        <v>0</v>
      </c>
      <c r="BK517" s="315">
        <f t="shared" si="90"/>
        <v>0</v>
      </c>
      <c r="BL517" s="315">
        <f t="shared" si="90"/>
        <v>0</v>
      </c>
      <c r="BM517" s="315">
        <f t="shared" si="90"/>
        <v>0</v>
      </c>
      <c r="BN517" s="315">
        <f t="shared" si="90"/>
        <v>0</v>
      </c>
      <c r="BO517" s="315">
        <f t="shared" si="90"/>
        <v>0</v>
      </c>
      <c r="BP517" s="315">
        <f t="shared" si="90"/>
        <v>0</v>
      </c>
      <c r="BQ517" s="315">
        <f t="shared" si="90"/>
        <v>0</v>
      </c>
      <c r="BR517" s="315">
        <f t="shared" si="90"/>
        <v>0</v>
      </c>
      <c r="BS517" s="315">
        <f t="shared" si="86"/>
        <v>0</v>
      </c>
      <c r="BT517" s="315">
        <f t="shared" si="86"/>
        <v>0</v>
      </c>
      <c r="BU517" s="315">
        <f t="shared" si="86"/>
        <v>0</v>
      </c>
      <c r="BV517" s="315">
        <f t="shared" si="86"/>
        <v>0</v>
      </c>
      <c r="BW517" s="315">
        <f t="shared" si="86"/>
        <v>0</v>
      </c>
      <c r="BX517" s="315">
        <f t="shared" si="86"/>
        <v>0</v>
      </c>
      <c r="BZ517" s="315">
        <f t="shared" si="89"/>
        <v>0</v>
      </c>
      <c r="CA517" s="315">
        <f t="shared" si="89"/>
        <v>0</v>
      </c>
    </row>
    <row r="518" spans="7:79" hidden="1" x14ac:dyDescent="0.2">
      <c r="G518" s="315" t="e">
        <f>#REF!-#REF!</f>
        <v>#REF!</v>
      </c>
      <c r="H518" s="315" t="e">
        <f>#REF!-#REF!</f>
        <v>#REF!</v>
      </c>
      <c r="I518" s="315" t="e">
        <f>#REF!-#REF!</f>
        <v>#REF!</v>
      </c>
      <c r="J518" s="315" t="e">
        <f>#REF!-#REF!</f>
        <v>#REF!</v>
      </c>
      <c r="K518" s="315" t="e">
        <f>#REF!-#REF!</f>
        <v>#REF!</v>
      </c>
      <c r="L518" s="315" t="e">
        <f>#REF!-#REF!</f>
        <v>#REF!</v>
      </c>
      <c r="M518" s="315" t="e">
        <f>#REF!-#REF!</f>
        <v>#REF!</v>
      </c>
      <c r="N518" s="315" t="e">
        <f>#REF!-#REF!</f>
        <v>#REF!</v>
      </c>
      <c r="O518" s="315" t="e">
        <f>#REF!-#REF!</f>
        <v>#REF!</v>
      </c>
      <c r="P518" s="315" t="e">
        <f>#REF!-#REF!</f>
        <v>#REF!</v>
      </c>
      <c r="Q518" s="315" t="e">
        <f>#REF!-#REF!</f>
        <v>#REF!</v>
      </c>
      <c r="R518" s="315" t="e">
        <f>#REF!-#REF!</f>
        <v>#REF!</v>
      </c>
      <c r="S518" s="315" t="e">
        <f>#REF!-#REF!</f>
        <v>#REF!</v>
      </c>
      <c r="T518" s="315" t="e">
        <f>#REF!-#REF!</f>
        <v>#REF!</v>
      </c>
      <c r="U518" s="315" t="e">
        <f>#REF!-#REF!</f>
        <v>#REF!</v>
      </c>
      <c r="V518" s="315" t="e">
        <f>#REF!-#REF!</f>
        <v>#REF!</v>
      </c>
      <c r="W518" s="315" t="e">
        <f>#REF!-#REF!</f>
        <v>#REF!</v>
      </c>
      <c r="X518" s="315" t="e">
        <f>#REF!-#REF!</f>
        <v>#REF!</v>
      </c>
      <c r="Y518" s="315" t="e">
        <f>#REF!-#REF!</f>
        <v>#REF!</v>
      </c>
      <c r="Z518" s="315" t="e">
        <f>#REF!-#REF!</f>
        <v>#REF!</v>
      </c>
      <c r="AA518" s="315" t="e">
        <f>#REF!-#REF!</f>
        <v>#REF!</v>
      </c>
      <c r="AB518" s="315" t="e">
        <f>#REF!-#REF!</f>
        <v>#REF!</v>
      </c>
      <c r="AC518" s="315" t="e">
        <f>#REF!-#REF!</f>
        <v>#REF!</v>
      </c>
      <c r="AD518" s="315" t="e">
        <f>#REF!-#REF!</f>
        <v>#REF!</v>
      </c>
      <c r="AE518" s="315" t="e">
        <f>#REF!-#REF!</f>
        <v>#REF!</v>
      </c>
      <c r="AF518" s="315" t="e">
        <f>#REF!-#REF!</f>
        <v>#REF!</v>
      </c>
      <c r="AG518" s="315" t="e">
        <f>#REF!-#REF!</f>
        <v>#REF!</v>
      </c>
      <c r="AH518" s="315" t="e">
        <f>#REF!-#REF!</f>
        <v>#REF!</v>
      </c>
      <c r="AI518" s="315" t="e">
        <f>#REF!-#REF!</f>
        <v>#REF!</v>
      </c>
      <c r="AJ518" s="315" t="e">
        <f>#REF!-#REF!</f>
        <v>#REF!</v>
      </c>
      <c r="AK518" s="315" t="e">
        <f>#REF!-#REF!</f>
        <v>#REF!</v>
      </c>
      <c r="AL518" s="315" t="e">
        <f>#REF!-#REF!</f>
        <v>#REF!</v>
      </c>
      <c r="AM518" s="315" t="e">
        <f>#REF!-#REF!</f>
        <v>#REF!</v>
      </c>
      <c r="AN518" s="315" t="e">
        <f>#REF!-#REF!</f>
        <v>#REF!</v>
      </c>
      <c r="AO518" s="315" t="e">
        <f>#REF!-#REF!</f>
        <v>#REF!</v>
      </c>
      <c r="AP518" s="315" t="e">
        <f>#REF!-#REF!</f>
        <v>#REF!</v>
      </c>
      <c r="AQ518" s="315" t="e">
        <f>#REF!-#REF!</f>
        <v>#REF!</v>
      </c>
      <c r="AR518" s="315" t="e">
        <f>#REF!-#REF!</f>
        <v>#REF!</v>
      </c>
      <c r="AS518" s="315" t="e">
        <f>#REF!-#REF!</f>
        <v>#REF!</v>
      </c>
      <c r="AT518" s="315" t="e">
        <f>#REF!-#REF!</f>
        <v>#REF!</v>
      </c>
      <c r="AU518" s="315" t="e">
        <f>#REF!-#REF!</f>
        <v>#REF!</v>
      </c>
      <c r="AV518" s="315" t="e">
        <f>#REF!-#REF!</f>
        <v>#REF!</v>
      </c>
      <c r="AW518" s="315" t="e">
        <f>#REF!-#REF!</f>
        <v>#REF!</v>
      </c>
      <c r="AX518" s="315" t="e">
        <f>#REF!-#REF!</f>
        <v>#REF!</v>
      </c>
      <c r="AY518" s="315" t="e">
        <f>#REF!-#REF!</f>
        <v>#REF!</v>
      </c>
      <c r="AZ518" s="315" t="e">
        <f>#REF!-#REF!</f>
        <v>#REF!</v>
      </c>
      <c r="BA518" s="315" t="e">
        <f>#REF!-#REF!</f>
        <v>#REF!</v>
      </c>
      <c r="BB518" s="315" t="e">
        <f>#REF!-#REF!</f>
        <v>#REF!</v>
      </c>
      <c r="BC518" s="315" t="e">
        <f>#REF!-#REF!</f>
        <v>#REF!</v>
      </c>
      <c r="BD518" s="315" t="e">
        <f>#REF!-#REF!</f>
        <v>#REF!</v>
      </c>
      <c r="BE518" s="315" t="e">
        <f>#REF!-#REF!</f>
        <v>#REF!</v>
      </c>
      <c r="BF518" s="315" t="e">
        <f>#REF!-#REF!</f>
        <v>#REF!</v>
      </c>
      <c r="BG518" s="315" t="e">
        <f>#REF!-#REF!</f>
        <v>#REF!</v>
      </c>
      <c r="BH518" s="315" t="e">
        <f>#REF!-#REF!</f>
        <v>#REF!</v>
      </c>
      <c r="BI518" s="315" t="e">
        <f>#REF!-#REF!</f>
        <v>#REF!</v>
      </c>
      <c r="BJ518" s="315" t="e">
        <f>#REF!-#REF!</f>
        <v>#REF!</v>
      </c>
      <c r="BK518" s="315" t="e">
        <f>#REF!-#REF!</f>
        <v>#REF!</v>
      </c>
      <c r="BL518" s="315" t="e">
        <f>#REF!-#REF!</f>
        <v>#REF!</v>
      </c>
      <c r="BM518" s="315" t="e">
        <f>#REF!-#REF!</f>
        <v>#REF!</v>
      </c>
      <c r="BN518" s="315" t="e">
        <f>#REF!-#REF!</f>
        <v>#REF!</v>
      </c>
      <c r="BO518" s="315" t="e">
        <f>#REF!-#REF!</f>
        <v>#REF!</v>
      </c>
      <c r="BP518" s="315" t="e">
        <f>#REF!-#REF!</f>
        <v>#REF!</v>
      </c>
      <c r="BQ518" s="315" t="e">
        <f>#REF!-#REF!</f>
        <v>#REF!</v>
      </c>
      <c r="BR518" s="315" t="e">
        <f>#REF!-#REF!</f>
        <v>#REF!</v>
      </c>
      <c r="BS518" s="315" t="e">
        <f>#REF!-#REF!</f>
        <v>#REF!</v>
      </c>
      <c r="BT518" s="315" t="e">
        <f>#REF!-#REF!</f>
        <v>#REF!</v>
      </c>
      <c r="BU518" s="315" t="e">
        <f>#REF!-#REF!</f>
        <v>#REF!</v>
      </c>
      <c r="BV518" s="315" t="e">
        <f>#REF!-#REF!</f>
        <v>#REF!</v>
      </c>
      <c r="BW518" s="315" t="e">
        <f>#REF!-#REF!</f>
        <v>#REF!</v>
      </c>
      <c r="BX518" s="315" t="e">
        <f>#REF!-#REF!</f>
        <v>#REF!</v>
      </c>
      <c r="BZ518" s="315" t="e">
        <f>#REF!-#REF!</f>
        <v>#REF!</v>
      </c>
      <c r="CA518" s="315" t="e">
        <f>#REF!-#REF!</f>
        <v>#REF!</v>
      </c>
    </row>
    <row r="519" spans="7:79" hidden="1" x14ac:dyDescent="0.2">
      <c r="G519" s="315" t="e">
        <f>#REF!-#REF!</f>
        <v>#REF!</v>
      </c>
      <c r="H519" s="315" t="e">
        <f>#REF!-#REF!</f>
        <v>#REF!</v>
      </c>
      <c r="I519" s="315" t="e">
        <f>#REF!-#REF!</f>
        <v>#REF!</v>
      </c>
      <c r="J519" s="315" t="e">
        <f>#REF!-#REF!</f>
        <v>#REF!</v>
      </c>
      <c r="K519" s="315" t="e">
        <f>#REF!-#REF!</f>
        <v>#REF!</v>
      </c>
      <c r="L519" s="315" t="e">
        <f>#REF!-#REF!</f>
        <v>#REF!</v>
      </c>
      <c r="M519" s="315" t="e">
        <f>#REF!-#REF!</f>
        <v>#REF!</v>
      </c>
      <c r="N519" s="315" t="e">
        <f>#REF!-#REF!</f>
        <v>#REF!</v>
      </c>
      <c r="O519" s="315" t="e">
        <f>#REF!-#REF!</f>
        <v>#REF!</v>
      </c>
      <c r="P519" s="315" t="e">
        <f>#REF!-#REF!</f>
        <v>#REF!</v>
      </c>
      <c r="Q519" s="315" t="e">
        <f>#REF!-#REF!</f>
        <v>#REF!</v>
      </c>
      <c r="R519" s="315" t="e">
        <f>#REF!-#REF!</f>
        <v>#REF!</v>
      </c>
      <c r="S519" s="315" t="e">
        <f>#REF!-#REF!</f>
        <v>#REF!</v>
      </c>
      <c r="T519" s="315" t="e">
        <f>#REF!-#REF!</f>
        <v>#REF!</v>
      </c>
      <c r="U519" s="315" t="e">
        <f>#REF!-#REF!</f>
        <v>#REF!</v>
      </c>
      <c r="V519" s="315" t="e">
        <f>#REF!-#REF!</f>
        <v>#REF!</v>
      </c>
      <c r="W519" s="315" t="e">
        <f>#REF!-#REF!</f>
        <v>#REF!</v>
      </c>
      <c r="X519" s="315" t="e">
        <f>#REF!-#REF!</f>
        <v>#REF!</v>
      </c>
      <c r="Y519" s="315" t="e">
        <f>#REF!-#REF!</f>
        <v>#REF!</v>
      </c>
      <c r="Z519" s="315" t="e">
        <f>#REF!-#REF!</f>
        <v>#REF!</v>
      </c>
      <c r="AA519" s="315" t="e">
        <f>#REF!-#REF!</f>
        <v>#REF!</v>
      </c>
      <c r="AB519" s="315" t="e">
        <f>#REF!-#REF!</f>
        <v>#REF!</v>
      </c>
      <c r="AC519" s="315" t="e">
        <f>#REF!-#REF!</f>
        <v>#REF!</v>
      </c>
      <c r="AD519" s="315" t="e">
        <f>#REF!-#REF!</f>
        <v>#REF!</v>
      </c>
      <c r="AE519" s="315" t="e">
        <f>#REF!-#REF!</f>
        <v>#REF!</v>
      </c>
      <c r="AF519" s="315" t="e">
        <f>#REF!-#REF!</f>
        <v>#REF!</v>
      </c>
      <c r="AG519" s="315" t="e">
        <f>#REF!-#REF!</f>
        <v>#REF!</v>
      </c>
      <c r="AH519" s="315" t="e">
        <f>#REF!-#REF!</f>
        <v>#REF!</v>
      </c>
      <c r="AI519" s="315" t="e">
        <f>#REF!-#REF!</f>
        <v>#REF!</v>
      </c>
      <c r="AJ519" s="315" t="e">
        <f>#REF!-#REF!</f>
        <v>#REF!</v>
      </c>
      <c r="AK519" s="315" t="e">
        <f>#REF!-#REF!</f>
        <v>#REF!</v>
      </c>
      <c r="AL519" s="315" t="e">
        <f>#REF!-#REF!</f>
        <v>#REF!</v>
      </c>
      <c r="AM519" s="315" t="e">
        <f>#REF!-#REF!</f>
        <v>#REF!</v>
      </c>
      <c r="AN519" s="315" t="e">
        <f>#REF!-#REF!</f>
        <v>#REF!</v>
      </c>
      <c r="AO519" s="315" t="e">
        <f>#REF!-#REF!</f>
        <v>#REF!</v>
      </c>
      <c r="AP519" s="315" t="e">
        <f>#REF!-#REF!</f>
        <v>#REF!</v>
      </c>
      <c r="AQ519" s="315" t="e">
        <f>#REF!-#REF!</f>
        <v>#REF!</v>
      </c>
      <c r="AR519" s="315" t="e">
        <f>#REF!-#REF!</f>
        <v>#REF!</v>
      </c>
      <c r="AS519" s="315" t="e">
        <f>#REF!-#REF!</f>
        <v>#REF!</v>
      </c>
      <c r="AT519" s="315" t="e">
        <f>#REF!-#REF!</f>
        <v>#REF!</v>
      </c>
      <c r="AU519" s="315" t="e">
        <f>#REF!-#REF!</f>
        <v>#REF!</v>
      </c>
      <c r="AV519" s="315" t="e">
        <f>#REF!-#REF!</f>
        <v>#REF!</v>
      </c>
      <c r="AW519" s="315" t="e">
        <f>#REF!-#REF!</f>
        <v>#REF!</v>
      </c>
      <c r="AX519" s="315" t="e">
        <f>#REF!-#REF!</f>
        <v>#REF!</v>
      </c>
      <c r="AY519" s="315" t="e">
        <f>#REF!-#REF!</f>
        <v>#REF!</v>
      </c>
      <c r="AZ519" s="315" t="e">
        <f>#REF!-#REF!</f>
        <v>#REF!</v>
      </c>
      <c r="BA519" s="315" t="e">
        <f>#REF!-#REF!</f>
        <v>#REF!</v>
      </c>
      <c r="BB519" s="315" t="e">
        <f>#REF!-#REF!</f>
        <v>#REF!</v>
      </c>
      <c r="BC519" s="315" t="e">
        <f>#REF!-#REF!</f>
        <v>#REF!</v>
      </c>
      <c r="BD519" s="315" t="e">
        <f>#REF!-#REF!</f>
        <v>#REF!</v>
      </c>
      <c r="BE519" s="315" t="e">
        <f>#REF!-#REF!</f>
        <v>#REF!</v>
      </c>
      <c r="BF519" s="315" t="e">
        <f>#REF!-#REF!</f>
        <v>#REF!</v>
      </c>
      <c r="BG519" s="315" t="e">
        <f>#REF!-#REF!</f>
        <v>#REF!</v>
      </c>
      <c r="BH519" s="315" t="e">
        <f>#REF!-#REF!</f>
        <v>#REF!</v>
      </c>
      <c r="BI519" s="315" t="e">
        <f>#REF!-#REF!</f>
        <v>#REF!</v>
      </c>
      <c r="BJ519" s="315" t="e">
        <f>#REF!-#REF!</f>
        <v>#REF!</v>
      </c>
      <c r="BK519" s="315" t="e">
        <f>#REF!-#REF!</f>
        <v>#REF!</v>
      </c>
      <c r="BL519" s="315" t="e">
        <f>#REF!-#REF!</f>
        <v>#REF!</v>
      </c>
      <c r="BM519" s="315" t="e">
        <f>#REF!-#REF!</f>
        <v>#REF!</v>
      </c>
      <c r="BN519" s="315" t="e">
        <f>#REF!-#REF!</f>
        <v>#REF!</v>
      </c>
      <c r="BO519" s="315" t="e">
        <f>#REF!-#REF!</f>
        <v>#REF!</v>
      </c>
      <c r="BP519" s="315" t="e">
        <f>#REF!-#REF!</f>
        <v>#REF!</v>
      </c>
      <c r="BQ519" s="315" t="e">
        <f>#REF!-#REF!</f>
        <v>#REF!</v>
      </c>
      <c r="BR519" s="315" t="e">
        <f>#REF!-#REF!</f>
        <v>#REF!</v>
      </c>
      <c r="BS519" s="315" t="e">
        <f>#REF!-#REF!</f>
        <v>#REF!</v>
      </c>
      <c r="BT519" s="315" t="e">
        <f>#REF!-#REF!</f>
        <v>#REF!</v>
      </c>
      <c r="BU519" s="315" t="e">
        <f>#REF!-#REF!</f>
        <v>#REF!</v>
      </c>
      <c r="BV519" s="315" t="e">
        <f>#REF!-#REF!</f>
        <v>#REF!</v>
      </c>
      <c r="BW519" s="315" t="e">
        <f>#REF!-#REF!</f>
        <v>#REF!</v>
      </c>
      <c r="BX519" s="315" t="e">
        <f>#REF!-#REF!</f>
        <v>#REF!</v>
      </c>
      <c r="BZ519" s="315" t="e">
        <f>#REF!-#REF!</f>
        <v>#REF!</v>
      </c>
      <c r="CA519" s="315" t="e">
        <f>#REF!-#REF!</f>
        <v>#REF!</v>
      </c>
    </row>
    <row r="520" spans="7:79" hidden="1" x14ac:dyDescent="0.2">
      <c r="G520" s="315" t="e">
        <f>#REF!-#REF!</f>
        <v>#REF!</v>
      </c>
      <c r="H520" s="315" t="e">
        <f>#REF!-#REF!</f>
        <v>#REF!</v>
      </c>
      <c r="I520" s="315" t="e">
        <f>#REF!-#REF!</f>
        <v>#REF!</v>
      </c>
      <c r="J520" s="315" t="e">
        <f>#REF!-#REF!</f>
        <v>#REF!</v>
      </c>
      <c r="K520" s="315" t="e">
        <f>#REF!-#REF!</f>
        <v>#REF!</v>
      </c>
      <c r="L520" s="315" t="e">
        <f>#REF!-#REF!</f>
        <v>#REF!</v>
      </c>
      <c r="M520" s="315" t="e">
        <f>#REF!-#REF!</f>
        <v>#REF!</v>
      </c>
      <c r="N520" s="315" t="e">
        <f>#REF!-#REF!</f>
        <v>#REF!</v>
      </c>
      <c r="O520" s="315" t="e">
        <f>#REF!-#REF!</f>
        <v>#REF!</v>
      </c>
      <c r="P520" s="315" t="e">
        <f>#REF!-#REF!</f>
        <v>#REF!</v>
      </c>
      <c r="Q520" s="315" t="e">
        <f>#REF!-#REF!</f>
        <v>#REF!</v>
      </c>
      <c r="R520" s="315" t="e">
        <f>#REF!-#REF!</f>
        <v>#REF!</v>
      </c>
      <c r="S520" s="315" t="e">
        <f>#REF!-#REF!</f>
        <v>#REF!</v>
      </c>
      <c r="T520" s="315" t="e">
        <f>#REF!-#REF!</f>
        <v>#REF!</v>
      </c>
      <c r="U520" s="315" t="e">
        <f>#REF!-#REF!</f>
        <v>#REF!</v>
      </c>
      <c r="V520" s="315" t="e">
        <f>#REF!-#REF!</f>
        <v>#REF!</v>
      </c>
      <c r="W520" s="315" t="e">
        <f>#REF!-#REF!</f>
        <v>#REF!</v>
      </c>
      <c r="X520" s="315" t="e">
        <f>#REF!-#REF!</f>
        <v>#REF!</v>
      </c>
      <c r="Y520" s="315" t="e">
        <f>#REF!-#REF!</f>
        <v>#REF!</v>
      </c>
      <c r="Z520" s="315" t="e">
        <f>#REF!-#REF!</f>
        <v>#REF!</v>
      </c>
      <c r="AA520" s="315" t="e">
        <f>#REF!-#REF!</f>
        <v>#REF!</v>
      </c>
      <c r="AB520" s="315" t="e">
        <f>#REF!-#REF!</f>
        <v>#REF!</v>
      </c>
      <c r="AC520" s="315" t="e">
        <f>#REF!-#REF!</f>
        <v>#REF!</v>
      </c>
      <c r="AD520" s="315" t="e">
        <f>#REF!-#REF!</f>
        <v>#REF!</v>
      </c>
      <c r="AE520" s="315" t="e">
        <f>#REF!-#REF!</f>
        <v>#REF!</v>
      </c>
      <c r="AF520" s="315" t="e">
        <f>#REF!-#REF!</f>
        <v>#REF!</v>
      </c>
      <c r="AG520" s="315" t="e">
        <f>#REF!-#REF!</f>
        <v>#REF!</v>
      </c>
      <c r="AH520" s="315" t="e">
        <f>#REF!-#REF!</f>
        <v>#REF!</v>
      </c>
      <c r="AI520" s="315" t="e">
        <f>#REF!-#REF!</f>
        <v>#REF!</v>
      </c>
      <c r="AJ520" s="315" t="e">
        <f>#REF!-#REF!</f>
        <v>#REF!</v>
      </c>
      <c r="AK520" s="315" t="e">
        <f>#REF!-#REF!</f>
        <v>#REF!</v>
      </c>
      <c r="AL520" s="315" t="e">
        <f>#REF!-#REF!</f>
        <v>#REF!</v>
      </c>
      <c r="AM520" s="315" t="e">
        <f>#REF!-#REF!</f>
        <v>#REF!</v>
      </c>
      <c r="AN520" s="315" t="e">
        <f>#REF!-#REF!</f>
        <v>#REF!</v>
      </c>
      <c r="AO520" s="315" t="e">
        <f>#REF!-#REF!</f>
        <v>#REF!</v>
      </c>
      <c r="AP520" s="315" t="e">
        <f>#REF!-#REF!</f>
        <v>#REF!</v>
      </c>
      <c r="AQ520" s="315" t="e">
        <f>#REF!-#REF!</f>
        <v>#REF!</v>
      </c>
      <c r="AR520" s="315" t="e">
        <f>#REF!-#REF!</f>
        <v>#REF!</v>
      </c>
      <c r="AS520" s="315" t="e">
        <f>#REF!-#REF!</f>
        <v>#REF!</v>
      </c>
      <c r="AT520" s="315" t="e">
        <f>#REF!-#REF!</f>
        <v>#REF!</v>
      </c>
      <c r="AU520" s="315" t="e">
        <f>#REF!-#REF!</f>
        <v>#REF!</v>
      </c>
      <c r="AV520" s="315" t="e">
        <f>#REF!-#REF!</f>
        <v>#REF!</v>
      </c>
      <c r="AW520" s="315" t="e">
        <f>#REF!-#REF!</f>
        <v>#REF!</v>
      </c>
      <c r="AX520" s="315" t="e">
        <f>#REF!-#REF!</f>
        <v>#REF!</v>
      </c>
      <c r="AY520" s="315" t="e">
        <f>#REF!-#REF!</f>
        <v>#REF!</v>
      </c>
      <c r="AZ520" s="315" t="e">
        <f>#REF!-#REF!</f>
        <v>#REF!</v>
      </c>
      <c r="BA520" s="315" t="e">
        <f>#REF!-#REF!</f>
        <v>#REF!</v>
      </c>
      <c r="BB520" s="315" t="e">
        <f>#REF!-#REF!</f>
        <v>#REF!</v>
      </c>
      <c r="BC520" s="315" t="e">
        <f>#REF!-#REF!</f>
        <v>#REF!</v>
      </c>
      <c r="BD520" s="315" t="e">
        <f>#REF!-#REF!</f>
        <v>#REF!</v>
      </c>
      <c r="BE520" s="315" t="e">
        <f>#REF!-#REF!</f>
        <v>#REF!</v>
      </c>
      <c r="BF520" s="315" t="e">
        <f>#REF!-#REF!</f>
        <v>#REF!</v>
      </c>
      <c r="BG520" s="315" t="e">
        <f>#REF!-#REF!</f>
        <v>#REF!</v>
      </c>
      <c r="BH520" s="315" t="e">
        <f>#REF!-#REF!</f>
        <v>#REF!</v>
      </c>
      <c r="BI520" s="315" t="e">
        <f>#REF!-#REF!</f>
        <v>#REF!</v>
      </c>
      <c r="BJ520" s="315" t="e">
        <f>#REF!-#REF!</f>
        <v>#REF!</v>
      </c>
      <c r="BK520" s="315" t="e">
        <f>#REF!-#REF!</f>
        <v>#REF!</v>
      </c>
      <c r="BL520" s="315" t="e">
        <f>#REF!-#REF!</f>
        <v>#REF!</v>
      </c>
      <c r="BM520" s="315" t="e">
        <f>#REF!-#REF!</f>
        <v>#REF!</v>
      </c>
      <c r="BN520" s="315" t="e">
        <f>#REF!-#REF!</f>
        <v>#REF!</v>
      </c>
      <c r="BO520" s="315" t="e">
        <f>#REF!-#REF!</f>
        <v>#REF!</v>
      </c>
      <c r="BP520" s="315" t="e">
        <f>#REF!-#REF!</f>
        <v>#REF!</v>
      </c>
      <c r="BQ520" s="315" t="e">
        <f>#REF!-#REF!</f>
        <v>#REF!</v>
      </c>
      <c r="BR520" s="315" t="e">
        <f>#REF!-#REF!</f>
        <v>#REF!</v>
      </c>
      <c r="BS520" s="315" t="e">
        <f>#REF!-#REF!</f>
        <v>#REF!</v>
      </c>
      <c r="BT520" s="315" t="e">
        <f>#REF!-#REF!</f>
        <v>#REF!</v>
      </c>
      <c r="BU520" s="315" t="e">
        <f>#REF!-#REF!</f>
        <v>#REF!</v>
      </c>
      <c r="BV520" s="315" t="e">
        <f>#REF!-#REF!</f>
        <v>#REF!</v>
      </c>
      <c r="BW520" s="315" t="e">
        <f>#REF!-#REF!</f>
        <v>#REF!</v>
      </c>
      <c r="BX520" s="315" t="e">
        <f>#REF!-#REF!</f>
        <v>#REF!</v>
      </c>
      <c r="BZ520" s="315" t="e">
        <f>#REF!-#REF!</f>
        <v>#REF!</v>
      </c>
      <c r="CA520" s="315" t="e">
        <f>#REF!-#REF!</f>
        <v>#REF!</v>
      </c>
    </row>
    <row r="521" spans="7:79" hidden="1" x14ac:dyDescent="0.2">
      <c r="G521" s="315" t="e">
        <f>#REF!-#REF!</f>
        <v>#REF!</v>
      </c>
      <c r="H521" s="315" t="e">
        <f>#REF!-#REF!</f>
        <v>#REF!</v>
      </c>
      <c r="I521" s="315" t="e">
        <f>#REF!-#REF!</f>
        <v>#REF!</v>
      </c>
      <c r="J521" s="315" t="e">
        <f>#REF!-#REF!</f>
        <v>#REF!</v>
      </c>
      <c r="K521" s="315" t="e">
        <f>#REF!-#REF!</f>
        <v>#REF!</v>
      </c>
      <c r="L521" s="315" t="e">
        <f>#REF!-#REF!</f>
        <v>#REF!</v>
      </c>
      <c r="M521" s="315" t="e">
        <f>#REF!-#REF!</f>
        <v>#REF!</v>
      </c>
      <c r="N521" s="315" t="e">
        <f>#REF!-#REF!</f>
        <v>#REF!</v>
      </c>
      <c r="O521" s="315" t="e">
        <f>#REF!-#REF!</f>
        <v>#REF!</v>
      </c>
      <c r="P521" s="315" t="e">
        <f>#REF!-#REF!</f>
        <v>#REF!</v>
      </c>
      <c r="Q521" s="315" t="e">
        <f>#REF!-#REF!</f>
        <v>#REF!</v>
      </c>
      <c r="R521" s="315" t="e">
        <f>#REF!-#REF!</f>
        <v>#REF!</v>
      </c>
      <c r="S521" s="315" t="e">
        <f>#REF!-#REF!</f>
        <v>#REF!</v>
      </c>
      <c r="T521" s="315" t="e">
        <f>#REF!-#REF!</f>
        <v>#REF!</v>
      </c>
      <c r="U521" s="315" t="e">
        <f>#REF!-#REF!</f>
        <v>#REF!</v>
      </c>
      <c r="V521" s="315" t="e">
        <f>#REF!-#REF!</f>
        <v>#REF!</v>
      </c>
      <c r="W521" s="315" t="e">
        <f>#REF!-#REF!</f>
        <v>#REF!</v>
      </c>
      <c r="X521" s="315" t="e">
        <f>#REF!-#REF!</f>
        <v>#REF!</v>
      </c>
      <c r="Y521" s="315" t="e">
        <f>#REF!-#REF!</f>
        <v>#REF!</v>
      </c>
      <c r="Z521" s="315" t="e">
        <f>#REF!-#REF!</f>
        <v>#REF!</v>
      </c>
      <c r="AA521" s="315" t="e">
        <f>#REF!-#REF!</f>
        <v>#REF!</v>
      </c>
      <c r="AB521" s="315" t="e">
        <f>#REF!-#REF!</f>
        <v>#REF!</v>
      </c>
      <c r="AC521" s="315" t="e">
        <f>#REF!-#REF!</f>
        <v>#REF!</v>
      </c>
      <c r="AD521" s="315" t="e">
        <f>#REF!-#REF!</f>
        <v>#REF!</v>
      </c>
      <c r="AE521" s="315" t="e">
        <f>#REF!-#REF!</f>
        <v>#REF!</v>
      </c>
      <c r="AF521" s="315" t="e">
        <f>#REF!-#REF!</f>
        <v>#REF!</v>
      </c>
      <c r="AG521" s="315" t="e">
        <f>#REF!-#REF!</f>
        <v>#REF!</v>
      </c>
      <c r="AH521" s="315" t="e">
        <f>#REF!-#REF!</f>
        <v>#REF!</v>
      </c>
      <c r="AI521" s="315" t="e">
        <f>#REF!-#REF!</f>
        <v>#REF!</v>
      </c>
      <c r="AJ521" s="315" t="e">
        <f>#REF!-#REF!</f>
        <v>#REF!</v>
      </c>
      <c r="AK521" s="315" t="e">
        <f>#REF!-#REF!</f>
        <v>#REF!</v>
      </c>
      <c r="AL521" s="315" t="e">
        <f>#REF!-#REF!</f>
        <v>#REF!</v>
      </c>
      <c r="AM521" s="315" t="e">
        <f>#REF!-#REF!</f>
        <v>#REF!</v>
      </c>
      <c r="AN521" s="315" t="e">
        <f>#REF!-#REF!</f>
        <v>#REF!</v>
      </c>
      <c r="AO521" s="315" t="e">
        <f>#REF!-#REF!</f>
        <v>#REF!</v>
      </c>
      <c r="AP521" s="315" t="e">
        <f>#REF!-#REF!</f>
        <v>#REF!</v>
      </c>
      <c r="AQ521" s="315" t="e">
        <f>#REF!-#REF!</f>
        <v>#REF!</v>
      </c>
      <c r="AR521" s="315" t="e">
        <f>#REF!-#REF!</f>
        <v>#REF!</v>
      </c>
      <c r="AS521" s="315" t="e">
        <f>#REF!-#REF!</f>
        <v>#REF!</v>
      </c>
      <c r="AT521" s="315" t="e">
        <f>#REF!-#REF!</f>
        <v>#REF!</v>
      </c>
      <c r="AU521" s="315" t="e">
        <f>#REF!-#REF!</f>
        <v>#REF!</v>
      </c>
      <c r="AV521" s="315" t="e">
        <f>#REF!-#REF!</f>
        <v>#REF!</v>
      </c>
      <c r="AW521" s="315" t="e">
        <f>#REF!-#REF!</f>
        <v>#REF!</v>
      </c>
      <c r="AX521" s="315" t="e">
        <f>#REF!-#REF!</f>
        <v>#REF!</v>
      </c>
      <c r="AY521" s="315" t="e">
        <f>#REF!-#REF!</f>
        <v>#REF!</v>
      </c>
      <c r="AZ521" s="315" t="e">
        <f>#REF!-#REF!</f>
        <v>#REF!</v>
      </c>
      <c r="BA521" s="315" t="e">
        <f>#REF!-#REF!</f>
        <v>#REF!</v>
      </c>
      <c r="BB521" s="315" t="e">
        <f>#REF!-#REF!</f>
        <v>#REF!</v>
      </c>
      <c r="BC521" s="315" t="e">
        <f>#REF!-#REF!</f>
        <v>#REF!</v>
      </c>
      <c r="BD521" s="315" t="e">
        <f>#REF!-#REF!</f>
        <v>#REF!</v>
      </c>
      <c r="BE521" s="315" t="e">
        <f>#REF!-#REF!</f>
        <v>#REF!</v>
      </c>
      <c r="BF521" s="315" t="e">
        <f>#REF!-#REF!</f>
        <v>#REF!</v>
      </c>
      <c r="BG521" s="315" t="e">
        <f>#REF!-#REF!</f>
        <v>#REF!</v>
      </c>
      <c r="BH521" s="315" t="e">
        <f>#REF!-#REF!</f>
        <v>#REF!</v>
      </c>
      <c r="BI521" s="315" t="e">
        <f>#REF!-#REF!</f>
        <v>#REF!</v>
      </c>
      <c r="BJ521" s="315" t="e">
        <f>#REF!-#REF!</f>
        <v>#REF!</v>
      </c>
      <c r="BK521" s="315" t="e">
        <f>#REF!-#REF!</f>
        <v>#REF!</v>
      </c>
      <c r="BL521" s="315" t="e">
        <f>#REF!-#REF!</f>
        <v>#REF!</v>
      </c>
      <c r="BM521" s="315" t="e">
        <f>#REF!-#REF!</f>
        <v>#REF!</v>
      </c>
      <c r="BN521" s="315" t="e">
        <f>#REF!-#REF!</f>
        <v>#REF!</v>
      </c>
      <c r="BO521" s="315" t="e">
        <f>#REF!-#REF!</f>
        <v>#REF!</v>
      </c>
      <c r="BP521" s="315" t="e">
        <f>#REF!-#REF!</f>
        <v>#REF!</v>
      </c>
      <c r="BQ521" s="315" t="e">
        <f>#REF!-#REF!</f>
        <v>#REF!</v>
      </c>
      <c r="BR521" s="315" t="e">
        <f>#REF!-#REF!</f>
        <v>#REF!</v>
      </c>
      <c r="BS521" s="315" t="e">
        <f>#REF!-#REF!</f>
        <v>#REF!</v>
      </c>
      <c r="BT521" s="315" t="e">
        <f>#REF!-#REF!</f>
        <v>#REF!</v>
      </c>
      <c r="BU521" s="315" t="e">
        <f>#REF!-#REF!</f>
        <v>#REF!</v>
      </c>
      <c r="BV521" s="315" t="e">
        <f>#REF!-#REF!</f>
        <v>#REF!</v>
      </c>
      <c r="BW521" s="315" t="e">
        <f>#REF!-#REF!</f>
        <v>#REF!</v>
      </c>
      <c r="BX521" s="315" t="e">
        <f>#REF!-#REF!</f>
        <v>#REF!</v>
      </c>
      <c r="BZ521" s="315" t="e">
        <f>#REF!-#REF!</f>
        <v>#REF!</v>
      </c>
      <c r="CA521" s="315" t="e">
        <f>#REF!-#REF!</f>
        <v>#REF!</v>
      </c>
    </row>
    <row r="522" spans="7:79" hidden="1" x14ac:dyDescent="0.2">
      <c r="G522" s="315" t="e">
        <f>#REF!-#REF!</f>
        <v>#REF!</v>
      </c>
      <c r="H522" s="315" t="e">
        <f>#REF!-#REF!</f>
        <v>#REF!</v>
      </c>
      <c r="I522" s="315" t="e">
        <f>#REF!-#REF!</f>
        <v>#REF!</v>
      </c>
      <c r="J522" s="315" t="e">
        <f>#REF!-#REF!</f>
        <v>#REF!</v>
      </c>
      <c r="K522" s="315" t="e">
        <f>#REF!-#REF!</f>
        <v>#REF!</v>
      </c>
      <c r="L522" s="315" t="e">
        <f>#REF!-#REF!</f>
        <v>#REF!</v>
      </c>
      <c r="M522" s="315" t="e">
        <f>#REF!-#REF!</f>
        <v>#REF!</v>
      </c>
      <c r="N522" s="315" t="e">
        <f>#REF!-#REF!</f>
        <v>#REF!</v>
      </c>
      <c r="O522" s="315" t="e">
        <f>#REF!-#REF!</f>
        <v>#REF!</v>
      </c>
      <c r="P522" s="315" t="e">
        <f>#REF!-#REF!</f>
        <v>#REF!</v>
      </c>
      <c r="Q522" s="315" t="e">
        <f>#REF!-#REF!</f>
        <v>#REF!</v>
      </c>
      <c r="R522" s="315" t="e">
        <f>#REF!-#REF!</f>
        <v>#REF!</v>
      </c>
      <c r="S522" s="315" t="e">
        <f>#REF!-#REF!</f>
        <v>#REF!</v>
      </c>
      <c r="T522" s="315" t="e">
        <f>#REF!-#REF!</f>
        <v>#REF!</v>
      </c>
      <c r="U522" s="315" t="e">
        <f>#REF!-#REF!</f>
        <v>#REF!</v>
      </c>
      <c r="V522" s="315" t="e">
        <f>#REF!-#REF!</f>
        <v>#REF!</v>
      </c>
      <c r="W522" s="315" t="e">
        <f>#REF!-#REF!</f>
        <v>#REF!</v>
      </c>
      <c r="X522" s="315" t="e">
        <f>#REF!-#REF!</f>
        <v>#REF!</v>
      </c>
      <c r="Y522" s="315" t="e">
        <f>#REF!-#REF!</f>
        <v>#REF!</v>
      </c>
      <c r="Z522" s="315" t="e">
        <f>#REF!-#REF!</f>
        <v>#REF!</v>
      </c>
      <c r="AA522" s="315" t="e">
        <f>#REF!-#REF!</f>
        <v>#REF!</v>
      </c>
      <c r="AB522" s="315" t="e">
        <f>#REF!-#REF!</f>
        <v>#REF!</v>
      </c>
      <c r="AC522" s="315" t="e">
        <f>#REF!-#REF!</f>
        <v>#REF!</v>
      </c>
      <c r="AD522" s="315" t="e">
        <f>#REF!-#REF!</f>
        <v>#REF!</v>
      </c>
      <c r="AE522" s="315" t="e">
        <f>#REF!-#REF!</f>
        <v>#REF!</v>
      </c>
      <c r="AF522" s="315" t="e">
        <f>#REF!-#REF!</f>
        <v>#REF!</v>
      </c>
      <c r="AG522" s="315" t="e">
        <f>#REF!-#REF!</f>
        <v>#REF!</v>
      </c>
      <c r="AH522" s="315" t="e">
        <f>#REF!-#REF!</f>
        <v>#REF!</v>
      </c>
      <c r="AI522" s="315" t="e">
        <f>#REF!-#REF!</f>
        <v>#REF!</v>
      </c>
      <c r="AJ522" s="315" t="e">
        <f>#REF!-#REF!</f>
        <v>#REF!</v>
      </c>
      <c r="AK522" s="315" t="e">
        <f>#REF!-#REF!</f>
        <v>#REF!</v>
      </c>
      <c r="AL522" s="315" t="e">
        <f>#REF!-#REF!</f>
        <v>#REF!</v>
      </c>
      <c r="AM522" s="315" t="e">
        <f>#REF!-#REF!</f>
        <v>#REF!</v>
      </c>
      <c r="AN522" s="315" t="e">
        <f>#REF!-#REF!</f>
        <v>#REF!</v>
      </c>
      <c r="AO522" s="315" t="e">
        <f>#REF!-#REF!</f>
        <v>#REF!</v>
      </c>
      <c r="AP522" s="315" t="e">
        <f>#REF!-#REF!</f>
        <v>#REF!</v>
      </c>
      <c r="AQ522" s="315" t="e">
        <f>#REF!-#REF!</f>
        <v>#REF!</v>
      </c>
      <c r="AR522" s="315" t="e">
        <f>#REF!-#REF!</f>
        <v>#REF!</v>
      </c>
      <c r="AS522" s="315" t="e">
        <f>#REF!-#REF!</f>
        <v>#REF!</v>
      </c>
      <c r="AT522" s="315" t="e">
        <f>#REF!-#REF!</f>
        <v>#REF!</v>
      </c>
      <c r="AU522" s="315" t="e">
        <f>#REF!-#REF!</f>
        <v>#REF!</v>
      </c>
      <c r="AV522" s="315" t="e">
        <f>#REF!-#REF!</f>
        <v>#REF!</v>
      </c>
      <c r="AW522" s="315" t="e">
        <f>#REF!-#REF!</f>
        <v>#REF!</v>
      </c>
      <c r="AX522" s="315" t="e">
        <f>#REF!-#REF!</f>
        <v>#REF!</v>
      </c>
      <c r="AY522" s="315" t="e">
        <f>#REF!-#REF!</f>
        <v>#REF!</v>
      </c>
      <c r="AZ522" s="315" t="e">
        <f>#REF!-#REF!</f>
        <v>#REF!</v>
      </c>
      <c r="BA522" s="315" t="e">
        <f>#REF!-#REF!</f>
        <v>#REF!</v>
      </c>
      <c r="BB522" s="315" t="e">
        <f>#REF!-#REF!</f>
        <v>#REF!</v>
      </c>
      <c r="BC522" s="315" t="e">
        <f>#REF!-#REF!</f>
        <v>#REF!</v>
      </c>
      <c r="BD522" s="315" t="e">
        <f>#REF!-#REF!</f>
        <v>#REF!</v>
      </c>
      <c r="BE522" s="315" t="e">
        <f>#REF!-#REF!</f>
        <v>#REF!</v>
      </c>
      <c r="BF522" s="315" t="e">
        <f>#REF!-#REF!</f>
        <v>#REF!</v>
      </c>
      <c r="BG522" s="315" t="e">
        <f>#REF!-#REF!</f>
        <v>#REF!</v>
      </c>
      <c r="BH522" s="315" t="e">
        <f>#REF!-#REF!</f>
        <v>#REF!</v>
      </c>
      <c r="BI522" s="315" t="e">
        <f>#REF!-#REF!</f>
        <v>#REF!</v>
      </c>
      <c r="BJ522" s="315" t="e">
        <f>#REF!-#REF!</f>
        <v>#REF!</v>
      </c>
      <c r="BK522" s="315" t="e">
        <f>#REF!-#REF!</f>
        <v>#REF!</v>
      </c>
      <c r="BL522" s="315" t="e">
        <f>#REF!-#REF!</f>
        <v>#REF!</v>
      </c>
      <c r="BM522" s="315" t="e">
        <f>#REF!-#REF!</f>
        <v>#REF!</v>
      </c>
      <c r="BN522" s="315" t="e">
        <f>#REF!-#REF!</f>
        <v>#REF!</v>
      </c>
      <c r="BO522" s="315" t="e">
        <f>#REF!-#REF!</f>
        <v>#REF!</v>
      </c>
      <c r="BP522" s="315" t="e">
        <f>#REF!-#REF!</f>
        <v>#REF!</v>
      </c>
      <c r="BQ522" s="315" t="e">
        <f>#REF!-#REF!</f>
        <v>#REF!</v>
      </c>
      <c r="BR522" s="315" t="e">
        <f>#REF!-#REF!</f>
        <v>#REF!</v>
      </c>
      <c r="BS522" s="315" t="e">
        <f>#REF!-#REF!</f>
        <v>#REF!</v>
      </c>
      <c r="BT522" s="315" t="e">
        <f>#REF!-#REF!</f>
        <v>#REF!</v>
      </c>
      <c r="BU522" s="315" t="e">
        <f>#REF!-#REF!</f>
        <v>#REF!</v>
      </c>
      <c r="BV522" s="315" t="e">
        <f>#REF!-#REF!</f>
        <v>#REF!</v>
      </c>
      <c r="BW522" s="315" t="e">
        <f>#REF!-#REF!</f>
        <v>#REF!</v>
      </c>
      <c r="BX522" s="315" t="e">
        <f>#REF!-#REF!</f>
        <v>#REF!</v>
      </c>
      <c r="BZ522" s="315" t="e">
        <f>#REF!-#REF!</f>
        <v>#REF!</v>
      </c>
      <c r="CA522" s="315" t="e">
        <f>#REF!-#REF!</f>
        <v>#REF!</v>
      </c>
    </row>
    <row r="523" spans="7:79" hidden="1" x14ac:dyDescent="0.2">
      <c r="G523" s="315" t="e">
        <f>#REF!-#REF!</f>
        <v>#REF!</v>
      </c>
      <c r="H523" s="315" t="e">
        <f>#REF!-#REF!</f>
        <v>#REF!</v>
      </c>
      <c r="I523" s="315" t="e">
        <f>#REF!-#REF!</f>
        <v>#REF!</v>
      </c>
      <c r="J523" s="315" t="e">
        <f>#REF!-#REF!</f>
        <v>#REF!</v>
      </c>
      <c r="K523" s="315" t="e">
        <f>#REF!-#REF!</f>
        <v>#REF!</v>
      </c>
      <c r="L523" s="315" t="e">
        <f>#REF!-#REF!</f>
        <v>#REF!</v>
      </c>
      <c r="M523" s="315" t="e">
        <f>#REF!-#REF!</f>
        <v>#REF!</v>
      </c>
      <c r="N523" s="315" t="e">
        <f>#REF!-#REF!</f>
        <v>#REF!</v>
      </c>
      <c r="O523" s="315" t="e">
        <f>#REF!-#REF!</f>
        <v>#REF!</v>
      </c>
      <c r="P523" s="315" t="e">
        <f>#REF!-#REF!</f>
        <v>#REF!</v>
      </c>
      <c r="Q523" s="315" t="e">
        <f>#REF!-#REF!</f>
        <v>#REF!</v>
      </c>
      <c r="R523" s="315" t="e">
        <f>#REF!-#REF!</f>
        <v>#REF!</v>
      </c>
      <c r="S523" s="315" t="e">
        <f>#REF!-#REF!</f>
        <v>#REF!</v>
      </c>
      <c r="T523" s="315" t="e">
        <f>#REF!-#REF!</f>
        <v>#REF!</v>
      </c>
      <c r="U523" s="315" t="e">
        <f>#REF!-#REF!</f>
        <v>#REF!</v>
      </c>
      <c r="V523" s="315" t="e">
        <f>#REF!-#REF!</f>
        <v>#REF!</v>
      </c>
      <c r="W523" s="315" t="e">
        <f>#REF!-#REF!</f>
        <v>#REF!</v>
      </c>
      <c r="X523" s="315" t="e">
        <f>#REF!-#REF!</f>
        <v>#REF!</v>
      </c>
      <c r="Y523" s="315" t="e">
        <f>#REF!-#REF!</f>
        <v>#REF!</v>
      </c>
      <c r="Z523" s="315" t="e">
        <f>#REF!-#REF!</f>
        <v>#REF!</v>
      </c>
      <c r="AA523" s="315" t="e">
        <f>#REF!-#REF!</f>
        <v>#REF!</v>
      </c>
      <c r="AB523" s="315" t="e">
        <f>#REF!-#REF!</f>
        <v>#REF!</v>
      </c>
      <c r="AC523" s="315" t="e">
        <f>#REF!-#REF!</f>
        <v>#REF!</v>
      </c>
      <c r="AD523" s="315" t="e">
        <f>#REF!-#REF!</f>
        <v>#REF!</v>
      </c>
      <c r="AE523" s="315" t="e">
        <f>#REF!-#REF!</f>
        <v>#REF!</v>
      </c>
      <c r="AF523" s="315" t="e">
        <f>#REF!-#REF!</f>
        <v>#REF!</v>
      </c>
      <c r="AG523" s="315" t="e">
        <f>#REF!-#REF!</f>
        <v>#REF!</v>
      </c>
      <c r="AH523" s="315" t="e">
        <f>#REF!-#REF!</f>
        <v>#REF!</v>
      </c>
      <c r="AI523" s="315" t="e">
        <f>#REF!-#REF!</f>
        <v>#REF!</v>
      </c>
      <c r="AJ523" s="315" t="e">
        <f>#REF!-#REF!</f>
        <v>#REF!</v>
      </c>
      <c r="AK523" s="315" t="e">
        <f>#REF!-#REF!</f>
        <v>#REF!</v>
      </c>
      <c r="AL523" s="315" t="e">
        <f>#REF!-#REF!</f>
        <v>#REF!</v>
      </c>
      <c r="AM523" s="315" t="e">
        <f>#REF!-#REF!</f>
        <v>#REF!</v>
      </c>
      <c r="AN523" s="315" t="e">
        <f>#REF!-#REF!</f>
        <v>#REF!</v>
      </c>
      <c r="AO523" s="315" t="e">
        <f>#REF!-#REF!</f>
        <v>#REF!</v>
      </c>
      <c r="AP523" s="315" t="e">
        <f>#REF!-#REF!</f>
        <v>#REF!</v>
      </c>
      <c r="AQ523" s="315" t="e">
        <f>#REF!-#REF!</f>
        <v>#REF!</v>
      </c>
      <c r="AR523" s="315" t="e">
        <f>#REF!-#REF!</f>
        <v>#REF!</v>
      </c>
      <c r="AS523" s="315" t="e">
        <f>#REF!-#REF!</f>
        <v>#REF!</v>
      </c>
      <c r="AT523" s="315" t="e">
        <f>#REF!-#REF!</f>
        <v>#REF!</v>
      </c>
      <c r="AU523" s="315" t="e">
        <f>#REF!-#REF!</f>
        <v>#REF!</v>
      </c>
      <c r="AV523" s="315" t="e">
        <f>#REF!-#REF!</f>
        <v>#REF!</v>
      </c>
      <c r="AW523" s="315" t="e">
        <f>#REF!-#REF!</f>
        <v>#REF!</v>
      </c>
      <c r="AX523" s="315" t="e">
        <f>#REF!-#REF!</f>
        <v>#REF!</v>
      </c>
      <c r="AY523" s="315" t="e">
        <f>#REF!-#REF!</f>
        <v>#REF!</v>
      </c>
      <c r="AZ523" s="315" t="e">
        <f>#REF!-#REF!</f>
        <v>#REF!</v>
      </c>
      <c r="BA523" s="315" t="e">
        <f>#REF!-#REF!</f>
        <v>#REF!</v>
      </c>
      <c r="BB523" s="315" t="e">
        <f>#REF!-#REF!</f>
        <v>#REF!</v>
      </c>
      <c r="BC523" s="315" t="e">
        <f>#REF!-#REF!</f>
        <v>#REF!</v>
      </c>
      <c r="BD523" s="315" t="e">
        <f>#REF!-#REF!</f>
        <v>#REF!</v>
      </c>
      <c r="BE523" s="315" t="e">
        <f>#REF!-#REF!</f>
        <v>#REF!</v>
      </c>
      <c r="BF523" s="315" t="e">
        <f>#REF!-#REF!</f>
        <v>#REF!</v>
      </c>
      <c r="BG523" s="315" t="e">
        <f>#REF!-#REF!</f>
        <v>#REF!</v>
      </c>
      <c r="BH523" s="315" t="e">
        <f>#REF!-#REF!</f>
        <v>#REF!</v>
      </c>
      <c r="BI523" s="315" t="e">
        <f>#REF!-#REF!</f>
        <v>#REF!</v>
      </c>
      <c r="BJ523" s="315" t="e">
        <f>#REF!-#REF!</f>
        <v>#REF!</v>
      </c>
      <c r="BK523" s="315" t="e">
        <f>#REF!-#REF!</f>
        <v>#REF!</v>
      </c>
      <c r="BL523" s="315" t="e">
        <f>#REF!-#REF!</f>
        <v>#REF!</v>
      </c>
      <c r="BM523" s="315" t="e">
        <f>#REF!-#REF!</f>
        <v>#REF!</v>
      </c>
      <c r="BN523" s="315" t="e">
        <f>#REF!-#REF!</f>
        <v>#REF!</v>
      </c>
      <c r="BO523" s="315" t="e">
        <f>#REF!-#REF!</f>
        <v>#REF!</v>
      </c>
      <c r="BP523" s="315" t="e">
        <f>#REF!-#REF!</f>
        <v>#REF!</v>
      </c>
      <c r="BQ523" s="315" t="e">
        <f>#REF!-#REF!</f>
        <v>#REF!</v>
      </c>
      <c r="BR523" s="315" t="e">
        <f>#REF!-#REF!</f>
        <v>#REF!</v>
      </c>
      <c r="BS523" s="315" t="e">
        <f>#REF!-#REF!</f>
        <v>#REF!</v>
      </c>
      <c r="BT523" s="315" t="e">
        <f>#REF!-#REF!</f>
        <v>#REF!</v>
      </c>
      <c r="BU523" s="315" t="e">
        <f>#REF!-#REF!</f>
        <v>#REF!</v>
      </c>
      <c r="BV523" s="315" t="e">
        <f>#REF!-#REF!</f>
        <v>#REF!</v>
      </c>
      <c r="BW523" s="315" t="e">
        <f>#REF!-#REF!</f>
        <v>#REF!</v>
      </c>
      <c r="BX523" s="315" t="e">
        <f>#REF!-#REF!</f>
        <v>#REF!</v>
      </c>
      <c r="BZ523" s="315" t="e">
        <f>#REF!-#REF!</f>
        <v>#REF!</v>
      </c>
      <c r="CA523" s="315" t="e">
        <f>#REF!-#REF!</f>
        <v>#REF!</v>
      </c>
    </row>
    <row r="524" spans="7:79" hidden="1" x14ac:dyDescent="0.2">
      <c r="G524" s="315" t="e">
        <f>#REF!-#REF!</f>
        <v>#REF!</v>
      </c>
      <c r="H524" s="315" t="e">
        <f>#REF!-#REF!</f>
        <v>#REF!</v>
      </c>
      <c r="I524" s="315" t="e">
        <f>#REF!-#REF!</f>
        <v>#REF!</v>
      </c>
      <c r="J524" s="315" t="e">
        <f>#REF!-#REF!</f>
        <v>#REF!</v>
      </c>
      <c r="K524" s="315" t="e">
        <f>#REF!-#REF!</f>
        <v>#REF!</v>
      </c>
      <c r="L524" s="315" t="e">
        <f>#REF!-#REF!</f>
        <v>#REF!</v>
      </c>
      <c r="M524" s="315" t="e">
        <f>#REF!-#REF!</f>
        <v>#REF!</v>
      </c>
      <c r="N524" s="315" t="e">
        <f>#REF!-#REF!</f>
        <v>#REF!</v>
      </c>
      <c r="O524" s="315" t="e">
        <f>#REF!-#REF!</f>
        <v>#REF!</v>
      </c>
      <c r="P524" s="315" t="e">
        <f>#REF!-#REF!</f>
        <v>#REF!</v>
      </c>
      <c r="Q524" s="315" t="e">
        <f>#REF!-#REF!</f>
        <v>#REF!</v>
      </c>
      <c r="R524" s="315" t="e">
        <f>#REF!-#REF!</f>
        <v>#REF!</v>
      </c>
      <c r="S524" s="315" t="e">
        <f>#REF!-#REF!</f>
        <v>#REF!</v>
      </c>
      <c r="T524" s="315" t="e">
        <f>#REF!-#REF!</f>
        <v>#REF!</v>
      </c>
      <c r="U524" s="315" t="e">
        <f>#REF!-#REF!</f>
        <v>#REF!</v>
      </c>
      <c r="V524" s="315" t="e">
        <f>#REF!-#REF!</f>
        <v>#REF!</v>
      </c>
      <c r="W524" s="315" t="e">
        <f>#REF!-#REF!</f>
        <v>#REF!</v>
      </c>
      <c r="X524" s="315" t="e">
        <f>#REF!-#REF!</f>
        <v>#REF!</v>
      </c>
      <c r="Y524" s="315" t="e">
        <f>#REF!-#REF!</f>
        <v>#REF!</v>
      </c>
      <c r="Z524" s="315" t="e">
        <f>#REF!-#REF!</f>
        <v>#REF!</v>
      </c>
      <c r="AA524" s="315" t="e">
        <f>#REF!-#REF!</f>
        <v>#REF!</v>
      </c>
      <c r="AB524" s="315" t="e">
        <f>#REF!-#REF!</f>
        <v>#REF!</v>
      </c>
      <c r="AC524" s="315" t="e">
        <f>#REF!-#REF!</f>
        <v>#REF!</v>
      </c>
      <c r="AD524" s="315" t="e">
        <f>#REF!-#REF!</f>
        <v>#REF!</v>
      </c>
      <c r="AE524" s="315" t="e">
        <f>#REF!-#REF!</f>
        <v>#REF!</v>
      </c>
      <c r="AF524" s="315" t="e">
        <f>#REF!-#REF!</f>
        <v>#REF!</v>
      </c>
      <c r="AG524" s="315" t="e">
        <f>#REF!-#REF!</f>
        <v>#REF!</v>
      </c>
      <c r="AH524" s="315" t="e">
        <f>#REF!-#REF!</f>
        <v>#REF!</v>
      </c>
      <c r="AI524" s="315" t="e">
        <f>#REF!-#REF!</f>
        <v>#REF!</v>
      </c>
      <c r="AJ524" s="315" t="e">
        <f>#REF!-#REF!</f>
        <v>#REF!</v>
      </c>
      <c r="AK524" s="315" t="e">
        <f>#REF!-#REF!</f>
        <v>#REF!</v>
      </c>
      <c r="AL524" s="315" t="e">
        <f>#REF!-#REF!</f>
        <v>#REF!</v>
      </c>
      <c r="AM524" s="315" t="e">
        <f>#REF!-#REF!</f>
        <v>#REF!</v>
      </c>
      <c r="AN524" s="315" t="e">
        <f>#REF!-#REF!</f>
        <v>#REF!</v>
      </c>
      <c r="AO524" s="315" t="e">
        <f>#REF!-#REF!</f>
        <v>#REF!</v>
      </c>
      <c r="AP524" s="315" t="e">
        <f>#REF!-#REF!</f>
        <v>#REF!</v>
      </c>
      <c r="AQ524" s="315" t="e">
        <f>#REF!-#REF!</f>
        <v>#REF!</v>
      </c>
      <c r="AR524" s="315" t="e">
        <f>#REF!-#REF!</f>
        <v>#REF!</v>
      </c>
      <c r="AS524" s="315" t="e">
        <f>#REF!-#REF!</f>
        <v>#REF!</v>
      </c>
      <c r="AT524" s="315" t="e">
        <f>#REF!-#REF!</f>
        <v>#REF!</v>
      </c>
      <c r="AU524" s="315" t="e">
        <f>#REF!-#REF!</f>
        <v>#REF!</v>
      </c>
      <c r="AV524" s="315" t="e">
        <f>#REF!-#REF!</f>
        <v>#REF!</v>
      </c>
      <c r="AW524" s="315" t="e">
        <f>#REF!-#REF!</f>
        <v>#REF!</v>
      </c>
      <c r="AX524" s="315" t="e">
        <f>#REF!-#REF!</f>
        <v>#REF!</v>
      </c>
      <c r="AY524" s="315" t="e">
        <f>#REF!-#REF!</f>
        <v>#REF!</v>
      </c>
      <c r="AZ524" s="315" t="e">
        <f>#REF!-#REF!</f>
        <v>#REF!</v>
      </c>
      <c r="BA524" s="315" t="e">
        <f>#REF!-#REF!</f>
        <v>#REF!</v>
      </c>
      <c r="BB524" s="315" t="e">
        <f>#REF!-#REF!</f>
        <v>#REF!</v>
      </c>
      <c r="BC524" s="315" t="e">
        <f>#REF!-#REF!</f>
        <v>#REF!</v>
      </c>
      <c r="BD524" s="315" t="e">
        <f>#REF!-#REF!</f>
        <v>#REF!</v>
      </c>
      <c r="BE524" s="315" t="e">
        <f>#REF!-#REF!</f>
        <v>#REF!</v>
      </c>
      <c r="BF524" s="315" t="e">
        <f>#REF!-#REF!</f>
        <v>#REF!</v>
      </c>
      <c r="BG524" s="315" t="e">
        <f>#REF!-#REF!</f>
        <v>#REF!</v>
      </c>
      <c r="BH524" s="315" t="e">
        <f>#REF!-#REF!</f>
        <v>#REF!</v>
      </c>
      <c r="BI524" s="315" t="e">
        <f>#REF!-#REF!</f>
        <v>#REF!</v>
      </c>
      <c r="BJ524" s="315" t="e">
        <f>#REF!-#REF!</f>
        <v>#REF!</v>
      </c>
      <c r="BK524" s="315" t="e">
        <f>#REF!-#REF!</f>
        <v>#REF!</v>
      </c>
      <c r="BL524" s="315" t="e">
        <f>#REF!-#REF!</f>
        <v>#REF!</v>
      </c>
      <c r="BM524" s="315" t="e">
        <f>#REF!-#REF!</f>
        <v>#REF!</v>
      </c>
      <c r="BN524" s="315" t="e">
        <f>#REF!-#REF!</f>
        <v>#REF!</v>
      </c>
      <c r="BO524" s="315" t="e">
        <f>#REF!-#REF!</f>
        <v>#REF!</v>
      </c>
      <c r="BP524" s="315" t="e">
        <f>#REF!-#REF!</f>
        <v>#REF!</v>
      </c>
      <c r="BQ524" s="315" t="e">
        <f>#REF!-#REF!</f>
        <v>#REF!</v>
      </c>
      <c r="BR524" s="315" t="e">
        <f>#REF!-#REF!</f>
        <v>#REF!</v>
      </c>
      <c r="BS524" s="315" t="e">
        <f>#REF!-#REF!</f>
        <v>#REF!</v>
      </c>
      <c r="BT524" s="315" t="e">
        <f>#REF!-#REF!</f>
        <v>#REF!</v>
      </c>
      <c r="BU524" s="315" t="e">
        <f>#REF!-#REF!</f>
        <v>#REF!</v>
      </c>
      <c r="BV524" s="315" t="e">
        <f>#REF!-#REF!</f>
        <v>#REF!</v>
      </c>
      <c r="BW524" s="315" t="e">
        <f>#REF!-#REF!</f>
        <v>#REF!</v>
      </c>
      <c r="BX524" s="315" t="e">
        <f>#REF!-#REF!</f>
        <v>#REF!</v>
      </c>
      <c r="BZ524" s="315" t="e">
        <f>#REF!-#REF!</f>
        <v>#REF!</v>
      </c>
      <c r="CA524" s="315" t="e">
        <f>#REF!-#REF!</f>
        <v>#REF!</v>
      </c>
    </row>
    <row r="525" spans="7:79" hidden="1" x14ac:dyDescent="0.2">
      <c r="G525" s="315" t="e">
        <f>#REF!-#REF!</f>
        <v>#REF!</v>
      </c>
      <c r="H525" s="315" t="e">
        <f>#REF!-#REF!</f>
        <v>#REF!</v>
      </c>
      <c r="I525" s="315" t="e">
        <f>#REF!-#REF!</f>
        <v>#REF!</v>
      </c>
      <c r="J525" s="315" t="e">
        <f>#REF!-#REF!</f>
        <v>#REF!</v>
      </c>
      <c r="K525" s="315" t="e">
        <f>#REF!-#REF!</f>
        <v>#REF!</v>
      </c>
      <c r="L525" s="315" t="e">
        <f>#REF!-#REF!</f>
        <v>#REF!</v>
      </c>
      <c r="M525" s="315" t="e">
        <f>#REF!-#REF!</f>
        <v>#REF!</v>
      </c>
      <c r="N525" s="315" t="e">
        <f>#REF!-#REF!</f>
        <v>#REF!</v>
      </c>
      <c r="O525" s="315" t="e">
        <f>#REF!-#REF!</f>
        <v>#REF!</v>
      </c>
      <c r="P525" s="315" t="e">
        <f>#REF!-#REF!</f>
        <v>#REF!</v>
      </c>
      <c r="Q525" s="315" t="e">
        <f>#REF!-#REF!</f>
        <v>#REF!</v>
      </c>
      <c r="R525" s="315" t="e">
        <f>#REF!-#REF!</f>
        <v>#REF!</v>
      </c>
      <c r="S525" s="315" t="e">
        <f>#REF!-#REF!</f>
        <v>#REF!</v>
      </c>
      <c r="T525" s="315" t="e">
        <f>#REF!-#REF!</f>
        <v>#REF!</v>
      </c>
      <c r="U525" s="315" t="e">
        <f>#REF!-#REF!</f>
        <v>#REF!</v>
      </c>
      <c r="V525" s="315" t="e">
        <f>#REF!-#REF!</f>
        <v>#REF!</v>
      </c>
      <c r="W525" s="315" t="e">
        <f>#REF!-#REF!</f>
        <v>#REF!</v>
      </c>
      <c r="X525" s="315" t="e">
        <f>#REF!-#REF!</f>
        <v>#REF!</v>
      </c>
      <c r="Y525" s="315" t="e">
        <f>#REF!-#REF!</f>
        <v>#REF!</v>
      </c>
      <c r="Z525" s="315" t="e">
        <f>#REF!-#REF!</f>
        <v>#REF!</v>
      </c>
      <c r="AA525" s="315" t="e">
        <f>#REF!-#REF!</f>
        <v>#REF!</v>
      </c>
      <c r="AB525" s="315" t="e">
        <f>#REF!-#REF!</f>
        <v>#REF!</v>
      </c>
      <c r="AC525" s="315" t="e">
        <f>#REF!-#REF!</f>
        <v>#REF!</v>
      </c>
      <c r="AD525" s="315" t="e">
        <f>#REF!-#REF!</f>
        <v>#REF!</v>
      </c>
      <c r="AE525" s="315" t="e">
        <f>#REF!-#REF!</f>
        <v>#REF!</v>
      </c>
      <c r="AF525" s="315" t="e">
        <f>#REF!-#REF!</f>
        <v>#REF!</v>
      </c>
      <c r="AG525" s="315" t="e">
        <f>#REF!-#REF!</f>
        <v>#REF!</v>
      </c>
      <c r="AH525" s="315" t="e">
        <f>#REF!-#REF!</f>
        <v>#REF!</v>
      </c>
      <c r="AI525" s="315" t="e">
        <f>#REF!-#REF!</f>
        <v>#REF!</v>
      </c>
      <c r="AJ525" s="315" t="e">
        <f>#REF!-#REF!</f>
        <v>#REF!</v>
      </c>
      <c r="AK525" s="315" t="e">
        <f>#REF!-#REF!</f>
        <v>#REF!</v>
      </c>
      <c r="AL525" s="315" t="e">
        <f>#REF!-#REF!</f>
        <v>#REF!</v>
      </c>
      <c r="AM525" s="315" t="e">
        <f>#REF!-#REF!</f>
        <v>#REF!</v>
      </c>
      <c r="AN525" s="315" t="e">
        <f>#REF!-#REF!</f>
        <v>#REF!</v>
      </c>
      <c r="AO525" s="315" t="e">
        <f>#REF!-#REF!</f>
        <v>#REF!</v>
      </c>
      <c r="AP525" s="315" t="e">
        <f>#REF!-#REF!</f>
        <v>#REF!</v>
      </c>
      <c r="AQ525" s="315" t="e">
        <f>#REF!-#REF!</f>
        <v>#REF!</v>
      </c>
      <c r="AR525" s="315" t="e">
        <f>#REF!-#REF!</f>
        <v>#REF!</v>
      </c>
      <c r="AS525" s="315" t="e">
        <f>#REF!-#REF!</f>
        <v>#REF!</v>
      </c>
      <c r="AT525" s="315" t="e">
        <f>#REF!-#REF!</f>
        <v>#REF!</v>
      </c>
      <c r="AU525" s="315" t="e">
        <f>#REF!-#REF!</f>
        <v>#REF!</v>
      </c>
      <c r="AV525" s="315" t="e">
        <f>#REF!-#REF!</f>
        <v>#REF!</v>
      </c>
      <c r="AW525" s="315" t="e">
        <f>#REF!-#REF!</f>
        <v>#REF!</v>
      </c>
      <c r="AX525" s="315" t="e">
        <f>#REF!-#REF!</f>
        <v>#REF!</v>
      </c>
      <c r="AY525" s="315" t="e">
        <f>#REF!-#REF!</f>
        <v>#REF!</v>
      </c>
      <c r="AZ525" s="315" t="e">
        <f>#REF!-#REF!</f>
        <v>#REF!</v>
      </c>
      <c r="BA525" s="315" t="e">
        <f>#REF!-#REF!</f>
        <v>#REF!</v>
      </c>
      <c r="BB525" s="315" t="e">
        <f>#REF!-#REF!</f>
        <v>#REF!</v>
      </c>
      <c r="BC525" s="315" t="e">
        <f>#REF!-#REF!</f>
        <v>#REF!</v>
      </c>
      <c r="BD525" s="315" t="e">
        <f>#REF!-#REF!</f>
        <v>#REF!</v>
      </c>
      <c r="BE525" s="315" t="e">
        <f>#REF!-#REF!</f>
        <v>#REF!</v>
      </c>
      <c r="BF525" s="315" t="e">
        <f>#REF!-#REF!</f>
        <v>#REF!</v>
      </c>
      <c r="BG525" s="315" t="e">
        <f>#REF!-#REF!</f>
        <v>#REF!</v>
      </c>
      <c r="BH525" s="315" t="e">
        <f>#REF!-#REF!</f>
        <v>#REF!</v>
      </c>
      <c r="BI525" s="315" t="e">
        <f>#REF!-#REF!</f>
        <v>#REF!</v>
      </c>
      <c r="BJ525" s="315" t="e">
        <f>#REF!-#REF!</f>
        <v>#REF!</v>
      </c>
      <c r="BK525" s="315" t="e">
        <f>#REF!-#REF!</f>
        <v>#REF!</v>
      </c>
      <c r="BL525" s="315" t="e">
        <f>#REF!-#REF!</f>
        <v>#REF!</v>
      </c>
      <c r="BM525" s="315" t="e">
        <f>#REF!-#REF!</f>
        <v>#REF!</v>
      </c>
      <c r="BN525" s="315" t="e">
        <f>#REF!-#REF!</f>
        <v>#REF!</v>
      </c>
      <c r="BO525" s="315" t="e">
        <f>#REF!-#REF!</f>
        <v>#REF!</v>
      </c>
      <c r="BP525" s="315" t="e">
        <f>#REF!-#REF!</f>
        <v>#REF!</v>
      </c>
      <c r="BQ525" s="315" t="e">
        <f>#REF!-#REF!</f>
        <v>#REF!</v>
      </c>
      <c r="BR525" s="315" t="e">
        <f>#REF!-#REF!</f>
        <v>#REF!</v>
      </c>
      <c r="BS525" s="315" t="e">
        <f>#REF!-#REF!</f>
        <v>#REF!</v>
      </c>
      <c r="BT525" s="315" t="e">
        <f>#REF!-#REF!</f>
        <v>#REF!</v>
      </c>
      <c r="BU525" s="315" t="e">
        <f>#REF!-#REF!</f>
        <v>#REF!</v>
      </c>
      <c r="BV525" s="315" t="e">
        <f>#REF!-#REF!</f>
        <v>#REF!</v>
      </c>
      <c r="BW525" s="315" t="e">
        <f>#REF!-#REF!</f>
        <v>#REF!</v>
      </c>
      <c r="BX525" s="315" t="e">
        <f>#REF!-#REF!</f>
        <v>#REF!</v>
      </c>
      <c r="BZ525" s="315" t="e">
        <f>#REF!-#REF!</f>
        <v>#REF!</v>
      </c>
      <c r="CA525" s="315" t="e">
        <f>#REF!-#REF!</f>
        <v>#REF!</v>
      </c>
    </row>
    <row r="526" spans="7:79" hidden="1" x14ac:dyDescent="0.2">
      <c r="G526" s="315" t="e">
        <f>#REF!-#REF!</f>
        <v>#REF!</v>
      </c>
      <c r="H526" s="315" t="e">
        <f>#REF!-#REF!</f>
        <v>#REF!</v>
      </c>
      <c r="I526" s="315" t="e">
        <f>#REF!-#REF!</f>
        <v>#REF!</v>
      </c>
      <c r="J526" s="315" t="e">
        <f>#REF!-#REF!</f>
        <v>#REF!</v>
      </c>
      <c r="K526" s="315" t="e">
        <f>#REF!-#REF!</f>
        <v>#REF!</v>
      </c>
      <c r="L526" s="315" t="e">
        <f>#REF!-#REF!</f>
        <v>#REF!</v>
      </c>
      <c r="M526" s="315" t="e">
        <f>#REF!-#REF!</f>
        <v>#REF!</v>
      </c>
      <c r="N526" s="315" t="e">
        <f>#REF!-#REF!</f>
        <v>#REF!</v>
      </c>
      <c r="O526" s="315" t="e">
        <f>#REF!-#REF!</f>
        <v>#REF!</v>
      </c>
      <c r="P526" s="315" t="e">
        <f>#REF!-#REF!</f>
        <v>#REF!</v>
      </c>
      <c r="Q526" s="315" t="e">
        <f>#REF!-#REF!</f>
        <v>#REF!</v>
      </c>
      <c r="R526" s="315" t="e">
        <f>#REF!-#REF!</f>
        <v>#REF!</v>
      </c>
      <c r="S526" s="315" t="e">
        <f>#REF!-#REF!</f>
        <v>#REF!</v>
      </c>
      <c r="T526" s="315" t="e">
        <f>#REF!-#REF!</f>
        <v>#REF!</v>
      </c>
      <c r="U526" s="315" t="e">
        <f>#REF!-#REF!</f>
        <v>#REF!</v>
      </c>
      <c r="V526" s="315" t="e">
        <f>#REF!-#REF!</f>
        <v>#REF!</v>
      </c>
      <c r="W526" s="315" t="e">
        <f>#REF!-#REF!</f>
        <v>#REF!</v>
      </c>
      <c r="X526" s="315" t="e">
        <f>#REF!-#REF!</f>
        <v>#REF!</v>
      </c>
      <c r="Y526" s="315" t="e">
        <f>#REF!-#REF!</f>
        <v>#REF!</v>
      </c>
      <c r="Z526" s="315" t="e">
        <f>#REF!-#REF!</f>
        <v>#REF!</v>
      </c>
      <c r="AA526" s="315" t="e">
        <f>#REF!-#REF!</f>
        <v>#REF!</v>
      </c>
      <c r="AB526" s="315" t="e">
        <f>#REF!-#REF!</f>
        <v>#REF!</v>
      </c>
      <c r="AC526" s="315" t="e">
        <f>#REF!-#REF!</f>
        <v>#REF!</v>
      </c>
      <c r="AD526" s="315" t="e">
        <f>#REF!-#REF!</f>
        <v>#REF!</v>
      </c>
      <c r="AE526" s="315" t="e">
        <f>#REF!-#REF!</f>
        <v>#REF!</v>
      </c>
      <c r="AF526" s="315" t="e">
        <f>#REF!-#REF!</f>
        <v>#REF!</v>
      </c>
      <c r="AG526" s="315" t="e">
        <f>#REF!-#REF!</f>
        <v>#REF!</v>
      </c>
      <c r="AH526" s="315" t="e">
        <f>#REF!-#REF!</f>
        <v>#REF!</v>
      </c>
      <c r="AI526" s="315" t="e">
        <f>#REF!-#REF!</f>
        <v>#REF!</v>
      </c>
      <c r="AJ526" s="315" t="e">
        <f>#REF!-#REF!</f>
        <v>#REF!</v>
      </c>
      <c r="AK526" s="315" t="e">
        <f>#REF!-#REF!</f>
        <v>#REF!</v>
      </c>
      <c r="AL526" s="315" t="e">
        <f>#REF!-#REF!</f>
        <v>#REF!</v>
      </c>
      <c r="AM526" s="315" t="e">
        <f>#REF!-#REF!</f>
        <v>#REF!</v>
      </c>
      <c r="AN526" s="315" t="e">
        <f>#REF!-#REF!</f>
        <v>#REF!</v>
      </c>
      <c r="AO526" s="315" t="e">
        <f>#REF!-#REF!</f>
        <v>#REF!</v>
      </c>
      <c r="AP526" s="315" t="e">
        <f>#REF!-#REF!</f>
        <v>#REF!</v>
      </c>
      <c r="AQ526" s="315" t="e">
        <f>#REF!-#REF!</f>
        <v>#REF!</v>
      </c>
      <c r="AR526" s="315" t="e">
        <f>#REF!-#REF!</f>
        <v>#REF!</v>
      </c>
      <c r="AS526" s="315" t="e">
        <f>#REF!-#REF!</f>
        <v>#REF!</v>
      </c>
      <c r="AT526" s="315" t="e">
        <f>#REF!-#REF!</f>
        <v>#REF!</v>
      </c>
      <c r="AU526" s="315" t="e">
        <f>#REF!-#REF!</f>
        <v>#REF!</v>
      </c>
      <c r="AV526" s="315" t="e">
        <f>#REF!-#REF!</f>
        <v>#REF!</v>
      </c>
      <c r="AW526" s="315" t="e">
        <f>#REF!-#REF!</f>
        <v>#REF!</v>
      </c>
      <c r="AX526" s="315" t="e">
        <f>#REF!-#REF!</f>
        <v>#REF!</v>
      </c>
      <c r="AY526" s="315" t="e">
        <f>#REF!-#REF!</f>
        <v>#REF!</v>
      </c>
      <c r="AZ526" s="315" t="e">
        <f>#REF!-#REF!</f>
        <v>#REF!</v>
      </c>
      <c r="BA526" s="315" t="e">
        <f>#REF!-#REF!</f>
        <v>#REF!</v>
      </c>
      <c r="BB526" s="315" t="e">
        <f>#REF!-#REF!</f>
        <v>#REF!</v>
      </c>
      <c r="BC526" s="315" t="e">
        <f>#REF!-#REF!</f>
        <v>#REF!</v>
      </c>
      <c r="BD526" s="315" t="e">
        <f>#REF!-#REF!</f>
        <v>#REF!</v>
      </c>
      <c r="BE526" s="315" t="e">
        <f>#REF!-#REF!</f>
        <v>#REF!</v>
      </c>
      <c r="BF526" s="315" t="e">
        <f>#REF!-#REF!</f>
        <v>#REF!</v>
      </c>
      <c r="BG526" s="315" t="e">
        <f>#REF!-#REF!</f>
        <v>#REF!</v>
      </c>
      <c r="BH526" s="315" t="e">
        <f>#REF!-#REF!</f>
        <v>#REF!</v>
      </c>
      <c r="BI526" s="315" t="e">
        <f>#REF!-#REF!</f>
        <v>#REF!</v>
      </c>
      <c r="BJ526" s="315" t="e">
        <f>#REF!-#REF!</f>
        <v>#REF!</v>
      </c>
      <c r="BK526" s="315" t="e">
        <f>#REF!-#REF!</f>
        <v>#REF!</v>
      </c>
      <c r="BL526" s="315" t="e">
        <f>#REF!-#REF!</f>
        <v>#REF!</v>
      </c>
      <c r="BM526" s="315" t="e">
        <f>#REF!-#REF!</f>
        <v>#REF!</v>
      </c>
      <c r="BN526" s="315" t="e">
        <f>#REF!-#REF!</f>
        <v>#REF!</v>
      </c>
      <c r="BO526" s="315" t="e">
        <f>#REF!-#REF!</f>
        <v>#REF!</v>
      </c>
      <c r="BP526" s="315" t="e">
        <f>#REF!-#REF!</f>
        <v>#REF!</v>
      </c>
      <c r="BQ526" s="315" t="e">
        <f>#REF!-#REF!</f>
        <v>#REF!</v>
      </c>
      <c r="BR526" s="315" t="e">
        <f>#REF!-#REF!</f>
        <v>#REF!</v>
      </c>
      <c r="BS526" s="315" t="e">
        <f>#REF!-#REF!</f>
        <v>#REF!</v>
      </c>
      <c r="BT526" s="315" t="e">
        <f>#REF!-#REF!</f>
        <v>#REF!</v>
      </c>
      <c r="BU526" s="315" t="e">
        <f>#REF!-#REF!</f>
        <v>#REF!</v>
      </c>
      <c r="BV526" s="315" t="e">
        <f>#REF!-#REF!</f>
        <v>#REF!</v>
      </c>
      <c r="BW526" s="315" t="e">
        <f>#REF!-#REF!</f>
        <v>#REF!</v>
      </c>
      <c r="BX526" s="315" t="e">
        <f>#REF!-#REF!</f>
        <v>#REF!</v>
      </c>
      <c r="BZ526" s="315" t="e">
        <f>#REF!-#REF!</f>
        <v>#REF!</v>
      </c>
      <c r="CA526" s="315" t="e">
        <f>#REF!-#REF!</f>
        <v>#REF!</v>
      </c>
    </row>
    <row r="527" spans="7:79" hidden="1" x14ac:dyDescent="0.2">
      <c r="G527" s="315" t="e">
        <f>#REF!-#REF!</f>
        <v>#REF!</v>
      </c>
      <c r="H527" s="315" t="e">
        <f>#REF!-#REF!</f>
        <v>#REF!</v>
      </c>
      <c r="I527" s="315" t="e">
        <f>#REF!-#REF!</f>
        <v>#REF!</v>
      </c>
      <c r="J527" s="315" t="e">
        <f>#REF!-#REF!</f>
        <v>#REF!</v>
      </c>
      <c r="K527" s="315" t="e">
        <f>#REF!-#REF!</f>
        <v>#REF!</v>
      </c>
      <c r="L527" s="315" t="e">
        <f>#REF!-#REF!</f>
        <v>#REF!</v>
      </c>
      <c r="M527" s="315" t="e">
        <f>#REF!-#REF!</f>
        <v>#REF!</v>
      </c>
      <c r="N527" s="315" t="e">
        <f>#REF!-#REF!</f>
        <v>#REF!</v>
      </c>
      <c r="O527" s="315" t="e">
        <f>#REF!-#REF!</f>
        <v>#REF!</v>
      </c>
      <c r="P527" s="315" t="e">
        <f>#REF!-#REF!</f>
        <v>#REF!</v>
      </c>
      <c r="Q527" s="315" t="e">
        <f>#REF!-#REF!</f>
        <v>#REF!</v>
      </c>
      <c r="R527" s="315" t="e">
        <f>#REF!-#REF!</f>
        <v>#REF!</v>
      </c>
      <c r="S527" s="315" t="e">
        <f>#REF!-#REF!</f>
        <v>#REF!</v>
      </c>
      <c r="T527" s="315" t="e">
        <f>#REF!-#REF!</f>
        <v>#REF!</v>
      </c>
      <c r="U527" s="315" t="e">
        <f>#REF!-#REF!</f>
        <v>#REF!</v>
      </c>
      <c r="V527" s="315" t="e">
        <f>#REF!-#REF!</f>
        <v>#REF!</v>
      </c>
      <c r="W527" s="315" t="e">
        <f>#REF!-#REF!</f>
        <v>#REF!</v>
      </c>
      <c r="X527" s="315" t="e">
        <f>#REF!-#REF!</f>
        <v>#REF!</v>
      </c>
      <c r="Y527" s="315" t="e">
        <f>#REF!-#REF!</f>
        <v>#REF!</v>
      </c>
      <c r="Z527" s="315" t="e">
        <f>#REF!-#REF!</f>
        <v>#REF!</v>
      </c>
      <c r="AA527" s="315" t="e">
        <f>#REF!-#REF!</f>
        <v>#REF!</v>
      </c>
      <c r="AB527" s="315" t="e">
        <f>#REF!-#REF!</f>
        <v>#REF!</v>
      </c>
      <c r="AC527" s="315" t="e">
        <f>#REF!-#REF!</f>
        <v>#REF!</v>
      </c>
      <c r="AD527" s="315" t="e">
        <f>#REF!-#REF!</f>
        <v>#REF!</v>
      </c>
      <c r="AE527" s="315" t="e">
        <f>#REF!-#REF!</f>
        <v>#REF!</v>
      </c>
      <c r="AF527" s="315" t="e">
        <f>#REF!-#REF!</f>
        <v>#REF!</v>
      </c>
      <c r="AG527" s="315" t="e">
        <f>#REF!-#REF!</f>
        <v>#REF!</v>
      </c>
      <c r="AH527" s="315" t="e">
        <f>#REF!-#REF!</f>
        <v>#REF!</v>
      </c>
      <c r="AI527" s="315" t="e">
        <f>#REF!-#REF!</f>
        <v>#REF!</v>
      </c>
      <c r="AJ527" s="315" t="e">
        <f>#REF!-#REF!</f>
        <v>#REF!</v>
      </c>
      <c r="AK527" s="315" t="e">
        <f>#REF!-#REF!</f>
        <v>#REF!</v>
      </c>
      <c r="AL527" s="315" t="e">
        <f>#REF!-#REF!</f>
        <v>#REF!</v>
      </c>
      <c r="AM527" s="315" t="e">
        <f>#REF!-#REF!</f>
        <v>#REF!</v>
      </c>
      <c r="AN527" s="315" t="e">
        <f>#REF!-#REF!</f>
        <v>#REF!</v>
      </c>
      <c r="AO527" s="315" t="e">
        <f>#REF!-#REF!</f>
        <v>#REF!</v>
      </c>
      <c r="AP527" s="315" t="e">
        <f>#REF!-#REF!</f>
        <v>#REF!</v>
      </c>
      <c r="AQ527" s="315" t="e">
        <f>#REF!-#REF!</f>
        <v>#REF!</v>
      </c>
      <c r="AR527" s="315" t="e">
        <f>#REF!-#REF!</f>
        <v>#REF!</v>
      </c>
      <c r="AS527" s="315" t="e">
        <f>#REF!-#REF!</f>
        <v>#REF!</v>
      </c>
      <c r="AT527" s="315" t="e">
        <f>#REF!-#REF!</f>
        <v>#REF!</v>
      </c>
      <c r="AU527" s="315" t="e">
        <f>#REF!-#REF!</f>
        <v>#REF!</v>
      </c>
      <c r="AV527" s="315" t="e">
        <f>#REF!-#REF!</f>
        <v>#REF!</v>
      </c>
      <c r="AW527" s="315" t="e">
        <f>#REF!-#REF!</f>
        <v>#REF!</v>
      </c>
      <c r="AX527" s="315" t="e">
        <f>#REF!-#REF!</f>
        <v>#REF!</v>
      </c>
      <c r="AY527" s="315" t="e">
        <f>#REF!-#REF!</f>
        <v>#REF!</v>
      </c>
      <c r="AZ527" s="315" t="e">
        <f>#REF!-#REF!</f>
        <v>#REF!</v>
      </c>
      <c r="BA527" s="315" t="e">
        <f>#REF!-#REF!</f>
        <v>#REF!</v>
      </c>
      <c r="BB527" s="315" t="e">
        <f>#REF!-#REF!</f>
        <v>#REF!</v>
      </c>
      <c r="BC527" s="315" t="e">
        <f>#REF!-#REF!</f>
        <v>#REF!</v>
      </c>
      <c r="BD527" s="315" t="e">
        <f>#REF!-#REF!</f>
        <v>#REF!</v>
      </c>
      <c r="BE527" s="315" t="e">
        <f>#REF!-#REF!</f>
        <v>#REF!</v>
      </c>
      <c r="BF527" s="315" t="e">
        <f>#REF!-#REF!</f>
        <v>#REF!</v>
      </c>
      <c r="BG527" s="315" t="e">
        <f>#REF!-#REF!</f>
        <v>#REF!</v>
      </c>
      <c r="BH527" s="315" t="e">
        <f>#REF!-#REF!</f>
        <v>#REF!</v>
      </c>
      <c r="BI527" s="315" t="e">
        <f>#REF!-#REF!</f>
        <v>#REF!</v>
      </c>
      <c r="BJ527" s="315" t="e">
        <f>#REF!-#REF!</f>
        <v>#REF!</v>
      </c>
      <c r="BK527" s="315" t="e">
        <f>#REF!-#REF!</f>
        <v>#REF!</v>
      </c>
      <c r="BL527" s="315" t="e">
        <f>#REF!-#REF!</f>
        <v>#REF!</v>
      </c>
      <c r="BM527" s="315" t="e">
        <f>#REF!-#REF!</f>
        <v>#REF!</v>
      </c>
      <c r="BN527" s="315" t="e">
        <f>#REF!-#REF!</f>
        <v>#REF!</v>
      </c>
      <c r="BO527" s="315" t="e">
        <f>#REF!-#REF!</f>
        <v>#REF!</v>
      </c>
      <c r="BP527" s="315" t="e">
        <f>#REF!-#REF!</f>
        <v>#REF!</v>
      </c>
      <c r="BQ527" s="315" t="e">
        <f>#REF!-#REF!</f>
        <v>#REF!</v>
      </c>
      <c r="BR527" s="315" t="e">
        <f>#REF!-#REF!</f>
        <v>#REF!</v>
      </c>
      <c r="BS527" s="315" t="e">
        <f>#REF!-#REF!</f>
        <v>#REF!</v>
      </c>
      <c r="BT527" s="315" t="e">
        <f>#REF!-#REF!</f>
        <v>#REF!</v>
      </c>
      <c r="BU527" s="315" t="e">
        <f>#REF!-#REF!</f>
        <v>#REF!</v>
      </c>
      <c r="BV527" s="315" t="e">
        <f>#REF!-#REF!</f>
        <v>#REF!</v>
      </c>
      <c r="BW527" s="315" t="e">
        <f>#REF!-#REF!</f>
        <v>#REF!</v>
      </c>
      <c r="BX527" s="315" t="e">
        <f>#REF!-#REF!</f>
        <v>#REF!</v>
      </c>
      <c r="BZ527" s="315" t="e">
        <f>#REF!-#REF!</f>
        <v>#REF!</v>
      </c>
      <c r="CA527" s="315" t="e">
        <f>#REF!-#REF!</f>
        <v>#REF!</v>
      </c>
    </row>
    <row r="528" spans="7:79" hidden="1" x14ac:dyDescent="0.2">
      <c r="G528" s="315" t="e">
        <f>#REF!-#REF!</f>
        <v>#REF!</v>
      </c>
      <c r="H528" s="315" t="e">
        <f>#REF!-#REF!</f>
        <v>#REF!</v>
      </c>
      <c r="I528" s="315" t="e">
        <f>#REF!-#REF!</f>
        <v>#REF!</v>
      </c>
      <c r="J528" s="315" t="e">
        <f>#REF!-#REF!</f>
        <v>#REF!</v>
      </c>
      <c r="K528" s="315" t="e">
        <f>#REF!-#REF!</f>
        <v>#REF!</v>
      </c>
      <c r="L528" s="315" t="e">
        <f>#REF!-#REF!</f>
        <v>#REF!</v>
      </c>
      <c r="M528" s="315" t="e">
        <f>#REF!-#REF!</f>
        <v>#REF!</v>
      </c>
      <c r="N528" s="315" t="e">
        <f>#REF!-#REF!</f>
        <v>#REF!</v>
      </c>
      <c r="O528" s="315" t="e">
        <f>#REF!-#REF!</f>
        <v>#REF!</v>
      </c>
      <c r="P528" s="315" t="e">
        <f>#REF!-#REF!</f>
        <v>#REF!</v>
      </c>
      <c r="Q528" s="315" t="e">
        <f>#REF!-#REF!</f>
        <v>#REF!</v>
      </c>
      <c r="R528" s="315" t="e">
        <f>#REF!-#REF!</f>
        <v>#REF!</v>
      </c>
      <c r="S528" s="315" t="e">
        <f>#REF!-#REF!</f>
        <v>#REF!</v>
      </c>
      <c r="T528" s="315" t="e">
        <f>#REF!-#REF!</f>
        <v>#REF!</v>
      </c>
      <c r="U528" s="315" t="e">
        <f>#REF!-#REF!</f>
        <v>#REF!</v>
      </c>
      <c r="V528" s="315" t="e">
        <f>#REF!-#REF!</f>
        <v>#REF!</v>
      </c>
      <c r="W528" s="315" t="e">
        <f>#REF!-#REF!</f>
        <v>#REF!</v>
      </c>
      <c r="X528" s="315" t="e">
        <f>#REF!-#REF!</f>
        <v>#REF!</v>
      </c>
      <c r="Y528" s="315" t="e">
        <f>#REF!-#REF!</f>
        <v>#REF!</v>
      </c>
      <c r="Z528" s="315" t="e">
        <f>#REF!-#REF!</f>
        <v>#REF!</v>
      </c>
      <c r="AA528" s="315" t="e">
        <f>#REF!-#REF!</f>
        <v>#REF!</v>
      </c>
      <c r="AB528" s="315" t="e">
        <f>#REF!-#REF!</f>
        <v>#REF!</v>
      </c>
      <c r="AC528" s="315" t="e">
        <f>#REF!-#REF!</f>
        <v>#REF!</v>
      </c>
      <c r="AD528" s="315" t="e">
        <f>#REF!-#REF!</f>
        <v>#REF!</v>
      </c>
      <c r="AE528" s="315" t="e">
        <f>#REF!-#REF!</f>
        <v>#REF!</v>
      </c>
      <c r="AF528" s="315" t="e">
        <f>#REF!-#REF!</f>
        <v>#REF!</v>
      </c>
      <c r="AG528" s="315" t="e">
        <f>#REF!-#REF!</f>
        <v>#REF!</v>
      </c>
      <c r="AH528" s="315" t="e">
        <f>#REF!-#REF!</f>
        <v>#REF!</v>
      </c>
      <c r="AI528" s="315" t="e">
        <f>#REF!-#REF!</f>
        <v>#REF!</v>
      </c>
      <c r="AJ528" s="315" t="e">
        <f>#REF!-#REF!</f>
        <v>#REF!</v>
      </c>
      <c r="AK528" s="315" t="e">
        <f>#REF!-#REF!</f>
        <v>#REF!</v>
      </c>
      <c r="AL528" s="315" t="e">
        <f>#REF!-#REF!</f>
        <v>#REF!</v>
      </c>
      <c r="AM528" s="315" t="e">
        <f>#REF!-#REF!</f>
        <v>#REF!</v>
      </c>
      <c r="AN528" s="315" t="e">
        <f>#REF!-#REF!</f>
        <v>#REF!</v>
      </c>
      <c r="AO528" s="315" t="e">
        <f>#REF!-#REF!</f>
        <v>#REF!</v>
      </c>
      <c r="AP528" s="315" t="e">
        <f>#REF!-#REF!</f>
        <v>#REF!</v>
      </c>
      <c r="AQ528" s="315" t="e">
        <f>#REF!-#REF!</f>
        <v>#REF!</v>
      </c>
      <c r="AR528" s="315" t="e">
        <f>#REF!-#REF!</f>
        <v>#REF!</v>
      </c>
      <c r="AS528" s="315" t="e">
        <f>#REF!-#REF!</f>
        <v>#REF!</v>
      </c>
      <c r="AT528" s="315" t="e">
        <f>#REF!-#REF!</f>
        <v>#REF!</v>
      </c>
      <c r="AU528" s="315" t="e">
        <f>#REF!-#REF!</f>
        <v>#REF!</v>
      </c>
      <c r="AV528" s="315" t="e">
        <f>#REF!-#REF!</f>
        <v>#REF!</v>
      </c>
      <c r="AW528" s="315" t="e">
        <f>#REF!-#REF!</f>
        <v>#REF!</v>
      </c>
      <c r="AX528" s="315" t="e">
        <f>#REF!-#REF!</f>
        <v>#REF!</v>
      </c>
      <c r="AY528" s="315" t="e">
        <f>#REF!-#REF!</f>
        <v>#REF!</v>
      </c>
      <c r="AZ528" s="315" t="e">
        <f>#REF!-#REF!</f>
        <v>#REF!</v>
      </c>
      <c r="BA528" s="315" t="e">
        <f>#REF!-#REF!</f>
        <v>#REF!</v>
      </c>
      <c r="BB528" s="315" t="e">
        <f>#REF!-#REF!</f>
        <v>#REF!</v>
      </c>
      <c r="BC528" s="315" t="e">
        <f>#REF!-#REF!</f>
        <v>#REF!</v>
      </c>
      <c r="BD528" s="315" t="e">
        <f>#REF!-#REF!</f>
        <v>#REF!</v>
      </c>
      <c r="BE528" s="315" t="e">
        <f>#REF!-#REF!</f>
        <v>#REF!</v>
      </c>
      <c r="BF528" s="315" t="e">
        <f>#REF!-#REF!</f>
        <v>#REF!</v>
      </c>
      <c r="BG528" s="315" t="e">
        <f>#REF!-#REF!</f>
        <v>#REF!</v>
      </c>
      <c r="BH528" s="315" t="e">
        <f>#REF!-#REF!</f>
        <v>#REF!</v>
      </c>
      <c r="BI528" s="315" t="e">
        <f>#REF!-#REF!</f>
        <v>#REF!</v>
      </c>
      <c r="BJ528" s="315" t="e">
        <f>#REF!-#REF!</f>
        <v>#REF!</v>
      </c>
      <c r="BK528" s="315" t="e">
        <f>#REF!-#REF!</f>
        <v>#REF!</v>
      </c>
      <c r="BL528" s="315" t="e">
        <f>#REF!-#REF!</f>
        <v>#REF!</v>
      </c>
      <c r="BM528" s="315" t="e">
        <f>#REF!-#REF!</f>
        <v>#REF!</v>
      </c>
      <c r="BN528" s="315" t="e">
        <f>#REF!-#REF!</f>
        <v>#REF!</v>
      </c>
      <c r="BO528" s="315" t="e">
        <f>#REF!-#REF!</f>
        <v>#REF!</v>
      </c>
      <c r="BP528" s="315" t="e">
        <f>#REF!-#REF!</f>
        <v>#REF!</v>
      </c>
      <c r="BQ528" s="315" t="e">
        <f>#REF!-#REF!</f>
        <v>#REF!</v>
      </c>
      <c r="BR528" s="315" t="e">
        <f>#REF!-#REF!</f>
        <v>#REF!</v>
      </c>
      <c r="BS528" s="315" t="e">
        <f>#REF!-#REF!</f>
        <v>#REF!</v>
      </c>
      <c r="BT528" s="315" t="e">
        <f>#REF!-#REF!</f>
        <v>#REF!</v>
      </c>
      <c r="BU528" s="315" t="e">
        <f>#REF!-#REF!</f>
        <v>#REF!</v>
      </c>
      <c r="BV528" s="315" t="e">
        <f>#REF!-#REF!</f>
        <v>#REF!</v>
      </c>
      <c r="BW528" s="315" t="e">
        <f>#REF!-#REF!</f>
        <v>#REF!</v>
      </c>
      <c r="BX528" s="315" t="e">
        <f>#REF!-#REF!</f>
        <v>#REF!</v>
      </c>
      <c r="BZ528" s="315" t="e">
        <f>#REF!-#REF!</f>
        <v>#REF!</v>
      </c>
      <c r="CA528" s="315" t="e">
        <f>#REF!-#REF!</f>
        <v>#REF!</v>
      </c>
    </row>
    <row r="529" spans="7:79" hidden="1" x14ac:dyDescent="0.2">
      <c r="G529" s="315" t="e">
        <f>#REF!-#REF!</f>
        <v>#REF!</v>
      </c>
      <c r="H529" s="315" t="e">
        <f>#REF!-#REF!</f>
        <v>#REF!</v>
      </c>
      <c r="I529" s="315" t="e">
        <f>#REF!-#REF!</f>
        <v>#REF!</v>
      </c>
      <c r="J529" s="315" t="e">
        <f>#REF!-#REF!</f>
        <v>#REF!</v>
      </c>
      <c r="K529" s="315" t="e">
        <f>#REF!-#REF!</f>
        <v>#REF!</v>
      </c>
      <c r="L529" s="315" t="e">
        <f>#REF!-#REF!</f>
        <v>#REF!</v>
      </c>
      <c r="M529" s="315" t="e">
        <f>#REF!-#REF!</f>
        <v>#REF!</v>
      </c>
      <c r="N529" s="315" t="e">
        <f>#REF!-#REF!</f>
        <v>#REF!</v>
      </c>
      <c r="O529" s="315" t="e">
        <f>#REF!-#REF!</f>
        <v>#REF!</v>
      </c>
      <c r="P529" s="315" t="e">
        <f>#REF!-#REF!</f>
        <v>#REF!</v>
      </c>
      <c r="Q529" s="315" t="e">
        <f>#REF!-#REF!</f>
        <v>#REF!</v>
      </c>
      <c r="R529" s="315" t="e">
        <f>#REF!-#REF!</f>
        <v>#REF!</v>
      </c>
      <c r="S529" s="315" t="e">
        <f>#REF!-#REF!</f>
        <v>#REF!</v>
      </c>
      <c r="T529" s="315" t="e">
        <f>#REF!-#REF!</f>
        <v>#REF!</v>
      </c>
      <c r="U529" s="315" t="e">
        <f>#REF!-#REF!</f>
        <v>#REF!</v>
      </c>
      <c r="V529" s="315" t="e">
        <f>#REF!-#REF!</f>
        <v>#REF!</v>
      </c>
      <c r="W529" s="315" t="e">
        <f>#REF!-#REF!</f>
        <v>#REF!</v>
      </c>
      <c r="X529" s="315" t="e">
        <f>#REF!-#REF!</f>
        <v>#REF!</v>
      </c>
      <c r="Y529" s="315" t="e">
        <f>#REF!-#REF!</f>
        <v>#REF!</v>
      </c>
      <c r="Z529" s="315" t="e">
        <f>#REF!-#REF!</f>
        <v>#REF!</v>
      </c>
      <c r="AA529" s="315" t="e">
        <f>#REF!-#REF!</f>
        <v>#REF!</v>
      </c>
      <c r="AB529" s="315" t="e">
        <f>#REF!-#REF!</f>
        <v>#REF!</v>
      </c>
      <c r="AC529" s="315" t="e">
        <f>#REF!-#REF!</f>
        <v>#REF!</v>
      </c>
      <c r="AD529" s="315" t="e">
        <f>#REF!-#REF!</f>
        <v>#REF!</v>
      </c>
      <c r="AE529" s="315" t="e">
        <f>#REF!-#REF!</f>
        <v>#REF!</v>
      </c>
      <c r="AF529" s="315" t="e">
        <f>#REF!-#REF!</f>
        <v>#REF!</v>
      </c>
      <c r="AG529" s="315" t="e">
        <f>#REF!-#REF!</f>
        <v>#REF!</v>
      </c>
      <c r="AH529" s="315" t="e">
        <f>#REF!-#REF!</f>
        <v>#REF!</v>
      </c>
      <c r="AI529" s="315" t="e">
        <f>#REF!-#REF!</f>
        <v>#REF!</v>
      </c>
      <c r="AJ529" s="315" t="e">
        <f>#REF!-#REF!</f>
        <v>#REF!</v>
      </c>
      <c r="AK529" s="315" t="e">
        <f>#REF!-#REF!</f>
        <v>#REF!</v>
      </c>
      <c r="AL529" s="315" t="e">
        <f>#REF!-#REF!</f>
        <v>#REF!</v>
      </c>
      <c r="AM529" s="315" t="e">
        <f>#REF!-#REF!</f>
        <v>#REF!</v>
      </c>
      <c r="AN529" s="315" t="e">
        <f>#REF!-#REF!</f>
        <v>#REF!</v>
      </c>
      <c r="AO529" s="315" t="e">
        <f>#REF!-#REF!</f>
        <v>#REF!</v>
      </c>
      <c r="AP529" s="315" t="e">
        <f>#REF!-#REF!</f>
        <v>#REF!</v>
      </c>
      <c r="AQ529" s="315" t="e">
        <f>#REF!-#REF!</f>
        <v>#REF!</v>
      </c>
      <c r="AR529" s="315" t="e">
        <f>#REF!-#REF!</f>
        <v>#REF!</v>
      </c>
      <c r="AS529" s="315" t="e">
        <f>#REF!-#REF!</f>
        <v>#REF!</v>
      </c>
      <c r="AT529" s="315" t="e">
        <f>#REF!-#REF!</f>
        <v>#REF!</v>
      </c>
      <c r="AU529" s="315" t="e">
        <f>#REF!-#REF!</f>
        <v>#REF!</v>
      </c>
      <c r="AV529" s="315" t="e">
        <f>#REF!-#REF!</f>
        <v>#REF!</v>
      </c>
      <c r="AW529" s="315" t="e">
        <f>#REF!-#REF!</f>
        <v>#REF!</v>
      </c>
      <c r="AX529" s="315" t="e">
        <f>#REF!-#REF!</f>
        <v>#REF!</v>
      </c>
      <c r="AY529" s="315" t="e">
        <f>#REF!-#REF!</f>
        <v>#REF!</v>
      </c>
      <c r="AZ529" s="315" t="e">
        <f>#REF!-#REF!</f>
        <v>#REF!</v>
      </c>
      <c r="BA529" s="315" t="e">
        <f>#REF!-#REF!</f>
        <v>#REF!</v>
      </c>
      <c r="BB529" s="315" t="e">
        <f>#REF!-#REF!</f>
        <v>#REF!</v>
      </c>
      <c r="BC529" s="315" t="e">
        <f>#REF!-#REF!</f>
        <v>#REF!</v>
      </c>
      <c r="BD529" s="315" t="e">
        <f>#REF!-#REF!</f>
        <v>#REF!</v>
      </c>
      <c r="BE529" s="315" t="e">
        <f>#REF!-#REF!</f>
        <v>#REF!</v>
      </c>
      <c r="BF529" s="315" t="e">
        <f>#REF!-#REF!</f>
        <v>#REF!</v>
      </c>
      <c r="BG529" s="315" t="e">
        <f>#REF!-#REF!</f>
        <v>#REF!</v>
      </c>
      <c r="BH529" s="315" t="e">
        <f>#REF!-#REF!</f>
        <v>#REF!</v>
      </c>
      <c r="BI529" s="315" t="e">
        <f>#REF!-#REF!</f>
        <v>#REF!</v>
      </c>
      <c r="BJ529" s="315" t="e">
        <f>#REF!-#REF!</f>
        <v>#REF!</v>
      </c>
      <c r="BK529" s="315" t="e">
        <f>#REF!-#REF!</f>
        <v>#REF!</v>
      </c>
      <c r="BL529" s="315" t="e">
        <f>#REF!-#REF!</f>
        <v>#REF!</v>
      </c>
      <c r="BM529" s="315" t="e">
        <f>#REF!-#REF!</f>
        <v>#REF!</v>
      </c>
      <c r="BN529" s="315" t="e">
        <f>#REF!-#REF!</f>
        <v>#REF!</v>
      </c>
      <c r="BO529" s="315" t="e">
        <f>#REF!-#REF!</f>
        <v>#REF!</v>
      </c>
      <c r="BP529" s="315" t="e">
        <f>#REF!-#REF!</f>
        <v>#REF!</v>
      </c>
      <c r="BQ529" s="315" t="e">
        <f>#REF!-#REF!</f>
        <v>#REF!</v>
      </c>
      <c r="BR529" s="315" t="e">
        <f>#REF!-#REF!</f>
        <v>#REF!</v>
      </c>
      <c r="BS529" s="315" t="e">
        <f>#REF!-#REF!</f>
        <v>#REF!</v>
      </c>
      <c r="BT529" s="315" t="e">
        <f>#REF!-#REF!</f>
        <v>#REF!</v>
      </c>
      <c r="BU529" s="315" t="e">
        <f>#REF!-#REF!</f>
        <v>#REF!</v>
      </c>
      <c r="BV529" s="315" t="e">
        <f>#REF!-#REF!</f>
        <v>#REF!</v>
      </c>
      <c r="BW529" s="315" t="e">
        <f>#REF!-#REF!</f>
        <v>#REF!</v>
      </c>
      <c r="BX529" s="315" t="e">
        <f>#REF!-#REF!</f>
        <v>#REF!</v>
      </c>
      <c r="BZ529" s="315" t="e">
        <f>#REF!-#REF!</f>
        <v>#REF!</v>
      </c>
      <c r="CA529" s="315" t="e">
        <f>#REF!-#REF!</f>
        <v>#REF!</v>
      </c>
    </row>
    <row r="530" spans="7:79" hidden="1" x14ac:dyDescent="0.2">
      <c r="G530" s="315">
        <f t="shared" ref="G530:BR532" si="92">G129-BY129</f>
        <v>-27588392</v>
      </c>
      <c r="H530" s="315">
        <f t="shared" si="92"/>
        <v>0</v>
      </c>
      <c r="I530" s="315">
        <f t="shared" si="92"/>
        <v>0</v>
      </c>
      <c r="J530" s="315">
        <f t="shared" si="92"/>
        <v>0</v>
      </c>
      <c r="K530" s="315">
        <f t="shared" si="92"/>
        <v>0</v>
      </c>
      <c r="L530" s="315">
        <f t="shared" si="92"/>
        <v>1387213</v>
      </c>
      <c r="M530" s="315">
        <f t="shared" si="92"/>
        <v>0</v>
      </c>
      <c r="N530" s="315">
        <f t="shared" si="92"/>
        <v>0</v>
      </c>
      <c r="O530" s="315">
        <f t="shared" si="92"/>
        <v>0</v>
      </c>
      <c r="P530" s="315">
        <f t="shared" si="92"/>
        <v>0</v>
      </c>
      <c r="Q530" s="315">
        <f t="shared" si="92"/>
        <v>1651000</v>
      </c>
      <c r="R530" s="315">
        <f t="shared" si="92"/>
        <v>0</v>
      </c>
      <c r="S530" s="315">
        <f t="shared" si="92"/>
        <v>0</v>
      </c>
      <c r="T530" s="315">
        <f t="shared" si="92"/>
        <v>0</v>
      </c>
      <c r="U530" s="315">
        <f t="shared" si="92"/>
        <v>0</v>
      </c>
      <c r="V530" s="315">
        <f t="shared" si="92"/>
        <v>1950000</v>
      </c>
      <c r="W530" s="315">
        <f t="shared" si="92"/>
        <v>0</v>
      </c>
      <c r="X530" s="315">
        <f t="shared" si="92"/>
        <v>0</v>
      </c>
      <c r="Y530" s="315">
        <f t="shared" si="92"/>
        <v>0</v>
      </c>
      <c r="Z530" s="315">
        <f t="shared" si="92"/>
        <v>0</v>
      </c>
      <c r="AA530" s="315">
        <f t="shared" si="92"/>
        <v>-1948000</v>
      </c>
      <c r="AB530" s="315">
        <f t="shared" si="92"/>
        <v>0</v>
      </c>
      <c r="AC530" s="315">
        <f t="shared" si="92"/>
        <v>0</v>
      </c>
      <c r="AD530" s="315">
        <f t="shared" si="92"/>
        <v>0</v>
      </c>
      <c r="AE530" s="315">
        <f t="shared" si="92"/>
        <v>0</v>
      </c>
      <c r="AF530" s="315">
        <f t="shared" si="92"/>
        <v>2596000</v>
      </c>
      <c r="AG530" s="315">
        <f t="shared" si="92"/>
        <v>0</v>
      </c>
      <c r="AH530" s="315">
        <f t="shared" si="92"/>
        <v>0</v>
      </c>
      <c r="AI530" s="315">
        <f t="shared" si="92"/>
        <v>0</v>
      </c>
      <c r="AJ530" s="315">
        <f t="shared" si="92"/>
        <v>0</v>
      </c>
      <c r="AK530" s="315">
        <f t="shared" si="92"/>
        <v>3900000</v>
      </c>
      <c r="AL530" s="315">
        <f t="shared" si="92"/>
        <v>0</v>
      </c>
      <c r="AM530" s="315">
        <f t="shared" si="92"/>
        <v>0</v>
      </c>
      <c r="AN530" s="315">
        <f t="shared" si="92"/>
        <v>0</v>
      </c>
      <c r="AO530" s="315">
        <f t="shared" si="92"/>
        <v>0</v>
      </c>
      <c r="AP530" s="315">
        <f t="shared" si="92"/>
        <v>-1116000</v>
      </c>
      <c r="AQ530" s="315">
        <f t="shared" si="92"/>
        <v>0</v>
      </c>
      <c r="AR530" s="315">
        <f t="shared" si="92"/>
        <v>0</v>
      </c>
      <c r="AS530" s="315">
        <f t="shared" si="92"/>
        <v>0</v>
      </c>
      <c r="AT530" s="315">
        <f t="shared" si="92"/>
        <v>0</v>
      </c>
      <c r="AU530" s="315">
        <f t="shared" si="92"/>
        <v>-2600000</v>
      </c>
      <c r="AV530" s="315">
        <f t="shared" si="92"/>
        <v>0</v>
      </c>
      <c r="AW530" s="315">
        <f t="shared" si="92"/>
        <v>0</v>
      </c>
      <c r="AX530" s="315">
        <f t="shared" si="92"/>
        <v>0</v>
      </c>
      <c r="AY530" s="315">
        <f t="shared" si="92"/>
        <v>0</v>
      </c>
      <c r="AZ530" s="315">
        <f t="shared" si="92"/>
        <v>-3897000</v>
      </c>
      <c r="BA530" s="315">
        <f t="shared" si="92"/>
        <v>0</v>
      </c>
      <c r="BB530" s="315">
        <f t="shared" si="92"/>
        <v>0</v>
      </c>
      <c r="BC530" s="315">
        <f t="shared" si="92"/>
        <v>0</v>
      </c>
      <c r="BD530" s="315">
        <f t="shared" si="92"/>
        <v>0</v>
      </c>
      <c r="BE530" s="315">
        <f t="shared" si="92"/>
        <v>-1300000</v>
      </c>
      <c r="BF530" s="315">
        <f t="shared" si="92"/>
        <v>0</v>
      </c>
      <c r="BG530" s="315">
        <f t="shared" si="92"/>
        <v>0</v>
      </c>
      <c r="BH530" s="315">
        <f t="shared" si="92"/>
        <v>0</v>
      </c>
      <c r="BI530" s="315">
        <f t="shared" si="92"/>
        <v>0</v>
      </c>
      <c r="BJ530" s="315">
        <f t="shared" si="92"/>
        <v>-5843559</v>
      </c>
      <c r="BK530" s="315">
        <f t="shared" si="92"/>
        <v>0</v>
      </c>
      <c r="BL530" s="315">
        <f t="shared" si="92"/>
        <v>0</v>
      </c>
      <c r="BM530" s="315">
        <f t="shared" si="92"/>
        <v>0</v>
      </c>
      <c r="BN530" s="315">
        <f t="shared" si="92"/>
        <v>0</v>
      </c>
      <c r="BO530" s="315">
        <f t="shared" si="92"/>
        <v>0</v>
      </c>
      <c r="BP530" s="315">
        <f t="shared" si="92"/>
        <v>0</v>
      </c>
      <c r="BQ530" s="315">
        <f t="shared" si="92"/>
        <v>0</v>
      </c>
      <c r="BR530" s="315">
        <f t="shared" si="92"/>
        <v>0</v>
      </c>
      <c r="BS530" s="315">
        <f t="shared" ref="BO530:BX532" si="93">BS129-EK129</f>
        <v>0</v>
      </c>
      <c r="BT530" s="315">
        <f t="shared" si="93"/>
        <v>8420213</v>
      </c>
      <c r="BU530" s="315">
        <f t="shared" si="93"/>
        <v>0</v>
      </c>
      <c r="BV530" s="315">
        <f t="shared" si="93"/>
        <v>0</v>
      </c>
      <c r="BW530" s="315">
        <f t="shared" si="93"/>
        <v>0</v>
      </c>
      <c r="BX530" s="315">
        <f t="shared" si="93"/>
        <v>0</v>
      </c>
      <c r="BZ530" s="315">
        <f t="shared" ref="BZ530:CA532" si="94">BZ129-ER129</f>
        <v>0</v>
      </c>
      <c r="CA530" s="315">
        <f t="shared" si="94"/>
        <v>0</v>
      </c>
    </row>
    <row r="531" spans="7:79" hidden="1" x14ac:dyDescent="0.2">
      <c r="G531" s="315">
        <f t="shared" si="92"/>
        <v>-23943727</v>
      </c>
      <c r="H531" s="315">
        <f t="shared" si="92"/>
        <v>0</v>
      </c>
      <c r="I531" s="315">
        <f t="shared" si="92"/>
        <v>0</v>
      </c>
      <c r="J531" s="315">
        <f t="shared" si="92"/>
        <v>0</v>
      </c>
      <c r="K531" s="315">
        <f t="shared" si="92"/>
        <v>0</v>
      </c>
      <c r="L531" s="315">
        <f t="shared" si="92"/>
        <v>1223124</v>
      </c>
      <c r="M531" s="315">
        <f t="shared" si="92"/>
        <v>0</v>
      </c>
      <c r="N531" s="315">
        <f t="shared" si="92"/>
        <v>0</v>
      </c>
      <c r="O531" s="315">
        <f t="shared" si="92"/>
        <v>0</v>
      </c>
      <c r="P531" s="315">
        <f t="shared" si="92"/>
        <v>0</v>
      </c>
      <c r="Q531" s="315">
        <f t="shared" si="92"/>
        <v>1413034</v>
      </c>
      <c r="R531" s="315">
        <f t="shared" si="92"/>
        <v>0</v>
      </c>
      <c r="S531" s="315">
        <f t="shared" si="92"/>
        <v>0</v>
      </c>
      <c r="T531" s="315">
        <f t="shared" si="92"/>
        <v>0</v>
      </c>
      <c r="U531" s="315">
        <f t="shared" si="92"/>
        <v>0</v>
      </c>
      <c r="V531" s="315">
        <f t="shared" si="92"/>
        <v>1504599</v>
      </c>
      <c r="W531" s="315">
        <f t="shared" si="92"/>
        <v>0</v>
      </c>
      <c r="X531" s="315">
        <f t="shared" si="92"/>
        <v>0</v>
      </c>
      <c r="Y531" s="315">
        <f t="shared" si="92"/>
        <v>0</v>
      </c>
      <c r="Z531" s="315">
        <f t="shared" si="92"/>
        <v>0</v>
      </c>
      <c r="AA531" s="315">
        <f t="shared" si="92"/>
        <v>-1952039</v>
      </c>
      <c r="AB531" s="315">
        <f t="shared" si="92"/>
        <v>0</v>
      </c>
      <c r="AC531" s="315">
        <f t="shared" si="92"/>
        <v>0</v>
      </c>
      <c r="AD531" s="315">
        <f t="shared" si="92"/>
        <v>0</v>
      </c>
      <c r="AE531" s="315">
        <f t="shared" si="92"/>
        <v>0</v>
      </c>
      <c r="AF531" s="315">
        <f t="shared" si="92"/>
        <v>2096603</v>
      </c>
      <c r="AG531" s="315">
        <f t="shared" si="92"/>
        <v>0</v>
      </c>
      <c r="AH531" s="315">
        <f t="shared" si="92"/>
        <v>0</v>
      </c>
      <c r="AI531" s="315">
        <f t="shared" si="92"/>
        <v>0</v>
      </c>
      <c r="AJ531" s="315">
        <f t="shared" si="92"/>
        <v>0</v>
      </c>
      <c r="AK531" s="315">
        <f t="shared" si="92"/>
        <v>3179164</v>
      </c>
      <c r="AL531" s="315">
        <f t="shared" si="92"/>
        <v>0</v>
      </c>
      <c r="AM531" s="315">
        <f t="shared" si="92"/>
        <v>0</v>
      </c>
      <c r="AN531" s="315">
        <f t="shared" si="92"/>
        <v>0</v>
      </c>
      <c r="AO531" s="315">
        <f t="shared" si="92"/>
        <v>0</v>
      </c>
      <c r="AP531" s="315">
        <f t="shared" si="92"/>
        <v>-1123983</v>
      </c>
      <c r="AQ531" s="315">
        <f t="shared" si="92"/>
        <v>0</v>
      </c>
      <c r="AR531" s="315">
        <f t="shared" si="92"/>
        <v>0</v>
      </c>
      <c r="AS531" s="315">
        <f t="shared" si="92"/>
        <v>0</v>
      </c>
      <c r="AT531" s="315">
        <f t="shared" si="92"/>
        <v>0</v>
      </c>
      <c r="AU531" s="315">
        <f t="shared" si="92"/>
        <v>-2258113</v>
      </c>
      <c r="AV531" s="315">
        <f t="shared" si="92"/>
        <v>0</v>
      </c>
      <c r="AW531" s="315">
        <f t="shared" si="92"/>
        <v>0</v>
      </c>
      <c r="AX531" s="315">
        <f t="shared" si="92"/>
        <v>0</v>
      </c>
      <c r="AY531" s="315">
        <f t="shared" si="92"/>
        <v>0</v>
      </c>
      <c r="AZ531" s="315">
        <f t="shared" si="92"/>
        <v>-3325668</v>
      </c>
      <c r="BA531" s="315">
        <f t="shared" si="92"/>
        <v>0</v>
      </c>
      <c r="BB531" s="315">
        <f t="shared" si="92"/>
        <v>0</v>
      </c>
      <c r="BC531" s="315">
        <f t="shared" si="92"/>
        <v>0</v>
      </c>
      <c r="BD531" s="315">
        <f t="shared" si="92"/>
        <v>0</v>
      </c>
      <c r="BE531" s="315">
        <f t="shared" si="92"/>
        <v>-1145617</v>
      </c>
      <c r="BF531" s="315">
        <f t="shared" si="92"/>
        <v>0</v>
      </c>
      <c r="BG531" s="315">
        <f t="shared" si="92"/>
        <v>0</v>
      </c>
      <c r="BH531" s="315">
        <f t="shared" si="92"/>
        <v>0</v>
      </c>
      <c r="BI531" s="315">
        <f t="shared" si="92"/>
        <v>0</v>
      </c>
      <c r="BJ531" s="315">
        <f t="shared" si="92"/>
        <v>-5188370</v>
      </c>
      <c r="BK531" s="315">
        <f t="shared" si="92"/>
        <v>0</v>
      </c>
      <c r="BL531" s="315">
        <f t="shared" si="92"/>
        <v>0</v>
      </c>
      <c r="BM531" s="315">
        <f t="shared" si="92"/>
        <v>0</v>
      </c>
      <c r="BN531" s="315">
        <f t="shared" si="92"/>
        <v>0</v>
      </c>
      <c r="BO531" s="315">
        <f t="shared" si="93"/>
        <v>0</v>
      </c>
      <c r="BP531" s="315">
        <f t="shared" si="93"/>
        <v>0</v>
      </c>
      <c r="BQ531" s="315">
        <f t="shared" si="93"/>
        <v>0</v>
      </c>
      <c r="BR531" s="315">
        <f t="shared" si="93"/>
        <v>0</v>
      </c>
      <c r="BS531" s="315">
        <f t="shared" si="93"/>
        <v>0</v>
      </c>
      <c r="BT531" s="315">
        <f t="shared" si="93"/>
        <v>6340502</v>
      </c>
      <c r="BU531" s="315">
        <f t="shared" si="93"/>
        <v>0</v>
      </c>
      <c r="BV531" s="315">
        <f t="shared" si="93"/>
        <v>0</v>
      </c>
      <c r="BW531" s="315">
        <f t="shared" si="93"/>
        <v>0</v>
      </c>
      <c r="BX531" s="315">
        <f t="shared" si="93"/>
        <v>0</v>
      </c>
      <c r="BZ531" s="315">
        <f t="shared" si="94"/>
        <v>0</v>
      </c>
      <c r="CA531" s="315">
        <f t="shared" si="94"/>
        <v>0</v>
      </c>
    </row>
    <row r="532" spans="7:79" hidden="1" x14ac:dyDescent="0.2">
      <c r="G532" s="315">
        <f t="shared" si="92"/>
        <v>-3644665</v>
      </c>
      <c r="H532" s="315">
        <f t="shared" si="92"/>
        <v>0</v>
      </c>
      <c r="I532" s="315">
        <f t="shared" si="92"/>
        <v>0</v>
      </c>
      <c r="J532" s="315">
        <f t="shared" si="92"/>
        <v>0</v>
      </c>
      <c r="K532" s="315">
        <f t="shared" si="92"/>
        <v>0</v>
      </c>
      <c r="L532" s="315">
        <f t="shared" si="92"/>
        <v>164089</v>
      </c>
      <c r="M532" s="315">
        <f t="shared" si="92"/>
        <v>0</v>
      </c>
      <c r="N532" s="315">
        <f t="shared" si="92"/>
        <v>0</v>
      </c>
      <c r="O532" s="315">
        <f t="shared" si="92"/>
        <v>0</v>
      </c>
      <c r="P532" s="315">
        <f t="shared" si="92"/>
        <v>0</v>
      </c>
      <c r="Q532" s="315">
        <f t="shared" si="92"/>
        <v>237966</v>
      </c>
      <c r="R532" s="315">
        <f t="shared" si="92"/>
        <v>0</v>
      </c>
      <c r="S532" s="315">
        <f t="shared" si="92"/>
        <v>0</v>
      </c>
      <c r="T532" s="315">
        <f t="shared" si="92"/>
        <v>0</v>
      </c>
      <c r="U532" s="315">
        <f t="shared" si="92"/>
        <v>0</v>
      </c>
      <c r="V532" s="315">
        <f t="shared" si="92"/>
        <v>445401</v>
      </c>
      <c r="W532" s="315">
        <f t="shared" si="92"/>
        <v>0</v>
      </c>
      <c r="X532" s="315">
        <f t="shared" si="92"/>
        <v>0</v>
      </c>
      <c r="Y532" s="315">
        <f t="shared" si="92"/>
        <v>0</v>
      </c>
      <c r="Z532" s="315">
        <f t="shared" si="92"/>
        <v>0</v>
      </c>
      <c r="AA532" s="315">
        <f t="shared" si="92"/>
        <v>4039</v>
      </c>
      <c r="AB532" s="315">
        <f t="shared" si="92"/>
        <v>0</v>
      </c>
      <c r="AC532" s="315">
        <f t="shared" si="92"/>
        <v>0</v>
      </c>
      <c r="AD532" s="315">
        <f t="shared" si="92"/>
        <v>0</v>
      </c>
      <c r="AE532" s="315">
        <f t="shared" si="92"/>
        <v>0</v>
      </c>
      <c r="AF532" s="315">
        <f t="shared" si="92"/>
        <v>499397</v>
      </c>
      <c r="AG532" s="315">
        <f t="shared" si="92"/>
        <v>0</v>
      </c>
      <c r="AH532" s="315">
        <f t="shared" si="92"/>
        <v>0</v>
      </c>
      <c r="AI532" s="315">
        <f t="shared" si="92"/>
        <v>0</v>
      </c>
      <c r="AJ532" s="315">
        <f t="shared" si="92"/>
        <v>0</v>
      </c>
      <c r="AK532" s="315">
        <f t="shared" si="92"/>
        <v>720836</v>
      </c>
      <c r="AL532" s="315">
        <f t="shared" si="92"/>
        <v>0</v>
      </c>
      <c r="AM532" s="315">
        <f t="shared" si="92"/>
        <v>0</v>
      </c>
      <c r="AN532" s="315">
        <f t="shared" si="92"/>
        <v>0</v>
      </c>
      <c r="AO532" s="315">
        <f t="shared" si="92"/>
        <v>0</v>
      </c>
      <c r="AP532" s="315">
        <f t="shared" si="92"/>
        <v>7983</v>
      </c>
      <c r="AQ532" s="315">
        <f t="shared" si="92"/>
        <v>0</v>
      </c>
      <c r="AR532" s="315">
        <f t="shared" si="92"/>
        <v>0</v>
      </c>
      <c r="AS532" s="315">
        <f t="shared" si="92"/>
        <v>0</v>
      </c>
      <c r="AT532" s="315">
        <f t="shared" si="92"/>
        <v>0</v>
      </c>
      <c r="AU532" s="315">
        <f t="shared" si="92"/>
        <v>-341887</v>
      </c>
      <c r="AV532" s="315">
        <f t="shared" si="92"/>
        <v>0</v>
      </c>
      <c r="AW532" s="315">
        <f t="shared" si="92"/>
        <v>0</v>
      </c>
      <c r="AX532" s="315">
        <f t="shared" si="92"/>
        <v>0</v>
      </c>
      <c r="AY532" s="315">
        <f t="shared" si="92"/>
        <v>0</v>
      </c>
      <c r="AZ532" s="315">
        <f t="shared" si="92"/>
        <v>-571332</v>
      </c>
      <c r="BA532" s="315">
        <f t="shared" si="92"/>
        <v>0</v>
      </c>
      <c r="BB532" s="315">
        <f t="shared" si="92"/>
        <v>0</v>
      </c>
      <c r="BC532" s="315">
        <f t="shared" si="92"/>
        <v>0</v>
      </c>
      <c r="BD532" s="315">
        <f t="shared" si="92"/>
        <v>0</v>
      </c>
      <c r="BE532" s="315">
        <f t="shared" si="92"/>
        <v>-154383</v>
      </c>
      <c r="BF532" s="315">
        <f t="shared" si="92"/>
        <v>0</v>
      </c>
      <c r="BG532" s="315">
        <f t="shared" si="92"/>
        <v>0</v>
      </c>
      <c r="BH532" s="315">
        <f t="shared" si="92"/>
        <v>0</v>
      </c>
      <c r="BI532" s="315">
        <f t="shared" si="92"/>
        <v>0</v>
      </c>
      <c r="BJ532" s="315">
        <f t="shared" si="92"/>
        <v>-655189</v>
      </c>
      <c r="BK532" s="315">
        <f t="shared" si="92"/>
        <v>0</v>
      </c>
      <c r="BL532" s="315">
        <f t="shared" si="92"/>
        <v>0</v>
      </c>
      <c r="BM532" s="315">
        <f t="shared" si="92"/>
        <v>0</v>
      </c>
      <c r="BN532" s="315">
        <f t="shared" si="92"/>
        <v>0</v>
      </c>
      <c r="BO532" s="315">
        <f t="shared" si="93"/>
        <v>0</v>
      </c>
      <c r="BP532" s="315">
        <f t="shared" si="93"/>
        <v>0</v>
      </c>
      <c r="BQ532" s="315">
        <f t="shared" si="93"/>
        <v>0</v>
      </c>
      <c r="BR532" s="315">
        <f t="shared" si="93"/>
        <v>0</v>
      </c>
      <c r="BS532" s="315">
        <f t="shared" si="93"/>
        <v>0</v>
      </c>
      <c r="BT532" s="315">
        <f t="shared" si="93"/>
        <v>2079711</v>
      </c>
      <c r="BU532" s="315">
        <f t="shared" si="93"/>
        <v>0</v>
      </c>
      <c r="BV532" s="315">
        <f t="shared" si="93"/>
        <v>0</v>
      </c>
      <c r="BW532" s="315">
        <f t="shared" si="93"/>
        <v>0</v>
      </c>
      <c r="BX532" s="315">
        <f t="shared" si="93"/>
        <v>0</v>
      </c>
      <c r="BZ532" s="315">
        <f t="shared" si="94"/>
        <v>0</v>
      </c>
      <c r="CA532" s="315">
        <f t="shared" si="94"/>
        <v>0</v>
      </c>
    </row>
    <row r="533" spans="7:79" hidden="1" x14ac:dyDescent="0.2">
      <c r="G533" s="315" t="e">
        <f>#REF!-#REF!</f>
        <v>#REF!</v>
      </c>
      <c r="H533" s="315" t="e">
        <f>#REF!-#REF!</f>
        <v>#REF!</v>
      </c>
      <c r="I533" s="315" t="e">
        <f>#REF!-#REF!</f>
        <v>#REF!</v>
      </c>
      <c r="J533" s="315" t="e">
        <f>#REF!-#REF!</f>
        <v>#REF!</v>
      </c>
      <c r="K533" s="315" t="e">
        <f>#REF!-#REF!</f>
        <v>#REF!</v>
      </c>
      <c r="L533" s="315" t="e">
        <f>#REF!-#REF!</f>
        <v>#REF!</v>
      </c>
      <c r="M533" s="315" t="e">
        <f>#REF!-#REF!</f>
        <v>#REF!</v>
      </c>
      <c r="N533" s="315" t="e">
        <f>#REF!-#REF!</f>
        <v>#REF!</v>
      </c>
      <c r="O533" s="315" t="e">
        <f>#REF!-#REF!</f>
        <v>#REF!</v>
      </c>
      <c r="P533" s="315" t="e">
        <f>#REF!-#REF!</f>
        <v>#REF!</v>
      </c>
      <c r="Q533" s="315" t="e">
        <f>#REF!-#REF!</f>
        <v>#REF!</v>
      </c>
      <c r="R533" s="315" t="e">
        <f>#REF!-#REF!</f>
        <v>#REF!</v>
      </c>
      <c r="S533" s="315" t="e">
        <f>#REF!-#REF!</f>
        <v>#REF!</v>
      </c>
      <c r="T533" s="315" t="e">
        <f>#REF!-#REF!</f>
        <v>#REF!</v>
      </c>
      <c r="U533" s="315" t="e">
        <f>#REF!-#REF!</f>
        <v>#REF!</v>
      </c>
      <c r="V533" s="315" t="e">
        <f>#REF!-#REF!</f>
        <v>#REF!</v>
      </c>
      <c r="W533" s="315" t="e">
        <f>#REF!-#REF!</f>
        <v>#REF!</v>
      </c>
      <c r="X533" s="315" t="e">
        <f>#REF!-#REF!</f>
        <v>#REF!</v>
      </c>
      <c r="Y533" s="315" t="e">
        <f>#REF!-#REF!</f>
        <v>#REF!</v>
      </c>
      <c r="Z533" s="315" t="e">
        <f>#REF!-#REF!</f>
        <v>#REF!</v>
      </c>
      <c r="AA533" s="315" t="e">
        <f>#REF!-#REF!</f>
        <v>#REF!</v>
      </c>
      <c r="AB533" s="315" t="e">
        <f>#REF!-#REF!</f>
        <v>#REF!</v>
      </c>
      <c r="AC533" s="315" t="e">
        <f>#REF!-#REF!</f>
        <v>#REF!</v>
      </c>
      <c r="AD533" s="315" t="e">
        <f>#REF!-#REF!</f>
        <v>#REF!</v>
      </c>
      <c r="AE533" s="315" t="e">
        <f>#REF!-#REF!</f>
        <v>#REF!</v>
      </c>
      <c r="AF533" s="315" t="e">
        <f>#REF!-#REF!</f>
        <v>#REF!</v>
      </c>
      <c r="AG533" s="315" t="e">
        <f>#REF!-#REF!</f>
        <v>#REF!</v>
      </c>
      <c r="AH533" s="315" t="e">
        <f>#REF!-#REF!</f>
        <v>#REF!</v>
      </c>
      <c r="AI533" s="315" t="e">
        <f>#REF!-#REF!</f>
        <v>#REF!</v>
      </c>
      <c r="AJ533" s="315" t="e">
        <f>#REF!-#REF!</f>
        <v>#REF!</v>
      </c>
      <c r="AK533" s="315" t="e">
        <f>#REF!-#REF!</f>
        <v>#REF!</v>
      </c>
      <c r="AL533" s="315" t="e">
        <f>#REF!-#REF!</f>
        <v>#REF!</v>
      </c>
      <c r="AM533" s="315" t="e">
        <f>#REF!-#REF!</f>
        <v>#REF!</v>
      </c>
      <c r="AN533" s="315" t="e">
        <f>#REF!-#REF!</f>
        <v>#REF!</v>
      </c>
      <c r="AO533" s="315" t="e">
        <f>#REF!-#REF!</f>
        <v>#REF!</v>
      </c>
      <c r="AP533" s="315" t="e">
        <f>#REF!-#REF!</f>
        <v>#REF!</v>
      </c>
      <c r="AQ533" s="315" t="e">
        <f>#REF!-#REF!</f>
        <v>#REF!</v>
      </c>
      <c r="AR533" s="315" t="e">
        <f>#REF!-#REF!</f>
        <v>#REF!</v>
      </c>
      <c r="AS533" s="315" t="e">
        <f>#REF!-#REF!</f>
        <v>#REF!</v>
      </c>
      <c r="AT533" s="315" t="e">
        <f>#REF!-#REF!</f>
        <v>#REF!</v>
      </c>
      <c r="AU533" s="315" t="e">
        <f>#REF!-#REF!</f>
        <v>#REF!</v>
      </c>
      <c r="AV533" s="315" t="e">
        <f>#REF!-#REF!</f>
        <v>#REF!</v>
      </c>
      <c r="AW533" s="315" t="e">
        <f>#REF!-#REF!</f>
        <v>#REF!</v>
      </c>
      <c r="AX533" s="315" t="e">
        <f>#REF!-#REF!</f>
        <v>#REF!</v>
      </c>
      <c r="AY533" s="315" t="e">
        <f>#REF!-#REF!</f>
        <v>#REF!</v>
      </c>
      <c r="AZ533" s="315" t="e">
        <f>#REF!-#REF!</f>
        <v>#REF!</v>
      </c>
      <c r="BA533" s="315" t="e">
        <f>#REF!-#REF!</f>
        <v>#REF!</v>
      </c>
      <c r="BB533" s="315" t="e">
        <f>#REF!-#REF!</f>
        <v>#REF!</v>
      </c>
      <c r="BC533" s="315" t="e">
        <f>#REF!-#REF!</f>
        <v>#REF!</v>
      </c>
      <c r="BD533" s="315" t="e">
        <f>#REF!-#REF!</f>
        <v>#REF!</v>
      </c>
      <c r="BE533" s="315" t="e">
        <f>#REF!-#REF!</f>
        <v>#REF!</v>
      </c>
      <c r="BF533" s="315" t="e">
        <f>#REF!-#REF!</f>
        <v>#REF!</v>
      </c>
      <c r="BG533" s="315" t="e">
        <f>#REF!-#REF!</f>
        <v>#REF!</v>
      </c>
      <c r="BH533" s="315" t="e">
        <f>#REF!-#REF!</f>
        <v>#REF!</v>
      </c>
      <c r="BI533" s="315" t="e">
        <f>#REF!-#REF!</f>
        <v>#REF!</v>
      </c>
      <c r="BJ533" s="315" t="e">
        <f>#REF!-#REF!</f>
        <v>#REF!</v>
      </c>
      <c r="BK533" s="315" t="e">
        <f>#REF!-#REF!</f>
        <v>#REF!</v>
      </c>
      <c r="BL533" s="315" t="e">
        <f>#REF!-#REF!</f>
        <v>#REF!</v>
      </c>
      <c r="BM533" s="315" t="e">
        <f>#REF!-#REF!</f>
        <v>#REF!</v>
      </c>
      <c r="BN533" s="315" t="e">
        <f>#REF!-#REF!</f>
        <v>#REF!</v>
      </c>
      <c r="BO533" s="315" t="e">
        <f>#REF!-#REF!</f>
        <v>#REF!</v>
      </c>
      <c r="BP533" s="315" t="e">
        <f>#REF!-#REF!</f>
        <v>#REF!</v>
      </c>
      <c r="BQ533" s="315" t="e">
        <f>#REF!-#REF!</f>
        <v>#REF!</v>
      </c>
      <c r="BR533" s="315" t="e">
        <f>#REF!-#REF!</f>
        <v>#REF!</v>
      </c>
      <c r="BS533" s="315" t="e">
        <f>#REF!-#REF!</f>
        <v>#REF!</v>
      </c>
      <c r="BT533" s="315" t="e">
        <f>#REF!-#REF!</f>
        <v>#REF!</v>
      </c>
      <c r="BU533" s="315" t="e">
        <f>#REF!-#REF!</f>
        <v>#REF!</v>
      </c>
      <c r="BV533" s="315" t="e">
        <f>#REF!-#REF!</f>
        <v>#REF!</v>
      </c>
      <c r="BW533" s="315" t="e">
        <f>#REF!-#REF!</f>
        <v>#REF!</v>
      </c>
      <c r="BX533" s="315" t="e">
        <f>#REF!-#REF!</f>
        <v>#REF!</v>
      </c>
      <c r="BZ533" s="315" t="e">
        <f>#REF!-#REF!</f>
        <v>#REF!</v>
      </c>
      <c r="CA533" s="315" t="e">
        <f>#REF!-#REF!</f>
        <v>#REF!</v>
      </c>
    </row>
    <row r="534" spans="7:79" hidden="1" x14ac:dyDescent="0.2">
      <c r="G534" s="315">
        <f t="shared" ref="G534:BR537" si="95">G132-BY132</f>
        <v>0</v>
      </c>
      <c r="H534" s="315">
        <f t="shared" si="95"/>
        <v>0</v>
      </c>
      <c r="I534" s="315">
        <f t="shared" si="95"/>
        <v>0</v>
      </c>
      <c r="J534" s="315">
        <f t="shared" si="95"/>
        <v>0</v>
      </c>
      <c r="K534" s="315">
        <f t="shared" si="95"/>
        <v>0</v>
      </c>
      <c r="L534" s="315">
        <f t="shared" si="95"/>
        <v>0</v>
      </c>
      <c r="M534" s="315">
        <f t="shared" si="95"/>
        <v>0</v>
      </c>
      <c r="N534" s="315">
        <f t="shared" si="95"/>
        <v>0</v>
      </c>
      <c r="O534" s="315">
        <f t="shared" si="95"/>
        <v>0</v>
      </c>
      <c r="P534" s="315">
        <f t="shared" si="95"/>
        <v>0</v>
      </c>
      <c r="Q534" s="315">
        <f t="shared" si="95"/>
        <v>0</v>
      </c>
      <c r="R534" s="315">
        <f t="shared" si="95"/>
        <v>0</v>
      </c>
      <c r="S534" s="315">
        <f t="shared" si="95"/>
        <v>0</v>
      </c>
      <c r="T534" s="315">
        <f t="shared" si="95"/>
        <v>0</v>
      </c>
      <c r="U534" s="315">
        <f t="shared" si="95"/>
        <v>0</v>
      </c>
      <c r="V534" s="315">
        <f t="shared" si="95"/>
        <v>0</v>
      </c>
      <c r="W534" s="315">
        <f t="shared" si="95"/>
        <v>0</v>
      </c>
      <c r="X534" s="315">
        <f t="shared" si="95"/>
        <v>0</v>
      </c>
      <c r="Y534" s="315">
        <f t="shared" si="95"/>
        <v>0</v>
      </c>
      <c r="Z534" s="315">
        <f t="shared" si="95"/>
        <v>0</v>
      </c>
      <c r="AA534" s="315">
        <f t="shared" si="95"/>
        <v>0</v>
      </c>
      <c r="AB534" s="315">
        <f t="shared" si="95"/>
        <v>0</v>
      </c>
      <c r="AC534" s="315">
        <f t="shared" si="95"/>
        <v>0</v>
      </c>
      <c r="AD534" s="315">
        <f t="shared" si="95"/>
        <v>0</v>
      </c>
      <c r="AE534" s="315">
        <f t="shared" si="95"/>
        <v>0</v>
      </c>
      <c r="AF534" s="315">
        <f t="shared" si="95"/>
        <v>0</v>
      </c>
      <c r="AG534" s="315">
        <f t="shared" si="95"/>
        <v>0</v>
      </c>
      <c r="AH534" s="315">
        <f t="shared" si="95"/>
        <v>0</v>
      </c>
      <c r="AI534" s="315">
        <f t="shared" si="95"/>
        <v>0</v>
      </c>
      <c r="AJ534" s="315">
        <f t="shared" si="95"/>
        <v>0</v>
      </c>
      <c r="AK534" s="315">
        <f t="shared" si="95"/>
        <v>0</v>
      </c>
      <c r="AL534" s="315">
        <f t="shared" si="95"/>
        <v>0</v>
      </c>
      <c r="AM534" s="315">
        <f t="shared" si="95"/>
        <v>0</v>
      </c>
      <c r="AN534" s="315">
        <f t="shared" si="95"/>
        <v>0</v>
      </c>
      <c r="AO534" s="315">
        <f t="shared" si="95"/>
        <v>0</v>
      </c>
      <c r="AP534" s="315">
        <f t="shared" si="95"/>
        <v>0</v>
      </c>
      <c r="AQ534" s="315">
        <f t="shared" si="95"/>
        <v>0</v>
      </c>
      <c r="AR534" s="315">
        <f t="shared" si="95"/>
        <v>0</v>
      </c>
      <c r="AS534" s="315">
        <f t="shared" si="95"/>
        <v>0</v>
      </c>
      <c r="AT534" s="315">
        <f t="shared" si="95"/>
        <v>0</v>
      </c>
      <c r="AU534" s="315">
        <f t="shared" si="95"/>
        <v>0</v>
      </c>
      <c r="AV534" s="315">
        <f t="shared" si="95"/>
        <v>0</v>
      </c>
      <c r="AW534" s="315">
        <f t="shared" si="95"/>
        <v>0</v>
      </c>
      <c r="AX534" s="315">
        <f t="shared" si="95"/>
        <v>0</v>
      </c>
      <c r="AY534" s="315">
        <f t="shared" si="95"/>
        <v>0</v>
      </c>
      <c r="AZ534" s="315">
        <f t="shared" si="95"/>
        <v>0</v>
      </c>
      <c r="BA534" s="315">
        <f t="shared" si="95"/>
        <v>0</v>
      </c>
      <c r="BB534" s="315">
        <f t="shared" si="95"/>
        <v>0</v>
      </c>
      <c r="BC534" s="315">
        <f t="shared" si="95"/>
        <v>0</v>
      </c>
      <c r="BD534" s="315">
        <f t="shared" si="95"/>
        <v>0</v>
      </c>
      <c r="BE534" s="315">
        <f t="shared" si="95"/>
        <v>0</v>
      </c>
      <c r="BF534" s="315">
        <f t="shared" si="95"/>
        <v>0</v>
      </c>
      <c r="BG534" s="315">
        <f t="shared" si="95"/>
        <v>0</v>
      </c>
      <c r="BH534" s="315">
        <f t="shared" si="95"/>
        <v>0</v>
      </c>
      <c r="BI534" s="315">
        <f t="shared" si="95"/>
        <v>0</v>
      </c>
      <c r="BJ534" s="315">
        <f t="shared" si="95"/>
        <v>0</v>
      </c>
      <c r="BK534" s="315">
        <f t="shared" si="95"/>
        <v>0</v>
      </c>
      <c r="BL534" s="315">
        <f t="shared" si="95"/>
        <v>0</v>
      </c>
      <c r="BM534" s="315">
        <f t="shared" si="95"/>
        <v>0</v>
      </c>
      <c r="BN534" s="315">
        <f t="shared" si="95"/>
        <v>0</v>
      </c>
      <c r="BO534" s="315">
        <f t="shared" si="95"/>
        <v>0</v>
      </c>
      <c r="BP534" s="315">
        <f t="shared" si="95"/>
        <v>0</v>
      </c>
      <c r="BQ534" s="315">
        <f t="shared" si="95"/>
        <v>0</v>
      </c>
      <c r="BR534" s="315">
        <f t="shared" si="95"/>
        <v>0</v>
      </c>
      <c r="BS534" s="315">
        <f t="shared" ref="BS534:BX549" si="96">BS132-EK132</f>
        <v>0</v>
      </c>
      <c r="BT534" s="315">
        <f t="shared" si="96"/>
        <v>0</v>
      </c>
      <c r="BU534" s="315">
        <f t="shared" si="96"/>
        <v>0</v>
      </c>
      <c r="BV534" s="315">
        <f t="shared" si="96"/>
        <v>0</v>
      </c>
      <c r="BW534" s="315">
        <f t="shared" si="96"/>
        <v>0</v>
      </c>
      <c r="BX534" s="315">
        <f t="shared" si="96"/>
        <v>0</v>
      </c>
      <c r="BZ534" s="315">
        <f t="shared" ref="BZ534:CA549" si="97">BZ132-ER132</f>
        <v>0</v>
      </c>
      <c r="CA534" s="315">
        <f t="shared" si="97"/>
        <v>0</v>
      </c>
    </row>
    <row r="535" spans="7:79" hidden="1" x14ac:dyDescent="0.2">
      <c r="G535" s="315">
        <f t="shared" si="95"/>
        <v>0</v>
      </c>
      <c r="H535" s="315">
        <f t="shared" si="95"/>
        <v>0</v>
      </c>
      <c r="I535" s="315">
        <f t="shared" si="95"/>
        <v>0</v>
      </c>
      <c r="J535" s="315">
        <f t="shared" si="95"/>
        <v>0</v>
      </c>
      <c r="K535" s="315">
        <f t="shared" si="95"/>
        <v>0</v>
      </c>
      <c r="L535" s="315">
        <f t="shared" si="95"/>
        <v>0</v>
      </c>
      <c r="M535" s="315">
        <f t="shared" si="95"/>
        <v>0</v>
      </c>
      <c r="N535" s="315">
        <f t="shared" si="95"/>
        <v>0</v>
      </c>
      <c r="O535" s="315">
        <f t="shared" si="95"/>
        <v>0</v>
      </c>
      <c r="P535" s="315">
        <f t="shared" si="95"/>
        <v>0</v>
      </c>
      <c r="Q535" s="315">
        <f t="shared" si="95"/>
        <v>0</v>
      </c>
      <c r="R535" s="315">
        <f t="shared" si="95"/>
        <v>0</v>
      </c>
      <c r="S535" s="315">
        <f t="shared" si="95"/>
        <v>0</v>
      </c>
      <c r="T535" s="315">
        <f t="shared" si="95"/>
        <v>0</v>
      </c>
      <c r="U535" s="315">
        <f t="shared" si="95"/>
        <v>0</v>
      </c>
      <c r="V535" s="315">
        <f t="shared" si="95"/>
        <v>0</v>
      </c>
      <c r="W535" s="315">
        <f t="shared" si="95"/>
        <v>0</v>
      </c>
      <c r="X535" s="315">
        <f t="shared" si="95"/>
        <v>0</v>
      </c>
      <c r="Y535" s="315">
        <f t="shared" si="95"/>
        <v>0</v>
      </c>
      <c r="Z535" s="315">
        <f t="shared" si="95"/>
        <v>0</v>
      </c>
      <c r="AA535" s="315">
        <f t="shared" si="95"/>
        <v>0</v>
      </c>
      <c r="AB535" s="315">
        <f t="shared" si="95"/>
        <v>0</v>
      </c>
      <c r="AC535" s="315">
        <f t="shared" si="95"/>
        <v>0</v>
      </c>
      <c r="AD535" s="315">
        <f t="shared" si="95"/>
        <v>0</v>
      </c>
      <c r="AE535" s="315">
        <f t="shared" si="95"/>
        <v>0</v>
      </c>
      <c r="AF535" s="315">
        <f t="shared" si="95"/>
        <v>0</v>
      </c>
      <c r="AG535" s="315">
        <f t="shared" si="95"/>
        <v>0</v>
      </c>
      <c r="AH535" s="315">
        <f t="shared" si="95"/>
        <v>0</v>
      </c>
      <c r="AI535" s="315">
        <f t="shared" si="95"/>
        <v>0</v>
      </c>
      <c r="AJ535" s="315">
        <f t="shared" si="95"/>
        <v>0</v>
      </c>
      <c r="AK535" s="315">
        <f t="shared" si="95"/>
        <v>0</v>
      </c>
      <c r="AL535" s="315">
        <f t="shared" si="95"/>
        <v>0</v>
      </c>
      <c r="AM535" s="315">
        <f t="shared" si="95"/>
        <v>0</v>
      </c>
      <c r="AN535" s="315">
        <f t="shared" si="95"/>
        <v>0</v>
      </c>
      <c r="AO535" s="315">
        <f t="shared" si="95"/>
        <v>0</v>
      </c>
      <c r="AP535" s="315">
        <f t="shared" si="95"/>
        <v>0</v>
      </c>
      <c r="AQ535" s="315">
        <f t="shared" si="95"/>
        <v>0</v>
      </c>
      <c r="AR535" s="315">
        <f t="shared" si="95"/>
        <v>0</v>
      </c>
      <c r="AS535" s="315">
        <f t="shared" si="95"/>
        <v>0</v>
      </c>
      <c r="AT535" s="315">
        <f t="shared" si="95"/>
        <v>0</v>
      </c>
      <c r="AU535" s="315">
        <f t="shared" si="95"/>
        <v>0</v>
      </c>
      <c r="AV535" s="315">
        <f t="shared" si="95"/>
        <v>0</v>
      </c>
      <c r="AW535" s="315">
        <f t="shared" si="95"/>
        <v>0</v>
      </c>
      <c r="AX535" s="315">
        <f t="shared" si="95"/>
        <v>0</v>
      </c>
      <c r="AY535" s="315">
        <f t="shared" si="95"/>
        <v>0</v>
      </c>
      <c r="AZ535" s="315">
        <f t="shared" si="95"/>
        <v>0</v>
      </c>
      <c r="BA535" s="315">
        <f t="shared" si="95"/>
        <v>0</v>
      </c>
      <c r="BB535" s="315">
        <f t="shared" si="95"/>
        <v>0</v>
      </c>
      <c r="BC535" s="315">
        <f t="shared" si="95"/>
        <v>0</v>
      </c>
      <c r="BD535" s="315">
        <f t="shared" si="95"/>
        <v>0</v>
      </c>
      <c r="BE535" s="315">
        <f t="shared" si="95"/>
        <v>0</v>
      </c>
      <c r="BF535" s="315">
        <f t="shared" si="95"/>
        <v>0</v>
      </c>
      <c r="BG535" s="315">
        <f t="shared" si="95"/>
        <v>0</v>
      </c>
      <c r="BH535" s="315">
        <f t="shared" si="95"/>
        <v>0</v>
      </c>
      <c r="BI535" s="315">
        <f t="shared" si="95"/>
        <v>0</v>
      </c>
      <c r="BJ535" s="315">
        <f t="shared" si="95"/>
        <v>0</v>
      </c>
      <c r="BK535" s="315">
        <f t="shared" si="95"/>
        <v>0</v>
      </c>
      <c r="BL535" s="315">
        <f t="shared" si="95"/>
        <v>0</v>
      </c>
      <c r="BM535" s="315">
        <f t="shared" si="95"/>
        <v>0</v>
      </c>
      <c r="BN535" s="315">
        <f t="shared" si="95"/>
        <v>0</v>
      </c>
      <c r="BO535" s="315">
        <f t="shared" si="95"/>
        <v>0</v>
      </c>
      <c r="BP535" s="315">
        <f t="shared" si="95"/>
        <v>0</v>
      </c>
      <c r="BQ535" s="315">
        <f t="shared" si="95"/>
        <v>0</v>
      </c>
      <c r="BR535" s="315">
        <f t="shared" si="95"/>
        <v>0</v>
      </c>
      <c r="BS535" s="315">
        <f t="shared" si="96"/>
        <v>0</v>
      </c>
      <c r="BT535" s="315">
        <f t="shared" si="96"/>
        <v>0</v>
      </c>
      <c r="BU535" s="315">
        <f t="shared" si="96"/>
        <v>0</v>
      </c>
      <c r="BV535" s="315">
        <f t="shared" si="96"/>
        <v>0</v>
      </c>
      <c r="BW535" s="315">
        <f t="shared" si="96"/>
        <v>0</v>
      </c>
      <c r="BX535" s="315">
        <f t="shared" si="96"/>
        <v>0</v>
      </c>
      <c r="BZ535" s="315">
        <f t="shared" si="97"/>
        <v>0</v>
      </c>
      <c r="CA535" s="315">
        <f t="shared" si="97"/>
        <v>0</v>
      </c>
    </row>
    <row r="536" spans="7:79" hidden="1" x14ac:dyDescent="0.2">
      <c r="G536" s="315">
        <f t="shared" si="95"/>
        <v>0</v>
      </c>
      <c r="H536" s="315">
        <f t="shared" si="95"/>
        <v>0</v>
      </c>
      <c r="I536" s="315">
        <f t="shared" si="95"/>
        <v>0</v>
      </c>
      <c r="J536" s="315">
        <f t="shared" si="95"/>
        <v>0</v>
      </c>
      <c r="K536" s="315">
        <f t="shared" si="95"/>
        <v>0</v>
      </c>
      <c r="L536" s="315">
        <f t="shared" si="95"/>
        <v>0</v>
      </c>
      <c r="M536" s="315">
        <f t="shared" si="95"/>
        <v>0</v>
      </c>
      <c r="N536" s="315">
        <f t="shared" si="95"/>
        <v>0</v>
      </c>
      <c r="O536" s="315">
        <f t="shared" si="95"/>
        <v>0</v>
      </c>
      <c r="P536" s="315">
        <f t="shared" si="95"/>
        <v>0</v>
      </c>
      <c r="Q536" s="315">
        <f t="shared" si="95"/>
        <v>0</v>
      </c>
      <c r="R536" s="315">
        <f t="shared" si="95"/>
        <v>0</v>
      </c>
      <c r="S536" s="315">
        <f t="shared" si="95"/>
        <v>0</v>
      </c>
      <c r="T536" s="315">
        <f t="shared" si="95"/>
        <v>0</v>
      </c>
      <c r="U536" s="315">
        <f t="shared" si="95"/>
        <v>0</v>
      </c>
      <c r="V536" s="315">
        <f t="shared" si="95"/>
        <v>0</v>
      </c>
      <c r="W536" s="315">
        <f t="shared" si="95"/>
        <v>0</v>
      </c>
      <c r="X536" s="315">
        <f t="shared" si="95"/>
        <v>0</v>
      </c>
      <c r="Y536" s="315">
        <f t="shared" si="95"/>
        <v>0</v>
      </c>
      <c r="Z536" s="315">
        <f t="shared" si="95"/>
        <v>0</v>
      </c>
      <c r="AA536" s="315">
        <f t="shared" si="95"/>
        <v>0</v>
      </c>
      <c r="AB536" s="315">
        <f t="shared" si="95"/>
        <v>0</v>
      </c>
      <c r="AC536" s="315">
        <f t="shared" si="95"/>
        <v>0</v>
      </c>
      <c r="AD536" s="315">
        <f t="shared" si="95"/>
        <v>0</v>
      </c>
      <c r="AE536" s="315">
        <f t="shared" si="95"/>
        <v>0</v>
      </c>
      <c r="AF536" s="315">
        <f t="shared" si="95"/>
        <v>0</v>
      </c>
      <c r="AG536" s="315">
        <f t="shared" si="95"/>
        <v>0</v>
      </c>
      <c r="AH536" s="315">
        <f t="shared" si="95"/>
        <v>0</v>
      </c>
      <c r="AI536" s="315">
        <f t="shared" si="95"/>
        <v>0</v>
      </c>
      <c r="AJ536" s="315">
        <f t="shared" si="95"/>
        <v>0</v>
      </c>
      <c r="AK536" s="315">
        <f t="shared" si="95"/>
        <v>0</v>
      </c>
      <c r="AL536" s="315">
        <f t="shared" si="95"/>
        <v>0</v>
      </c>
      <c r="AM536" s="315">
        <f t="shared" si="95"/>
        <v>0</v>
      </c>
      <c r="AN536" s="315">
        <f t="shared" si="95"/>
        <v>0</v>
      </c>
      <c r="AO536" s="315">
        <f t="shared" si="95"/>
        <v>0</v>
      </c>
      <c r="AP536" s="315">
        <f t="shared" si="95"/>
        <v>0</v>
      </c>
      <c r="AQ536" s="315">
        <f t="shared" si="95"/>
        <v>0</v>
      </c>
      <c r="AR536" s="315">
        <f t="shared" si="95"/>
        <v>0</v>
      </c>
      <c r="AS536" s="315">
        <f t="shared" si="95"/>
        <v>0</v>
      </c>
      <c r="AT536" s="315">
        <f t="shared" si="95"/>
        <v>0</v>
      </c>
      <c r="AU536" s="315">
        <f t="shared" si="95"/>
        <v>0</v>
      </c>
      <c r="AV536" s="315">
        <f t="shared" si="95"/>
        <v>0</v>
      </c>
      <c r="AW536" s="315">
        <f t="shared" si="95"/>
        <v>0</v>
      </c>
      <c r="AX536" s="315">
        <f t="shared" si="95"/>
        <v>0</v>
      </c>
      <c r="AY536" s="315">
        <f t="shared" si="95"/>
        <v>0</v>
      </c>
      <c r="AZ536" s="315">
        <f t="shared" si="95"/>
        <v>0</v>
      </c>
      <c r="BA536" s="315">
        <f t="shared" si="95"/>
        <v>0</v>
      </c>
      <c r="BB536" s="315">
        <f t="shared" si="95"/>
        <v>0</v>
      </c>
      <c r="BC536" s="315">
        <f t="shared" si="95"/>
        <v>0</v>
      </c>
      <c r="BD536" s="315">
        <f t="shared" si="95"/>
        <v>0</v>
      </c>
      <c r="BE536" s="315">
        <f t="shared" si="95"/>
        <v>0</v>
      </c>
      <c r="BF536" s="315">
        <f t="shared" si="95"/>
        <v>0</v>
      </c>
      <c r="BG536" s="315">
        <f t="shared" si="95"/>
        <v>0</v>
      </c>
      <c r="BH536" s="315">
        <f t="shared" si="95"/>
        <v>0</v>
      </c>
      <c r="BI536" s="315">
        <f t="shared" si="95"/>
        <v>0</v>
      </c>
      <c r="BJ536" s="315">
        <f t="shared" si="95"/>
        <v>0</v>
      </c>
      <c r="BK536" s="315">
        <f t="shared" si="95"/>
        <v>0</v>
      </c>
      <c r="BL536" s="315">
        <f t="shared" si="95"/>
        <v>0</v>
      </c>
      <c r="BM536" s="315">
        <f t="shared" si="95"/>
        <v>0</v>
      </c>
      <c r="BN536" s="315">
        <f t="shared" si="95"/>
        <v>0</v>
      </c>
      <c r="BO536" s="315">
        <f t="shared" si="95"/>
        <v>0</v>
      </c>
      <c r="BP536" s="315">
        <f t="shared" si="95"/>
        <v>0</v>
      </c>
      <c r="BQ536" s="315">
        <f t="shared" si="95"/>
        <v>0</v>
      </c>
      <c r="BR536" s="315">
        <f t="shared" si="95"/>
        <v>0</v>
      </c>
      <c r="BS536" s="315">
        <f t="shared" si="96"/>
        <v>0</v>
      </c>
      <c r="BT536" s="315">
        <f t="shared" si="96"/>
        <v>0</v>
      </c>
      <c r="BU536" s="315">
        <f t="shared" si="96"/>
        <v>0</v>
      </c>
      <c r="BV536" s="315">
        <f t="shared" si="96"/>
        <v>0</v>
      </c>
      <c r="BW536" s="315">
        <f t="shared" si="96"/>
        <v>0</v>
      </c>
      <c r="BX536" s="315">
        <f t="shared" si="96"/>
        <v>0</v>
      </c>
      <c r="BZ536" s="315">
        <f t="shared" si="97"/>
        <v>0</v>
      </c>
      <c r="CA536" s="315">
        <f t="shared" si="97"/>
        <v>0</v>
      </c>
    </row>
    <row r="537" spans="7:79" hidden="1" x14ac:dyDescent="0.2">
      <c r="G537" s="315">
        <f t="shared" si="95"/>
        <v>0</v>
      </c>
      <c r="H537" s="315">
        <f t="shared" si="95"/>
        <v>0</v>
      </c>
      <c r="I537" s="315">
        <f t="shared" si="95"/>
        <v>0</v>
      </c>
      <c r="J537" s="315">
        <f t="shared" si="95"/>
        <v>0</v>
      </c>
      <c r="K537" s="315">
        <f t="shared" si="95"/>
        <v>0</v>
      </c>
      <c r="L537" s="315">
        <f t="shared" si="95"/>
        <v>0</v>
      </c>
      <c r="M537" s="315">
        <f t="shared" si="95"/>
        <v>0</v>
      </c>
      <c r="N537" s="315">
        <f t="shared" si="95"/>
        <v>0</v>
      </c>
      <c r="O537" s="315">
        <f t="shared" si="95"/>
        <v>0</v>
      </c>
      <c r="P537" s="315">
        <f t="shared" si="95"/>
        <v>0</v>
      </c>
      <c r="Q537" s="315">
        <f t="shared" si="95"/>
        <v>0</v>
      </c>
      <c r="R537" s="315">
        <f t="shared" si="95"/>
        <v>0</v>
      </c>
      <c r="S537" s="315">
        <f t="shared" si="95"/>
        <v>0</v>
      </c>
      <c r="T537" s="315">
        <f t="shared" si="95"/>
        <v>0</v>
      </c>
      <c r="U537" s="315">
        <f t="shared" si="95"/>
        <v>0</v>
      </c>
      <c r="V537" s="315">
        <f t="shared" si="95"/>
        <v>0</v>
      </c>
      <c r="W537" s="315">
        <f t="shared" si="95"/>
        <v>0</v>
      </c>
      <c r="X537" s="315">
        <f t="shared" si="95"/>
        <v>0</v>
      </c>
      <c r="Y537" s="315">
        <f t="shared" si="95"/>
        <v>0</v>
      </c>
      <c r="Z537" s="315">
        <f t="shared" si="95"/>
        <v>0</v>
      </c>
      <c r="AA537" s="315">
        <f t="shared" si="95"/>
        <v>0</v>
      </c>
      <c r="AB537" s="315">
        <f t="shared" si="95"/>
        <v>0</v>
      </c>
      <c r="AC537" s="315">
        <f t="shared" si="95"/>
        <v>0</v>
      </c>
      <c r="AD537" s="315">
        <f t="shared" si="95"/>
        <v>0</v>
      </c>
      <c r="AE537" s="315">
        <f t="shared" si="95"/>
        <v>0</v>
      </c>
      <c r="AF537" s="315">
        <f t="shared" si="95"/>
        <v>0</v>
      </c>
      <c r="AG537" s="315">
        <f t="shared" si="95"/>
        <v>0</v>
      </c>
      <c r="AH537" s="315">
        <f t="shared" si="95"/>
        <v>0</v>
      </c>
      <c r="AI537" s="315">
        <f t="shared" si="95"/>
        <v>0</v>
      </c>
      <c r="AJ537" s="315">
        <f t="shared" si="95"/>
        <v>0</v>
      </c>
      <c r="AK537" s="315">
        <f t="shared" si="95"/>
        <v>0</v>
      </c>
      <c r="AL537" s="315">
        <f t="shared" si="95"/>
        <v>0</v>
      </c>
      <c r="AM537" s="315">
        <f t="shared" si="95"/>
        <v>0</v>
      </c>
      <c r="AN537" s="315">
        <f t="shared" si="95"/>
        <v>0</v>
      </c>
      <c r="AO537" s="315">
        <f t="shared" si="95"/>
        <v>0</v>
      </c>
      <c r="AP537" s="315">
        <f t="shared" si="95"/>
        <v>0</v>
      </c>
      <c r="AQ537" s="315">
        <f t="shared" si="95"/>
        <v>0</v>
      </c>
      <c r="AR537" s="315">
        <f t="shared" si="95"/>
        <v>0</v>
      </c>
      <c r="AS537" s="315">
        <f t="shared" si="95"/>
        <v>0</v>
      </c>
      <c r="AT537" s="315">
        <f t="shared" si="95"/>
        <v>0</v>
      </c>
      <c r="AU537" s="315">
        <f t="shared" si="95"/>
        <v>0</v>
      </c>
      <c r="AV537" s="315">
        <f t="shared" si="95"/>
        <v>0</v>
      </c>
      <c r="AW537" s="315">
        <f t="shared" si="95"/>
        <v>0</v>
      </c>
      <c r="AX537" s="315">
        <f t="shared" si="95"/>
        <v>0</v>
      </c>
      <c r="AY537" s="315">
        <f t="shared" si="95"/>
        <v>0</v>
      </c>
      <c r="AZ537" s="315">
        <f t="shared" si="95"/>
        <v>0</v>
      </c>
      <c r="BA537" s="315">
        <f t="shared" si="95"/>
        <v>0</v>
      </c>
      <c r="BB537" s="315">
        <f t="shared" si="95"/>
        <v>0</v>
      </c>
      <c r="BC537" s="315">
        <f t="shared" si="95"/>
        <v>0</v>
      </c>
      <c r="BD537" s="315">
        <f t="shared" si="95"/>
        <v>0</v>
      </c>
      <c r="BE537" s="315">
        <f t="shared" si="95"/>
        <v>0</v>
      </c>
      <c r="BF537" s="315">
        <f t="shared" si="95"/>
        <v>0</v>
      </c>
      <c r="BG537" s="315">
        <f t="shared" si="95"/>
        <v>0</v>
      </c>
      <c r="BH537" s="315">
        <f t="shared" si="95"/>
        <v>0</v>
      </c>
      <c r="BI537" s="315">
        <f t="shared" si="95"/>
        <v>0</v>
      </c>
      <c r="BJ537" s="315">
        <f t="shared" si="95"/>
        <v>0</v>
      </c>
      <c r="BK537" s="315">
        <f t="shared" si="95"/>
        <v>0</v>
      </c>
      <c r="BL537" s="315">
        <f t="shared" si="95"/>
        <v>0</v>
      </c>
      <c r="BM537" s="315">
        <f t="shared" si="95"/>
        <v>0</v>
      </c>
      <c r="BN537" s="315">
        <f t="shared" si="95"/>
        <v>0</v>
      </c>
      <c r="BO537" s="315">
        <f t="shared" si="95"/>
        <v>0</v>
      </c>
      <c r="BP537" s="315">
        <f t="shared" si="95"/>
        <v>0</v>
      </c>
      <c r="BQ537" s="315">
        <f t="shared" si="95"/>
        <v>0</v>
      </c>
      <c r="BR537" s="315">
        <f t="shared" ref="BR537:BX552" si="98">BR135-EJ135</f>
        <v>0</v>
      </c>
      <c r="BS537" s="315">
        <f t="shared" si="96"/>
        <v>0</v>
      </c>
      <c r="BT537" s="315">
        <f t="shared" si="96"/>
        <v>0</v>
      </c>
      <c r="BU537" s="315">
        <f t="shared" si="96"/>
        <v>0</v>
      </c>
      <c r="BV537" s="315">
        <f t="shared" si="96"/>
        <v>0</v>
      </c>
      <c r="BW537" s="315">
        <f t="shared" si="96"/>
        <v>0</v>
      </c>
      <c r="BX537" s="315">
        <f t="shared" si="96"/>
        <v>0</v>
      </c>
      <c r="BZ537" s="315">
        <f t="shared" si="97"/>
        <v>0</v>
      </c>
      <c r="CA537" s="315">
        <f t="shared" si="97"/>
        <v>0</v>
      </c>
    </row>
    <row r="538" spans="7:79" hidden="1" x14ac:dyDescent="0.2">
      <c r="G538" s="315">
        <f t="shared" ref="G538:BQ542" si="99">G136-BY136</f>
        <v>0</v>
      </c>
      <c r="H538" s="315">
        <f t="shared" si="99"/>
        <v>0</v>
      </c>
      <c r="I538" s="315">
        <f t="shared" si="99"/>
        <v>0</v>
      </c>
      <c r="J538" s="315">
        <f t="shared" si="99"/>
        <v>0</v>
      </c>
      <c r="K538" s="315">
        <f t="shared" si="99"/>
        <v>0</v>
      </c>
      <c r="L538" s="315">
        <f t="shared" si="99"/>
        <v>0</v>
      </c>
      <c r="M538" s="315">
        <f t="shared" si="99"/>
        <v>0</v>
      </c>
      <c r="N538" s="315">
        <f t="shared" si="99"/>
        <v>0</v>
      </c>
      <c r="O538" s="315">
        <f t="shared" si="99"/>
        <v>0</v>
      </c>
      <c r="P538" s="315">
        <f t="shared" si="99"/>
        <v>0</v>
      </c>
      <c r="Q538" s="315">
        <f t="shared" si="99"/>
        <v>0</v>
      </c>
      <c r="R538" s="315">
        <f t="shared" si="99"/>
        <v>0</v>
      </c>
      <c r="S538" s="315">
        <f t="shared" si="99"/>
        <v>0</v>
      </c>
      <c r="T538" s="315">
        <f t="shared" si="99"/>
        <v>0</v>
      </c>
      <c r="U538" s="315">
        <f t="shared" si="99"/>
        <v>0</v>
      </c>
      <c r="V538" s="315">
        <f t="shared" si="99"/>
        <v>0</v>
      </c>
      <c r="W538" s="315">
        <f t="shared" si="99"/>
        <v>0</v>
      </c>
      <c r="X538" s="315">
        <f t="shared" si="99"/>
        <v>0</v>
      </c>
      <c r="Y538" s="315">
        <f t="shared" si="99"/>
        <v>0</v>
      </c>
      <c r="Z538" s="315">
        <f t="shared" si="99"/>
        <v>0</v>
      </c>
      <c r="AA538" s="315">
        <f t="shared" si="99"/>
        <v>0</v>
      </c>
      <c r="AB538" s="315">
        <f t="shared" si="99"/>
        <v>0</v>
      </c>
      <c r="AC538" s="315">
        <f t="shared" si="99"/>
        <v>0</v>
      </c>
      <c r="AD538" s="315">
        <f t="shared" si="99"/>
        <v>0</v>
      </c>
      <c r="AE538" s="315">
        <f t="shared" si="99"/>
        <v>0</v>
      </c>
      <c r="AF538" s="315">
        <f t="shared" si="99"/>
        <v>0</v>
      </c>
      <c r="AG538" s="315">
        <f t="shared" si="99"/>
        <v>0</v>
      </c>
      <c r="AH538" s="315">
        <f t="shared" si="99"/>
        <v>0</v>
      </c>
      <c r="AI538" s="315">
        <f t="shared" si="99"/>
        <v>0</v>
      </c>
      <c r="AJ538" s="315">
        <f t="shared" si="99"/>
        <v>0</v>
      </c>
      <c r="AK538" s="315">
        <f t="shared" si="99"/>
        <v>0</v>
      </c>
      <c r="AL538" s="315">
        <f t="shared" si="99"/>
        <v>0</v>
      </c>
      <c r="AM538" s="315">
        <f t="shared" si="99"/>
        <v>0</v>
      </c>
      <c r="AN538" s="315">
        <f t="shared" si="99"/>
        <v>0</v>
      </c>
      <c r="AO538" s="315">
        <f t="shared" si="99"/>
        <v>0</v>
      </c>
      <c r="AP538" s="315">
        <f t="shared" si="99"/>
        <v>0</v>
      </c>
      <c r="AQ538" s="315">
        <f t="shared" si="99"/>
        <v>0</v>
      </c>
      <c r="AR538" s="315">
        <f t="shared" si="99"/>
        <v>0</v>
      </c>
      <c r="AS538" s="315">
        <f t="shared" si="99"/>
        <v>0</v>
      </c>
      <c r="AT538" s="315">
        <f t="shared" si="99"/>
        <v>0</v>
      </c>
      <c r="AU538" s="315">
        <f t="shared" si="99"/>
        <v>0</v>
      </c>
      <c r="AV538" s="315">
        <f t="shared" si="99"/>
        <v>0</v>
      </c>
      <c r="AW538" s="315">
        <f t="shared" si="99"/>
        <v>0</v>
      </c>
      <c r="AX538" s="315">
        <f t="shared" si="99"/>
        <v>0</v>
      </c>
      <c r="AY538" s="315">
        <f t="shared" si="99"/>
        <v>0</v>
      </c>
      <c r="AZ538" s="315">
        <f t="shared" si="99"/>
        <v>0</v>
      </c>
      <c r="BA538" s="315">
        <f t="shared" si="99"/>
        <v>0</v>
      </c>
      <c r="BB538" s="315">
        <f t="shared" si="99"/>
        <v>0</v>
      </c>
      <c r="BC538" s="315">
        <f t="shared" si="99"/>
        <v>0</v>
      </c>
      <c r="BD538" s="315">
        <f t="shared" si="99"/>
        <v>0</v>
      </c>
      <c r="BE538" s="315">
        <f t="shared" si="99"/>
        <v>0</v>
      </c>
      <c r="BF538" s="315">
        <f t="shared" si="99"/>
        <v>0</v>
      </c>
      <c r="BG538" s="315">
        <f t="shared" si="99"/>
        <v>0</v>
      </c>
      <c r="BH538" s="315">
        <f t="shared" si="99"/>
        <v>0</v>
      </c>
      <c r="BI538" s="315">
        <f t="shared" si="99"/>
        <v>0</v>
      </c>
      <c r="BJ538" s="315">
        <f t="shared" si="99"/>
        <v>0</v>
      </c>
      <c r="BK538" s="315">
        <f t="shared" si="99"/>
        <v>0</v>
      </c>
      <c r="BL538" s="315">
        <f t="shared" si="99"/>
        <v>0</v>
      </c>
      <c r="BM538" s="315">
        <f t="shared" si="99"/>
        <v>0</v>
      </c>
      <c r="BN538" s="315">
        <f t="shared" si="99"/>
        <v>0</v>
      </c>
      <c r="BO538" s="315">
        <f t="shared" si="99"/>
        <v>0</v>
      </c>
      <c r="BP538" s="315">
        <f t="shared" si="99"/>
        <v>0</v>
      </c>
      <c r="BQ538" s="315">
        <f t="shared" si="99"/>
        <v>0</v>
      </c>
      <c r="BR538" s="315">
        <f t="shared" si="98"/>
        <v>0</v>
      </c>
      <c r="BS538" s="315">
        <f t="shared" si="96"/>
        <v>0</v>
      </c>
      <c r="BT538" s="315">
        <f t="shared" si="96"/>
        <v>0</v>
      </c>
      <c r="BU538" s="315">
        <f t="shared" si="96"/>
        <v>0</v>
      </c>
      <c r="BV538" s="315">
        <f t="shared" si="96"/>
        <v>0</v>
      </c>
      <c r="BW538" s="315">
        <f t="shared" si="96"/>
        <v>0</v>
      </c>
      <c r="BX538" s="315">
        <f t="shared" si="96"/>
        <v>0</v>
      </c>
      <c r="BZ538" s="315">
        <f t="shared" si="97"/>
        <v>0</v>
      </c>
      <c r="CA538" s="315">
        <f t="shared" si="97"/>
        <v>0</v>
      </c>
    </row>
    <row r="539" spans="7:79" hidden="1" x14ac:dyDescent="0.2">
      <c r="G539" s="315">
        <f t="shared" si="99"/>
        <v>0</v>
      </c>
      <c r="H539" s="315">
        <f t="shared" si="99"/>
        <v>0</v>
      </c>
      <c r="I539" s="315">
        <f t="shared" si="99"/>
        <v>0</v>
      </c>
      <c r="J539" s="315">
        <f t="shared" si="99"/>
        <v>0</v>
      </c>
      <c r="K539" s="315">
        <f t="shared" si="99"/>
        <v>0</v>
      </c>
      <c r="L539" s="315">
        <f t="shared" si="99"/>
        <v>0</v>
      </c>
      <c r="M539" s="315">
        <f t="shared" si="99"/>
        <v>0</v>
      </c>
      <c r="N539" s="315">
        <f t="shared" si="99"/>
        <v>0</v>
      </c>
      <c r="O539" s="315">
        <f t="shared" si="99"/>
        <v>0</v>
      </c>
      <c r="P539" s="315">
        <f t="shared" si="99"/>
        <v>0</v>
      </c>
      <c r="Q539" s="315">
        <f t="shared" si="99"/>
        <v>0</v>
      </c>
      <c r="R539" s="315">
        <f t="shared" si="99"/>
        <v>0</v>
      </c>
      <c r="S539" s="315">
        <f t="shared" si="99"/>
        <v>0</v>
      </c>
      <c r="T539" s="315">
        <f t="shared" si="99"/>
        <v>0</v>
      </c>
      <c r="U539" s="315">
        <f t="shared" si="99"/>
        <v>0</v>
      </c>
      <c r="V539" s="315">
        <f t="shared" si="99"/>
        <v>0</v>
      </c>
      <c r="W539" s="315">
        <f t="shared" si="99"/>
        <v>0</v>
      </c>
      <c r="X539" s="315">
        <f t="shared" si="99"/>
        <v>0</v>
      </c>
      <c r="Y539" s="315">
        <f t="shared" si="99"/>
        <v>0</v>
      </c>
      <c r="Z539" s="315">
        <f t="shared" si="99"/>
        <v>0</v>
      </c>
      <c r="AA539" s="315">
        <f t="shared" si="99"/>
        <v>0</v>
      </c>
      <c r="AB539" s="315">
        <f t="shared" si="99"/>
        <v>0</v>
      </c>
      <c r="AC539" s="315">
        <f t="shared" si="99"/>
        <v>0</v>
      </c>
      <c r="AD539" s="315">
        <f t="shared" si="99"/>
        <v>0</v>
      </c>
      <c r="AE539" s="315">
        <f t="shared" si="99"/>
        <v>0</v>
      </c>
      <c r="AF539" s="315">
        <f t="shared" si="99"/>
        <v>0</v>
      </c>
      <c r="AG539" s="315">
        <f t="shared" si="99"/>
        <v>0</v>
      </c>
      <c r="AH539" s="315">
        <f t="shared" si="99"/>
        <v>0</v>
      </c>
      <c r="AI539" s="315">
        <f t="shared" si="99"/>
        <v>0</v>
      </c>
      <c r="AJ539" s="315">
        <f t="shared" si="99"/>
        <v>0</v>
      </c>
      <c r="AK539" s="315">
        <f t="shared" si="99"/>
        <v>0</v>
      </c>
      <c r="AL539" s="315">
        <f t="shared" si="99"/>
        <v>0</v>
      </c>
      <c r="AM539" s="315">
        <f t="shared" si="99"/>
        <v>0</v>
      </c>
      <c r="AN539" s="315">
        <f t="shared" si="99"/>
        <v>0</v>
      </c>
      <c r="AO539" s="315">
        <f t="shared" si="99"/>
        <v>0</v>
      </c>
      <c r="AP539" s="315">
        <f t="shared" si="99"/>
        <v>0</v>
      </c>
      <c r="AQ539" s="315">
        <f t="shared" si="99"/>
        <v>0</v>
      </c>
      <c r="AR539" s="315">
        <f t="shared" si="99"/>
        <v>0</v>
      </c>
      <c r="AS539" s="315">
        <f t="shared" si="99"/>
        <v>0</v>
      </c>
      <c r="AT539" s="315">
        <f t="shared" si="99"/>
        <v>0</v>
      </c>
      <c r="AU539" s="315">
        <f t="shared" si="99"/>
        <v>0</v>
      </c>
      <c r="AV539" s="315">
        <f t="shared" si="99"/>
        <v>0</v>
      </c>
      <c r="AW539" s="315">
        <f t="shared" si="99"/>
        <v>0</v>
      </c>
      <c r="AX539" s="315">
        <f t="shared" si="99"/>
        <v>0</v>
      </c>
      <c r="AY539" s="315">
        <f t="shared" si="99"/>
        <v>0</v>
      </c>
      <c r="AZ539" s="315">
        <f t="shared" si="99"/>
        <v>0</v>
      </c>
      <c r="BA539" s="315">
        <f t="shared" si="99"/>
        <v>0</v>
      </c>
      <c r="BB539" s="315">
        <f t="shared" si="99"/>
        <v>0</v>
      </c>
      <c r="BC539" s="315">
        <f t="shared" si="99"/>
        <v>0</v>
      </c>
      <c r="BD539" s="315">
        <f t="shared" si="99"/>
        <v>0</v>
      </c>
      <c r="BE539" s="315">
        <f t="shared" si="99"/>
        <v>0</v>
      </c>
      <c r="BF539" s="315">
        <f t="shared" si="99"/>
        <v>0</v>
      </c>
      <c r="BG539" s="315">
        <f t="shared" si="99"/>
        <v>0</v>
      </c>
      <c r="BH539" s="315">
        <f t="shared" si="99"/>
        <v>0</v>
      </c>
      <c r="BI539" s="315">
        <f t="shared" si="99"/>
        <v>0</v>
      </c>
      <c r="BJ539" s="315">
        <f t="shared" si="99"/>
        <v>0</v>
      </c>
      <c r="BK539" s="315">
        <f t="shared" si="99"/>
        <v>0</v>
      </c>
      <c r="BL539" s="315">
        <f t="shared" si="99"/>
        <v>0</v>
      </c>
      <c r="BM539" s="315">
        <f t="shared" si="99"/>
        <v>0</v>
      </c>
      <c r="BN539" s="315">
        <f t="shared" si="99"/>
        <v>0</v>
      </c>
      <c r="BO539" s="315">
        <f t="shared" si="99"/>
        <v>0</v>
      </c>
      <c r="BP539" s="315">
        <f t="shared" si="99"/>
        <v>0</v>
      </c>
      <c r="BQ539" s="315">
        <f t="shared" si="99"/>
        <v>0</v>
      </c>
      <c r="BR539" s="315">
        <f t="shared" si="98"/>
        <v>0</v>
      </c>
      <c r="BS539" s="315">
        <f t="shared" si="96"/>
        <v>0</v>
      </c>
      <c r="BT539" s="315">
        <f t="shared" si="96"/>
        <v>0</v>
      </c>
      <c r="BU539" s="315">
        <f t="shared" si="96"/>
        <v>0</v>
      </c>
      <c r="BV539" s="315">
        <f t="shared" si="96"/>
        <v>0</v>
      </c>
      <c r="BW539" s="315">
        <f t="shared" si="96"/>
        <v>0</v>
      </c>
      <c r="BX539" s="315">
        <f t="shared" si="96"/>
        <v>0</v>
      </c>
      <c r="BZ539" s="315">
        <f t="shared" si="97"/>
        <v>0</v>
      </c>
      <c r="CA539" s="315">
        <f t="shared" si="97"/>
        <v>0</v>
      </c>
    </row>
    <row r="540" spans="7:79" hidden="1" x14ac:dyDescent="0.2">
      <c r="G540" s="315">
        <f t="shared" si="99"/>
        <v>0</v>
      </c>
      <c r="H540" s="315">
        <f t="shared" si="99"/>
        <v>0</v>
      </c>
      <c r="I540" s="315">
        <f t="shared" si="99"/>
        <v>0</v>
      </c>
      <c r="J540" s="315">
        <f t="shared" si="99"/>
        <v>0</v>
      </c>
      <c r="K540" s="315">
        <f t="shared" si="99"/>
        <v>0</v>
      </c>
      <c r="L540" s="315">
        <f t="shared" si="99"/>
        <v>0</v>
      </c>
      <c r="M540" s="315">
        <f t="shared" si="99"/>
        <v>0</v>
      </c>
      <c r="N540" s="315">
        <f t="shared" si="99"/>
        <v>0</v>
      </c>
      <c r="O540" s="315">
        <f t="shared" si="99"/>
        <v>0</v>
      </c>
      <c r="P540" s="315">
        <f t="shared" si="99"/>
        <v>0</v>
      </c>
      <c r="Q540" s="315">
        <f t="shared" si="99"/>
        <v>0</v>
      </c>
      <c r="R540" s="315">
        <f t="shared" si="99"/>
        <v>0</v>
      </c>
      <c r="S540" s="315">
        <f t="shared" si="99"/>
        <v>0</v>
      </c>
      <c r="T540" s="315">
        <f t="shared" si="99"/>
        <v>0</v>
      </c>
      <c r="U540" s="315">
        <f t="shared" si="99"/>
        <v>0</v>
      </c>
      <c r="V540" s="315">
        <f t="shared" si="99"/>
        <v>0</v>
      </c>
      <c r="W540" s="315">
        <f t="shared" si="99"/>
        <v>0</v>
      </c>
      <c r="X540" s="315">
        <f t="shared" si="99"/>
        <v>0</v>
      </c>
      <c r="Y540" s="315">
        <f t="shared" si="99"/>
        <v>0</v>
      </c>
      <c r="Z540" s="315">
        <f t="shared" si="99"/>
        <v>0</v>
      </c>
      <c r="AA540" s="315">
        <f t="shared" si="99"/>
        <v>0</v>
      </c>
      <c r="AB540" s="315">
        <f t="shared" si="99"/>
        <v>0</v>
      </c>
      <c r="AC540" s="315">
        <f t="shared" si="99"/>
        <v>0</v>
      </c>
      <c r="AD540" s="315">
        <f t="shared" si="99"/>
        <v>0</v>
      </c>
      <c r="AE540" s="315">
        <f t="shared" si="99"/>
        <v>0</v>
      </c>
      <c r="AF540" s="315">
        <f t="shared" si="99"/>
        <v>0</v>
      </c>
      <c r="AG540" s="315">
        <f t="shared" si="99"/>
        <v>0</v>
      </c>
      <c r="AH540" s="315">
        <f t="shared" si="99"/>
        <v>0</v>
      </c>
      <c r="AI540" s="315">
        <f t="shared" si="99"/>
        <v>0</v>
      </c>
      <c r="AJ540" s="315">
        <f t="shared" si="99"/>
        <v>0</v>
      </c>
      <c r="AK540" s="315">
        <f t="shared" si="99"/>
        <v>0</v>
      </c>
      <c r="AL540" s="315">
        <f t="shared" si="99"/>
        <v>0</v>
      </c>
      <c r="AM540" s="315">
        <f t="shared" si="99"/>
        <v>0</v>
      </c>
      <c r="AN540" s="315">
        <f t="shared" si="99"/>
        <v>0</v>
      </c>
      <c r="AO540" s="315">
        <f t="shared" si="99"/>
        <v>0</v>
      </c>
      <c r="AP540" s="315">
        <f t="shared" si="99"/>
        <v>0</v>
      </c>
      <c r="AQ540" s="315">
        <f t="shared" si="99"/>
        <v>0</v>
      </c>
      <c r="AR540" s="315">
        <f t="shared" si="99"/>
        <v>0</v>
      </c>
      <c r="AS540" s="315">
        <f t="shared" si="99"/>
        <v>0</v>
      </c>
      <c r="AT540" s="315">
        <f t="shared" si="99"/>
        <v>0</v>
      </c>
      <c r="AU540" s="315">
        <f t="shared" si="99"/>
        <v>0</v>
      </c>
      <c r="AV540" s="315">
        <f t="shared" si="99"/>
        <v>0</v>
      </c>
      <c r="AW540" s="315">
        <f t="shared" si="99"/>
        <v>0</v>
      </c>
      <c r="AX540" s="315">
        <f t="shared" si="99"/>
        <v>0</v>
      </c>
      <c r="AY540" s="315">
        <f t="shared" si="99"/>
        <v>0</v>
      </c>
      <c r="AZ540" s="315">
        <f t="shared" si="99"/>
        <v>0</v>
      </c>
      <c r="BA540" s="315">
        <f t="shared" si="99"/>
        <v>0</v>
      </c>
      <c r="BB540" s="315">
        <f t="shared" si="99"/>
        <v>0</v>
      </c>
      <c r="BC540" s="315">
        <f t="shared" si="99"/>
        <v>0</v>
      </c>
      <c r="BD540" s="315">
        <f t="shared" si="99"/>
        <v>0</v>
      </c>
      <c r="BE540" s="315">
        <f t="shared" si="99"/>
        <v>0</v>
      </c>
      <c r="BF540" s="315">
        <f t="shared" si="99"/>
        <v>0</v>
      </c>
      <c r="BG540" s="315">
        <f t="shared" si="99"/>
        <v>0</v>
      </c>
      <c r="BH540" s="315">
        <f t="shared" si="99"/>
        <v>0</v>
      </c>
      <c r="BI540" s="315">
        <f t="shared" si="99"/>
        <v>0</v>
      </c>
      <c r="BJ540" s="315">
        <f t="shared" si="99"/>
        <v>0</v>
      </c>
      <c r="BK540" s="315">
        <f t="shared" si="99"/>
        <v>0</v>
      </c>
      <c r="BL540" s="315">
        <f t="shared" si="99"/>
        <v>0</v>
      </c>
      <c r="BM540" s="315">
        <f t="shared" si="99"/>
        <v>0</v>
      </c>
      <c r="BN540" s="315">
        <f t="shared" si="99"/>
        <v>0</v>
      </c>
      <c r="BO540" s="315">
        <f t="shared" si="99"/>
        <v>0</v>
      </c>
      <c r="BP540" s="315">
        <f t="shared" si="99"/>
        <v>0</v>
      </c>
      <c r="BQ540" s="315">
        <f t="shared" si="99"/>
        <v>0</v>
      </c>
      <c r="BR540" s="315">
        <f t="shared" si="98"/>
        <v>0</v>
      </c>
      <c r="BS540" s="315">
        <f t="shared" si="96"/>
        <v>0</v>
      </c>
      <c r="BT540" s="315">
        <f t="shared" si="96"/>
        <v>0</v>
      </c>
      <c r="BU540" s="315">
        <f t="shared" si="96"/>
        <v>0</v>
      </c>
      <c r="BV540" s="315">
        <f t="shared" si="96"/>
        <v>0</v>
      </c>
      <c r="BW540" s="315">
        <f t="shared" si="96"/>
        <v>0</v>
      </c>
      <c r="BX540" s="315">
        <f t="shared" si="96"/>
        <v>0</v>
      </c>
      <c r="BZ540" s="315">
        <f t="shared" si="97"/>
        <v>0</v>
      </c>
      <c r="CA540" s="315">
        <f t="shared" si="97"/>
        <v>0</v>
      </c>
    </row>
    <row r="541" spans="7:79" hidden="1" x14ac:dyDescent="0.2">
      <c r="G541" s="315">
        <f t="shared" si="99"/>
        <v>-27246490</v>
      </c>
      <c r="H541" s="315">
        <f t="shared" si="99"/>
        <v>0</v>
      </c>
      <c r="I541" s="315">
        <f t="shared" si="99"/>
        <v>0</v>
      </c>
      <c r="J541" s="315">
        <f t="shared" si="99"/>
        <v>0</v>
      </c>
      <c r="K541" s="315">
        <f t="shared" si="99"/>
        <v>0</v>
      </c>
      <c r="L541" s="315">
        <f t="shared" si="99"/>
        <v>-3495480</v>
      </c>
      <c r="M541" s="315">
        <f t="shared" si="99"/>
        <v>0</v>
      </c>
      <c r="N541" s="315">
        <f t="shared" si="99"/>
        <v>0</v>
      </c>
      <c r="O541" s="315">
        <f t="shared" si="99"/>
        <v>0</v>
      </c>
      <c r="P541" s="315">
        <f t="shared" si="99"/>
        <v>0</v>
      </c>
      <c r="Q541" s="315">
        <f t="shared" si="99"/>
        <v>660000</v>
      </c>
      <c r="R541" s="315">
        <f t="shared" si="99"/>
        <v>0</v>
      </c>
      <c r="S541" s="315">
        <f t="shared" si="99"/>
        <v>0</v>
      </c>
      <c r="T541" s="315">
        <f t="shared" si="99"/>
        <v>0</v>
      </c>
      <c r="U541" s="315">
        <f t="shared" si="99"/>
        <v>0</v>
      </c>
      <c r="V541" s="315">
        <f t="shared" si="99"/>
        <v>3336000</v>
      </c>
      <c r="W541" s="315">
        <f t="shared" si="99"/>
        <v>0</v>
      </c>
      <c r="X541" s="315">
        <f t="shared" si="99"/>
        <v>0</v>
      </c>
      <c r="Y541" s="315">
        <f t="shared" si="99"/>
        <v>0</v>
      </c>
      <c r="Z541" s="315">
        <f t="shared" si="99"/>
        <v>0</v>
      </c>
      <c r="AA541" s="315">
        <f t="shared" si="99"/>
        <v>3693000</v>
      </c>
      <c r="AB541" s="315">
        <f t="shared" si="99"/>
        <v>0</v>
      </c>
      <c r="AC541" s="315">
        <f t="shared" si="99"/>
        <v>0</v>
      </c>
      <c r="AD541" s="315">
        <f t="shared" si="99"/>
        <v>0</v>
      </c>
      <c r="AE541" s="315">
        <f t="shared" si="99"/>
        <v>0</v>
      </c>
      <c r="AF541" s="315">
        <f t="shared" si="99"/>
        <v>-1947000</v>
      </c>
      <c r="AG541" s="315">
        <f t="shared" si="99"/>
        <v>0</v>
      </c>
      <c r="AH541" s="315">
        <f t="shared" si="99"/>
        <v>0</v>
      </c>
      <c r="AI541" s="315">
        <f t="shared" si="99"/>
        <v>0</v>
      </c>
      <c r="AJ541" s="315">
        <f t="shared" si="99"/>
        <v>0</v>
      </c>
      <c r="AK541" s="315">
        <f t="shared" si="99"/>
        <v>-4790000</v>
      </c>
      <c r="AL541" s="315">
        <f t="shared" si="99"/>
        <v>0</v>
      </c>
      <c r="AM541" s="315">
        <f t="shared" si="99"/>
        <v>0</v>
      </c>
      <c r="AN541" s="315">
        <f t="shared" si="99"/>
        <v>0</v>
      </c>
      <c r="AO541" s="315">
        <f t="shared" si="99"/>
        <v>0</v>
      </c>
      <c r="AP541" s="315">
        <f t="shared" si="99"/>
        <v>-1948000</v>
      </c>
      <c r="AQ541" s="315">
        <f t="shared" si="99"/>
        <v>0</v>
      </c>
      <c r="AR541" s="315">
        <f t="shared" si="99"/>
        <v>0</v>
      </c>
      <c r="AS541" s="315">
        <f t="shared" si="99"/>
        <v>0</v>
      </c>
      <c r="AT541" s="315">
        <f t="shared" si="99"/>
        <v>0</v>
      </c>
      <c r="AU541" s="315">
        <f t="shared" si="99"/>
        <v>-135490</v>
      </c>
      <c r="AV541" s="315">
        <f t="shared" si="99"/>
        <v>0</v>
      </c>
      <c r="AW541" s="315">
        <f t="shared" si="99"/>
        <v>0</v>
      </c>
      <c r="AX541" s="315">
        <f t="shared" si="99"/>
        <v>0</v>
      </c>
      <c r="AY541" s="315">
        <f t="shared" si="99"/>
        <v>0</v>
      </c>
      <c r="AZ541" s="315">
        <f t="shared" si="99"/>
        <v>0</v>
      </c>
      <c r="BA541" s="315">
        <f t="shared" si="99"/>
        <v>0</v>
      </c>
      <c r="BB541" s="315">
        <f t="shared" si="99"/>
        <v>0</v>
      </c>
      <c r="BC541" s="315">
        <f t="shared" si="99"/>
        <v>0</v>
      </c>
      <c r="BD541" s="315">
        <f t="shared" si="99"/>
        <v>0</v>
      </c>
      <c r="BE541" s="315">
        <f t="shared" si="99"/>
        <v>-3896000</v>
      </c>
      <c r="BF541" s="315">
        <f t="shared" si="99"/>
        <v>0</v>
      </c>
      <c r="BG541" s="315">
        <f t="shared" si="99"/>
        <v>0</v>
      </c>
      <c r="BH541" s="315">
        <f t="shared" si="99"/>
        <v>0</v>
      </c>
      <c r="BI541" s="315">
        <f t="shared" si="99"/>
        <v>0</v>
      </c>
      <c r="BJ541" s="315">
        <f t="shared" si="99"/>
        <v>0</v>
      </c>
      <c r="BK541" s="315">
        <f t="shared" si="99"/>
        <v>0</v>
      </c>
      <c r="BL541" s="315">
        <f t="shared" si="99"/>
        <v>0</v>
      </c>
      <c r="BM541" s="315">
        <f t="shared" si="99"/>
        <v>0</v>
      </c>
      <c r="BN541" s="315">
        <f t="shared" si="99"/>
        <v>0</v>
      </c>
      <c r="BO541" s="315">
        <f t="shared" si="99"/>
        <v>-3894000</v>
      </c>
      <c r="BP541" s="315">
        <f t="shared" si="99"/>
        <v>0</v>
      </c>
      <c r="BQ541" s="315">
        <f t="shared" si="99"/>
        <v>0</v>
      </c>
      <c r="BR541" s="315">
        <f t="shared" si="98"/>
        <v>0</v>
      </c>
      <c r="BS541" s="315">
        <f t="shared" si="96"/>
        <v>0</v>
      </c>
      <c r="BT541" s="315">
        <f t="shared" si="96"/>
        <v>-4491480</v>
      </c>
      <c r="BU541" s="315">
        <f t="shared" si="96"/>
        <v>0</v>
      </c>
      <c r="BV541" s="315">
        <f t="shared" si="96"/>
        <v>0</v>
      </c>
      <c r="BW541" s="315">
        <f t="shared" si="96"/>
        <v>0</v>
      </c>
      <c r="BX541" s="315">
        <f t="shared" si="96"/>
        <v>0</v>
      </c>
      <c r="BZ541" s="315">
        <f t="shared" si="97"/>
        <v>0</v>
      </c>
      <c r="CA541" s="315">
        <f t="shared" si="97"/>
        <v>0</v>
      </c>
    </row>
    <row r="542" spans="7:79" hidden="1" x14ac:dyDescent="0.2">
      <c r="G542" s="315">
        <f t="shared" si="99"/>
        <v>-22526538</v>
      </c>
      <c r="H542" s="315">
        <f t="shared" si="99"/>
        <v>0</v>
      </c>
      <c r="I542" s="315">
        <f t="shared" si="99"/>
        <v>0</v>
      </c>
      <c r="J542" s="315">
        <f t="shared" ref="J542:BQ546" si="100">J140-CB140</f>
        <v>0</v>
      </c>
      <c r="K542" s="315">
        <f t="shared" si="100"/>
        <v>0</v>
      </c>
      <c r="L542" s="315">
        <f t="shared" si="100"/>
        <v>-2711333</v>
      </c>
      <c r="M542" s="315">
        <f t="shared" si="100"/>
        <v>0</v>
      </c>
      <c r="N542" s="315">
        <f t="shared" si="100"/>
        <v>0</v>
      </c>
      <c r="O542" s="315">
        <f t="shared" si="100"/>
        <v>0</v>
      </c>
      <c r="P542" s="315">
        <f t="shared" si="100"/>
        <v>0</v>
      </c>
      <c r="Q542" s="315">
        <f t="shared" si="100"/>
        <v>540997</v>
      </c>
      <c r="R542" s="315">
        <f t="shared" si="100"/>
        <v>0</v>
      </c>
      <c r="S542" s="315">
        <f t="shared" si="100"/>
        <v>0</v>
      </c>
      <c r="T542" s="315">
        <f t="shared" si="100"/>
        <v>0</v>
      </c>
      <c r="U542" s="315">
        <f t="shared" si="100"/>
        <v>0</v>
      </c>
      <c r="V542" s="315">
        <f t="shared" si="100"/>
        <v>2653315</v>
      </c>
      <c r="W542" s="315">
        <f t="shared" si="100"/>
        <v>0</v>
      </c>
      <c r="X542" s="315">
        <f t="shared" si="100"/>
        <v>0</v>
      </c>
      <c r="Y542" s="315">
        <f t="shared" si="100"/>
        <v>0</v>
      </c>
      <c r="Z542" s="315">
        <f t="shared" si="100"/>
        <v>0</v>
      </c>
      <c r="AA542" s="315">
        <f t="shared" si="100"/>
        <v>2782531</v>
      </c>
      <c r="AB542" s="315">
        <f t="shared" si="100"/>
        <v>0</v>
      </c>
      <c r="AC542" s="315">
        <f t="shared" si="100"/>
        <v>0</v>
      </c>
      <c r="AD542" s="315">
        <f t="shared" si="100"/>
        <v>0</v>
      </c>
      <c r="AE542" s="315">
        <f t="shared" si="100"/>
        <v>0</v>
      </c>
      <c r="AF542" s="315">
        <f t="shared" si="100"/>
        <v>-1636330</v>
      </c>
      <c r="AG542" s="315">
        <f t="shared" si="100"/>
        <v>0</v>
      </c>
      <c r="AH542" s="315">
        <f t="shared" si="100"/>
        <v>0</v>
      </c>
      <c r="AI542" s="315">
        <f t="shared" si="100"/>
        <v>0</v>
      </c>
      <c r="AJ542" s="315">
        <f t="shared" si="100"/>
        <v>0</v>
      </c>
      <c r="AK542" s="315">
        <f t="shared" si="100"/>
        <v>-4138031</v>
      </c>
      <c r="AL542" s="315">
        <f t="shared" si="100"/>
        <v>0</v>
      </c>
      <c r="AM542" s="315">
        <f t="shared" si="100"/>
        <v>0</v>
      </c>
      <c r="AN542" s="315">
        <f t="shared" si="100"/>
        <v>0</v>
      </c>
      <c r="AO542" s="315">
        <f t="shared" si="100"/>
        <v>0</v>
      </c>
      <c r="AP542" s="315">
        <f t="shared" si="100"/>
        <v>-1670503</v>
      </c>
      <c r="AQ542" s="315">
        <f t="shared" si="100"/>
        <v>0</v>
      </c>
      <c r="AR542" s="315">
        <f t="shared" si="100"/>
        <v>0</v>
      </c>
      <c r="AS542" s="315">
        <f t="shared" si="100"/>
        <v>0</v>
      </c>
      <c r="AT542" s="315">
        <f t="shared" si="100"/>
        <v>0</v>
      </c>
      <c r="AU542" s="315">
        <f t="shared" si="100"/>
        <v>-111047</v>
      </c>
      <c r="AV542" s="315">
        <f t="shared" si="100"/>
        <v>0</v>
      </c>
      <c r="AW542" s="315">
        <f t="shared" si="100"/>
        <v>0</v>
      </c>
      <c r="AX542" s="315">
        <f t="shared" si="100"/>
        <v>0</v>
      </c>
      <c r="AY542" s="315">
        <f t="shared" si="100"/>
        <v>0</v>
      </c>
      <c r="AZ542" s="315">
        <f t="shared" si="100"/>
        <v>0</v>
      </c>
      <c r="BA542" s="315">
        <f t="shared" si="100"/>
        <v>0</v>
      </c>
      <c r="BB542" s="315">
        <f t="shared" si="100"/>
        <v>0</v>
      </c>
      <c r="BC542" s="315">
        <f t="shared" si="100"/>
        <v>0</v>
      </c>
      <c r="BD542" s="315">
        <f t="shared" si="100"/>
        <v>0</v>
      </c>
      <c r="BE542" s="315">
        <f t="shared" si="100"/>
        <v>-3244173</v>
      </c>
      <c r="BF542" s="315">
        <f t="shared" si="100"/>
        <v>0</v>
      </c>
      <c r="BG542" s="315">
        <f t="shared" si="100"/>
        <v>0</v>
      </c>
      <c r="BH542" s="315">
        <f t="shared" si="100"/>
        <v>0</v>
      </c>
      <c r="BI542" s="315">
        <f t="shared" si="100"/>
        <v>0</v>
      </c>
      <c r="BJ542" s="315">
        <f t="shared" si="100"/>
        <v>0</v>
      </c>
      <c r="BK542" s="315">
        <f t="shared" si="100"/>
        <v>0</v>
      </c>
      <c r="BL542" s="315">
        <f t="shared" si="100"/>
        <v>0</v>
      </c>
      <c r="BM542" s="315">
        <f t="shared" si="100"/>
        <v>0</v>
      </c>
      <c r="BN542" s="315">
        <f t="shared" si="100"/>
        <v>0</v>
      </c>
      <c r="BO542" s="315">
        <f t="shared" si="100"/>
        <v>-3216034</v>
      </c>
      <c r="BP542" s="315">
        <f t="shared" si="100"/>
        <v>0</v>
      </c>
      <c r="BQ542" s="315">
        <f t="shared" si="100"/>
        <v>0</v>
      </c>
      <c r="BR542" s="315">
        <f t="shared" si="98"/>
        <v>0</v>
      </c>
      <c r="BS542" s="315">
        <f t="shared" si="96"/>
        <v>0</v>
      </c>
      <c r="BT542" s="315">
        <f t="shared" si="96"/>
        <v>-4179354</v>
      </c>
      <c r="BU542" s="315">
        <f t="shared" si="96"/>
        <v>0</v>
      </c>
      <c r="BV542" s="315">
        <f t="shared" si="96"/>
        <v>0</v>
      </c>
      <c r="BW542" s="315">
        <f t="shared" si="96"/>
        <v>0</v>
      </c>
      <c r="BX542" s="315">
        <f t="shared" si="96"/>
        <v>0</v>
      </c>
      <c r="BZ542" s="315">
        <f t="shared" si="97"/>
        <v>0</v>
      </c>
      <c r="CA542" s="315">
        <f t="shared" si="97"/>
        <v>0</v>
      </c>
    </row>
    <row r="543" spans="7:79" hidden="1" x14ac:dyDescent="0.2">
      <c r="G543" s="315">
        <f t="shared" ref="G543:V558" si="101">G141-BY141</f>
        <v>-4719952</v>
      </c>
      <c r="H543" s="315">
        <f t="shared" si="101"/>
        <v>0</v>
      </c>
      <c r="I543" s="315">
        <f t="shared" si="101"/>
        <v>0</v>
      </c>
      <c r="J543" s="315">
        <f t="shared" si="100"/>
        <v>0</v>
      </c>
      <c r="K543" s="315">
        <f t="shared" si="100"/>
        <v>0</v>
      </c>
      <c r="L543" s="315">
        <f t="shared" si="100"/>
        <v>-784147</v>
      </c>
      <c r="M543" s="315">
        <f t="shared" si="100"/>
        <v>0</v>
      </c>
      <c r="N543" s="315">
        <f t="shared" si="100"/>
        <v>0</v>
      </c>
      <c r="O543" s="315">
        <f t="shared" si="100"/>
        <v>0</v>
      </c>
      <c r="P543" s="315">
        <f t="shared" si="100"/>
        <v>0</v>
      </c>
      <c r="Q543" s="315">
        <f t="shared" si="100"/>
        <v>119003</v>
      </c>
      <c r="R543" s="315">
        <f t="shared" si="100"/>
        <v>0</v>
      </c>
      <c r="S543" s="315">
        <f t="shared" si="100"/>
        <v>0</v>
      </c>
      <c r="T543" s="315">
        <f t="shared" si="100"/>
        <v>0</v>
      </c>
      <c r="U543" s="315">
        <f t="shared" si="100"/>
        <v>0</v>
      </c>
      <c r="V543" s="315">
        <f t="shared" si="100"/>
        <v>682685</v>
      </c>
      <c r="W543" s="315">
        <f t="shared" si="100"/>
        <v>0</v>
      </c>
      <c r="X543" s="315">
        <f t="shared" si="100"/>
        <v>0</v>
      </c>
      <c r="Y543" s="315">
        <f t="shared" si="100"/>
        <v>0</v>
      </c>
      <c r="Z543" s="315">
        <f t="shared" si="100"/>
        <v>0</v>
      </c>
      <c r="AA543" s="315">
        <f t="shared" si="100"/>
        <v>910469</v>
      </c>
      <c r="AB543" s="315">
        <f t="shared" si="100"/>
        <v>0</v>
      </c>
      <c r="AC543" s="315">
        <f t="shared" si="100"/>
        <v>0</v>
      </c>
      <c r="AD543" s="315">
        <f t="shared" si="100"/>
        <v>0</v>
      </c>
      <c r="AE543" s="315">
        <f t="shared" si="100"/>
        <v>0</v>
      </c>
      <c r="AF543" s="315">
        <f t="shared" si="100"/>
        <v>-310670</v>
      </c>
      <c r="AG543" s="315">
        <f t="shared" si="100"/>
        <v>0</v>
      </c>
      <c r="AH543" s="315">
        <f t="shared" si="100"/>
        <v>0</v>
      </c>
      <c r="AI543" s="315">
        <f t="shared" si="100"/>
        <v>0</v>
      </c>
      <c r="AJ543" s="315">
        <f t="shared" si="100"/>
        <v>0</v>
      </c>
      <c r="AK543" s="315">
        <f t="shared" si="100"/>
        <v>-651969</v>
      </c>
      <c r="AL543" s="315">
        <f t="shared" si="100"/>
        <v>0</v>
      </c>
      <c r="AM543" s="315">
        <f t="shared" si="100"/>
        <v>0</v>
      </c>
      <c r="AN543" s="315">
        <f t="shared" si="100"/>
        <v>0</v>
      </c>
      <c r="AO543" s="315">
        <f t="shared" si="100"/>
        <v>0</v>
      </c>
      <c r="AP543" s="315">
        <f t="shared" si="100"/>
        <v>-277497</v>
      </c>
      <c r="AQ543" s="315">
        <f t="shared" si="100"/>
        <v>0</v>
      </c>
      <c r="AR543" s="315">
        <f t="shared" si="100"/>
        <v>0</v>
      </c>
      <c r="AS543" s="315">
        <f t="shared" si="100"/>
        <v>0</v>
      </c>
      <c r="AT543" s="315">
        <f t="shared" si="100"/>
        <v>0</v>
      </c>
      <c r="AU543" s="315">
        <f t="shared" si="100"/>
        <v>-24443</v>
      </c>
      <c r="AV543" s="315">
        <f t="shared" si="100"/>
        <v>0</v>
      </c>
      <c r="AW543" s="315">
        <f t="shared" si="100"/>
        <v>0</v>
      </c>
      <c r="AX543" s="315">
        <f t="shared" si="100"/>
        <v>0</v>
      </c>
      <c r="AY543" s="315">
        <f t="shared" si="100"/>
        <v>0</v>
      </c>
      <c r="AZ543" s="315">
        <f t="shared" si="100"/>
        <v>0</v>
      </c>
      <c r="BA543" s="315">
        <f t="shared" si="100"/>
        <v>0</v>
      </c>
      <c r="BB543" s="315">
        <f t="shared" si="100"/>
        <v>0</v>
      </c>
      <c r="BC543" s="315">
        <f t="shared" si="100"/>
        <v>0</v>
      </c>
      <c r="BD543" s="315">
        <f t="shared" si="100"/>
        <v>0</v>
      </c>
      <c r="BE543" s="315">
        <f t="shared" si="100"/>
        <v>-651827</v>
      </c>
      <c r="BF543" s="315">
        <f t="shared" si="100"/>
        <v>0</v>
      </c>
      <c r="BG543" s="315">
        <f t="shared" si="100"/>
        <v>0</v>
      </c>
      <c r="BH543" s="315">
        <f t="shared" si="100"/>
        <v>0</v>
      </c>
      <c r="BI543" s="315">
        <f t="shared" si="100"/>
        <v>0</v>
      </c>
      <c r="BJ543" s="315">
        <f t="shared" si="100"/>
        <v>0</v>
      </c>
      <c r="BK543" s="315">
        <f t="shared" si="100"/>
        <v>0</v>
      </c>
      <c r="BL543" s="315">
        <f t="shared" si="100"/>
        <v>0</v>
      </c>
      <c r="BM543" s="315">
        <f t="shared" si="100"/>
        <v>0</v>
      </c>
      <c r="BN543" s="315">
        <f t="shared" si="100"/>
        <v>0</v>
      </c>
      <c r="BO543" s="315">
        <f t="shared" si="100"/>
        <v>-677966</v>
      </c>
      <c r="BP543" s="315">
        <f t="shared" si="100"/>
        <v>0</v>
      </c>
      <c r="BQ543" s="315">
        <f t="shared" si="100"/>
        <v>0</v>
      </c>
      <c r="BR543" s="315">
        <f t="shared" si="98"/>
        <v>0</v>
      </c>
      <c r="BS543" s="315">
        <f t="shared" si="96"/>
        <v>0</v>
      </c>
      <c r="BT543" s="315">
        <f t="shared" si="96"/>
        <v>-312126</v>
      </c>
      <c r="BU543" s="315">
        <f t="shared" si="96"/>
        <v>0</v>
      </c>
      <c r="BV543" s="315">
        <f t="shared" si="96"/>
        <v>0</v>
      </c>
      <c r="BW543" s="315">
        <f t="shared" si="96"/>
        <v>0</v>
      </c>
      <c r="BX543" s="315">
        <f t="shared" si="96"/>
        <v>0</v>
      </c>
      <c r="BZ543" s="315">
        <f t="shared" si="97"/>
        <v>0</v>
      </c>
      <c r="CA543" s="315">
        <f t="shared" si="97"/>
        <v>0</v>
      </c>
    </row>
    <row r="544" spans="7:79" hidden="1" x14ac:dyDescent="0.2">
      <c r="G544" s="315">
        <f t="shared" si="101"/>
        <v>0</v>
      </c>
      <c r="H544" s="315">
        <f t="shared" si="101"/>
        <v>0</v>
      </c>
      <c r="I544" s="315">
        <f t="shared" si="101"/>
        <v>0</v>
      </c>
      <c r="J544" s="315">
        <f t="shared" si="100"/>
        <v>0</v>
      </c>
      <c r="K544" s="315">
        <f t="shared" si="100"/>
        <v>0</v>
      </c>
      <c r="L544" s="315">
        <f t="shared" si="100"/>
        <v>0</v>
      </c>
      <c r="M544" s="315">
        <f t="shared" si="100"/>
        <v>0</v>
      </c>
      <c r="N544" s="315">
        <f t="shared" si="100"/>
        <v>0</v>
      </c>
      <c r="O544" s="315">
        <f t="shared" si="100"/>
        <v>0</v>
      </c>
      <c r="P544" s="315">
        <f t="shared" si="100"/>
        <v>0</v>
      </c>
      <c r="Q544" s="315">
        <f t="shared" si="100"/>
        <v>0</v>
      </c>
      <c r="R544" s="315">
        <f t="shared" si="100"/>
        <v>0</v>
      </c>
      <c r="S544" s="315">
        <f t="shared" si="100"/>
        <v>0</v>
      </c>
      <c r="T544" s="315">
        <f t="shared" si="100"/>
        <v>0</v>
      </c>
      <c r="U544" s="315">
        <f t="shared" si="100"/>
        <v>0</v>
      </c>
      <c r="V544" s="315">
        <f t="shared" si="100"/>
        <v>0</v>
      </c>
      <c r="W544" s="315">
        <f t="shared" si="100"/>
        <v>0</v>
      </c>
      <c r="X544" s="315">
        <f t="shared" si="100"/>
        <v>0</v>
      </c>
      <c r="Y544" s="315">
        <f t="shared" si="100"/>
        <v>0</v>
      </c>
      <c r="Z544" s="315">
        <f t="shared" si="100"/>
        <v>0</v>
      </c>
      <c r="AA544" s="315">
        <f t="shared" si="100"/>
        <v>0</v>
      </c>
      <c r="AB544" s="315">
        <f t="shared" si="100"/>
        <v>0</v>
      </c>
      <c r="AC544" s="315">
        <f t="shared" si="100"/>
        <v>0</v>
      </c>
      <c r="AD544" s="315">
        <f t="shared" si="100"/>
        <v>0</v>
      </c>
      <c r="AE544" s="315">
        <f t="shared" si="100"/>
        <v>0</v>
      </c>
      <c r="AF544" s="315">
        <f t="shared" si="100"/>
        <v>0</v>
      </c>
      <c r="AG544" s="315">
        <f t="shared" si="100"/>
        <v>0</v>
      </c>
      <c r="AH544" s="315">
        <f t="shared" si="100"/>
        <v>0</v>
      </c>
      <c r="AI544" s="315">
        <f t="shared" si="100"/>
        <v>0</v>
      </c>
      <c r="AJ544" s="315">
        <f t="shared" si="100"/>
        <v>0</v>
      </c>
      <c r="AK544" s="315">
        <f t="shared" si="100"/>
        <v>0</v>
      </c>
      <c r="AL544" s="315">
        <f t="shared" si="100"/>
        <v>0</v>
      </c>
      <c r="AM544" s="315">
        <f t="shared" si="100"/>
        <v>0</v>
      </c>
      <c r="AN544" s="315">
        <f t="shared" si="100"/>
        <v>0</v>
      </c>
      <c r="AO544" s="315">
        <f t="shared" si="100"/>
        <v>0</v>
      </c>
      <c r="AP544" s="315">
        <f t="shared" si="100"/>
        <v>0</v>
      </c>
      <c r="AQ544" s="315">
        <f t="shared" si="100"/>
        <v>0</v>
      </c>
      <c r="AR544" s="315">
        <f t="shared" si="100"/>
        <v>0</v>
      </c>
      <c r="AS544" s="315">
        <f t="shared" si="100"/>
        <v>0</v>
      </c>
      <c r="AT544" s="315">
        <f t="shared" si="100"/>
        <v>0</v>
      </c>
      <c r="AU544" s="315">
        <f t="shared" si="100"/>
        <v>0</v>
      </c>
      <c r="AV544" s="315">
        <f t="shared" si="100"/>
        <v>0</v>
      </c>
      <c r="AW544" s="315">
        <f t="shared" si="100"/>
        <v>0</v>
      </c>
      <c r="AX544" s="315">
        <f t="shared" si="100"/>
        <v>0</v>
      </c>
      <c r="AY544" s="315">
        <f t="shared" si="100"/>
        <v>0</v>
      </c>
      <c r="AZ544" s="315">
        <f t="shared" si="100"/>
        <v>0</v>
      </c>
      <c r="BA544" s="315">
        <f t="shared" si="100"/>
        <v>0</v>
      </c>
      <c r="BB544" s="315">
        <f t="shared" si="100"/>
        <v>0</v>
      </c>
      <c r="BC544" s="315">
        <f t="shared" si="100"/>
        <v>0</v>
      </c>
      <c r="BD544" s="315">
        <f t="shared" si="100"/>
        <v>0</v>
      </c>
      <c r="BE544" s="315">
        <f t="shared" si="100"/>
        <v>0</v>
      </c>
      <c r="BF544" s="315">
        <f t="shared" si="100"/>
        <v>0</v>
      </c>
      <c r="BG544" s="315">
        <f t="shared" si="100"/>
        <v>0</v>
      </c>
      <c r="BH544" s="315">
        <f t="shared" si="100"/>
        <v>0</v>
      </c>
      <c r="BI544" s="315">
        <f t="shared" si="100"/>
        <v>0</v>
      </c>
      <c r="BJ544" s="315">
        <f t="shared" si="100"/>
        <v>0</v>
      </c>
      <c r="BK544" s="315">
        <f t="shared" si="100"/>
        <v>0</v>
      </c>
      <c r="BL544" s="315">
        <f t="shared" si="100"/>
        <v>0</v>
      </c>
      <c r="BM544" s="315">
        <f t="shared" si="100"/>
        <v>0</v>
      </c>
      <c r="BN544" s="315">
        <f t="shared" si="100"/>
        <v>0</v>
      </c>
      <c r="BO544" s="315">
        <f t="shared" si="100"/>
        <v>0</v>
      </c>
      <c r="BP544" s="315">
        <f t="shared" si="100"/>
        <v>0</v>
      </c>
      <c r="BQ544" s="315">
        <f t="shared" si="100"/>
        <v>0</v>
      </c>
      <c r="BR544" s="315">
        <f t="shared" si="98"/>
        <v>0</v>
      </c>
      <c r="BS544" s="315">
        <f t="shared" si="96"/>
        <v>0</v>
      </c>
      <c r="BT544" s="315">
        <f t="shared" si="96"/>
        <v>0</v>
      </c>
      <c r="BU544" s="315">
        <f t="shared" si="96"/>
        <v>0</v>
      </c>
      <c r="BV544" s="315">
        <f t="shared" si="96"/>
        <v>0</v>
      </c>
      <c r="BW544" s="315">
        <f t="shared" si="96"/>
        <v>0</v>
      </c>
      <c r="BX544" s="315">
        <f t="shared" si="96"/>
        <v>0</v>
      </c>
      <c r="BZ544" s="315">
        <f t="shared" si="97"/>
        <v>0</v>
      </c>
      <c r="CA544" s="315">
        <f t="shared" si="97"/>
        <v>0</v>
      </c>
    </row>
    <row r="545" spans="7:79" hidden="1" x14ac:dyDescent="0.2">
      <c r="G545" s="315">
        <f t="shared" si="101"/>
        <v>0</v>
      </c>
      <c r="H545" s="315">
        <f t="shared" si="101"/>
        <v>0</v>
      </c>
      <c r="I545" s="315">
        <f t="shared" si="101"/>
        <v>0</v>
      </c>
      <c r="J545" s="315">
        <f t="shared" si="100"/>
        <v>0</v>
      </c>
      <c r="K545" s="315">
        <f t="shared" si="100"/>
        <v>0</v>
      </c>
      <c r="L545" s="315">
        <f t="shared" si="100"/>
        <v>0</v>
      </c>
      <c r="M545" s="315">
        <f t="shared" si="100"/>
        <v>0</v>
      </c>
      <c r="N545" s="315">
        <f t="shared" si="100"/>
        <v>0</v>
      </c>
      <c r="O545" s="315">
        <f t="shared" si="100"/>
        <v>0</v>
      </c>
      <c r="P545" s="315">
        <f t="shared" si="100"/>
        <v>0</v>
      </c>
      <c r="Q545" s="315">
        <f t="shared" si="100"/>
        <v>0</v>
      </c>
      <c r="R545" s="315">
        <f t="shared" si="100"/>
        <v>0</v>
      </c>
      <c r="S545" s="315">
        <f t="shared" si="100"/>
        <v>0</v>
      </c>
      <c r="T545" s="315">
        <f t="shared" si="100"/>
        <v>0</v>
      </c>
      <c r="U545" s="315">
        <f t="shared" si="100"/>
        <v>0</v>
      </c>
      <c r="V545" s="315">
        <f t="shared" si="100"/>
        <v>0</v>
      </c>
      <c r="W545" s="315">
        <f t="shared" si="100"/>
        <v>0</v>
      </c>
      <c r="X545" s="315">
        <f t="shared" si="100"/>
        <v>0</v>
      </c>
      <c r="Y545" s="315">
        <f t="shared" si="100"/>
        <v>0</v>
      </c>
      <c r="Z545" s="315">
        <f t="shared" si="100"/>
        <v>0</v>
      </c>
      <c r="AA545" s="315">
        <f t="shared" si="100"/>
        <v>0</v>
      </c>
      <c r="AB545" s="315">
        <f t="shared" si="100"/>
        <v>0</v>
      </c>
      <c r="AC545" s="315">
        <f t="shared" si="100"/>
        <v>0</v>
      </c>
      <c r="AD545" s="315">
        <f t="shared" si="100"/>
        <v>0</v>
      </c>
      <c r="AE545" s="315">
        <f t="shared" si="100"/>
        <v>0</v>
      </c>
      <c r="AF545" s="315">
        <f t="shared" si="100"/>
        <v>0</v>
      </c>
      <c r="AG545" s="315">
        <f t="shared" si="100"/>
        <v>0</v>
      </c>
      <c r="AH545" s="315">
        <f t="shared" si="100"/>
        <v>0</v>
      </c>
      <c r="AI545" s="315">
        <f t="shared" si="100"/>
        <v>0</v>
      </c>
      <c r="AJ545" s="315">
        <f t="shared" si="100"/>
        <v>0</v>
      </c>
      <c r="AK545" s="315">
        <f t="shared" si="100"/>
        <v>0</v>
      </c>
      <c r="AL545" s="315">
        <f t="shared" si="100"/>
        <v>0</v>
      </c>
      <c r="AM545" s="315">
        <f t="shared" si="100"/>
        <v>0</v>
      </c>
      <c r="AN545" s="315">
        <f t="shared" si="100"/>
        <v>0</v>
      </c>
      <c r="AO545" s="315">
        <f t="shared" si="100"/>
        <v>0</v>
      </c>
      <c r="AP545" s="315">
        <f t="shared" si="100"/>
        <v>0</v>
      </c>
      <c r="AQ545" s="315">
        <f t="shared" si="100"/>
        <v>0</v>
      </c>
      <c r="AR545" s="315">
        <f t="shared" si="100"/>
        <v>0</v>
      </c>
      <c r="AS545" s="315">
        <f t="shared" si="100"/>
        <v>0</v>
      </c>
      <c r="AT545" s="315">
        <f t="shared" si="100"/>
        <v>0</v>
      </c>
      <c r="AU545" s="315">
        <f t="shared" si="100"/>
        <v>0</v>
      </c>
      <c r="AV545" s="315">
        <f t="shared" si="100"/>
        <v>0</v>
      </c>
      <c r="AW545" s="315">
        <f t="shared" si="100"/>
        <v>0</v>
      </c>
      <c r="AX545" s="315">
        <f t="shared" si="100"/>
        <v>0</v>
      </c>
      <c r="AY545" s="315">
        <f t="shared" si="100"/>
        <v>0</v>
      </c>
      <c r="AZ545" s="315">
        <f t="shared" si="100"/>
        <v>0</v>
      </c>
      <c r="BA545" s="315">
        <f t="shared" si="100"/>
        <v>0</v>
      </c>
      <c r="BB545" s="315">
        <f t="shared" si="100"/>
        <v>0</v>
      </c>
      <c r="BC545" s="315">
        <f t="shared" si="100"/>
        <v>0</v>
      </c>
      <c r="BD545" s="315">
        <f t="shared" si="100"/>
        <v>0</v>
      </c>
      <c r="BE545" s="315">
        <f t="shared" si="100"/>
        <v>0</v>
      </c>
      <c r="BF545" s="315">
        <f t="shared" si="100"/>
        <v>0</v>
      </c>
      <c r="BG545" s="315">
        <f t="shared" si="100"/>
        <v>0</v>
      </c>
      <c r="BH545" s="315">
        <f t="shared" si="100"/>
        <v>0</v>
      </c>
      <c r="BI545" s="315">
        <f t="shared" si="100"/>
        <v>0</v>
      </c>
      <c r="BJ545" s="315">
        <f t="shared" si="100"/>
        <v>0</v>
      </c>
      <c r="BK545" s="315">
        <f t="shared" si="100"/>
        <v>0</v>
      </c>
      <c r="BL545" s="315">
        <f t="shared" si="100"/>
        <v>0</v>
      </c>
      <c r="BM545" s="315">
        <f t="shared" si="100"/>
        <v>0</v>
      </c>
      <c r="BN545" s="315">
        <f t="shared" si="100"/>
        <v>0</v>
      </c>
      <c r="BO545" s="315">
        <f t="shared" si="100"/>
        <v>0</v>
      </c>
      <c r="BP545" s="315">
        <f t="shared" si="100"/>
        <v>0</v>
      </c>
      <c r="BQ545" s="315">
        <f t="shared" si="100"/>
        <v>0</v>
      </c>
      <c r="BR545" s="315">
        <f t="shared" si="98"/>
        <v>0</v>
      </c>
      <c r="BS545" s="315">
        <f t="shared" si="96"/>
        <v>0</v>
      </c>
      <c r="BT545" s="315">
        <f t="shared" si="96"/>
        <v>0</v>
      </c>
      <c r="BU545" s="315">
        <f t="shared" si="96"/>
        <v>0</v>
      </c>
      <c r="BV545" s="315">
        <f t="shared" si="96"/>
        <v>0</v>
      </c>
      <c r="BW545" s="315">
        <f t="shared" si="96"/>
        <v>0</v>
      </c>
      <c r="BX545" s="315">
        <f t="shared" si="96"/>
        <v>0</v>
      </c>
      <c r="BZ545" s="315">
        <f t="shared" si="97"/>
        <v>0</v>
      </c>
      <c r="CA545" s="315">
        <f t="shared" si="97"/>
        <v>0</v>
      </c>
    </row>
    <row r="546" spans="7:79" hidden="1" x14ac:dyDescent="0.2">
      <c r="G546" s="315">
        <f t="shared" si="101"/>
        <v>-30467573</v>
      </c>
      <c r="H546" s="315">
        <f t="shared" si="101"/>
        <v>0</v>
      </c>
      <c r="I546" s="315">
        <f t="shared" si="101"/>
        <v>0</v>
      </c>
      <c r="J546" s="315">
        <f t="shared" si="100"/>
        <v>0</v>
      </c>
      <c r="K546" s="315">
        <f t="shared" si="100"/>
        <v>0</v>
      </c>
      <c r="L546" s="315">
        <f t="shared" si="100"/>
        <v>-246276</v>
      </c>
      <c r="M546" s="315">
        <f t="shared" si="100"/>
        <v>0</v>
      </c>
      <c r="N546" s="315">
        <f t="shared" si="100"/>
        <v>0</v>
      </c>
      <c r="O546" s="315">
        <f t="shared" si="100"/>
        <v>0</v>
      </c>
      <c r="P546" s="315">
        <f t="shared" si="100"/>
        <v>0</v>
      </c>
      <c r="Q546" s="315">
        <f t="shared" si="100"/>
        <v>712691</v>
      </c>
      <c r="R546" s="315">
        <f t="shared" si="100"/>
        <v>0</v>
      </c>
      <c r="S546" s="315">
        <f t="shared" si="100"/>
        <v>0</v>
      </c>
      <c r="T546" s="315">
        <f t="shared" si="100"/>
        <v>0</v>
      </c>
      <c r="U546" s="315">
        <f t="shared" si="100"/>
        <v>0</v>
      </c>
      <c r="V546" s="315">
        <f t="shared" si="100"/>
        <v>1493000</v>
      </c>
      <c r="W546" s="315">
        <f t="shared" si="100"/>
        <v>0</v>
      </c>
      <c r="X546" s="315">
        <f t="shared" si="100"/>
        <v>0</v>
      </c>
      <c r="Y546" s="315">
        <f t="shared" ref="Y546:BQ551" si="102">Y144-CQ144</f>
        <v>0</v>
      </c>
      <c r="Z546" s="315">
        <f t="shared" si="102"/>
        <v>0</v>
      </c>
      <c r="AA546" s="315">
        <f t="shared" si="102"/>
        <v>1300000</v>
      </c>
      <c r="AB546" s="315">
        <f t="shared" si="102"/>
        <v>0</v>
      </c>
      <c r="AC546" s="315">
        <f t="shared" si="102"/>
        <v>0</v>
      </c>
      <c r="AD546" s="315">
        <f t="shared" si="102"/>
        <v>0</v>
      </c>
      <c r="AE546" s="315">
        <f t="shared" si="102"/>
        <v>0</v>
      </c>
      <c r="AF546" s="315">
        <f t="shared" si="102"/>
        <v>0</v>
      </c>
      <c r="AG546" s="315">
        <f t="shared" si="102"/>
        <v>0</v>
      </c>
      <c r="AH546" s="315">
        <f t="shared" si="102"/>
        <v>0</v>
      </c>
      <c r="AI546" s="315">
        <f t="shared" si="102"/>
        <v>0</v>
      </c>
      <c r="AJ546" s="315">
        <f t="shared" si="102"/>
        <v>0</v>
      </c>
      <c r="AK546" s="315">
        <f t="shared" si="102"/>
        <v>0</v>
      </c>
      <c r="AL546" s="315">
        <f t="shared" si="102"/>
        <v>0</v>
      </c>
      <c r="AM546" s="315">
        <f t="shared" si="102"/>
        <v>0</v>
      </c>
      <c r="AN546" s="315">
        <f t="shared" si="102"/>
        <v>0</v>
      </c>
      <c r="AO546" s="315">
        <f t="shared" si="102"/>
        <v>0</v>
      </c>
      <c r="AP546" s="315">
        <f t="shared" si="102"/>
        <v>-6845000</v>
      </c>
      <c r="AQ546" s="315">
        <f t="shared" si="102"/>
        <v>0</v>
      </c>
      <c r="AR546" s="315">
        <f t="shared" si="102"/>
        <v>0</v>
      </c>
      <c r="AS546" s="315">
        <f t="shared" si="102"/>
        <v>0</v>
      </c>
      <c r="AT546" s="315">
        <f t="shared" si="102"/>
        <v>0</v>
      </c>
      <c r="AU546" s="315">
        <f t="shared" si="102"/>
        <v>-1555000</v>
      </c>
      <c r="AV546" s="315">
        <f t="shared" si="102"/>
        <v>0</v>
      </c>
      <c r="AW546" s="315">
        <f t="shared" si="102"/>
        <v>0</v>
      </c>
      <c r="AX546" s="315">
        <f t="shared" si="102"/>
        <v>0</v>
      </c>
      <c r="AY546" s="315">
        <f t="shared" si="102"/>
        <v>0</v>
      </c>
      <c r="AZ546" s="315">
        <f t="shared" si="102"/>
        <v>-3894000</v>
      </c>
      <c r="BA546" s="315">
        <f t="shared" si="102"/>
        <v>0</v>
      </c>
      <c r="BB546" s="315">
        <f t="shared" si="102"/>
        <v>0</v>
      </c>
      <c r="BC546" s="315">
        <f t="shared" si="102"/>
        <v>0</v>
      </c>
      <c r="BD546" s="315">
        <f t="shared" si="102"/>
        <v>0</v>
      </c>
      <c r="BE546" s="315">
        <f t="shared" si="102"/>
        <v>-3264</v>
      </c>
      <c r="BF546" s="315">
        <f t="shared" si="102"/>
        <v>0</v>
      </c>
      <c r="BG546" s="315">
        <f t="shared" si="102"/>
        <v>0</v>
      </c>
      <c r="BH546" s="315">
        <f t="shared" si="102"/>
        <v>0</v>
      </c>
      <c r="BI546" s="315">
        <f t="shared" si="102"/>
        <v>0</v>
      </c>
      <c r="BJ546" s="315">
        <f t="shared" si="102"/>
        <v>-1947000</v>
      </c>
      <c r="BK546" s="315">
        <f t="shared" si="102"/>
        <v>0</v>
      </c>
      <c r="BL546" s="315">
        <f t="shared" si="102"/>
        <v>0</v>
      </c>
      <c r="BM546" s="315">
        <f t="shared" si="102"/>
        <v>0</v>
      </c>
      <c r="BN546" s="315">
        <f t="shared" si="102"/>
        <v>0</v>
      </c>
      <c r="BO546" s="315">
        <f t="shared" si="102"/>
        <v>-1946000</v>
      </c>
      <c r="BP546" s="315">
        <f t="shared" si="102"/>
        <v>0</v>
      </c>
      <c r="BQ546" s="315">
        <f t="shared" si="102"/>
        <v>0</v>
      </c>
      <c r="BR546" s="315">
        <f t="shared" si="98"/>
        <v>0</v>
      </c>
      <c r="BS546" s="315">
        <f t="shared" si="96"/>
        <v>0</v>
      </c>
      <c r="BT546" s="315">
        <f t="shared" si="96"/>
        <v>-3585585</v>
      </c>
      <c r="BU546" s="315">
        <f t="shared" si="96"/>
        <v>0</v>
      </c>
      <c r="BV546" s="315">
        <f t="shared" si="96"/>
        <v>0</v>
      </c>
      <c r="BW546" s="315">
        <f t="shared" si="96"/>
        <v>0</v>
      </c>
      <c r="BX546" s="315">
        <f t="shared" si="96"/>
        <v>0</v>
      </c>
      <c r="BZ546" s="315">
        <f t="shared" si="97"/>
        <v>0</v>
      </c>
      <c r="CA546" s="315">
        <f t="shared" si="97"/>
        <v>0</v>
      </c>
    </row>
    <row r="547" spans="7:79" hidden="1" x14ac:dyDescent="0.2">
      <c r="G547" s="315">
        <f t="shared" si="101"/>
        <v>-25090426</v>
      </c>
      <c r="H547" s="315">
        <f t="shared" si="101"/>
        <v>0</v>
      </c>
      <c r="I547" s="315">
        <f t="shared" si="101"/>
        <v>0</v>
      </c>
      <c r="J547" s="315">
        <f t="shared" si="101"/>
        <v>0</v>
      </c>
      <c r="K547" s="315">
        <f t="shared" si="101"/>
        <v>0</v>
      </c>
      <c r="L547" s="315">
        <f t="shared" si="101"/>
        <v>-20508</v>
      </c>
      <c r="M547" s="315">
        <f t="shared" si="101"/>
        <v>0</v>
      </c>
      <c r="N547" s="315">
        <f t="shared" si="101"/>
        <v>0</v>
      </c>
      <c r="O547" s="315">
        <f t="shared" si="101"/>
        <v>0</v>
      </c>
      <c r="P547" s="315">
        <f t="shared" si="101"/>
        <v>0</v>
      </c>
      <c r="Q547" s="315">
        <f t="shared" si="101"/>
        <v>516583</v>
      </c>
      <c r="R547" s="315">
        <f t="shared" si="101"/>
        <v>0</v>
      </c>
      <c r="S547" s="315">
        <f t="shared" si="101"/>
        <v>0</v>
      </c>
      <c r="T547" s="315">
        <f t="shared" si="101"/>
        <v>0</v>
      </c>
      <c r="U547" s="315">
        <f t="shared" si="101"/>
        <v>0</v>
      </c>
      <c r="V547" s="315">
        <f t="shared" si="101"/>
        <v>1082132</v>
      </c>
      <c r="W547" s="315">
        <f t="shared" ref="W547:AL559" si="103">W145-CO145</f>
        <v>0</v>
      </c>
      <c r="X547" s="315">
        <f t="shared" si="103"/>
        <v>0</v>
      </c>
      <c r="Y547" s="315">
        <f t="shared" si="102"/>
        <v>0</v>
      </c>
      <c r="Z547" s="315">
        <f t="shared" si="102"/>
        <v>0</v>
      </c>
      <c r="AA547" s="315">
        <f t="shared" si="102"/>
        <v>857362</v>
      </c>
      <c r="AB547" s="315">
        <f t="shared" si="102"/>
        <v>0</v>
      </c>
      <c r="AC547" s="315">
        <f t="shared" si="102"/>
        <v>0</v>
      </c>
      <c r="AD547" s="315">
        <f t="shared" si="102"/>
        <v>0</v>
      </c>
      <c r="AE547" s="315">
        <f t="shared" si="102"/>
        <v>0</v>
      </c>
      <c r="AF547" s="315">
        <f t="shared" si="102"/>
        <v>-53343</v>
      </c>
      <c r="AG547" s="315">
        <f t="shared" si="102"/>
        <v>0</v>
      </c>
      <c r="AH547" s="315">
        <f t="shared" si="102"/>
        <v>0</v>
      </c>
      <c r="AI547" s="315">
        <f t="shared" si="102"/>
        <v>0</v>
      </c>
      <c r="AJ547" s="315">
        <f t="shared" si="102"/>
        <v>0</v>
      </c>
      <c r="AK547" s="315">
        <f t="shared" si="102"/>
        <v>-61940</v>
      </c>
      <c r="AL547" s="315">
        <f t="shared" si="102"/>
        <v>0</v>
      </c>
      <c r="AM547" s="315">
        <f t="shared" si="102"/>
        <v>0</v>
      </c>
      <c r="AN547" s="315">
        <f t="shared" si="102"/>
        <v>0</v>
      </c>
      <c r="AO547" s="315">
        <f t="shared" si="102"/>
        <v>0</v>
      </c>
      <c r="AP547" s="315">
        <f t="shared" si="102"/>
        <v>-5616448</v>
      </c>
      <c r="AQ547" s="315">
        <f t="shared" si="102"/>
        <v>0</v>
      </c>
      <c r="AR547" s="315">
        <f t="shared" si="102"/>
        <v>0</v>
      </c>
      <c r="AS547" s="315">
        <f t="shared" si="102"/>
        <v>0</v>
      </c>
      <c r="AT547" s="315">
        <f t="shared" si="102"/>
        <v>0</v>
      </c>
      <c r="AU547" s="315">
        <f t="shared" si="102"/>
        <v>-1315028</v>
      </c>
      <c r="AV547" s="315">
        <f t="shared" si="102"/>
        <v>0</v>
      </c>
      <c r="AW547" s="315">
        <f t="shared" si="102"/>
        <v>0</v>
      </c>
      <c r="AX547" s="315">
        <f t="shared" si="102"/>
        <v>0</v>
      </c>
      <c r="AY547" s="315">
        <f t="shared" si="102"/>
        <v>0</v>
      </c>
      <c r="AZ547" s="315">
        <f t="shared" si="102"/>
        <v>-3220228</v>
      </c>
      <c r="BA547" s="315">
        <f t="shared" si="102"/>
        <v>0</v>
      </c>
      <c r="BB547" s="315">
        <f t="shared" si="102"/>
        <v>0</v>
      </c>
      <c r="BC547" s="315">
        <f t="shared" si="102"/>
        <v>0</v>
      </c>
      <c r="BD547" s="315">
        <f t="shared" si="102"/>
        <v>0</v>
      </c>
      <c r="BE547" s="315">
        <f t="shared" si="102"/>
        <v>-2699</v>
      </c>
      <c r="BF547" s="315">
        <f t="shared" si="102"/>
        <v>0</v>
      </c>
      <c r="BG547" s="315">
        <f t="shared" si="102"/>
        <v>0</v>
      </c>
      <c r="BH547" s="315">
        <f t="shared" si="102"/>
        <v>0</v>
      </c>
      <c r="BI547" s="315">
        <f t="shared" si="102"/>
        <v>0</v>
      </c>
      <c r="BJ547" s="315">
        <f t="shared" si="102"/>
        <v>-1654415</v>
      </c>
      <c r="BK547" s="315">
        <f t="shared" si="102"/>
        <v>0</v>
      </c>
      <c r="BL547" s="315">
        <f t="shared" si="102"/>
        <v>0</v>
      </c>
      <c r="BM547" s="315">
        <f t="shared" si="102"/>
        <v>0</v>
      </c>
      <c r="BN547" s="315">
        <f t="shared" si="102"/>
        <v>0</v>
      </c>
      <c r="BO547" s="315">
        <f t="shared" si="102"/>
        <v>-1542576</v>
      </c>
      <c r="BP547" s="315">
        <f t="shared" si="102"/>
        <v>0</v>
      </c>
      <c r="BQ547" s="315">
        <f t="shared" si="102"/>
        <v>0</v>
      </c>
      <c r="BR547" s="315">
        <f t="shared" si="98"/>
        <v>0</v>
      </c>
      <c r="BS547" s="315">
        <f t="shared" si="96"/>
        <v>0</v>
      </c>
      <c r="BT547" s="315">
        <f t="shared" si="96"/>
        <v>-3296162</v>
      </c>
      <c r="BU547" s="315">
        <f t="shared" si="96"/>
        <v>0</v>
      </c>
      <c r="BV547" s="315">
        <f t="shared" si="96"/>
        <v>0</v>
      </c>
      <c r="BW547" s="315">
        <f t="shared" si="96"/>
        <v>0</v>
      </c>
      <c r="BX547" s="315">
        <f t="shared" si="96"/>
        <v>0</v>
      </c>
      <c r="BZ547" s="315">
        <f t="shared" si="97"/>
        <v>0</v>
      </c>
      <c r="CA547" s="315">
        <f t="shared" si="97"/>
        <v>0</v>
      </c>
    </row>
    <row r="548" spans="7:79" hidden="1" x14ac:dyDescent="0.2">
      <c r="G548" s="315">
        <f t="shared" si="101"/>
        <v>-5377147</v>
      </c>
      <c r="H548" s="315">
        <f t="shared" si="101"/>
        <v>0</v>
      </c>
      <c r="I548" s="315">
        <f t="shared" si="101"/>
        <v>0</v>
      </c>
      <c r="J548" s="315">
        <f t="shared" si="101"/>
        <v>0</v>
      </c>
      <c r="K548" s="315">
        <f t="shared" si="101"/>
        <v>0</v>
      </c>
      <c r="L548" s="315">
        <f t="shared" si="101"/>
        <v>-225768</v>
      </c>
      <c r="M548" s="315">
        <f t="shared" si="101"/>
        <v>0</v>
      </c>
      <c r="N548" s="315">
        <f t="shared" si="101"/>
        <v>0</v>
      </c>
      <c r="O548" s="315">
        <f t="shared" si="101"/>
        <v>0</v>
      </c>
      <c r="P548" s="315">
        <f t="shared" si="101"/>
        <v>0</v>
      </c>
      <c r="Q548" s="315">
        <f t="shared" si="101"/>
        <v>196108</v>
      </c>
      <c r="R548" s="315">
        <f t="shared" si="101"/>
        <v>0</v>
      </c>
      <c r="S548" s="315">
        <f t="shared" si="101"/>
        <v>0</v>
      </c>
      <c r="T548" s="315">
        <f t="shared" si="101"/>
        <v>0</v>
      </c>
      <c r="U548" s="315">
        <f t="shared" si="101"/>
        <v>0</v>
      </c>
      <c r="V548" s="315">
        <f t="shared" si="101"/>
        <v>410868</v>
      </c>
      <c r="W548" s="315">
        <f t="shared" si="103"/>
        <v>0</v>
      </c>
      <c r="X548" s="315">
        <f t="shared" si="103"/>
        <v>0</v>
      </c>
      <c r="Y548" s="315">
        <f t="shared" si="102"/>
        <v>0</v>
      </c>
      <c r="Z548" s="315">
        <f t="shared" si="102"/>
        <v>0</v>
      </c>
      <c r="AA548" s="315">
        <f t="shared" si="102"/>
        <v>442638</v>
      </c>
      <c r="AB548" s="315">
        <f t="shared" si="102"/>
        <v>0</v>
      </c>
      <c r="AC548" s="315">
        <f t="shared" si="102"/>
        <v>0</v>
      </c>
      <c r="AD548" s="315">
        <f t="shared" si="102"/>
        <v>0</v>
      </c>
      <c r="AE548" s="315">
        <f t="shared" si="102"/>
        <v>0</v>
      </c>
      <c r="AF548" s="315">
        <f t="shared" si="102"/>
        <v>53343</v>
      </c>
      <c r="AG548" s="315">
        <f t="shared" si="102"/>
        <v>0</v>
      </c>
      <c r="AH548" s="315">
        <f t="shared" si="102"/>
        <v>0</v>
      </c>
      <c r="AI548" s="315">
        <f t="shared" si="102"/>
        <v>0</v>
      </c>
      <c r="AJ548" s="315">
        <f t="shared" si="102"/>
        <v>0</v>
      </c>
      <c r="AK548" s="315">
        <f t="shared" si="102"/>
        <v>61940</v>
      </c>
      <c r="AL548" s="315">
        <f t="shared" si="102"/>
        <v>0</v>
      </c>
      <c r="AM548" s="315">
        <f t="shared" si="102"/>
        <v>0</v>
      </c>
      <c r="AN548" s="315">
        <f t="shared" si="102"/>
        <v>0</v>
      </c>
      <c r="AO548" s="315">
        <f t="shared" si="102"/>
        <v>0</v>
      </c>
      <c r="AP548" s="315">
        <f t="shared" si="102"/>
        <v>-1228552</v>
      </c>
      <c r="AQ548" s="315">
        <f t="shared" si="102"/>
        <v>0</v>
      </c>
      <c r="AR548" s="315">
        <f t="shared" si="102"/>
        <v>0</v>
      </c>
      <c r="AS548" s="315">
        <f t="shared" si="102"/>
        <v>0</v>
      </c>
      <c r="AT548" s="315">
        <f t="shared" si="102"/>
        <v>0</v>
      </c>
      <c r="AU548" s="315">
        <f t="shared" si="102"/>
        <v>-239972</v>
      </c>
      <c r="AV548" s="315">
        <f t="shared" si="102"/>
        <v>0</v>
      </c>
      <c r="AW548" s="315">
        <f t="shared" si="102"/>
        <v>0</v>
      </c>
      <c r="AX548" s="315">
        <f t="shared" si="102"/>
        <v>0</v>
      </c>
      <c r="AY548" s="315">
        <f t="shared" si="102"/>
        <v>0</v>
      </c>
      <c r="AZ548" s="315">
        <f t="shared" si="102"/>
        <v>-673772</v>
      </c>
      <c r="BA548" s="315">
        <f t="shared" si="102"/>
        <v>0</v>
      </c>
      <c r="BB548" s="315">
        <f t="shared" si="102"/>
        <v>0</v>
      </c>
      <c r="BC548" s="315">
        <f t="shared" si="102"/>
        <v>0</v>
      </c>
      <c r="BD548" s="315">
        <f t="shared" si="102"/>
        <v>0</v>
      </c>
      <c r="BE548" s="315">
        <f t="shared" si="102"/>
        <v>-565</v>
      </c>
      <c r="BF548" s="315">
        <f t="shared" si="102"/>
        <v>0</v>
      </c>
      <c r="BG548" s="315">
        <f t="shared" si="102"/>
        <v>0</v>
      </c>
      <c r="BH548" s="315">
        <f t="shared" si="102"/>
        <v>0</v>
      </c>
      <c r="BI548" s="315">
        <f t="shared" si="102"/>
        <v>0</v>
      </c>
      <c r="BJ548" s="315">
        <f t="shared" si="102"/>
        <v>-292585</v>
      </c>
      <c r="BK548" s="315">
        <f t="shared" si="102"/>
        <v>0</v>
      </c>
      <c r="BL548" s="315">
        <f t="shared" si="102"/>
        <v>0</v>
      </c>
      <c r="BM548" s="315">
        <f t="shared" si="102"/>
        <v>0</v>
      </c>
      <c r="BN548" s="315">
        <f t="shared" si="102"/>
        <v>0</v>
      </c>
      <c r="BO548" s="315">
        <f t="shared" si="102"/>
        <v>-403424</v>
      </c>
      <c r="BP548" s="315">
        <f t="shared" si="102"/>
        <v>0</v>
      </c>
      <c r="BQ548" s="315">
        <f t="shared" si="102"/>
        <v>0</v>
      </c>
      <c r="BR548" s="315">
        <f t="shared" si="98"/>
        <v>0</v>
      </c>
      <c r="BS548" s="315">
        <f t="shared" si="96"/>
        <v>0</v>
      </c>
      <c r="BT548" s="315">
        <f t="shared" si="96"/>
        <v>-289423</v>
      </c>
      <c r="BU548" s="315">
        <f t="shared" si="96"/>
        <v>0</v>
      </c>
      <c r="BV548" s="315">
        <f t="shared" si="96"/>
        <v>0</v>
      </c>
      <c r="BW548" s="315">
        <f t="shared" si="96"/>
        <v>0</v>
      </c>
      <c r="BX548" s="315">
        <f t="shared" si="96"/>
        <v>0</v>
      </c>
      <c r="BZ548" s="315">
        <f t="shared" si="97"/>
        <v>0</v>
      </c>
      <c r="CA548" s="315">
        <f t="shared" si="97"/>
        <v>0</v>
      </c>
    </row>
    <row r="549" spans="7:79" hidden="1" x14ac:dyDescent="0.2">
      <c r="G549" s="315">
        <f t="shared" si="101"/>
        <v>0</v>
      </c>
      <c r="H549" s="315">
        <f t="shared" si="101"/>
        <v>0</v>
      </c>
      <c r="I549" s="315">
        <f t="shared" si="101"/>
        <v>0</v>
      </c>
      <c r="J549" s="315">
        <f t="shared" si="101"/>
        <v>0</v>
      </c>
      <c r="K549" s="315">
        <f t="shared" si="101"/>
        <v>0</v>
      </c>
      <c r="L549" s="315">
        <f t="shared" si="101"/>
        <v>0</v>
      </c>
      <c r="M549" s="315">
        <f t="shared" si="101"/>
        <v>0</v>
      </c>
      <c r="N549" s="315">
        <f t="shared" si="101"/>
        <v>0</v>
      </c>
      <c r="O549" s="315">
        <f t="shared" si="101"/>
        <v>0</v>
      </c>
      <c r="P549" s="315">
        <f t="shared" si="101"/>
        <v>0</v>
      </c>
      <c r="Q549" s="315">
        <f t="shared" si="101"/>
        <v>0</v>
      </c>
      <c r="R549" s="315">
        <f t="shared" si="101"/>
        <v>0</v>
      </c>
      <c r="S549" s="315">
        <f t="shared" si="101"/>
        <v>0</v>
      </c>
      <c r="T549" s="315">
        <f t="shared" si="101"/>
        <v>0</v>
      </c>
      <c r="U549" s="315">
        <f t="shared" si="101"/>
        <v>0</v>
      </c>
      <c r="V549" s="315">
        <f t="shared" si="101"/>
        <v>0</v>
      </c>
      <c r="W549" s="315">
        <f t="shared" si="103"/>
        <v>0</v>
      </c>
      <c r="X549" s="315">
        <f t="shared" si="103"/>
        <v>0</v>
      </c>
      <c r="Y549" s="315">
        <f t="shared" si="102"/>
        <v>0</v>
      </c>
      <c r="Z549" s="315">
        <f t="shared" si="102"/>
        <v>0</v>
      </c>
      <c r="AA549" s="315">
        <f t="shared" si="102"/>
        <v>0</v>
      </c>
      <c r="AB549" s="315">
        <f t="shared" si="102"/>
        <v>0</v>
      </c>
      <c r="AC549" s="315">
        <f t="shared" si="102"/>
        <v>0</v>
      </c>
      <c r="AD549" s="315">
        <f t="shared" si="102"/>
        <v>0</v>
      </c>
      <c r="AE549" s="315">
        <f t="shared" si="102"/>
        <v>0</v>
      </c>
      <c r="AF549" s="315">
        <f t="shared" si="102"/>
        <v>0</v>
      </c>
      <c r="AG549" s="315">
        <f t="shared" si="102"/>
        <v>0</v>
      </c>
      <c r="AH549" s="315">
        <f t="shared" si="102"/>
        <v>0</v>
      </c>
      <c r="AI549" s="315">
        <f t="shared" si="102"/>
        <v>0</v>
      </c>
      <c r="AJ549" s="315">
        <f t="shared" si="102"/>
        <v>0</v>
      </c>
      <c r="AK549" s="315">
        <f t="shared" si="102"/>
        <v>0</v>
      </c>
      <c r="AL549" s="315">
        <f t="shared" si="102"/>
        <v>0</v>
      </c>
      <c r="AM549" s="315">
        <f t="shared" si="102"/>
        <v>0</v>
      </c>
      <c r="AN549" s="315">
        <f t="shared" si="102"/>
        <v>0</v>
      </c>
      <c r="AO549" s="315">
        <f t="shared" si="102"/>
        <v>0</v>
      </c>
      <c r="AP549" s="315">
        <f t="shared" si="102"/>
        <v>0</v>
      </c>
      <c r="AQ549" s="315">
        <f t="shared" si="102"/>
        <v>0</v>
      </c>
      <c r="AR549" s="315">
        <f t="shared" si="102"/>
        <v>0</v>
      </c>
      <c r="AS549" s="315">
        <f t="shared" si="102"/>
        <v>0</v>
      </c>
      <c r="AT549" s="315">
        <f t="shared" si="102"/>
        <v>0</v>
      </c>
      <c r="AU549" s="315">
        <f t="shared" si="102"/>
        <v>0</v>
      </c>
      <c r="AV549" s="315">
        <f t="shared" si="102"/>
        <v>0</v>
      </c>
      <c r="AW549" s="315">
        <f t="shared" si="102"/>
        <v>0</v>
      </c>
      <c r="AX549" s="315">
        <f t="shared" si="102"/>
        <v>0</v>
      </c>
      <c r="AY549" s="315">
        <f t="shared" si="102"/>
        <v>0</v>
      </c>
      <c r="AZ549" s="315">
        <f t="shared" si="102"/>
        <v>0</v>
      </c>
      <c r="BA549" s="315">
        <f t="shared" si="102"/>
        <v>0</v>
      </c>
      <c r="BB549" s="315">
        <f t="shared" si="102"/>
        <v>0</v>
      </c>
      <c r="BC549" s="315">
        <f t="shared" si="102"/>
        <v>0</v>
      </c>
      <c r="BD549" s="315">
        <f t="shared" si="102"/>
        <v>0</v>
      </c>
      <c r="BE549" s="315">
        <f t="shared" si="102"/>
        <v>0</v>
      </c>
      <c r="BF549" s="315">
        <f t="shared" si="102"/>
        <v>0</v>
      </c>
      <c r="BG549" s="315">
        <f t="shared" si="102"/>
        <v>0</v>
      </c>
      <c r="BH549" s="315">
        <f t="shared" si="102"/>
        <v>0</v>
      </c>
      <c r="BI549" s="315">
        <f t="shared" si="102"/>
        <v>0</v>
      </c>
      <c r="BJ549" s="315">
        <f t="shared" si="102"/>
        <v>0</v>
      </c>
      <c r="BK549" s="315">
        <f t="shared" si="102"/>
        <v>0</v>
      </c>
      <c r="BL549" s="315">
        <f t="shared" si="102"/>
        <v>0</v>
      </c>
      <c r="BM549" s="315">
        <f t="shared" si="102"/>
        <v>0</v>
      </c>
      <c r="BN549" s="315">
        <f t="shared" si="102"/>
        <v>0</v>
      </c>
      <c r="BO549" s="315">
        <f t="shared" si="102"/>
        <v>0</v>
      </c>
      <c r="BP549" s="315">
        <f t="shared" si="102"/>
        <v>0</v>
      </c>
      <c r="BQ549" s="315">
        <f t="shared" si="102"/>
        <v>0</v>
      </c>
      <c r="BR549" s="315">
        <f t="shared" si="98"/>
        <v>0</v>
      </c>
      <c r="BS549" s="315">
        <f t="shared" si="96"/>
        <v>0</v>
      </c>
      <c r="BT549" s="315">
        <f t="shared" si="96"/>
        <v>0</v>
      </c>
      <c r="BU549" s="315">
        <f t="shared" si="96"/>
        <v>0</v>
      </c>
      <c r="BV549" s="315">
        <f t="shared" si="96"/>
        <v>0</v>
      </c>
      <c r="BW549" s="315">
        <f t="shared" si="96"/>
        <v>0</v>
      </c>
      <c r="BX549" s="315">
        <f t="shared" si="96"/>
        <v>0</v>
      </c>
      <c r="BZ549" s="315">
        <f t="shared" si="97"/>
        <v>0</v>
      </c>
      <c r="CA549" s="315">
        <f t="shared" si="97"/>
        <v>0</v>
      </c>
    </row>
    <row r="550" spans="7:79" hidden="1" x14ac:dyDescent="0.2">
      <c r="G550" s="315">
        <f t="shared" si="101"/>
        <v>0</v>
      </c>
      <c r="H550" s="315">
        <f t="shared" si="101"/>
        <v>0</v>
      </c>
      <c r="I550" s="315">
        <f t="shared" si="101"/>
        <v>0</v>
      </c>
      <c r="J550" s="315">
        <f t="shared" si="101"/>
        <v>0</v>
      </c>
      <c r="K550" s="315">
        <f t="shared" si="101"/>
        <v>0</v>
      </c>
      <c r="L550" s="315">
        <f t="shared" si="101"/>
        <v>0</v>
      </c>
      <c r="M550" s="315">
        <f t="shared" si="101"/>
        <v>0</v>
      </c>
      <c r="N550" s="315">
        <f t="shared" si="101"/>
        <v>0</v>
      </c>
      <c r="O550" s="315">
        <f t="shared" si="101"/>
        <v>0</v>
      </c>
      <c r="P550" s="315">
        <f t="shared" si="101"/>
        <v>0</v>
      </c>
      <c r="Q550" s="315">
        <f t="shared" si="101"/>
        <v>0</v>
      </c>
      <c r="R550" s="315">
        <f t="shared" si="101"/>
        <v>0</v>
      </c>
      <c r="S550" s="315">
        <f t="shared" si="101"/>
        <v>0</v>
      </c>
      <c r="T550" s="315">
        <f t="shared" si="101"/>
        <v>0</v>
      </c>
      <c r="U550" s="315">
        <f t="shared" si="101"/>
        <v>0</v>
      </c>
      <c r="V550" s="315">
        <f t="shared" si="101"/>
        <v>0</v>
      </c>
      <c r="W550" s="315">
        <f t="shared" si="103"/>
        <v>0</v>
      </c>
      <c r="X550" s="315">
        <f t="shared" si="103"/>
        <v>0</v>
      </c>
      <c r="Y550" s="315">
        <f t="shared" si="102"/>
        <v>0</v>
      </c>
      <c r="Z550" s="315">
        <f t="shared" si="102"/>
        <v>0</v>
      </c>
      <c r="AA550" s="315">
        <f t="shared" si="102"/>
        <v>0</v>
      </c>
      <c r="AB550" s="315">
        <f t="shared" si="102"/>
        <v>0</v>
      </c>
      <c r="AC550" s="315">
        <f t="shared" si="102"/>
        <v>0</v>
      </c>
      <c r="AD550" s="315">
        <f t="shared" si="102"/>
        <v>0</v>
      </c>
      <c r="AE550" s="315">
        <f t="shared" si="102"/>
        <v>0</v>
      </c>
      <c r="AF550" s="315">
        <f t="shared" si="102"/>
        <v>0</v>
      </c>
      <c r="AG550" s="315">
        <f t="shared" si="102"/>
        <v>0</v>
      </c>
      <c r="AH550" s="315">
        <f t="shared" si="102"/>
        <v>0</v>
      </c>
      <c r="AI550" s="315">
        <f t="shared" si="102"/>
        <v>0</v>
      </c>
      <c r="AJ550" s="315">
        <f t="shared" si="102"/>
        <v>0</v>
      </c>
      <c r="AK550" s="315">
        <f t="shared" si="102"/>
        <v>0</v>
      </c>
      <c r="AL550" s="315">
        <f t="shared" si="102"/>
        <v>0</v>
      </c>
      <c r="AM550" s="315">
        <f t="shared" si="102"/>
        <v>0</v>
      </c>
      <c r="AN550" s="315">
        <f t="shared" si="102"/>
        <v>0</v>
      </c>
      <c r="AO550" s="315">
        <f t="shared" si="102"/>
        <v>0</v>
      </c>
      <c r="AP550" s="315">
        <f t="shared" si="102"/>
        <v>0</v>
      </c>
      <c r="AQ550" s="315">
        <f t="shared" si="102"/>
        <v>0</v>
      </c>
      <c r="AR550" s="315">
        <f t="shared" si="102"/>
        <v>0</v>
      </c>
      <c r="AS550" s="315">
        <f t="shared" si="102"/>
        <v>0</v>
      </c>
      <c r="AT550" s="315">
        <f t="shared" si="102"/>
        <v>0</v>
      </c>
      <c r="AU550" s="315">
        <f t="shared" si="102"/>
        <v>0</v>
      </c>
      <c r="AV550" s="315">
        <f t="shared" si="102"/>
        <v>0</v>
      </c>
      <c r="AW550" s="315">
        <f t="shared" si="102"/>
        <v>0</v>
      </c>
      <c r="AX550" s="315">
        <f t="shared" si="102"/>
        <v>0</v>
      </c>
      <c r="AY550" s="315">
        <f t="shared" si="102"/>
        <v>0</v>
      </c>
      <c r="AZ550" s="315">
        <f t="shared" si="102"/>
        <v>0</v>
      </c>
      <c r="BA550" s="315">
        <f t="shared" si="102"/>
        <v>0</v>
      </c>
      <c r="BB550" s="315">
        <f t="shared" si="102"/>
        <v>0</v>
      </c>
      <c r="BC550" s="315">
        <f t="shared" si="102"/>
        <v>0</v>
      </c>
      <c r="BD550" s="315">
        <f t="shared" si="102"/>
        <v>0</v>
      </c>
      <c r="BE550" s="315">
        <f t="shared" si="102"/>
        <v>0</v>
      </c>
      <c r="BF550" s="315">
        <f t="shared" si="102"/>
        <v>0</v>
      </c>
      <c r="BG550" s="315">
        <f t="shared" si="102"/>
        <v>0</v>
      </c>
      <c r="BH550" s="315">
        <f t="shared" si="102"/>
        <v>0</v>
      </c>
      <c r="BI550" s="315">
        <f t="shared" si="102"/>
        <v>0</v>
      </c>
      <c r="BJ550" s="315">
        <f t="shared" si="102"/>
        <v>0</v>
      </c>
      <c r="BK550" s="315">
        <f t="shared" si="102"/>
        <v>0</v>
      </c>
      <c r="BL550" s="315">
        <f t="shared" si="102"/>
        <v>0</v>
      </c>
      <c r="BM550" s="315">
        <f t="shared" si="102"/>
        <v>0</v>
      </c>
      <c r="BN550" s="315">
        <f t="shared" si="102"/>
        <v>0</v>
      </c>
      <c r="BO550" s="315">
        <f t="shared" si="102"/>
        <v>0</v>
      </c>
      <c r="BP550" s="315">
        <f t="shared" si="102"/>
        <v>0</v>
      </c>
      <c r="BQ550" s="315">
        <f t="shared" si="102"/>
        <v>0</v>
      </c>
      <c r="BR550" s="315">
        <f t="shared" si="98"/>
        <v>0</v>
      </c>
      <c r="BS550" s="315">
        <f t="shared" si="98"/>
        <v>0</v>
      </c>
      <c r="BT550" s="315">
        <f t="shared" si="98"/>
        <v>0</v>
      </c>
      <c r="BU550" s="315">
        <f t="shared" si="98"/>
        <v>0</v>
      </c>
      <c r="BV550" s="315">
        <f t="shared" si="98"/>
        <v>0</v>
      </c>
      <c r="BW550" s="315">
        <f t="shared" si="98"/>
        <v>0</v>
      </c>
      <c r="BX550" s="315">
        <f t="shared" si="98"/>
        <v>0</v>
      </c>
      <c r="BZ550" s="315">
        <f t="shared" ref="BZ550:CA559" si="104">BZ148-ER148</f>
        <v>0</v>
      </c>
      <c r="CA550" s="315">
        <f t="shared" si="104"/>
        <v>0</v>
      </c>
    </row>
    <row r="551" spans="7:79" hidden="1" x14ac:dyDescent="0.2">
      <c r="G551" s="315">
        <f t="shared" si="101"/>
        <v>0</v>
      </c>
      <c r="H551" s="315">
        <f t="shared" si="101"/>
        <v>0</v>
      </c>
      <c r="I551" s="315">
        <f t="shared" si="101"/>
        <v>0</v>
      </c>
      <c r="J551" s="315">
        <f t="shared" si="101"/>
        <v>0</v>
      </c>
      <c r="K551" s="315">
        <f t="shared" si="101"/>
        <v>0</v>
      </c>
      <c r="L551" s="315">
        <f t="shared" si="101"/>
        <v>0</v>
      </c>
      <c r="M551" s="315">
        <f t="shared" si="101"/>
        <v>0</v>
      </c>
      <c r="N551" s="315">
        <f t="shared" si="101"/>
        <v>0</v>
      </c>
      <c r="O551" s="315">
        <f t="shared" si="101"/>
        <v>0</v>
      </c>
      <c r="P551" s="315">
        <f t="shared" si="101"/>
        <v>0</v>
      </c>
      <c r="Q551" s="315">
        <f t="shared" si="101"/>
        <v>0</v>
      </c>
      <c r="R551" s="315">
        <f t="shared" si="101"/>
        <v>0</v>
      </c>
      <c r="S551" s="315">
        <f t="shared" si="101"/>
        <v>0</v>
      </c>
      <c r="T551" s="315">
        <f t="shared" si="101"/>
        <v>0</v>
      </c>
      <c r="U551" s="315">
        <f t="shared" si="101"/>
        <v>0</v>
      </c>
      <c r="V551" s="315">
        <f t="shared" si="101"/>
        <v>0</v>
      </c>
      <c r="W551" s="315">
        <f t="shared" si="103"/>
        <v>0</v>
      </c>
      <c r="X551" s="315">
        <f t="shared" si="103"/>
        <v>0</v>
      </c>
      <c r="Y551" s="315">
        <f t="shared" si="102"/>
        <v>0</v>
      </c>
      <c r="Z551" s="315">
        <f t="shared" si="102"/>
        <v>0</v>
      </c>
      <c r="AA551" s="315">
        <f t="shared" si="102"/>
        <v>22595000</v>
      </c>
      <c r="AB551" s="315">
        <f t="shared" si="102"/>
        <v>0</v>
      </c>
      <c r="AC551" s="315">
        <f t="shared" si="102"/>
        <v>0</v>
      </c>
      <c r="AD551" s="315">
        <f t="shared" si="102"/>
        <v>0</v>
      </c>
      <c r="AE551" s="315">
        <f t="shared" si="102"/>
        <v>0</v>
      </c>
      <c r="AF551" s="315">
        <f t="shared" si="102"/>
        <v>3905000</v>
      </c>
      <c r="AG551" s="315">
        <f t="shared" si="102"/>
        <v>0</v>
      </c>
      <c r="AH551" s="315">
        <f t="shared" si="102"/>
        <v>0</v>
      </c>
      <c r="AI551" s="315">
        <f t="shared" si="102"/>
        <v>0</v>
      </c>
      <c r="AJ551" s="315">
        <f t="shared" si="102"/>
        <v>0</v>
      </c>
      <c r="AK551" s="315">
        <f t="shared" si="102"/>
        <v>9640000</v>
      </c>
      <c r="AL551" s="315">
        <f t="shared" si="102"/>
        <v>0</v>
      </c>
      <c r="AM551" s="315">
        <f t="shared" si="102"/>
        <v>0</v>
      </c>
      <c r="AN551" s="315">
        <f t="shared" si="102"/>
        <v>0</v>
      </c>
      <c r="AO551" s="315">
        <f t="shared" si="102"/>
        <v>0</v>
      </c>
      <c r="AP551" s="315">
        <f t="shared" si="102"/>
        <v>8875000</v>
      </c>
      <c r="AQ551" s="315">
        <f t="shared" si="102"/>
        <v>0</v>
      </c>
      <c r="AR551" s="315">
        <f t="shared" si="102"/>
        <v>0</v>
      </c>
      <c r="AS551" s="315">
        <f t="shared" si="102"/>
        <v>0</v>
      </c>
      <c r="AT551" s="315">
        <f t="shared" si="102"/>
        <v>0</v>
      </c>
      <c r="AU551" s="315">
        <f t="shared" si="102"/>
        <v>0</v>
      </c>
      <c r="AV551" s="315">
        <f t="shared" si="102"/>
        <v>0</v>
      </c>
      <c r="AW551" s="315">
        <f t="shared" si="102"/>
        <v>0</v>
      </c>
      <c r="AX551" s="315">
        <f t="shared" si="102"/>
        <v>0</v>
      </c>
      <c r="AY551" s="315">
        <f t="shared" si="102"/>
        <v>0</v>
      </c>
      <c r="AZ551" s="315">
        <f t="shared" si="102"/>
        <v>0</v>
      </c>
      <c r="BA551" s="315">
        <f t="shared" si="102"/>
        <v>0</v>
      </c>
      <c r="BB551" s="315">
        <f t="shared" si="102"/>
        <v>0</v>
      </c>
      <c r="BC551" s="315">
        <f t="shared" ref="BC551:BR559" si="105">BC149-DU149</f>
        <v>0</v>
      </c>
      <c r="BD551" s="315">
        <f t="shared" si="105"/>
        <v>0</v>
      </c>
      <c r="BE551" s="315">
        <f t="shared" si="105"/>
        <v>0</v>
      </c>
      <c r="BF551" s="315">
        <f t="shared" si="105"/>
        <v>0</v>
      </c>
      <c r="BG551" s="315">
        <f t="shared" si="105"/>
        <v>0</v>
      </c>
      <c r="BH551" s="315">
        <f t="shared" si="105"/>
        <v>0</v>
      </c>
      <c r="BI551" s="315">
        <f t="shared" si="105"/>
        <v>0</v>
      </c>
      <c r="BJ551" s="315">
        <f t="shared" si="105"/>
        <v>0</v>
      </c>
      <c r="BK551" s="315">
        <f t="shared" si="105"/>
        <v>0</v>
      </c>
      <c r="BL551" s="315">
        <f t="shared" si="105"/>
        <v>0</v>
      </c>
      <c r="BM551" s="315">
        <f t="shared" si="105"/>
        <v>0</v>
      </c>
      <c r="BN551" s="315">
        <f t="shared" si="105"/>
        <v>0</v>
      </c>
      <c r="BO551" s="315">
        <f t="shared" si="105"/>
        <v>0</v>
      </c>
      <c r="BP551" s="315">
        <f t="shared" si="105"/>
        <v>0</v>
      </c>
      <c r="BQ551" s="315">
        <f t="shared" si="105"/>
        <v>0</v>
      </c>
      <c r="BR551" s="315">
        <f t="shared" si="98"/>
        <v>0</v>
      </c>
      <c r="BS551" s="315">
        <f t="shared" si="98"/>
        <v>0</v>
      </c>
      <c r="BT551" s="315">
        <f t="shared" si="98"/>
        <v>45015000</v>
      </c>
      <c r="BU551" s="315">
        <f t="shared" si="98"/>
        <v>0</v>
      </c>
      <c r="BV551" s="315">
        <f t="shared" si="98"/>
        <v>0</v>
      </c>
      <c r="BW551" s="315">
        <f t="shared" si="98"/>
        <v>0</v>
      </c>
      <c r="BX551" s="315">
        <f t="shared" si="98"/>
        <v>0</v>
      </c>
      <c r="BZ551" s="315">
        <f t="shared" si="104"/>
        <v>0</v>
      </c>
      <c r="CA551" s="315">
        <f t="shared" si="104"/>
        <v>0</v>
      </c>
    </row>
    <row r="552" spans="7:79" hidden="1" x14ac:dyDescent="0.2">
      <c r="G552" s="315">
        <f t="shared" si="101"/>
        <v>0</v>
      </c>
      <c r="H552" s="315">
        <f t="shared" si="101"/>
        <v>0</v>
      </c>
      <c r="I552" s="315">
        <f t="shared" si="101"/>
        <v>0</v>
      </c>
      <c r="J552" s="315">
        <f t="shared" si="101"/>
        <v>0</v>
      </c>
      <c r="K552" s="315">
        <f t="shared" si="101"/>
        <v>0</v>
      </c>
      <c r="L552" s="315">
        <f t="shared" si="101"/>
        <v>0</v>
      </c>
      <c r="M552" s="315">
        <f t="shared" si="101"/>
        <v>0</v>
      </c>
      <c r="N552" s="315">
        <f t="shared" si="101"/>
        <v>0</v>
      </c>
      <c r="O552" s="315">
        <f t="shared" si="101"/>
        <v>0</v>
      </c>
      <c r="P552" s="315">
        <f t="shared" si="101"/>
        <v>0</v>
      </c>
      <c r="Q552" s="315">
        <f t="shared" si="101"/>
        <v>0</v>
      </c>
      <c r="R552" s="315">
        <f t="shared" si="101"/>
        <v>0</v>
      </c>
      <c r="S552" s="315">
        <f t="shared" si="101"/>
        <v>0</v>
      </c>
      <c r="T552" s="315">
        <f t="shared" si="101"/>
        <v>0</v>
      </c>
      <c r="U552" s="315">
        <f t="shared" si="101"/>
        <v>0</v>
      </c>
      <c r="V552" s="315">
        <f t="shared" si="101"/>
        <v>0</v>
      </c>
      <c r="W552" s="315">
        <f t="shared" si="103"/>
        <v>0</v>
      </c>
      <c r="X552" s="315">
        <f t="shared" si="103"/>
        <v>0</v>
      </c>
      <c r="Y552" s="315">
        <f t="shared" si="103"/>
        <v>0</v>
      </c>
      <c r="Z552" s="315">
        <f t="shared" si="103"/>
        <v>0</v>
      </c>
      <c r="AA552" s="315">
        <f t="shared" si="103"/>
        <v>22595000</v>
      </c>
      <c r="AB552" s="315">
        <f t="shared" si="103"/>
        <v>0</v>
      </c>
      <c r="AC552" s="315">
        <f t="shared" si="103"/>
        <v>0</v>
      </c>
      <c r="AD552" s="315">
        <f t="shared" si="103"/>
        <v>0</v>
      </c>
      <c r="AE552" s="315">
        <f t="shared" si="103"/>
        <v>0</v>
      </c>
      <c r="AF552" s="315">
        <f t="shared" si="103"/>
        <v>3932779</v>
      </c>
      <c r="AG552" s="315">
        <f t="shared" si="103"/>
        <v>0</v>
      </c>
      <c r="AH552" s="315">
        <f t="shared" si="103"/>
        <v>0</v>
      </c>
      <c r="AI552" s="315">
        <f t="shared" si="103"/>
        <v>0</v>
      </c>
      <c r="AJ552" s="315">
        <f t="shared" si="103"/>
        <v>0</v>
      </c>
      <c r="AK552" s="315">
        <f t="shared" si="103"/>
        <v>9756280</v>
      </c>
      <c r="AL552" s="315">
        <f t="shared" si="103"/>
        <v>0</v>
      </c>
      <c r="AM552" s="315">
        <f t="shared" ref="AM552:BB559" si="106">AM150-DE150</f>
        <v>0</v>
      </c>
      <c r="AN552" s="315">
        <f t="shared" si="106"/>
        <v>0</v>
      </c>
      <c r="AO552" s="315">
        <f t="shared" si="106"/>
        <v>0</v>
      </c>
      <c r="AP552" s="315">
        <f t="shared" si="106"/>
        <v>9033830</v>
      </c>
      <c r="AQ552" s="315">
        <f t="shared" si="106"/>
        <v>0</v>
      </c>
      <c r="AR552" s="315">
        <f t="shared" si="106"/>
        <v>0</v>
      </c>
      <c r="AS552" s="315">
        <f t="shared" si="106"/>
        <v>0</v>
      </c>
      <c r="AT552" s="315">
        <f t="shared" si="106"/>
        <v>0</v>
      </c>
      <c r="AU552" s="315">
        <f t="shared" si="106"/>
        <v>0</v>
      </c>
      <c r="AV552" s="315">
        <f t="shared" si="106"/>
        <v>0</v>
      </c>
      <c r="AW552" s="315">
        <f t="shared" si="106"/>
        <v>0</v>
      </c>
      <c r="AX552" s="315">
        <f t="shared" si="106"/>
        <v>0</v>
      </c>
      <c r="AY552" s="315">
        <f t="shared" si="106"/>
        <v>0</v>
      </c>
      <c r="AZ552" s="315">
        <f t="shared" si="106"/>
        <v>0</v>
      </c>
      <c r="BA552" s="315">
        <f t="shared" si="106"/>
        <v>0</v>
      </c>
      <c r="BB552" s="315">
        <f t="shared" si="106"/>
        <v>0</v>
      </c>
      <c r="BC552" s="315">
        <f t="shared" si="105"/>
        <v>0</v>
      </c>
      <c r="BD552" s="315">
        <f t="shared" si="105"/>
        <v>0</v>
      </c>
      <c r="BE552" s="315">
        <f t="shared" si="105"/>
        <v>0</v>
      </c>
      <c r="BF552" s="315">
        <f t="shared" si="105"/>
        <v>0</v>
      </c>
      <c r="BG552" s="315">
        <f t="shared" si="105"/>
        <v>0</v>
      </c>
      <c r="BH552" s="315">
        <f t="shared" si="105"/>
        <v>0</v>
      </c>
      <c r="BI552" s="315">
        <f t="shared" si="105"/>
        <v>0</v>
      </c>
      <c r="BJ552" s="315">
        <f t="shared" si="105"/>
        <v>0</v>
      </c>
      <c r="BK552" s="315">
        <f t="shared" si="105"/>
        <v>0</v>
      </c>
      <c r="BL552" s="315">
        <f t="shared" si="105"/>
        <v>0</v>
      </c>
      <c r="BM552" s="315">
        <f t="shared" si="105"/>
        <v>0</v>
      </c>
      <c r="BN552" s="315">
        <f t="shared" si="105"/>
        <v>0</v>
      </c>
      <c r="BO552" s="315">
        <f t="shared" si="105"/>
        <v>0</v>
      </c>
      <c r="BP552" s="315">
        <f t="shared" si="105"/>
        <v>0</v>
      </c>
      <c r="BQ552" s="315">
        <f t="shared" si="105"/>
        <v>0</v>
      </c>
      <c r="BR552" s="315">
        <f t="shared" si="98"/>
        <v>0</v>
      </c>
      <c r="BS552" s="315">
        <f t="shared" si="98"/>
        <v>0</v>
      </c>
      <c r="BT552" s="315">
        <f t="shared" si="98"/>
        <v>45317889</v>
      </c>
      <c r="BU552" s="315">
        <f t="shared" si="98"/>
        <v>0</v>
      </c>
      <c r="BV552" s="315">
        <f t="shared" si="98"/>
        <v>0</v>
      </c>
      <c r="BW552" s="315">
        <f t="shared" si="98"/>
        <v>0</v>
      </c>
      <c r="BX552" s="315">
        <f t="shared" si="98"/>
        <v>0</v>
      </c>
      <c r="BZ552" s="315">
        <f t="shared" si="104"/>
        <v>0</v>
      </c>
      <c r="CA552" s="315">
        <f t="shared" si="104"/>
        <v>0</v>
      </c>
    </row>
    <row r="553" spans="7:79" hidden="1" x14ac:dyDescent="0.2">
      <c r="G553" s="315">
        <f t="shared" si="101"/>
        <v>0</v>
      </c>
      <c r="H553" s="315">
        <f t="shared" si="101"/>
        <v>0</v>
      </c>
      <c r="I553" s="315">
        <f t="shared" si="101"/>
        <v>0</v>
      </c>
      <c r="J553" s="315">
        <f t="shared" si="101"/>
        <v>0</v>
      </c>
      <c r="K553" s="315">
        <f t="shared" si="101"/>
        <v>0</v>
      </c>
      <c r="L553" s="315">
        <f t="shared" si="101"/>
        <v>0</v>
      </c>
      <c r="M553" s="315">
        <f t="shared" si="101"/>
        <v>0</v>
      </c>
      <c r="N553" s="315">
        <f t="shared" si="101"/>
        <v>0</v>
      </c>
      <c r="O553" s="315">
        <f t="shared" si="101"/>
        <v>0</v>
      </c>
      <c r="P553" s="315">
        <f t="shared" si="101"/>
        <v>0</v>
      </c>
      <c r="Q553" s="315">
        <f t="shared" si="101"/>
        <v>0</v>
      </c>
      <c r="R553" s="315">
        <f t="shared" si="101"/>
        <v>0</v>
      </c>
      <c r="S553" s="315">
        <f t="shared" si="101"/>
        <v>0</v>
      </c>
      <c r="T553" s="315">
        <f t="shared" si="101"/>
        <v>0</v>
      </c>
      <c r="U553" s="315">
        <f t="shared" si="101"/>
        <v>0</v>
      </c>
      <c r="V553" s="315">
        <f t="shared" si="101"/>
        <v>0</v>
      </c>
      <c r="W553" s="315">
        <f t="shared" si="103"/>
        <v>0</v>
      </c>
      <c r="X553" s="315">
        <f t="shared" si="103"/>
        <v>0</v>
      </c>
      <c r="Y553" s="315">
        <f t="shared" si="103"/>
        <v>0</v>
      </c>
      <c r="Z553" s="315">
        <f t="shared" si="103"/>
        <v>0</v>
      </c>
      <c r="AA553" s="315">
        <f t="shared" si="103"/>
        <v>0</v>
      </c>
      <c r="AB553" s="315">
        <f t="shared" si="103"/>
        <v>0</v>
      </c>
      <c r="AC553" s="315">
        <f t="shared" si="103"/>
        <v>0</v>
      </c>
      <c r="AD553" s="315">
        <f t="shared" si="103"/>
        <v>0</v>
      </c>
      <c r="AE553" s="315">
        <f t="shared" si="103"/>
        <v>0</v>
      </c>
      <c r="AF553" s="315">
        <f t="shared" si="103"/>
        <v>0</v>
      </c>
      <c r="AG553" s="315">
        <f t="shared" si="103"/>
        <v>0</v>
      </c>
      <c r="AH553" s="315">
        <f t="shared" si="103"/>
        <v>0</v>
      </c>
      <c r="AI553" s="315">
        <f t="shared" si="103"/>
        <v>0</v>
      </c>
      <c r="AJ553" s="315">
        <f t="shared" si="103"/>
        <v>0</v>
      </c>
      <c r="AK553" s="315">
        <f t="shared" si="103"/>
        <v>0</v>
      </c>
      <c r="AL553" s="315">
        <f t="shared" si="103"/>
        <v>0</v>
      </c>
      <c r="AM553" s="315">
        <f t="shared" si="106"/>
        <v>0</v>
      </c>
      <c r="AN553" s="315">
        <f t="shared" si="106"/>
        <v>0</v>
      </c>
      <c r="AO553" s="315">
        <f t="shared" si="106"/>
        <v>0</v>
      </c>
      <c r="AP553" s="315">
        <f t="shared" si="106"/>
        <v>0</v>
      </c>
      <c r="AQ553" s="315">
        <f t="shared" si="106"/>
        <v>0</v>
      </c>
      <c r="AR553" s="315">
        <f t="shared" si="106"/>
        <v>0</v>
      </c>
      <c r="AS553" s="315">
        <f t="shared" si="106"/>
        <v>0</v>
      </c>
      <c r="AT553" s="315">
        <f t="shared" si="106"/>
        <v>0</v>
      </c>
      <c r="AU553" s="315">
        <f t="shared" si="106"/>
        <v>0</v>
      </c>
      <c r="AV553" s="315">
        <f t="shared" si="106"/>
        <v>0</v>
      </c>
      <c r="AW553" s="315">
        <f t="shared" si="106"/>
        <v>0</v>
      </c>
      <c r="AX553" s="315">
        <f t="shared" si="106"/>
        <v>0</v>
      </c>
      <c r="AY553" s="315">
        <f t="shared" si="106"/>
        <v>0</v>
      </c>
      <c r="AZ553" s="315">
        <f t="shared" si="106"/>
        <v>0</v>
      </c>
      <c r="BA553" s="315">
        <f t="shared" si="106"/>
        <v>0</v>
      </c>
      <c r="BB553" s="315">
        <f t="shared" si="106"/>
        <v>0</v>
      </c>
      <c r="BC553" s="315">
        <f t="shared" si="105"/>
        <v>0</v>
      </c>
      <c r="BD553" s="315">
        <f t="shared" si="105"/>
        <v>0</v>
      </c>
      <c r="BE553" s="315">
        <f t="shared" si="105"/>
        <v>0</v>
      </c>
      <c r="BF553" s="315">
        <f t="shared" si="105"/>
        <v>0</v>
      </c>
      <c r="BG553" s="315">
        <f t="shared" si="105"/>
        <v>0</v>
      </c>
      <c r="BH553" s="315">
        <f t="shared" si="105"/>
        <v>0</v>
      </c>
      <c r="BI553" s="315">
        <f t="shared" si="105"/>
        <v>0</v>
      </c>
      <c r="BJ553" s="315">
        <f t="shared" si="105"/>
        <v>0</v>
      </c>
      <c r="BK553" s="315">
        <f t="shared" si="105"/>
        <v>0</v>
      </c>
      <c r="BL553" s="315">
        <f t="shared" si="105"/>
        <v>0</v>
      </c>
      <c r="BM553" s="315">
        <f t="shared" si="105"/>
        <v>0</v>
      </c>
      <c r="BN553" s="315">
        <f t="shared" si="105"/>
        <v>0</v>
      </c>
      <c r="BO553" s="315">
        <f t="shared" si="105"/>
        <v>0</v>
      </c>
      <c r="BP553" s="315">
        <f t="shared" si="105"/>
        <v>0</v>
      </c>
      <c r="BQ553" s="315">
        <f t="shared" si="105"/>
        <v>0</v>
      </c>
      <c r="BR553" s="315">
        <f t="shared" si="105"/>
        <v>0</v>
      </c>
      <c r="BS553" s="315">
        <f t="shared" ref="BS553:BX559" si="107">BS151-EK151</f>
        <v>0</v>
      </c>
      <c r="BT553" s="315">
        <f t="shared" si="107"/>
        <v>0</v>
      </c>
      <c r="BU553" s="315">
        <f t="shared" si="107"/>
        <v>0</v>
      </c>
      <c r="BV553" s="315">
        <f t="shared" si="107"/>
        <v>0</v>
      </c>
      <c r="BW553" s="315">
        <f t="shared" si="107"/>
        <v>0</v>
      </c>
      <c r="BX553" s="315">
        <f t="shared" si="107"/>
        <v>0</v>
      </c>
      <c r="BZ553" s="315">
        <f t="shared" si="104"/>
        <v>0</v>
      </c>
      <c r="CA553" s="315">
        <f t="shared" si="104"/>
        <v>0</v>
      </c>
    </row>
    <row r="554" spans="7:79" hidden="1" x14ac:dyDescent="0.2">
      <c r="G554" s="315">
        <f t="shared" si="101"/>
        <v>0</v>
      </c>
      <c r="H554" s="315">
        <f t="shared" si="101"/>
        <v>0</v>
      </c>
      <c r="I554" s="315">
        <f t="shared" si="101"/>
        <v>0</v>
      </c>
      <c r="J554" s="315">
        <f t="shared" si="101"/>
        <v>0</v>
      </c>
      <c r="K554" s="315">
        <f t="shared" si="101"/>
        <v>0</v>
      </c>
      <c r="L554" s="315">
        <f t="shared" si="101"/>
        <v>0</v>
      </c>
      <c r="M554" s="315">
        <f t="shared" si="101"/>
        <v>0</v>
      </c>
      <c r="N554" s="315">
        <f t="shared" si="101"/>
        <v>0</v>
      </c>
      <c r="O554" s="315">
        <f t="shared" si="101"/>
        <v>0</v>
      </c>
      <c r="P554" s="315">
        <f t="shared" si="101"/>
        <v>0</v>
      </c>
      <c r="Q554" s="315">
        <f t="shared" si="101"/>
        <v>0</v>
      </c>
      <c r="R554" s="315">
        <f t="shared" si="101"/>
        <v>0</v>
      </c>
      <c r="S554" s="315">
        <f t="shared" si="101"/>
        <v>0</v>
      </c>
      <c r="T554" s="315">
        <f t="shared" si="101"/>
        <v>0</v>
      </c>
      <c r="U554" s="315">
        <f t="shared" si="101"/>
        <v>0</v>
      </c>
      <c r="V554" s="315">
        <f t="shared" si="101"/>
        <v>0</v>
      </c>
      <c r="W554" s="315">
        <f t="shared" si="103"/>
        <v>0</v>
      </c>
      <c r="X554" s="315">
        <f t="shared" si="103"/>
        <v>0</v>
      </c>
      <c r="Y554" s="315">
        <f t="shared" si="103"/>
        <v>0</v>
      </c>
      <c r="Z554" s="315">
        <f t="shared" si="103"/>
        <v>0</v>
      </c>
      <c r="AA554" s="315">
        <f t="shared" si="103"/>
        <v>0</v>
      </c>
      <c r="AB554" s="315">
        <f t="shared" si="103"/>
        <v>0</v>
      </c>
      <c r="AC554" s="315">
        <f t="shared" si="103"/>
        <v>0</v>
      </c>
      <c r="AD554" s="315">
        <f t="shared" si="103"/>
        <v>0</v>
      </c>
      <c r="AE554" s="315">
        <f t="shared" si="103"/>
        <v>0</v>
      </c>
      <c r="AF554" s="315">
        <f t="shared" si="103"/>
        <v>-27779</v>
      </c>
      <c r="AG554" s="315">
        <f t="shared" si="103"/>
        <v>0</v>
      </c>
      <c r="AH554" s="315">
        <f t="shared" si="103"/>
        <v>0</v>
      </c>
      <c r="AI554" s="315">
        <f t="shared" si="103"/>
        <v>0</v>
      </c>
      <c r="AJ554" s="315">
        <f t="shared" si="103"/>
        <v>0</v>
      </c>
      <c r="AK554" s="315">
        <f t="shared" si="103"/>
        <v>-116280</v>
      </c>
      <c r="AL554" s="315">
        <f t="shared" si="103"/>
        <v>0</v>
      </c>
      <c r="AM554" s="315">
        <f t="shared" si="106"/>
        <v>0</v>
      </c>
      <c r="AN554" s="315">
        <f t="shared" si="106"/>
        <v>0</v>
      </c>
      <c r="AO554" s="315">
        <f t="shared" si="106"/>
        <v>0</v>
      </c>
      <c r="AP554" s="315">
        <f t="shared" si="106"/>
        <v>-158830</v>
      </c>
      <c r="AQ554" s="315">
        <f t="shared" si="106"/>
        <v>0</v>
      </c>
      <c r="AR554" s="315">
        <f t="shared" si="106"/>
        <v>0</v>
      </c>
      <c r="AS554" s="315">
        <f t="shared" si="106"/>
        <v>0</v>
      </c>
      <c r="AT554" s="315">
        <f t="shared" si="106"/>
        <v>0</v>
      </c>
      <c r="AU554" s="315">
        <f t="shared" si="106"/>
        <v>0</v>
      </c>
      <c r="AV554" s="315">
        <f t="shared" si="106"/>
        <v>0</v>
      </c>
      <c r="AW554" s="315">
        <f t="shared" si="106"/>
        <v>0</v>
      </c>
      <c r="AX554" s="315">
        <f t="shared" si="106"/>
        <v>0</v>
      </c>
      <c r="AY554" s="315">
        <f t="shared" si="106"/>
        <v>0</v>
      </c>
      <c r="AZ554" s="315">
        <f t="shared" si="106"/>
        <v>0</v>
      </c>
      <c r="BA554" s="315">
        <f t="shared" si="106"/>
        <v>0</v>
      </c>
      <c r="BB554" s="315">
        <f t="shared" si="106"/>
        <v>0</v>
      </c>
      <c r="BC554" s="315">
        <f t="shared" si="105"/>
        <v>0</v>
      </c>
      <c r="BD554" s="315">
        <f t="shared" si="105"/>
        <v>0</v>
      </c>
      <c r="BE554" s="315">
        <f t="shared" si="105"/>
        <v>0</v>
      </c>
      <c r="BF554" s="315">
        <f t="shared" si="105"/>
        <v>0</v>
      </c>
      <c r="BG554" s="315">
        <f t="shared" si="105"/>
        <v>0</v>
      </c>
      <c r="BH554" s="315">
        <f t="shared" si="105"/>
        <v>0</v>
      </c>
      <c r="BI554" s="315">
        <f t="shared" si="105"/>
        <v>0</v>
      </c>
      <c r="BJ554" s="315">
        <f t="shared" si="105"/>
        <v>0</v>
      </c>
      <c r="BK554" s="315">
        <f t="shared" si="105"/>
        <v>0</v>
      </c>
      <c r="BL554" s="315">
        <f t="shared" si="105"/>
        <v>0</v>
      </c>
      <c r="BM554" s="315">
        <f t="shared" si="105"/>
        <v>0</v>
      </c>
      <c r="BN554" s="315">
        <f t="shared" si="105"/>
        <v>0</v>
      </c>
      <c r="BO554" s="315">
        <f t="shared" si="105"/>
        <v>0</v>
      </c>
      <c r="BP554" s="315">
        <f t="shared" si="105"/>
        <v>0</v>
      </c>
      <c r="BQ554" s="315">
        <f t="shared" si="105"/>
        <v>0</v>
      </c>
      <c r="BR554" s="315">
        <f t="shared" si="105"/>
        <v>0</v>
      </c>
      <c r="BS554" s="315">
        <f t="shared" si="107"/>
        <v>0</v>
      </c>
      <c r="BT554" s="315">
        <f t="shared" si="107"/>
        <v>-302889</v>
      </c>
      <c r="BU554" s="315">
        <f t="shared" si="107"/>
        <v>0</v>
      </c>
      <c r="BV554" s="315">
        <f t="shared" si="107"/>
        <v>0</v>
      </c>
      <c r="BW554" s="315">
        <f t="shared" si="107"/>
        <v>0</v>
      </c>
      <c r="BX554" s="315">
        <f t="shared" si="107"/>
        <v>0</v>
      </c>
      <c r="BZ554" s="315">
        <f t="shared" si="104"/>
        <v>0</v>
      </c>
      <c r="CA554" s="315">
        <f t="shared" si="104"/>
        <v>0</v>
      </c>
    </row>
    <row r="555" spans="7:79" hidden="1" x14ac:dyDescent="0.2">
      <c r="G555" s="315">
        <f t="shared" si="101"/>
        <v>0</v>
      </c>
      <c r="H555" s="315">
        <f t="shared" si="101"/>
        <v>0</v>
      </c>
      <c r="I555" s="315">
        <f t="shared" si="101"/>
        <v>0</v>
      </c>
      <c r="J555" s="315">
        <f t="shared" si="101"/>
        <v>0</v>
      </c>
      <c r="K555" s="315">
        <f t="shared" si="101"/>
        <v>0</v>
      </c>
      <c r="L555" s="315">
        <f t="shared" si="101"/>
        <v>0</v>
      </c>
      <c r="M555" s="315">
        <f t="shared" si="101"/>
        <v>0</v>
      </c>
      <c r="N555" s="315">
        <f t="shared" si="101"/>
        <v>0</v>
      </c>
      <c r="O555" s="315">
        <f t="shared" si="101"/>
        <v>0</v>
      </c>
      <c r="P555" s="315">
        <f t="shared" si="101"/>
        <v>0</v>
      </c>
      <c r="Q555" s="315">
        <f t="shared" si="101"/>
        <v>0</v>
      </c>
      <c r="R555" s="315">
        <f t="shared" si="101"/>
        <v>0</v>
      </c>
      <c r="S555" s="315">
        <f t="shared" si="101"/>
        <v>0</v>
      </c>
      <c r="T555" s="315">
        <f t="shared" si="101"/>
        <v>0</v>
      </c>
      <c r="U555" s="315">
        <f t="shared" si="101"/>
        <v>0</v>
      </c>
      <c r="V555" s="315">
        <f t="shared" si="101"/>
        <v>0</v>
      </c>
      <c r="W555" s="315">
        <f t="shared" si="103"/>
        <v>0</v>
      </c>
      <c r="X555" s="315">
        <f t="shared" si="103"/>
        <v>0</v>
      </c>
      <c r="Y555" s="315">
        <f t="shared" si="103"/>
        <v>0</v>
      </c>
      <c r="Z555" s="315">
        <f t="shared" si="103"/>
        <v>0</v>
      </c>
      <c r="AA555" s="315">
        <f t="shared" si="103"/>
        <v>0</v>
      </c>
      <c r="AB555" s="315">
        <f t="shared" si="103"/>
        <v>0</v>
      </c>
      <c r="AC555" s="315">
        <f t="shared" si="103"/>
        <v>0</v>
      </c>
      <c r="AD555" s="315">
        <f t="shared" si="103"/>
        <v>0</v>
      </c>
      <c r="AE555" s="315">
        <f t="shared" si="103"/>
        <v>0</v>
      </c>
      <c r="AF555" s="315">
        <f t="shared" si="103"/>
        <v>0</v>
      </c>
      <c r="AG555" s="315">
        <f t="shared" si="103"/>
        <v>0</v>
      </c>
      <c r="AH555" s="315">
        <f t="shared" si="103"/>
        <v>0</v>
      </c>
      <c r="AI555" s="315">
        <f t="shared" si="103"/>
        <v>0</v>
      </c>
      <c r="AJ555" s="315">
        <f t="shared" si="103"/>
        <v>0</v>
      </c>
      <c r="AK555" s="315">
        <f t="shared" si="103"/>
        <v>0</v>
      </c>
      <c r="AL555" s="315">
        <f t="shared" si="103"/>
        <v>0</v>
      </c>
      <c r="AM555" s="315">
        <f t="shared" si="106"/>
        <v>0</v>
      </c>
      <c r="AN555" s="315">
        <f t="shared" si="106"/>
        <v>0</v>
      </c>
      <c r="AO555" s="315">
        <f t="shared" si="106"/>
        <v>0</v>
      </c>
      <c r="AP555" s="315">
        <f t="shared" si="106"/>
        <v>0</v>
      </c>
      <c r="AQ555" s="315">
        <f t="shared" si="106"/>
        <v>0</v>
      </c>
      <c r="AR555" s="315">
        <f t="shared" si="106"/>
        <v>0</v>
      </c>
      <c r="AS555" s="315">
        <f t="shared" si="106"/>
        <v>0</v>
      </c>
      <c r="AT555" s="315">
        <f t="shared" si="106"/>
        <v>0</v>
      </c>
      <c r="AU555" s="315">
        <f t="shared" si="106"/>
        <v>0</v>
      </c>
      <c r="AV555" s="315">
        <f t="shared" si="106"/>
        <v>0</v>
      </c>
      <c r="AW555" s="315">
        <f t="shared" si="106"/>
        <v>0</v>
      </c>
      <c r="AX555" s="315">
        <f t="shared" si="106"/>
        <v>0</v>
      </c>
      <c r="AY555" s="315">
        <f t="shared" si="106"/>
        <v>0</v>
      </c>
      <c r="AZ555" s="315">
        <f t="shared" si="106"/>
        <v>0</v>
      </c>
      <c r="BA555" s="315">
        <f t="shared" si="106"/>
        <v>0</v>
      </c>
      <c r="BB555" s="315">
        <f t="shared" si="106"/>
        <v>0</v>
      </c>
      <c r="BC555" s="315">
        <f t="shared" si="105"/>
        <v>0</v>
      </c>
      <c r="BD555" s="315">
        <f t="shared" si="105"/>
        <v>0</v>
      </c>
      <c r="BE555" s="315">
        <f t="shared" si="105"/>
        <v>0</v>
      </c>
      <c r="BF555" s="315">
        <f t="shared" si="105"/>
        <v>0</v>
      </c>
      <c r="BG555" s="315">
        <f t="shared" si="105"/>
        <v>0</v>
      </c>
      <c r="BH555" s="315">
        <f t="shared" si="105"/>
        <v>0</v>
      </c>
      <c r="BI555" s="315">
        <f t="shared" si="105"/>
        <v>0</v>
      </c>
      <c r="BJ555" s="315">
        <f t="shared" si="105"/>
        <v>0</v>
      </c>
      <c r="BK555" s="315">
        <f t="shared" si="105"/>
        <v>0</v>
      </c>
      <c r="BL555" s="315">
        <f t="shared" si="105"/>
        <v>0</v>
      </c>
      <c r="BM555" s="315">
        <f t="shared" si="105"/>
        <v>0</v>
      </c>
      <c r="BN555" s="315">
        <f t="shared" si="105"/>
        <v>0</v>
      </c>
      <c r="BO555" s="315">
        <f t="shared" si="105"/>
        <v>0</v>
      </c>
      <c r="BP555" s="315">
        <f t="shared" si="105"/>
        <v>0</v>
      </c>
      <c r="BQ555" s="315">
        <f t="shared" si="105"/>
        <v>0</v>
      </c>
      <c r="BR555" s="315">
        <f t="shared" si="105"/>
        <v>0</v>
      </c>
      <c r="BS555" s="315">
        <f t="shared" si="107"/>
        <v>0</v>
      </c>
      <c r="BT555" s="315">
        <f t="shared" si="107"/>
        <v>0</v>
      </c>
      <c r="BU555" s="315">
        <f t="shared" si="107"/>
        <v>0</v>
      </c>
      <c r="BV555" s="315">
        <f t="shared" si="107"/>
        <v>0</v>
      </c>
      <c r="BW555" s="315">
        <f t="shared" si="107"/>
        <v>0</v>
      </c>
      <c r="BX555" s="315">
        <f t="shared" si="107"/>
        <v>0</v>
      </c>
      <c r="BZ555" s="315">
        <f t="shared" si="104"/>
        <v>0</v>
      </c>
      <c r="CA555" s="315">
        <f t="shared" si="104"/>
        <v>0</v>
      </c>
    </row>
    <row r="556" spans="7:79" hidden="1" x14ac:dyDescent="0.2">
      <c r="G556" s="315">
        <f t="shared" si="101"/>
        <v>0</v>
      </c>
      <c r="H556" s="315">
        <f t="shared" si="101"/>
        <v>0</v>
      </c>
      <c r="I556" s="315">
        <f t="shared" si="101"/>
        <v>0</v>
      </c>
      <c r="J556" s="315">
        <f t="shared" si="101"/>
        <v>0</v>
      </c>
      <c r="K556" s="315">
        <f t="shared" si="101"/>
        <v>0</v>
      </c>
      <c r="L556" s="315">
        <f t="shared" si="101"/>
        <v>0</v>
      </c>
      <c r="M556" s="315">
        <f t="shared" si="101"/>
        <v>0</v>
      </c>
      <c r="N556" s="315">
        <f t="shared" si="101"/>
        <v>0</v>
      </c>
      <c r="O556" s="315">
        <f t="shared" si="101"/>
        <v>0</v>
      </c>
      <c r="P556" s="315">
        <f t="shared" si="101"/>
        <v>0</v>
      </c>
      <c r="Q556" s="315">
        <f t="shared" si="101"/>
        <v>0</v>
      </c>
      <c r="R556" s="315">
        <f t="shared" si="101"/>
        <v>0</v>
      </c>
      <c r="S556" s="315">
        <f t="shared" si="101"/>
        <v>0</v>
      </c>
      <c r="T556" s="315">
        <f t="shared" si="101"/>
        <v>0</v>
      </c>
      <c r="U556" s="315">
        <f t="shared" si="101"/>
        <v>0</v>
      </c>
      <c r="V556" s="315">
        <f t="shared" si="101"/>
        <v>0</v>
      </c>
      <c r="W556" s="315">
        <f t="shared" si="103"/>
        <v>0</v>
      </c>
      <c r="X556" s="315">
        <f t="shared" si="103"/>
        <v>0</v>
      </c>
      <c r="Y556" s="315">
        <f t="shared" si="103"/>
        <v>0</v>
      </c>
      <c r="Z556" s="315">
        <f t="shared" si="103"/>
        <v>0</v>
      </c>
      <c r="AA556" s="315">
        <f t="shared" si="103"/>
        <v>0</v>
      </c>
      <c r="AB556" s="315">
        <f t="shared" si="103"/>
        <v>0</v>
      </c>
      <c r="AC556" s="315">
        <f t="shared" si="103"/>
        <v>0</v>
      </c>
      <c r="AD556" s="315">
        <f t="shared" si="103"/>
        <v>0</v>
      </c>
      <c r="AE556" s="315">
        <f t="shared" si="103"/>
        <v>0</v>
      </c>
      <c r="AF556" s="315">
        <f t="shared" si="103"/>
        <v>0</v>
      </c>
      <c r="AG556" s="315">
        <f t="shared" si="103"/>
        <v>0</v>
      </c>
      <c r="AH556" s="315">
        <f t="shared" si="103"/>
        <v>0</v>
      </c>
      <c r="AI556" s="315">
        <f t="shared" si="103"/>
        <v>0</v>
      </c>
      <c r="AJ556" s="315">
        <f t="shared" si="103"/>
        <v>0</v>
      </c>
      <c r="AK556" s="315">
        <f t="shared" si="103"/>
        <v>0</v>
      </c>
      <c r="AL556" s="315">
        <f t="shared" si="103"/>
        <v>0</v>
      </c>
      <c r="AM556" s="315">
        <f t="shared" si="106"/>
        <v>0</v>
      </c>
      <c r="AN556" s="315">
        <f t="shared" si="106"/>
        <v>0</v>
      </c>
      <c r="AO556" s="315">
        <f t="shared" si="106"/>
        <v>0</v>
      </c>
      <c r="AP556" s="315">
        <f t="shared" si="106"/>
        <v>0</v>
      </c>
      <c r="AQ556" s="315">
        <f t="shared" si="106"/>
        <v>0</v>
      </c>
      <c r="AR556" s="315">
        <f t="shared" si="106"/>
        <v>0</v>
      </c>
      <c r="AS556" s="315">
        <f t="shared" si="106"/>
        <v>0</v>
      </c>
      <c r="AT556" s="315">
        <f t="shared" si="106"/>
        <v>0</v>
      </c>
      <c r="AU556" s="315">
        <f t="shared" si="106"/>
        <v>0</v>
      </c>
      <c r="AV556" s="315">
        <f t="shared" si="106"/>
        <v>0</v>
      </c>
      <c r="AW556" s="315">
        <f t="shared" si="106"/>
        <v>0</v>
      </c>
      <c r="AX556" s="315">
        <f t="shared" si="106"/>
        <v>0</v>
      </c>
      <c r="AY556" s="315">
        <f t="shared" si="106"/>
        <v>0</v>
      </c>
      <c r="AZ556" s="315">
        <f t="shared" si="106"/>
        <v>0</v>
      </c>
      <c r="BA556" s="315">
        <f t="shared" si="106"/>
        <v>0</v>
      </c>
      <c r="BB556" s="315">
        <f t="shared" si="106"/>
        <v>0</v>
      </c>
      <c r="BC556" s="315">
        <f t="shared" si="105"/>
        <v>0</v>
      </c>
      <c r="BD556" s="315">
        <f t="shared" si="105"/>
        <v>0</v>
      </c>
      <c r="BE556" s="315">
        <f t="shared" si="105"/>
        <v>0</v>
      </c>
      <c r="BF556" s="315">
        <f t="shared" si="105"/>
        <v>0</v>
      </c>
      <c r="BG556" s="315">
        <f t="shared" si="105"/>
        <v>0</v>
      </c>
      <c r="BH556" s="315">
        <f t="shared" si="105"/>
        <v>0</v>
      </c>
      <c r="BI556" s="315">
        <f t="shared" si="105"/>
        <v>0</v>
      </c>
      <c r="BJ556" s="315">
        <f t="shared" si="105"/>
        <v>0</v>
      </c>
      <c r="BK556" s="315">
        <f t="shared" si="105"/>
        <v>0</v>
      </c>
      <c r="BL556" s="315">
        <f t="shared" si="105"/>
        <v>0</v>
      </c>
      <c r="BM556" s="315">
        <f t="shared" si="105"/>
        <v>0</v>
      </c>
      <c r="BN556" s="315">
        <f t="shared" si="105"/>
        <v>0</v>
      </c>
      <c r="BO556" s="315">
        <f t="shared" si="105"/>
        <v>0</v>
      </c>
      <c r="BP556" s="315">
        <f t="shared" si="105"/>
        <v>0</v>
      </c>
      <c r="BQ556" s="315">
        <f t="shared" si="105"/>
        <v>0</v>
      </c>
      <c r="BR556" s="315">
        <f t="shared" si="105"/>
        <v>0</v>
      </c>
      <c r="BS556" s="315">
        <f t="shared" si="107"/>
        <v>0</v>
      </c>
      <c r="BT556" s="315">
        <f t="shared" si="107"/>
        <v>0</v>
      </c>
      <c r="BU556" s="315">
        <f t="shared" si="107"/>
        <v>0</v>
      </c>
      <c r="BV556" s="315">
        <f t="shared" si="107"/>
        <v>0</v>
      </c>
      <c r="BW556" s="315">
        <f t="shared" si="107"/>
        <v>0</v>
      </c>
      <c r="BX556" s="315">
        <f t="shared" si="107"/>
        <v>0</v>
      </c>
      <c r="BZ556" s="315">
        <f t="shared" si="104"/>
        <v>0</v>
      </c>
      <c r="CA556" s="315">
        <f t="shared" si="104"/>
        <v>0</v>
      </c>
    </row>
    <row r="557" spans="7:79" hidden="1" x14ac:dyDescent="0.2">
      <c r="G557" s="315">
        <f t="shared" si="101"/>
        <v>0</v>
      </c>
      <c r="H557" s="315">
        <f t="shared" si="101"/>
        <v>0</v>
      </c>
      <c r="I557" s="315">
        <f t="shared" si="101"/>
        <v>0</v>
      </c>
      <c r="J557" s="315">
        <f t="shared" si="101"/>
        <v>0</v>
      </c>
      <c r="K557" s="315">
        <f t="shared" si="101"/>
        <v>0</v>
      </c>
      <c r="L557" s="315">
        <f t="shared" si="101"/>
        <v>0</v>
      </c>
      <c r="M557" s="315">
        <f t="shared" si="101"/>
        <v>0</v>
      </c>
      <c r="N557" s="315">
        <f t="shared" si="101"/>
        <v>0</v>
      </c>
      <c r="O557" s="315">
        <f t="shared" si="101"/>
        <v>0</v>
      </c>
      <c r="P557" s="315">
        <f t="shared" si="101"/>
        <v>0</v>
      </c>
      <c r="Q557" s="315">
        <f t="shared" si="101"/>
        <v>0</v>
      </c>
      <c r="R557" s="315">
        <f t="shared" si="101"/>
        <v>0</v>
      </c>
      <c r="S557" s="315">
        <f t="shared" si="101"/>
        <v>0</v>
      </c>
      <c r="T557" s="315">
        <f t="shared" si="101"/>
        <v>0</v>
      </c>
      <c r="U557" s="315">
        <f t="shared" si="101"/>
        <v>0</v>
      </c>
      <c r="V557" s="315">
        <f t="shared" si="101"/>
        <v>0</v>
      </c>
      <c r="W557" s="315">
        <f t="shared" si="103"/>
        <v>0</v>
      </c>
      <c r="X557" s="315">
        <f t="shared" si="103"/>
        <v>0</v>
      </c>
      <c r="Y557" s="315">
        <f t="shared" si="103"/>
        <v>0</v>
      </c>
      <c r="Z557" s="315">
        <f t="shared" si="103"/>
        <v>0</v>
      </c>
      <c r="AA557" s="315">
        <f t="shared" si="103"/>
        <v>0</v>
      </c>
      <c r="AB557" s="315">
        <f t="shared" si="103"/>
        <v>0</v>
      </c>
      <c r="AC557" s="315">
        <f t="shared" si="103"/>
        <v>0</v>
      </c>
      <c r="AD557" s="315">
        <f t="shared" si="103"/>
        <v>0</v>
      </c>
      <c r="AE557" s="315">
        <f t="shared" si="103"/>
        <v>0</v>
      </c>
      <c r="AF557" s="315">
        <f t="shared" si="103"/>
        <v>0</v>
      </c>
      <c r="AG557" s="315">
        <f t="shared" si="103"/>
        <v>0</v>
      </c>
      <c r="AH557" s="315">
        <f t="shared" si="103"/>
        <v>0</v>
      </c>
      <c r="AI557" s="315">
        <f t="shared" si="103"/>
        <v>0</v>
      </c>
      <c r="AJ557" s="315">
        <f t="shared" si="103"/>
        <v>0</v>
      </c>
      <c r="AK557" s="315">
        <f t="shared" si="103"/>
        <v>0</v>
      </c>
      <c r="AL557" s="315">
        <f t="shared" si="103"/>
        <v>0</v>
      </c>
      <c r="AM557" s="315">
        <f t="shared" si="106"/>
        <v>0</v>
      </c>
      <c r="AN557" s="315">
        <f t="shared" si="106"/>
        <v>0</v>
      </c>
      <c r="AO557" s="315">
        <f t="shared" si="106"/>
        <v>0</v>
      </c>
      <c r="AP557" s="315">
        <f t="shared" si="106"/>
        <v>0</v>
      </c>
      <c r="AQ557" s="315">
        <f t="shared" si="106"/>
        <v>0</v>
      </c>
      <c r="AR557" s="315">
        <f t="shared" si="106"/>
        <v>0</v>
      </c>
      <c r="AS557" s="315">
        <f t="shared" si="106"/>
        <v>0</v>
      </c>
      <c r="AT557" s="315">
        <f t="shared" si="106"/>
        <v>0</v>
      </c>
      <c r="AU557" s="315">
        <f t="shared" si="106"/>
        <v>0</v>
      </c>
      <c r="AV557" s="315">
        <f t="shared" si="106"/>
        <v>0</v>
      </c>
      <c r="AW557" s="315">
        <f t="shared" si="106"/>
        <v>0</v>
      </c>
      <c r="AX557" s="315">
        <f t="shared" si="106"/>
        <v>0</v>
      </c>
      <c r="AY557" s="315">
        <f t="shared" si="106"/>
        <v>0</v>
      </c>
      <c r="AZ557" s="315">
        <f t="shared" si="106"/>
        <v>0</v>
      </c>
      <c r="BA557" s="315">
        <f t="shared" si="106"/>
        <v>0</v>
      </c>
      <c r="BB557" s="315">
        <f t="shared" si="106"/>
        <v>0</v>
      </c>
      <c r="BC557" s="315">
        <f t="shared" si="105"/>
        <v>0</v>
      </c>
      <c r="BD557" s="315">
        <f t="shared" si="105"/>
        <v>0</v>
      </c>
      <c r="BE557" s="315">
        <f t="shared" si="105"/>
        <v>0</v>
      </c>
      <c r="BF557" s="315">
        <f t="shared" si="105"/>
        <v>0</v>
      </c>
      <c r="BG557" s="315">
        <f t="shared" si="105"/>
        <v>0</v>
      </c>
      <c r="BH557" s="315">
        <f t="shared" si="105"/>
        <v>0</v>
      </c>
      <c r="BI557" s="315">
        <f t="shared" si="105"/>
        <v>0</v>
      </c>
      <c r="BJ557" s="315">
        <f t="shared" si="105"/>
        <v>0</v>
      </c>
      <c r="BK557" s="315">
        <f t="shared" si="105"/>
        <v>0</v>
      </c>
      <c r="BL557" s="315">
        <f t="shared" si="105"/>
        <v>0</v>
      </c>
      <c r="BM557" s="315">
        <f t="shared" si="105"/>
        <v>0</v>
      </c>
      <c r="BN557" s="315">
        <f t="shared" si="105"/>
        <v>0</v>
      </c>
      <c r="BO557" s="315">
        <f t="shared" si="105"/>
        <v>0</v>
      </c>
      <c r="BP557" s="315">
        <f t="shared" si="105"/>
        <v>0</v>
      </c>
      <c r="BQ557" s="315">
        <f t="shared" si="105"/>
        <v>0</v>
      </c>
      <c r="BR557" s="315">
        <f t="shared" si="105"/>
        <v>0</v>
      </c>
      <c r="BS557" s="315">
        <f t="shared" si="107"/>
        <v>0</v>
      </c>
      <c r="BT557" s="315">
        <f t="shared" si="107"/>
        <v>0</v>
      </c>
      <c r="BU557" s="315">
        <f t="shared" si="107"/>
        <v>0</v>
      </c>
      <c r="BV557" s="315">
        <f t="shared" si="107"/>
        <v>0</v>
      </c>
      <c r="BW557" s="315">
        <f t="shared" si="107"/>
        <v>0</v>
      </c>
      <c r="BX557" s="315">
        <f t="shared" si="107"/>
        <v>0</v>
      </c>
      <c r="BZ557" s="315">
        <f t="shared" si="104"/>
        <v>0</v>
      </c>
      <c r="CA557" s="315">
        <f t="shared" si="104"/>
        <v>0</v>
      </c>
    </row>
    <row r="558" spans="7:79" hidden="1" x14ac:dyDescent="0.2">
      <c r="G558" s="315">
        <f t="shared" si="101"/>
        <v>0</v>
      </c>
      <c r="H558" s="315">
        <f t="shared" si="101"/>
        <v>0</v>
      </c>
      <c r="I558" s="315">
        <f t="shared" si="101"/>
        <v>0</v>
      </c>
      <c r="J558" s="315">
        <f t="shared" si="101"/>
        <v>0</v>
      </c>
      <c r="K558" s="315">
        <f t="shared" si="101"/>
        <v>0</v>
      </c>
      <c r="L558" s="315">
        <f t="shared" si="101"/>
        <v>0</v>
      </c>
      <c r="M558" s="315">
        <f t="shared" si="101"/>
        <v>0</v>
      </c>
      <c r="N558" s="315">
        <f t="shared" si="101"/>
        <v>0</v>
      </c>
      <c r="O558" s="315">
        <f t="shared" si="101"/>
        <v>0</v>
      </c>
      <c r="P558" s="315">
        <f t="shared" si="101"/>
        <v>0</v>
      </c>
      <c r="Q558" s="315">
        <f t="shared" si="101"/>
        <v>0</v>
      </c>
      <c r="R558" s="315">
        <f t="shared" si="101"/>
        <v>0</v>
      </c>
      <c r="S558" s="315">
        <f t="shared" si="101"/>
        <v>0</v>
      </c>
      <c r="T558" s="315">
        <f t="shared" si="101"/>
        <v>0</v>
      </c>
      <c r="U558" s="315">
        <f t="shared" si="101"/>
        <v>0</v>
      </c>
      <c r="V558" s="315">
        <f t="shared" si="101"/>
        <v>0</v>
      </c>
      <c r="W558" s="315">
        <f t="shared" si="103"/>
        <v>0</v>
      </c>
      <c r="X558" s="315">
        <f t="shared" si="103"/>
        <v>0</v>
      </c>
      <c r="Y558" s="315">
        <f t="shared" si="103"/>
        <v>0</v>
      </c>
      <c r="Z558" s="315">
        <f t="shared" si="103"/>
        <v>0</v>
      </c>
      <c r="AA558" s="315">
        <f t="shared" si="103"/>
        <v>0</v>
      </c>
      <c r="AB558" s="315">
        <f t="shared" si="103"/>
        <v>0</v>
      </c>
      <c r="AC558" s="315">
        <f t="shared" si="103"/>
        <v>0</v>
      </c>
      <c r="AD558" s="315">
        <f t="shared" si="103"/>
        <v>0</v>
      </c>
      <c r="AE558" s="315">
        <f t="shared" si="103"/>
        <v>0</v>
      </c>
      <c r="AF558" s="315">
        <f t="shared" si="103"/>
        <v>0</v>
      </c>
      <c r="AG558" s="315">
        <f t="shared" si="103"/>
        <v>0</v>
      </c>
      <c r="AH558" s="315">
        <f t="shared" si="103"/>
        <v>0</v>
      </c>
      <c r="AI558" s="315">
        <f t="shared" si="103"/>
        <v>0</v>
      </c>
      <c r="AJ558" s="315">
        <f t="shared" si="103"/>
        <v>0</v>
      </c>
      <c r="AK558" s="315">
        <f t="shared" si="103"/>
        <v>0</v>
      </c>
      <c r="AL558" s="315">
        <f t="shared" si="103"/>
        <v>0</v>
      </c>
      <c r="AM558" s="315">
        <f t="shared" si="106"/>
        <v>0</v>
      </c>
      <c r="AN558" s="315">
        <f t="shared" si="106"/>
        <v>0</v>
      </c>
      <c r="AO558" s="315">
        <f t="shared" si="106"/>
        <v>0</v>
      </c>
      <c r="AP558" s="315">
        <f t="shared" si="106"/>
        <v>0</v>
      </c>
      <c r="AQ558" s="315">
        <f t="shared" si="106"/>
        <v>0</v>
      </c>
      <c r="AR558" s="315">
        <f t="shared" si="106"/>
        <v>0</v>
      </c>
      <c r="AS558" s="315">
        <f t="shared" si="106"/>
        <v>0</v>
      </c>
      <c r="AT558" s="315">
        <f t="shared" si="106"/>
        <v>0</v>
      </c>
      <c r="AU558" s="315">
        <f t="shared" si="106"/>
        <v>0</v>
      </c>
      <c r="AV558" s="315">
        <f t="shared" si="106"/>
        <v>0</v>
      </c>
      <c r="AW558" s="315">
        <f t="shared" si="106"/>
        <v>0</v>
      </c>
      <c r="AX558" s="315">
        <f t="shared" si="106"/>
        <v>0</v>
      </c>
      <c r="AY558" s="315">
        <f t="shared" si="106"/>
        <v>0</v>
      </c>
      <c r="AZ558" s="315">
        <f t="shared" si="106"/>
        <v>0</v>
      </c>
      <c r="BA558" s="315">
        <f t="shared" si="106"/>
        <v>0</v>
      </c>
      <c r="BB558" s="315">
        <f t="shared" si="106"/>
        <v>0</v>
      </c>
      <c r="BC558" s="315">
        <f t="shared" si="105"/>
        <v>0</v>
      </c>
      <c r="BD558" s="315">
        <f t="shared" si="105"/>
        <v>0</v>
      </c>
      <c r="BE558" s="315">
        <f t="shared" si="105"/>
        <v>0</v>
      </c>
      <c r="BF558" s="315">
        <f t="shared" si="105"/>
        <v>0</v>
      </c>
      <c r="BG558" s="315">
        <f t="shared" si="105"/>
        <v>0</v>
      </c>
      <c r="BH558" s="315">
        <f t="shared" si="105"/>
        <v>0</v>
      </c>
      <c r="BI558" s="315">
        <f t="shared" si="105"/>
        <v>0</v>
      </c>
      <c r="BJ558" s="315">
        <f t="shared" si="105"/>
        <v>0</v>
      </c>
      <c r="BK558" s="315">
        <f t="shared" si="105"/>
        <v>0</v>
      </c>
      <c r="BL558" s="315">
        <f t="shared" si="105"/>
        <v>0</v>
      </c>
      <c r="BM558" s="315">
        <f t="shared" si="105"/>
        <v>0</v>
      </c>
      <c r="BN558" s="315">
        <f t="shared" si="105"/>
        <v>0</v>
      </c>
      <c r="BO558" s="315">
        <f t="shared" si="105"/>
        <v>0</v>
      </c>
      <c r="BP558" s="315">
        <f t="shared" si="105"/>
        <v>0</v>
      </c>
      <c r="BQ558" s="315">
        <f t="shared" si="105"/>
        <v>0</v>
      </c>
      <c r="BR558" s="315">
        <f t="shared" si="105"/>
        <v>0</v>
      </c>
      <c r="BS558" s="315">
        <f t="shared" si="107"/>
        <v>0</v>
      </c>
      <c r="BT558" s="315">
        <f t="shared" si="107"/>
        <v>0</v>
      </c>
      <c r="BU558" s="315">
        <f t="shared" si="107"/>
        <v>0</v>
      </c>
      <c r="BV558" s="315">
        <f t="shared" si="107"/>
        <v>0</v>
      </c>
      <c r="BW558" s="315">
        <f t="shared" si="107"/>
        <v>0</v>
      </c>
      <c r="BX558" s="315">
        <f t="shared" si="107"/>
        <v>0</v>
      </c>
      <c r="BZ558" s="315">
        <f t="shared" si="104"/>
        <v>0</v>
      </c>
      <c r="CA558" s="315">
        <f t="shared" si="104"/>
        <v>0</v>
      </c>
    </row>
    <row r="559" spans="7:79" hidden="1" x14ac:dyDescent="0.2">
      <c r="G559" s="315">
        <f t="shared" ref="G559:V559" si="108">G157-BY157</f>
        <v>0</v>
      </c>
      <c r="H559" s="315">
        <f t="shared" si="108"/>
        <v>0</v>
      </c>
      <c r="I559" s="315">
        <f t="shared" si="108"/>
        <v>0</v>
      </c>
      <c r="J559" s="315">
        <f t="shared" si="108"/>
        <v>0</v>
      </c>
      <c r="K559" s="315">
        <f t="shared" si="108"/>
        <v>0</v>
      </c>
      <c r="L559" s="315">
        <f t="shared" si="108"/>
        <v>0</v>
      </c>
      <c r="M559" s="315">
        <f t="shared" si="108"/>
        <v>0</v>
      </c>
      <c r="N559" s="315">
        <f t="shared" si="108"/>
        <v>0</v>
      </c>
      <c r="O559" s="315">
        <f t="shared" si="108"/>
        <v>0</v>
      </c>
      <c r="P559" s="315">
        <f t="shared" si="108"/>
        <v>0</v>
      </c>
      <c r="Q559" s="315">
        <f t="shared" si="108"/>
        <v>0</v>
      </c>
      <c r="R559" s="315">
        <f t="shared" si="108"/>
        <v>0</v>
      </c>
      <c r="S559" s="315">
        <f t="shared" si="108"/>
        <v>0</v>
      </c>
      <c r="T559" s="315">
        <f t="shared" si="108"/>
        <v>0</v>
      </c>
      <c r="U559" s="315">
        <f t="shared" si="108"/>
        <v>0</v>
      </c>
      <c r="V559" s="315">
        <f t="shared" si="108"/>
        <v>0</v>
      </c>
      <c r="W559" s="315">
        <f t="shared" si="103"/>
        <v>0</v>
      </c>
      <c r="X559" s="315">
        <f t="shared" si="103"/>
        <v>0</v>
      </c>
      <c r="Y559" s="315">
        <f t="shared" si="103"/>
        <v>0</v>
      </c>
      <c r="Z559" s="315">
        <f t="shared" si="103"/>
        <v>0</v>
      </c>
      <c r="AA559" s="315">
        <f t="shared" si="103"/>
        <v>0</v>
      </c>
      <c r="AB559" s="315">
        <f t="shared" si="103"/>
        <v>0</v>
      </c>
      <c r="AC559" s="315">
        <f t="shared" si="103"/>
        <v>0</v>
      </c>
      <c r="AD559" s="315">
        <f t="shared" si="103"/>
        <v>0</v>
      </c>
      <c r="AE559" s="315">
        <f t="shared" si="103"/>
        <v>0</v>
      </c>
      <c r="AF559" s="315">
        <f t="shared" si="103"/>
        <v>0</v>
      </c>
      <c r="AG559" s="315">
        <f t="shared" si="103"/>
        <v>0</v>
      </c>
      <c r="AH559" s="315">
        <f t="shared" si="103"/>
        <v>0</v>
      </c>
      <c r="AI559" s="315">
        <f t="shared" si="103"/>
        <v>0</v>
      </c>
      <c r="AJ559" s="315">
        <f t="shared" si="103"/>
        <v>0</v>
      </c>
      <c r="AK559" s="315">
        <f t="shared" si="103"/>
        <v>0</v>
      </c>
      <c r="AL559" s="315">
        <f t="shared" si="103"/>
        <v>0</v>
      </c>
      <c r="AM559" s="315">
        <f t="shared" si="106"/>
        <v>0</v>
      </c>
      <c r="AN559" s="315">
        <f t="shared" si="106"/>
        <v>0</v>
      </c>
      <c r="AO559" s="315">
        <f t="shared" si="106"/>
        <v>0</v>
      </c>
      <c r="AP559" s="315">
        <f t="shared" si="106"/>
        <v>0</v>
      </c>
      <c r="AQ559" s="315">
        <f t="shared" si="106"/>
        <v>0</v>
      </c>
      <c r="AR559" s="315">
        <f t="shared" si="106"/>
        <v>0</v>
      </c>
      <c r="AS559" s="315">
        <f t="shared" si="106"/>
        <v>0</v>
      </c>
      <c r="AT559" s="315">
        <f t="shared" si="106"/>
        <v>0</v>
      </c>
      <c r="AU559" s="315">
        <f t="shared" si="106"/>
        <v>0</v>
      </c>
      <c r="AV559" s="315">
        <f t="shared" si="106"/>
        <v>0</v>
      </c>
      <c r="AW559" s="315">
        <f t="shared" si="106"/>
        <v>0</v>
      </c>
      <c r="AX559" s="315">
        <f t="shared" si="106"/>
        <v>0</v>
      </c>
      <c r="AY559" s="315">
        <f t="shared" si="106"/>
        <v>0</v>
      </c>
      <c r="AZ559" s="315">
        <f t="shared" si="106"/>
        <v>0</v>
      </c>
      <c r="BA559" s="315">
        <f t="shared" si="106"/>
        <v>0</v>
      </c>
      <c r="BB559" s="315">
        <f t="shared" si="106"/>
        <v>0</v>
      </c>
      <c r="BC559" s="315">
        <f t="shared" si="105"/>
        <v>0</v>
      </c>
      <c r="BD559" s="315">
        <f t="shared" si="105"/>
        <v>0</v>
      </c>
      <c r="BE559" s="315">
        <f t="shared" si="105"/>
        <v>0</v>
      </c>
      <c r="BF559" s="315">
        <f t="shared" si="105"/>
        <v>0</v>
      </c>
      <c r="BG559" s="315">
        <f t="shared" si="105"/>
        <v>0</v>
      </c>
      <c r="BH559" s="315">
        <f t="shared" si="105"/>
        <v>0</v>
      </c>
      <c r="BI559" s="315">
        <f t="shared" si="105"/>
        <v>0</v>
      </c>
      <c r="BJ559" s="315">
        <f t="shared" si="105"/>
        <v>0</v>
      </c>
      <c r="BK559" s="315">
        <f t="shared" si="105"/>
        <v>0</v>
      </c>
      <c r="BL559" s="315">
        <f t="shared" si="105"/>
        <v>0</v>
      </c>
      <c r="BM559" s="315">
        <f t="shared" si="105"/>
        <v>0</v>
      </c>
      <c r="BN559" s="315">
        <f t="shared" si="105"/>
        <v>0</v>
      </c>
      <c r="BO559" s="315">
        <f t="shared" si="105"/>
        <v>0</v>
      </c>
      <c r="BP559" s="315">
        <f t="shared" si="105"/>
        <v>0</v>
      </c>
      <c r="BQ559" s="315">
        <f t="shared" si="105"/>
        <v>0</v>
      </c>
      <c r="BR559" s="315">
        <f t="shared" si="105"/>
        <v>0</v>
      </c>
      <c r="BS559" s="315">
        <f t="shared" si="107"/>
        <v>0</v>
      </c>
      <c r="BT559" s="315">
        <f t="shared" si="107"/>
        <v>0</v>
      </c>
      <c r="BU559" s="315">
        <f t="shared" si="107"/>
        <v>0</v>
      </c>
      <c r="BV559" s="315">
        <f t="shared" si="107"/>
        <v>0</v>
      </c>
      <c r="BW559" s="315">
        <f t="shared" si="107"/>
        <v>0</v>
      </c>
      <c r="BX559" s="315">
        <f t="shared" si="107"/>
        <v>0</v>
      </c>
      <c r="BZ559" s="315">
        <f t="shared" si="104"/>
        <v>0</v>
      </c>
      <c r="CA559" s="315">
        <f t="shared" si="104"/>
        <v>0</v>
      </c>
    </row>
    <row r="560" spans="7:79" hidden="1" x14ac:dyDescent="0.2">
      <c r="G560" s="315" t="e">
        <f>#REF!-#REF!</f>
        <v>#REF!</v>
      </c>
      <c r="H560" s="315" t="e">
        <f>#REF!-#REF!</f>
        <v>#REF!</v>
      </c>
      <c r="I560" s="315" t="e">
        <f>#REF!-#REF!</f>
        <v>#REF!</v>
      </c>
      <c r="J560" s="315" t="e">
        <f>#REF!-#REF!</f>
        <v>#REF!</v>
      </c>
      <c r="K560" s="315" t="e">
        <f>#REF!-#REF!</f>
        <v>#REF!</v>
      </c>
      <c r="L560" s="315" t="e">
        <f>#REF!-#REF!</f>
        <v>#REF!</v>
      </c>
      <c r="M560" s="315" t="e">
        <f>#REF!-#REF!</f>
        <v>#REF!</v>
      </c>
      <c r="N560" s="315" t="e">
        <f>#REF!-#REF!</f>
        <v>#REF!</v>
      </c>
      <c r="O560" s="315" t="e">
        <f>#REF!-#REF!</f>
        <v>#REF!</v>
      </c>
      <c r="P560" s="315" t="e">
        <f>#REF!-#REF!</f>
        <v>#REF!</v>
      </c>
      <c r="Q560" s="315" t="e">
        <f>#REF!-#REF!</f>
        <v>#REF!</v>
      </c>
      <c r="R560" s="315" t="e">
        <f>#REF!-#REF!</f>
        <v>#REF!</v>
      </c>
      <c r="S560" s="315" t="e">
        <f>#REF!-#REF!</f>
        <v>#REF!</v>
      </c>
      <c r="T560" s="315" t="e">
        <f>#REF!-#REF!</f>
        <v>#REF!</v>
      </c>
      <c r="U560" s="315" t="e">
        <f>#REF!-#REF!</f>
        <v>#REF!</v>
      </c>
      <c r="V560" s="315" t="e">
        <f>#REF!-#REF!</f>
        <v>#REF!</v>
      </c>
      <c r="W560" s="315" t="e">
        <f>#REF!-#REF!</f>
        <v>#REF!</v>
      </c>
      <c r="X560" s="315" t="e">
        <f>#REF!-#REF!</f>
        <v>#REF!</v>
      </c>
      <c r="Y560" s="315" t="e">
        <f>#REF!-#REF!</f>
        <v>#REF!</v>
      </c>
      <c r="Z560" s="315" t="e">
        <f>#REF!-#REF!</f>
        <v>#REF!</v>
      </c>
      <c r="AA560" s="315" t="e">
        <f>#REF!-#REF!</f>
        <v>#REF!</v>
      </c>
      <c r="AB560" s="315" t="e">
        <f>#REF!-#REF!</f>
        <v>#REF!</v>
      </c>
      <c r="AC560" s="315" t="e">
        <f>#REF!-#REF!</f>
        <v>#REF!</v>
      </c>
      <c r="AD560" s="315" t="e">
        <f>#REF!-#REF!</f>
        <v>#REF!</v>
      </c>
      <c r="AE560" s="315" t="e">
        <f>#REF!-#REF!</f>
        <v>#REF!</v>
      </c>
      <c r="AF560" s="315" t="e">
        <f>#REF!-#REF!</f>
        <v>#REF!</v>
      </c>
      <c r="AG560" s="315" t="e">
        <f>#REF!-#REF!</f>
        <v>#REF!</v>
      </c>
      <c r="AH560" s="315" t="e">
        <f>#REF!-#REF!</f>
        <v>#REF!</v>
      </c>
      <c r="AI560" s="315" t="e">
        <f>#REF!-#REF!</f>
        <v>#REF!</v>
      </c>
      <c r="AJ560" s="315" t="e">
        <f>#REF!-#REF!</f>
        <v>#REF!</v>
      </c>
      <c r="AK560" s="315" t="e">
        <f>#REF!-#REF!</f>
        <v>#REF!</v>
      </c>
      <c r="AL560" s="315" t="e">
        <f>#REF!-#REF!</f>
        <v>#REF!</v>
      </c>
      <c r="AM560" s="315" t="e">
        <f>#REF!-#REF!</f>
        <v>#REF!</v>
      </c>
      <c r="AN560" s="315" t="e">
        <f>#REF!-#REF!</f>
        <v>#REF!</v>
      </c>
      <c r="AO560" s="315" t="e">
        <f>#REF!-#REF!</f>
        <v>#REF!</v>
      </c>
      <c r="AP560" s="315" t="e">
        <f>#REF!-#REF!</f>
        <v>#REF!</v>
      </c>
      <c r="AQ560" s="315" t="e">
        <f>#REF!-#REF!</f>
        <v>#REF!</v>
      </c>
      <c r="AR560" s="315" t="e">
        <f>#REF!-#REF!</f>
        <v>#REF!</v>
      </c>
      <c r="AS560" s="315" t="e">
        <f>#REF!-#REF!</f>
        <v>#REF!</v>
      </c>
      <c r="AT560" s="315" t="e">
        <f>#REF!-#REF!</f>
        <v>#REF!</v>
      </c>
      <c r="AU560" s="315" t="e">
        <f>#REF!-#REF!</f>
        <v>#REF!</v>
      </c>
      <c r="AV560" s="315" t="e">
        <f>#REF!-#REF!</f>
        <v>#REF!</v>
      </c>
      <c r="AW560" s="315" t="e">
        <f>#REF!-#REF!</f>
        <v>#REF!</v>
      </c>
      <c r="AX560" s="315" t="e">
        <f>#REF!-#REF!</f>
        <v>#REF!</v>
      </c>
      <c r="AY560" s="315" t="e">
        <f>#REF!-#REF!</f>
        <v>#REF!</v>
      </c>
      <c r="AZ560" s="315" t="e">
        <f>#REF!-#REF!</f>
        <v>#REF!</v>
      </c>
      <c r="BA560" s="315" t="e">
        <f>#REF!-#REF!</f>
        <v>#REF!</v>
      </c>
      <c r="BB560" s="315" t="e">
        <f>#REF!-#REF!</f>
        <v>#REF!</v>
      </c>
      <c r="BC560" s="315" t="e">
        <f>#REF!-#REF!</f>
        <v>#REF!</v>
      </c>
      <c r="BD560" s="315" t="e">
        <f>#REF!-#REF!</f>
        <v>#REF!</v>
      </c>
      <c r="BE560" s="315" t="e">
        <f>#REF!-#REF!</f>
        <v>#REF!</v>
      </c>
      <c r="BF560" s="315" t="e">
        <f>#REF!-#REF!</f>
        <v>#REF!</v>
      </c>
      <c r="BG560" s="315" t="e">
        <f>#REF!-#REF!</f>
        <v>#REF!</v>
      </c>
      <c r="BH560" s="315" t="e">
        <f>#REF!-#REF!</f>
        <v>#REF!</v>
      </c>
      <c r="BI560" s="315" t="e">
        <f>#REF!-#REF!</f>
        <v>#REF!</v>
      </c>
      <c r="BJ560" s="315" t="e">
        <f>#REF!-#REF!</f>
        <v>#REF!</v>
      </c>
      <c r="BK560" s="315" t="e">
        <f>#REF!-#REF!</f>
        <v>#REF!</v>
      </c>
      <c r="BL560" s="315" t="e">
        <f>#REF!-#REF!</f>
        <v>#REF!</v>
      </c>
      <c r="BM560" s="315" t="e">
        <f>#REF!-#REF!</f>
        <v>#REF!</v>
      </c>
      <c r="BN560" s="315" t="e">
        <f>#REF!-#REF!</f>
        <v>#REF!</v>
      </c>
      <c r="BO560" s="315" t="e">
        <f>#REF!-#REF!</f>
        <v>#REF!</v>
      </c>
      <c r="BP560" s="315" t="e">
        <f>#REF!-#REF!</f>
        <v>#REF!</v>
      </c>
      <c r="BQ560" s="315" t="e">
        <f>#REF!-#REF!</f>
        <v>#REF!</v>
      </c>
      <c r="BR560" s="315" t="e">
        <f>#REF!-#REF!</f>
        <v>#REF!</v>
      </c>
      <c r="BS560" s="315" t="e">
        <f>#REF!-#REF!</f>
        <v>#REF!</v>
      </c>
      <c r="BT560" s="315" t="e">
        <f>#REF!-#REF!</f>
        <v>#REF!</v>
      </c>
      <c r="BU560" s="315" t="e">
        <f>#REF!-#REF!</f>
        <v>#REF!</v>
      </c>
      <c r="BV560" s="315" t="e">
        <f>#REF!-#REF!</f>
        <v>#REF!</v>
      </c>
      <c r="BW560" s="315" t="e">
        <f>#REF!-#REF!</f>
        <v>#REF!</v>
      </c>
      <c r="BX560" s="315" t="e">
        <f>#REF!-#REF!</f>
        <v>#REF!</v>
      </c>
      <c r="BZ560" s="315" t="e">
        <f>#REF!-#REF!</f>
        <v>#REF!</v>
      </c>
      <c r="CA560" s="315" t="e">
        <f>#REF!-#REF!</f>
        <v>#REF!</v>
      </c>
    </row>
    <row r="561" spans="7:79" hidden="1" x14ac:dyDescent="0.2">
      <c r="G561" s="315" t="e">
        <f>#REF!-#REF!</f>
        <v>#REF!</v>
      </c>
      <c r="H561" s="315" t="e">
        <f>#REF!-#REF!</f>
        <v>#REF!</v>
      </c>
      <c r="I561" s="315" t="e">
        <f>#REF!-#REF!</f>
        <v>#REF!</v>
      </c>
      <c r="J561" s="315" t="e">
        <f>#REF!-#REF!</f>
        <v>#REF!</v>
      </c>
      <c r="K561" s="315" t="e">
        <f>#REF!-#REF!</f>
        <v>#REF!</v>
      </c>
      <c r="L561" s="315" t="e">
        <f>#REF!-#REF!</f>
        <v>#REF!</v>
      </c>
      <c r="M561" s="315" t="e">
        <f>#REF!-#REF!</f>
        <v>#REF!</v>
      </c>
      <c r="N561" s="315" t="e">
        <f>#REF!-#REF!</f>
        <v>#REF!</v>
      </c>
      <c r="O561" s="315" t="e">
        <f>#REF!-#REF!</f>
        <v>#REF!</v>
      </c>
      <c r="P561" s="315" t="e">
        <f>#REF!-#REF!</f>
        <v>#REF!</v>
      </c>
      <c r="Q561" s="315" t="e">
        <f>#REF!-#REF!</f>
        <v>#REF!</v>
      </c>
      <c r="R561" s="315" t="e">
        <f>#REF!-#REF!</f>
        <v>#REF!</v>
      </c>
      <c r="S561" s="315" t="e">
        <f>#REF!-#REF!</f>
        <v>#REF!</v>
      </c>
      <c r="T561" s="315" t="e">
        <f>#REF!-#REF!</f>
        <v>#REF!</v>
      </c>
      <c r="U561" s="315" t="e">
        <f>#REF!-#REF!</f>
        <v>#REF!</v>
      </c>
      <c r="V561" s="315" t="e">
        <f>#REF!-#REF!</f>
        <v>#REF!</v>
      </c>
      <c r="W561" s="315" t="e">
        <f>#REF!-#REF!</f>
        <v>#REF!</v>
      </c>
      <c r="X561" s="315" t="e">
        <f>#REF!-#REF!</f>
        <v>#REF!</v>
      </c>
      <c r="Y561" s="315" t="e">
        <f>#REF!-#REF!</f>
        <v>#REF!</v>
      </c>
      <c r="Z561" s="315" t="e">
        <f>#REF!-#REF!</f>
        <v>#REF!</v>
      </c>
      <c r="AA561" s="315" t="e">
        <f>#REF!-#REF!</f>
        <v>#REF!</v>
      </c>
      <c r="AB561" s="315" t="e">
        <f>#REF!-#REF!</f>
        <v>#REF!</v>
      </c>
      <c r="AC561" s="315" t="e">
        <f>#REF!-#REF!</f>
        <v>#REF!</v>
      </c>
      <c r="AD561" s="315" t="e">
        <f>#REF!-#REF!</f>
        <v>#REF!</v>
      </c>
      <c r="AE561" s="315" t="e">
        <f>#REF!-#REF!</f>
        <v>#REF!</v>
      </c>
      <c r="AF561" s="315" t="e">
        <f>#REF!-#REF!</f>
        <v>#REF!</v>
      </c>
      <c r="AG561" s="315" t="e">
        <f>#REF!-#REF!</f>
        <v>#REF!</v>
      </c>
      <c r="AH561" s="315" t="e">
        <f>#REF!-#REF!</f>
        <v>#REF!</v>
      </c>
      <c r="AI561" s="315" t="e">
        <f>#REF!-#REF!</f>
        <v>#REF!</v>
      </c>
      <c r="AJ561" s="315" t="e">
        <f>#REF!-#REF!</f>
        <v>#REF!</v>
      </c>
      <c r="AK561" s="315" t="e">
        <f>#REF!-#REF!</f>
        <v>#REF!</v>
      </c>
      <c r="AL561" s="315" t="e">
        <f>#REF!-#REF!</f>
        <v>#REF!</v>
      </c>
      <c r="AM561" s="315" t="e">
        <f>#REF!-#REF!</f>
        <v>#REF!</v>
      </c>
      <c r="AN561" s="315" t="e">
        <f>#REF!-#REF!</f>
        <v>#REF!</v>
      </c>
      <c r="AO561" s="315" t="e">
        <f>#REF!-#REF!</f>
        <v>#REF!</v>
      </c>
      <c r="AP561" s="315" t="e">
        <f>#REF!-#REF!</f>
        <v>#REF!</v>
      </c>
      <c r="AQ561" s="315" t="e">
        <f>#REF!-#REF!</f>
        <v>#REF!</v>
      </c>
      <c r="AR561" s="315" t="e">
        <f>#REF!-#REF!</f>
        <v>#REF!</v>
      </c>
      <c r="AS561" s="315" t="e">
        <f>#REF!-#REF!</f>
        <v>#REF!</v>
      </c>
      <c r="AT561" s="315" t="e">
        <f>#REF!-#REF!</f>
        <v>#REF!</v>
      </c>
      <c r="AU561" s="315" t="e">
        <f>#REF!-#REF!</f>
        <v>#REF!</v>
      </c>
      <c r="AV561" s="315" t="e">
        <f>#REF!-#REF!</f>
        <v>#REF!</v>
      </c>
      <c r="AW561" s="315" t="e">
        <f>#REF!-#REF!</f>
        <v>#REF!</v>
      </c>
      <c r="AX561" s="315" t="e">
        <f>#REF!-#REF!</f>
        <v>#REF!</v>
      </c>
      <c r="AY561" s="315" t="e">
        <f>#REF!-#REF!</f>
        <v>#REF!</v>
      </c>
      <c r="AZ561" s="315" t="e">
        <f>#REF!-#REF!</f>
        <v>#REF!</v>
      </c>
      <c r="BA561" s="315" t="e">
        <f>#REF!-#REF!</f>
        <v>#REF!</v>
      </c>
      <c r="BB561" s="315" t="e">
        <f>#REF!-#REF!</f>
        <v>#REF!</v>
      </c>
      <c r="BC561" s="315" t="e">
        <f>#REF!-#REF!</f>
        <v>#REF!</v>
      </c>
      <c r="BD561" s="315" t="e">
        <f>#REF!-#REF!</f>
        <v>#REF!</v>
      </c>
      <c r="BE561" s="315" t="e">
        <f>#REF!-#REF!</f>
        <v>#REF!</v>
      </c>
      <c r="BF561" s="315" t="e">
        <f>#REF!-#REF!</f>
        <v>#REF!</v>
      </c>
      <c r="BG561" s="315" t="e">
        <f>#REF!-#REF!</f>
        <v>#REF!</v>
      </c>
      <c r="BH561" s="315" t="e">
        <f>#REF!-#REF!</f>
        <v>#REF!</v>
      </c>
      <c r="BI561" s="315" t="e">
        <f>#REF!-#REF!</f>
        <v>#REF!</v>
      </c>
      <c r="BJ561" s="315" t="e">
        <f>#REF!-#REF!</f>
        <v>#REF!</v>
      </c>
      <c r="BK561" s="315" t="e">
        <f>#REF!-#REF!</f>
        <v>#REF!</v>
      </c>
      <c r="BL561" s="315" t="e">
        <f>#REF!-#REF!</f>
        <v>#REF!</v>
      </c>
      <c r="BM561" s="315" t="e">
        <f>#REF!-#REF!</f>
        <v>#REF!</v>
      </c>
      <c r="BN561" s="315" t="e">
        <f>#REF!-#REF!</f>
        <v>#REF!</v>
      </c>
      <c r="BO561" s="315" t="e">
        <f>#REF!-#REF!</f>
        <v>#REF!</v>
      </c>
      <c r="BP561" s="315" t="e">
        <f>#REF!-#REF!</f>
        <v>#REF!</v>
      </c>
      <c r="BQ561" s="315" t="e">
        <f>#REF!-#REF!</f>
        <v>#REF!</v>
      </c>
      <c r="BR561" s="315" t="e">
        <f>#REF!-#REF!</f>
        <v>#REF!</v>
      </c>
      <c r="BS561" s="315" t="e">
        <f>#REF!-#REF!</f>
        <v>#REF!</v>
      </c>
      <c r="BT561" s="315" t="e">
        <f>#REF!-#REF!</f>
        <v>#REF!</v>
      </c>
      <c r="BU561" s="315" t="e">
        <f>#REF!-#REF!</f>
        <v>#REF!</v>
      </c>
      <c r="BV561" s="315" t="e">
        <f>#REF!-#REF!</f>
        <v>#REF!</v>
      </c>
      <c r="BW561" s="315" t="e">
        <f>#REF!-#REF!</f>
        <v>#REF!</v>
      </c>
      <c r="BX561" s="315" t="e">
        <f>#REF!-#REF!</f>
        <v>#REF!</v>
      </c>
      <c r="BZ561" s="315" t="e">
        <f>#REF!-#REF!</f>
        <v>#REF!</v>
      </c>
      <c r="CA561" s="315" t="e">
        <f>#REF!-#REF!</f>
        <v>#REF!</v>
      </c>
    </row>
    <row r="562" spans="7:79" hidden="1" x14ac:dyDescent="0.2">
      <c r="G562" s="315" t="e">
        <f>#REF!-#REF!</f>
        <v>#REF!</v>
      </c>
      <c r="H562" s="315" t="e">
        <f>#REF!-#REF!</f>
        <v>#REF!</v>
      </c>
      <c r="I562" s="315" t="e">
        <f>#REF!-#REF!</f>
        <v>#REF!</v>
      </c>
      <c r="J562" s="315" t="e">
        <f>#REF!-#REF!</f>
        <v>#REF!</v>
      </c>
      <c r="K562" s="315" t="e">
        <f>#REF!-#REF!</f>
        <v>#REF!</v>
      </c>
      <c r="L562" s="315" t="e">
        <f>#REF!-#REF!</f>
        <v>#REF!</v>
      </c>
      <c r="M562" s="315" t="e">
        <f>#REF!-#REF!</f>
        <v>#REF!</v>
      </c>
      <c r="N562" s="315" t="e">
        <f>#REF!-#REF!</f>
        <v>#REF!</v>
      </c>
      <c r="O562" s="315" t="e">
        <f>#REF!-#REF!</f>
        <v>#REF!</v>
      </c>
      <c r="P562" s="315" t="e">
        <f>#REF!-#REF!</f>
        <v>#REF!</v>
      </c>
      <c r="Q562" s="315" t="e">
        <f>#REF!-#REF!</f>
        <v>#REF!</v>
      </c>
      <c r="R562" s="315" t="e">
        <f>#REF!-#REF!</f>
        <v>#REF!</v>
      </c>
      <c r="S562" s="315" t="e">
        <f>#REF!-#REF!</f>
        <v>#REF!</v>
      </c>
      <c r="T562" s="315" t="e">
        <f>#REF!-#REF!</f>
        <v>#REF!</v>
      </c>
      <c r="U562" s="315" t="e">
        <f>#REF!-#REF!</f>
        <v>#REF!</v>
      </c>
      <c r="V562" s="315" t="e">
        <f>#REF!-#REF!</f>
        <v>#REF!</v>
      </c>
      <c r="W562" s="315" t="e">
        <f>#REF!-#REF!</f>
        <v>#REF!</v>
      </c>
      <c r="X562" s="315" t="e">
        <f>#REF!-#REF!</f>
        <v>#REF!</v>
      </c>
      <c r="Y562" s="315" t="e">
        <f>#REF!-#REF!</f>
        <v>#REF!</v>
      </c>
      <c r="Z562" s="315" t="e">
        <f>#REF!-#REF!</f>
        <v>#REF!</v>
      </c>
      <c r="AA562" s="315" t="e">
        <f>#REF!-#REF!</f>
        <v>#REF!</v>
      </c>
      <c r="AB562" s="315" t="e">
        <f>#REF!-#REF!</f>
        <v>#REF!</v>
      </c>
      <c r="AC562" s="315" t="e">
        <f>#REF!-#REF!</f>
        <v>#REF!</v>
      </c>
      <c r="AD562" s="315" t="e">
        <f>#REF!-#REF!</f>
        <v>#REF!</v>
      </c>
      <c r="AE562" s="315" t="e">
        <f>#REF!-#REF!</f>
        <v>#REF!</v>
      </c>
      <c r="AF562" s="315" t="e">
        <f>#REF!-#REF!</f>
        <v>#REF!</v>
      </c>
      <c r="AG562" s="315" t="e">
        <f>#REF!-#REF!</f>
        <v>#REF!</v>
      </c>
      <c r="AH562" s="315" t="e">
        <f>#REF!-#REF!</f>
        <v>#REF!</v>
      </c>
      <c r="AI562" s="315" t="e">
        <f>#REF!-#REF!</f>
        <v>#REF!</v>
      </c>
      <c r="AJ562" s="315" t="e">
        <f>#REF!-#REF!</f>
        <v>#REF!</v>
      </c>
      <c r="AK562" s="315" t="e">
        <f>#REF!-#REF!</f>
        <v>#REF!</v>
      </c>
      <c r="AL562" s="315" t="e">
        <f>#REF!-#REF!</f>
        <v>#REF!</v>
      </c>
      <c r="AM562" s="315" t="e">
        <f>#REF!-#REF!</f>
        <v>#REF!</v>
      </c>
      <c r="AN562" s="315" t="e">
        <f>#REF!-#REF!</f>
        <v>#REF!</v>
      </c>
      <c r="AO562" s="315" t="e">
        <f>#REF!-#REF!</f>
        <v>#REF!</v>
      </c>
      <c r="AP562" s="315" t="e">
        <f>#REF!-#REF!</f>
        <v>#REF!</v>
      </c>
      <c r="AQ562" s="315" t="e">
        <f>#REF!-#REF!</f>
        <v>#REF!</v>
      </c>
      <c r="AR562" s="315" t="e">
        <f>#REF!-#REF!</f>
        <v>#REF!</v>
      </c>
      <c r="AS562" s="315" t="e">
        <f>#REF!-#REF!</f>
        <v>#REF!</v>
      </c>
      <c r="AT562" s="315" t="e">
        <f>#REF!-#REF!</f>
        <v>#REF!</v>
      </c>
      <c r="AU562" s="315" t="e">
        <f>#REF!-#REF!</f>
        <v>#REF!</v>
      </c>
      <c r="AV562" s="315" t="e">
        <f>#REF!-#REF!</f>
        <v>#REF!</v>
      </c>
      <c r="AW562" s="315" t="e">
        <f>#REF!-#REF!</f>
        <v>#REF!</v>
      </c>
      <c r="AX562" s="315" t="e">
        <f>#REF!-#REF!</f>
        <v>#REF!</v>
      </c>
      <c r="AY562" s="315" t="e">
        <f>#REF!-#REF!</f>
        <v>#REF!</v>
      </c>
      <c r="AZ562" s="315" t="e">
        <f>#REF!-#REF!</f>
        <v>#REF!</v>
      </c>
      <c r="BA562" s="315" t="e">
        <f>#REF!-#REF!</f>
        <v>#REF!</v>
      </c>
      <c r="BB562" s="315" t="e">
        <f>#REF!-#REF!</f>
        <v>#REF!</v>
      </c>
      <c r="BC562" s="315" t="e">
        <f>#REF!-#REF!</f>
        <v>#REF!</v>
      </c>
      <c r="BD562" s="315" t="e">
        <f>#REF!-#REF!</f>
        <v>#REF!</v>
      </c>
      <c r="BE562" s="315" t="e">
        <f>#REF!-#REF!</f>
        <v>#REF!</v>
      </c>
      <c r="BF562" s="315" t="e">
        <f>#REF!-#REF!</f>
        <v>#REF!</v>
      </c>
      <c r="BG562" s="315" t="e">
        <f>#REF!-#REF!</f>
        <v>#REF!</v>
      </c>
      <c r="BH562" s="315" t="e">
        <f>#REF!-#REF!</f>
        <v>#REF!</v>
      </c>
      <c r="BI562" s="315" t="e">
        <f>#REF!-#REF!</f>
        <v>#REF!</v>
      </c>
      <c r="BJ562" s="315" t="e">
        <f>#REF!-#REF!</f>
        <v>#REF!</v>
      </c>
      <c r="BK562" s="315" t="e">
        <f>#REF!-#REF!</f>
        <v>#REF!</v>
      </c>
      <c r="BL562" s="315" t="e">
        <f>#REF!-#REF!</f>
        <v>#REF!</v>
      </c>
      <c r="BM562" s="315" t="e">
        <f>#REF!-#REF!</f>
        <v>#REF!</v>
      </c>
      <c r="BN562" s="315" t="e">
        <f>#REF!-#REF!</f>
        <v>#REF!</v>
      </c>
      <c r="BO562" s="315" t="e">
        <f>#REF!-#REF!</f>
        <v>#REF!</v>
      </c>
      <c r="BP562" s="315" t="e">
        <f>#REF!-#REF!</f>
        <v>#REF!</v>
      </c>
      <c r="BQ562" s="315" t="e">
        <f>#REF!-#REF!</f>
        <v>#REF!</v>
      </c>
      <c r="BR562" s="315" t="e">
        <f>#REF!-#REF!</f>
        <v>#REF!</v>
      </c>
      <c r="BS562" s="315" t="e">
        <f>#REF!-#REF!</f>
        <v>#REF!</v>
      </c>
      <c r="BT562" s="315" t="e">
        <f>#REF!-#REF!</f>
        <v>#REF!</v>
      </c>
      <c r="BU562" s="315" t="e">
        <f>#REF!-#REF!</f>
        <v>#REF!</v>
      </c>
      <c r="BV562" s="315" t="e">
        <f>#REF!-#REF!</f>
        <v>#REF!</v>
      </c>
      <c r="BW562" s="315" t="e">
        <f>#REF!-#REF!</f>
        <v>#REF!</v>
      </c>
      <c r="BX562" s="315" t="e">
        <f>#REF!-#REF!</f>
        <v>#REF!</v>
      </c>
      <c r="BZ562" s="315" t="e">
        <f>#REF!-#REF!</f>
        <v>#REF!</v>
      </c>
      <c r="CA562" s="315" t="e">
        <f>#REF!-#REF!</f>
        <v>#REF!</v>
      </c>
    </row>
    <row r="563" spans="7:79" hidden="1" x14ac:dyDescent="0.2">
      <c r="G563" s="315" t="e">
        <f>#REF!-#REF!</f>
        <v>#REF!</v>
      </c>
      <c r="H563" s="315" t="e">
        <f>#REF!-#REF!</f>
        <v>#REF!</v>
      </c>
      <c r="I563" s="315" t="e">
        <f>#REF!-#REF!</f>
        <v>#REF!</v>
      </c>
      <c r="J563" s="315" t="e">
        <f>#REF!-#REF!</f>
        <v>#REF!</v>
      </c>
      <c r="K563" s="315" t="e">
        <f>#REF!-#REF!</f>
        <v>#REF!</v>
      </c>
      <c r="L563" s="315" t="e">
        <f>#REF!-#REF!</f>
        <v>#REF!</v>
      </c>
      <c r="M563" s="315" t="e">
        <f>#REF!-#REF!</f>
        <v>#REF!</v>
      </c>
      <c r="N563" s="315" t="e">
        <f>#REF!-#REF!</f>
        <v>#REF!</v>
      </c>
      <c r="O563" s="315" t="e">
        <f>#REF!-#REF!</f>
        <v>#REF!</v>
      </c>
      <c r="P563" s="315" t="e">
        <f>#REF!-#REF!</f>
        <v>#REF!</v>
      </c>
      <c r="Q563" s="315" t="e">
        <f>#REF!-#REF!</f>
        <v>#REF!</v>
      </c>
      <c r="R563" s="315" t="e">
        <f>#REF!-#REF!</f>
        <v>#REF!</v>
      </c>
      <c r="S563" s="315" t="e">
        <f>#REF!-#REF!</f>
        <v>#REF!</v>
      </c>
      <c r="T563" s="315" t="e">
        <f>#REF!-#REF!</f>
        <v>#REF!</v>
      </c>
      <c r="U563" s="315" t="e">
        <f>#REF!-#REF!</f>
        <v>#REF!</v>
      </c>
      <c r="V563" s="315" t="e">
        <f>#REF!-#REF!</f>
        <v>#REF!</v>
      </c>
      <c r="W563" s="315" t="e">
        <f>#REF!-#REF!</f>
        <v>#REF!</v>
      </c>
      <c r="X563" s="315" t="e">
        <f>#REF!-#REF!</f>
        <v>#REF!</v>
      </c>
      <c r="Y563" s="315" t="e">
        <f>#REF!-#REF!</f>
        <v>#REF!</v>
      </c>
      <c r="Z563" s="315" t="e">
        <f>#REF!-#REF!</f>
        <v>#REF!</v>
      </c>
      <c r="AA563" s="315" t="e">
        <f>#REF!-#REF!</f>
        <v>#REF!</v>
      </c>
      <c r="AB563" s="315" t="e">
        <f>#REF!-#REF!</f>
        <v>#REF!</v>
      </c>
      <c r="AC563" s="315" t="e">
        <f>#REF!-#REF!</f>
        <v>#REF!</v>
      </c>
      <c r="AD563" s="315" t="e">
        <f>#REF!-#REF!</f>
        <v>#REF!</v>
      </c>
      <c r="AE563" s="315" t="e">
        <f>#REF!-#REF!</f>
        <v>#REF!</v>
      </c>
      <c r="AF563" s="315" t="e">
        <f>#REF!-#REF!</f>
        <v>#REF!</v>
      </c>
      <c r="AG563" s="315" t="e">
        <f>#REF!-#REF!</f>
        <v>#REF!</v>
      </c>
      <c r="AH563" s="315" t="e">
        <f>#REF!-#REF!</f>
        <v>#REF!</v>
      </c>
      <c r="AI563" s="315" t="e">
        <f>#REF!-#REF!</f>
        <v>#REF!</v>
      </c>
      <c r="AJ563" s="315" t="e">
        <f>#REF!-#REF!</f>
        <v>#REF!</v>
      </c>
      <c r="AK563" s="315" t="e">
        <f>#REF!-#REF!</f>
        <v>#REF!</v>
      </c>
      <c r="AL563" s="315" t="e">
        <f>#REF!-#REF!</f>
        <v>#REF!</v>
      </c>
      <c r="AM563" s="315" t="e">
        <f>#REF!-#REF!</f>
        <v>#REF!</v>
      </c>
      <c r="AN563" s="315" t="e">
        <f>#REF!-#REF!</f>
        <v>#REF!</v>
      </c>
      <c r="AO563" s="315" t="e">
        <f>#REF!-#REF!</f>
        <v>#REF!</v>
      </c>
      <c r="AP563" s="315" t="e">
        <f>#REF!-#REF!</f>
        <v>#REF!</v>
      </c>
      <c r="AQ563" s="315" t="e">
        <f>#REF!-#REF!</f>
        <v>#REF!</v>
      </c>
      <c r="AR563" s="315" t="e">
        <f>#REF!-#REF!</f>
        <v>#REF!</v>
      </c>
      <c r="AS563" s="315" t="e">
        <f>#REF!-#REF!</f>
        <v>#REF!</v>
      </c>
      <c r="AT563" s="315" t="e">
        <f>#REF!-#REF!</f>
        <v>#REF!</v>
      </c>
      <c r="AU563" s="315" t="e">
        <f>#REF!-#REF!</f>
        <v>#REF!</v>
      </c>
      <c r="AV563" s="315" t="e">
        <f>#REF!-#REF!</f>
        <v>#REF!</v>
      </c>
      <c r="AW563" s="315" t="e">
        <f>#REF!-#REF!</f>
        <v>#REF!</v>
      </c>
      <c r="AX563" s="315" t="e">
        <f>#REF!-#REF!</f>
        <v>#REF!</v>
      </c>
      <c r="AY563" s="315" t="e">
        <f>#REF!-#REF!</f>
        <v>#REF!</v>
      </c>
      <c r="AZ563" s="315" t="e">
        <f>#REF!-#REF!</f>
        <v>#REF!</v>
      </c>
      <c r="BA563" s="315" t="e">
        <f>#REF!-#REF!</f>
        <v>#REF!</v>
      </c>
      <c r="BB563" s="315" t="e">
        <f>#REF!-#REF!</f>
        <v>#REF!</v>
      </c>
      <c r="BC563" s="315" t="e">
        <f>#REF!-#REF!</f>
        <v>#REF!</v>
      </c>
      <c r="BD563" s="315" t="e">
        <f>#REF!-#REF!</f>
        <v>#REF!</v>
      </c>
      <c r="BE563" s="315" t="e">
        <f>#REF!-#REF!</f>
        <v>#REF!</v>
      </c>
      <c r="BF563" s="315" t="e">
        <f>#REF!-#REF!</f>
        <v>#REF!</v>
      </c>
      <c r="BG563" s="315" t="e">
        <f>#REF!-#REF!</f>
        <v>#REF!</v>
      </c>
      <c r="BH563" s="315" t="e">
        <f>#REF!-#REF!</f>
        <v>#REF!</v>
      </c>
      <c r="BI563" s="315" t="e">
        <f>#REF!-#REF!</f>
        <v>#REF!</v>
      </c>
      <c r="BJ563" s="315" t="e">
        <f>#REF!-#REF!</f>
        <v>#REF!</v>
      </c>
      <c r="BK563" s="315" t="e">
        <f>#REF!-#REF!</f>
        <v>#REF!</v>
      </c>
      <c r="BL563" s="315" t="e">
        <f>#REF!-#REF!</f>
        <v>#REF!</v>
      </c>
      <c r="BM563" s="315" t="e">
        <f>#REF!-#REF!</f>
        <v>#REF!</v>
      </c>
      <c r="BN563" s="315" t="e">
        <f>#REF!-#REF!</f>
        <v>#REF!</v>
      </c>
      <c r="BO563" s="315" t="e">
        <f>#REF!-#REF!</f>
        <v>#REF!</v>
      </c>
      <c r="BP563" s="315" t="e">
        <f>#REF!-#REF!</f>
        <v>#REF!</v>
      </c>
      <c r="BQ563" s="315" t="e">
        <f>#REF!-#REF!</f>
        <v>#REF!</v>
      </c>
      <c r="BR563" s="315" t="e">
        <f>#REF!-#REF!</f>
        <v>#REF!</v>
      </c>
      <c r="BS563" s="315" t="e">
        <f>#REF!-#REF!</f>
        <v>#REF!</v>
      </c>
      <c r="BT563" s="315" t="e">
        <f>#REF!-#REF!</f>
        <v>#REF!</v>
      </c>
      <c r="BU563" s="315" t="e">
        <f>#REF!-#REF!</f>
        <v>#REF!</v>
      </c>
      <c r="BV563" s="315" t="e">
        <f>#REF!-#REF!</f>
        <v>#REF!</v>
      </c>
      <c r="BW563" s="315" t="e">
        <f>#REF!-#REF!</f>
        <v>#REF!</v>
      </c>
      <c r="BX563" s="315" t="e">
        <f>#REF!-#REF!</f>
        <v>#REF!</v>
      </c>
      <c r="BZ563" s="315" t="e">
        <f>#REF!-#REF!</f>
        <v>#REF!</v>
      </c>
      <c r="CA563" s="315" t="e">
        <f>#REF!-#REF!</f>
        <v>#REF!</v>
      </c>
    </row>
    <row r="564" spans="7:79" hidden="1" x14ac:dyDescent="0.2">
      <c r="G564" s="315" t="e">
        <f>#REF!-#REF!</f>
        <v>#REF!</v>
      </c>
      <c r="H564" s="315" t="e">
        <f>#REF!-#REF!</f>
        <v>#REF!</v>
      </c>
      <c r="I564" s="315" t="e">
        <f>#REF!-#REF!</f>
        <v>#REF!</v>
      </c>
      <c r="J564" s="315" t="e">
        <f>#REF!-#REF!</f>
        <v>#REF!</v>
      </c>
      <c r="K564" s="315" t="e">
        <f>#REF!-#REF!</f>
        <v>#REF!</v>
      </c>
      <c r="L564" s="315" t="e">
        <f>#REF!-#REF!</f>
        <v>#REF!</v>
      </c>
      <c r="M564" s="315" t="e">
        <f>#REF!-#REF!</f>
        <v>#REF!</v>
      </c>
      <c r="N564" s="315" t="e">
        <f>#REF!-#REF!</f>
        <v>#REF!</v>
      </c>
      <c r="O564" s="315" t="e">
        <f>#REF!-#REF!</f>
        <v>#REF!</v>
      </c>
      <c r="P564" s="315" t="e">
        <f>#REF!-#REF!</f>
        <v>#REF!</v>
      </c>
      <c r="Q564" s="315" t="e">
        <f>#REF!-#REF!</f>
        <v>#REF!</v>
      </c>
      <c r="R564" s="315" t="e">
        <f>#REF!-#REF!</f>
        <v>#REF!</v>
      </c>
      <c r="S564" s="315" t="e">
        <f>#REF!-#REF!</f>
        <v>#REF!</v>
      </c>
      <c r="T564" s="315" t="e">
        <f>#REF!-#REF!</f>
        <v>#REF!</v>
      </c>
      <c r="U564" s="315" t="e">
        <f>#REF!-#REF!</f>
        <v>#REF!</v>
      </c>
      <c r="V564" s="315" t="e">
        <f>#REF!-#REF!</f>
        <v>#REF!</v>
      </c>
      <c r="W564" s="315" t="e">
        <f>#REF!-#REF!</f>
        <v>#REF!</v>
      </c>
      <c r="X564" s="315" t="e">
        <f>#REF!-#REF!</f>
        <v>#REF!</v>
      </c>
      <c r="Y564" s="315" t="e">
        <f>#REF!-#REF!</f>
        <v>#REF!</v>
      </c>
      <c r="Z564" s="315" t="e">
        <f>#REF!-#REF!</f>
        <v>#REF!</v>
      </c>
      <c r="AA564" s="315" t="e">
        <f>#REF!-#REF!</f>
        <v>#REF!</v>
      </c>
      <c r="AB564" s="315" t="e">
        <f>#REF!-#REF!</f>
        <v>#REF!</v>
      </c>
      <c r="AC564" s="315" t="e">
        <f>#REF!-#REF!</f>
        <v>#REF!</v>
      </c>
      <c r="AD564" s="315" t="e">
        <f>#REF!-#REF!</f>
        <v>#REF!</v>
      </c>
      <c r="AE564" s="315" t="e">
        <f>#REF!-#REF!</f>
        <v>#REF!</v>
      </c>
      <c r="AF564" s="315" t="e">
        <f>#REF!-#REF!</f>
        <v>#REF!</v>
      </c>
      <c r="AG564" s="315" t="e">
        <f>#REF!-#REF!</f>
        <v>#REF!</v>
      </c>
      <c r="AH564" s="315" t="e">
        <f>#REF!-#REF!</f>
        <v>#REF!</v>
      </c>
      <c r="AI564" s="315" t="e">
        <f>#REF!-#REF!</f>
        <v>#REF!</v>
      </c>
      <c r="AJ564" s="315" t="e">
        <f>#REF!-#REF!</f>
        <v>#REF!</v>
      </c>
      <c r="AK564" s="315" t="e">
        <f>#REF!-#REF!</f>
        <v>#REF!</v>
      </c>
      <c r="AL564" s="315" t="e">
        <f>#REF!-#REF!</f>
        <v>#REF!</v>
      </c>
      <c r="AM564" s="315" t="e">
        <f>#REF!-#REF!</f>
        <v>#REF!</v>
      </c>
      <c r="AN564" s="315" t="e">
        <f>#REF!-#REF!</f>
        <v>#REF!</v>
      </c>
      <c r="AO564" s="315" t="e">
        <f>#REF!-#REF!</f>
        <v>#REF!</v>
      </c>
      <c r="AP564" s="315" t="e">
        <f>#REF!-#REF!</f>
        <v>#REF!</v>
      </c>
      <c r="AQ564" s="315" t="e">
        <f>#REF!-#REF!</f>
        <v>#REF!</v>
      </c>
      <c r="AR564" s="315" t="e">
        <f>#REF!-#REF!</f>
        <v>#REF!</v>
      </c>
      <c r="AS564" s="315" t="e">
        <f>#REF!-#REF!</f>
        <v>#REF!</v>
      </c>
      <c r="AT564" s="315" t="e">
        <f>#REF!-#REF!</f>
        <v>#REF!</v>
      </c>
      <c r="AU564" s="315" t="e">
        <f>#REF!-#REF!</f>
        <v>#REF!</v>
      </c>
      <c r="AV564" s="315" t="e">
        <f>#REF!-#REF!</f>
        <v>#REF!</v>
      </c>
      <c r="AW564" s="315" t="e">
        <f>#REF!-#REF!</f>
        <v>#REF!</v>
      </c>
      <c r="AX564" s="315" t="e">
        <f>#REF!-#REF!</f>
        <v>#REF!</v>
      </c>
      <c r="AY564" s="315" t="e">
        <f>#REF!-#REF!</f>
        <v>#REF!</v>
      </c>
      <c r="AZ564" s="315" t="e">
        <f>#REF!-#REF!</f>
        <v>#REF!</v>
      </c>
      <c r="BA564" s="315" t="e">
        <f>#REF!-#REF!</f>
        <v>#REF!</v>
      </c>
      <c r="BB564" s="315" t="e">
        <f>#REF!-#REF!</f>
        <v>#REF!</v>
      </c>
      <c r="BC564" s="315" t="e">
        <f>#REF!-#REF!</f>
        <v>#REF!</v>
      </c>
      <c r="BD564" s="315" t="e">
        <f>#REF!-#REF!</f>
        <v>#REF!</v>
      </c>
      <c r="BE564" s="315" t="e">
        <f>#REF!-#REF!</f>
        <v>#REF!</v>
      </c>
      <c r="BF564" s="315" t="e">
        <f>#REF!-#REF!</f>
        <v>#REF!</v>
      </c>
      <c r="BG564" s="315" t="e">
        <f>#REF!-#REF!</f>
        <v>#REF!</v>
      </c>
      <c r="BH564" s="315" t="e">
        <f>#REF!-#REF!</f>
        <v>#REF!</v>
      </c>
      <c r="BI564" s="315" t="e">
        <f>#REF!-#REF!</f>
        <v>#REF!</v>
      </c>
      <c r="BJ564" s="315" t="e">
        <f>#REF!-#REF!</f>
        <v>#REF!</v>
      </c>
      <c r="BK564" s="315" t="e">
        <f>#REF!-#REF!</f>
        <v>#REF!</v>
      </c>
      <c r="BL564" s="315" t="e">
        <f>#REF!-#REF!</f>
        <v>#REF!</v>
      </c>
      <c r="BM564" s="315" t="e">
        <f>#REF!-#REF!</f>
        <v>#REF!</v>
      </c>
      <c r="BN564" s="315" t="e">
        <f>#REF!-#REF!</f>
        <v>#REF!</v>
      </c>
      <c r="BO564" s="315" t="e">
        <f>#REF!-#REF!</f>
        <v>#REF!</v>
      </c>
      <c r="BP564" s="315" t="e">
        <f>#REF!-#REF!</f>
        <v>#REF!</v>
      </c>
      <c r="BQ564" s="315" t="e">
        <f>#REF!-#REF!</f>
        <v>#REF!</v>
      </c>
      <c r="BR564" s="315" t="e">
        <f>#REF!-#REF!</f>
        <v>#REF!</v>
      </c>
      <c r="BS564" s="315" t="e">
        <f>#REF!-#REF!</f>
        <v>#REF!</v>
      </c>
      <c r="BT564" s="315" t="e">
        <f>#REF!-#REF!</f>
        <v>#REF!</v>
      </c>
      <c r="BU564" s="315" t="e">
        <f>#REF!-#REF!</f>
        <v>#REF!</v>
      </c>
      <c r="BV564" s="315" t="e">
        <f>#REF!-#REF!</f>
        <v>#REF!</v>
      </c>
      <c r="BW564" s="315" t="e">
        <f>#REF!-#REF!</f>
        <v>#REF!</v>
      </c>
      <c r="BX564" s="315" t="e">
        <f>#REF!-#REF!</f>
        <v>#REF!</v>
      </c>
      <c r="BZ564" s="315" t="e">
        <f>#REF!-#REF!</f>
        <v>#REF!</v>
      </c>
      <c r="CA564" s="315" t="e">
        <f>#REF!-#REF!</f>
        <v>#REF!</v>
      </c>
    </row>
    <row r="565" spans="7:79" hidden="1" x14ac:dyDescent="0.2">
      <c r="G565" s="315" t="e">
        <f>#REF!-#REF!</f>
        <v>#REF!</v>
      </c>
      <c r="H565" s="315" t="e">
        <f>#REF!-#REF!</f>
        <v>#REF!</v>
      </c>
      <c r="I565" s="315" t="e">
        <f>#REF!-#REF!</f>
        <v>#REF!</v>
      </c>
      <c r="J565" s="315" t="e">
        <f>#REF!-#REF!</f>
        <v>#REF!</v>
      </c>
      <c r="K565" s="315" t="e">
        <f>#REF!-#REF!</f>
        <v>#REF!</v>
      </c>
      <c r="L565" s="315" t="e">
        <f>#REF!-#REF!</f>
        <v>#REF!</v>
      </c>
      <c r="M565" s="315" t="e">
        <f>#REF!-#REF!</f>
        <v>#REF!</v>
      </c>
      <c r="N565" s="315" t="e">
        <f>#REF!-#REF!</f>
        <v>#REF!</v>
      </c>
      <c r="O565" s="315" t="e">
        <f>#REF!-#REF!</f>
        <v>#REF!</v>
      </c>
      <c r="P565" s="315" t="e">
        <f>#REF!-#REF!</f>
        <v>#REF!</v>
      </c>
      <c r="Q565" s="315" t="e">
        <f>#REF!-#REF!</f>
        <v>#REF!</v>
      </c>
      <c r="R565" s="315" t="e">
        <f>#REF!-#REF!</f>
        <v>#REF!</v>
      </c>
      <c r="S565" s="315" t="e">
        <f>#REF!-#REF!</f>
        <v>#REF!</v>
      </c>
      <c r="T565" s="315" t="e">
        <f>#REF!-#REF!</f>
        <v>#REF!</v>
      </c>
      <c r="U565" s="315" t="e">
        <f>#REF!-#REF!</f>
        <v>#REF!</v>
      </c>
      <c r="V565" s="315" t="e">
        <f>#REF!-#REF!</f>
        <v>#REF!</v>
      </c>
      <c r="W565" s="315" t="e">
        <f>#REF!-#REF!</f>
        <v>#REF!</v>
      </c>
      <c r="X565" s="315" t="e">
        <f>#REF!-#REF!</f>
        <v>#REF!</v>
      </c>
      <c r="Y565" s="315" t="e">
        <f>#REF!-#REF!</f>
        <v>#REF!</v>
      </c>
      <c r="Z565" s="315" t="e">
        <f>#REF!-#REF!</f>
        <v>#REF!</v>
      </c>
      <c r="AA565" s="315" t="e">
        <f>#REF!-#REF!</f>
        <v>#REF!</v>
      </c>
      <c r="AB565" s="315" t="e">
        <f>#REF!-#REF!</f>
        <v>#REF!</v>
      </c>
      <c r="AC565" s="315" t="e">
        <f>#REF!-#REF!</f>
        <v>#REF!</v>
      </c>
      <c r="AD565" s="315" t="e">
        <f>#REF!-#REF!</f>
        <v>#REF!</v>
      </c>
      <c r="AE565" s="315" t="e">
        <f>#REF!-#REF!</f>
        <v>#REF!</v>
      </c>
      <c r="AF565" s="315" t="e">
        <f>#REF!-#REF!</f>
        <v>#REF!</v>
      </c>
      <c r="AG565" s="315" t="e">
        <f>#REF!-#REF!</f>
        <v>#REF!</v>
      </c>
      <c r="AH565" s="315" t="e">
        <f>#REF!-#REF!</f>
        <v>#REF!</v>
      </c>
      <c r="AI565" s="315" t="e">
        <f>#REF!-#REF!</f>
        <v>#REF!</v>
      </c>
      <c r="AJ565" s="315" t="e">
        <f>#REF!-#REF!</f>
        <v>#REF!</v>
      </c>
      <c r="AK565" s="315" t="e">
        <f>#REF!-#REF!</f>
        <v>#REF!</v>
      </c>
      <c r="AL565" s="315" t="e">
        <f>#REF!-#REF!</f>
        <v>#REF!</v>
      </c>
      <c r="AM565" s="315" t="e">
        <f>#REF!-#REF!</f>
        <v>#REF!</v>
      </c>
      <c r="AN565" s="315" t="e">
        <f>#REF!-#REF!</f>
        <v>#REF!</v>
      </c>
      <c r="AO565" s="315" t="e">
        <f>#REF!-#REF!</f>
        <v>#REF!</v>
      </c>
      <c r="AP565" s="315" t="e">
        <f>#REF!-#REF!</f>
        <v>#REF!</v>
      </c>
      <c r="AQ565" s="315" t="e">
        <f>#REF!-#REF!</f>
        <v>#REF!</v>
      </c>
      <c r="AR565" s="315" t="e">
        <f>#REF!-#REF!</f>
        <v>#REF!</v>
      </c>
      <c r="AS565" s="315" t="e">
        <f>#REF!-#REF!</f>
        <v>#REF!</v>
      </c>
      <c r="AT565" s="315" t="e">
        <f>#REF!-#REF!</f>
        <v>#REF!</v>
      </c>
      <c r="AU565" s="315" t="e">
        <f>#REF!-#REF!</f>
        <v>#REF!</v>
      </c>
      <c r="AV565" s="315" t="e">
        <f>#REF!-#REF!</f>
        <v>#REF!</v>
      </c>
      <c r="AW565" s="315" t="e">
        <f>#REF!-#REF!</f>
        <v>#REF!</v>
      </c>
      <c r="AX565" s="315" t="e">
        <f>#REF!-#REF!</f>
        <v>#REF!</v>
      </c>
      <c r="AY565" s="315" t="e">
        <f>#REF!-#REF!</f>
        <v>#REF!</v>
      </c>
      <c r="AZ565" s="315" t="e">
        <f>#REF!-#REF!</f>
        <v>#REF!</v>
      </c>
      <c r="BA565" s="315" t="e">
        <f>#REF!-#REF!</f>
        <v>#REF!</v>
      </c>
      <c r="BB565" s="315" t="e">
        <f>#REF!-#REF!</f>
        <v>#REF!</v>
      </c>
      <c r="BC565" s="315" t="e">
        <f>#REF!-#REF!</f>
        <v>#REF!</v>
      </c>
      <c r="BD565" s="315" t="e">
        <f>#REF!-#REF!</f>
        <v>#REF!</v>
      </c>
      <c r="BE565" s="315" t="e">
        <f>#REF!-#REF!</f>
        <v>#REF!</v>
      </c>
      <c r="BF565" s="315" t="e">
        <f>#REF!-#REF!</f>
        <v>#REF!</v>
      </c>
      <c r="BG565" s="315" t="e">
        <f>#REF!-#REF!</f>
        <v>#REF!</v>
      </c>
      <c r="BH565" s="315" t="e">
        <f>#REF!-#REF!</f>
        <v>#REF!</v>
      </c>
      <c r="BI565" s="315" t="e">
        <f>#REF!-#REF!</f>
        <v>#REF!</v>
      </c>
      <c r="BJ565" s="315" t="e">
        <f>#REF!-#REF!</f>
        <v>#REF!</v>
      </c>
      <c r="BK565" s="315" t="e">
        <f>#REF!-#REF!</f>
        <v>#REF!</v>
      </c>
      <c r="BL565" s="315" t="e">
        <f>#REF!-#REF!</f>
        <v>#REF!</v>
      </c>
      <c r="BM565" s="315" t="e">
        <f>#REF!-#REF!</f>
        <v>#REF!</v>
      </c>
      <c r="BN565" s="315" t="e">
        <f>#REF!-#REF!</f>
        <v>#REF!</v>
      </c>
      <c r="BO565" s="315" t="e">
        <f>#REF!-#REF!</f>
        <v>#REF!</v>
      </c>
      <c r="BP565" s="315" t="e">
        <f>#REF!-#REF!</f>
        <v>#REF!</v>
      </c>
      <c r="BQ565" s="315" t="e">
        <f>#REF!-#REF!</f>
        <v>#REF!</v>
      </c>
      <c r="BR565" s="315" t="e">
        <f>#REF!-#REF!</f>
        <v>#REF!</v>
      </c>
      <c r="BS565" s="315" t="e">
        <f>#REF!-#REF!</f>
        <v>#REF!</v>
      </c>
      <c r="BT565" s="315" t="e">
        <f>#REF!-#REF!</f>
        <v>#REF!</v>
      </c>
      <c r="BU565" s="315" t="e">
        <f>#REF!-#REF!</f>
        <v>#REF!</v>
      </c>
      <c r="BV565" s="315" t="e">
        <f>#REF!-#REF!</f>
        <v>#REF!</v>
      </c>
      <c r="BW565" s="315" t="e">
        <f>#REF!-#REF!</f>
        <v>#REF!</v>
      </c>
      <c r="BX565" s="315" t="e">
        <f>#REF!-#REF!</f>
        <v>#REF!</v>
      </c>
      <c r="BZ565" s="315" t="e">
        <f>#REF!-#REF!</f>
        <v>#REF!</v>
      </c>
      <c r="CA565" s="315" t="e">
        <f>#REF!-#REF!</f>
        <v>#REF!</v>
      </c>
    </row>
    <row r="566" spans="7:79" hidden="1" x14ac:dyDescent="0.2">
      <c r="G566" s="315" t="e">
        <f>#REF!-#REF!</f>
        <v>#REF!</v>
      </c>
      <c r="H566" s="315" t="e">
        <f>#REF!-#REF!</f>
        <v>#REF!</v>
      </c>
      <c r="I566" s="315" t="e">
        <f>#REF!-#REF!</f>
        <v>#REF!</v>
      </c>
      <c r="J566" s="315" t="e">
        <f>#REF!-#REF!</f>
        <v>#REF!</v>
      </c>
      <c r="K566" s="315" t="e">
        <f>#REF!-#REF!</f>
        <v>#REF!</v>
      </c>
      <c r="L566" s="315" t="e">
        <f>#REF!-#REF!</f>
        <v>#REF!</v>
      </c>
      <c r="M566" s="315" t="e">
        <f>#REF!-#REF!</f>
        <v>#REF!</v>
      </c>
      <c r="N566" s="315" t="e">
        <f>#REF!-#REF!</f>
        <v>#REF!</v>
      </c>
      <c r="O566" s="315" t="e">
        <f>#REF!-#REF!</f>
        <v>#REF!</v>
      </c>
      <c r="P566" s="315" t="e">
        <f>#REF!-#REF!</f>
        <v>#REF!</v>
      </c>
      <c r="Q566" s="315" t="e">
        <f>#REF!-#REF!</f>
        <v>#REF!</v>
      </c>
      <c r="R566" s="315" t="e">
        <f>#REF!-#REF!</f>
        <v>#REF!</v>
      </c>
      <c r="S566" s="315" t="e">
        <f>#REF!-#REF!</f>
        <v>#REF!</v>
      </c>
      <c r="T566" s="315" t="e">
        <f>#REF!-#REF!</f>
        <v>#REF!</v>
      </c>
      <c r="U566" s="315" t="e">
        <f>#REF!-#REF!</f>
        <v>#REF!</v>
      </c>
      <c r="V566" s="315" t="e">
        <f>#REF!-#REF!</f>
        <v>#REF!</v>
      </c>
      <c r="W566" s="315" t="e">
        <f>#REF!-#REF!</f>
        <v>#REF!</v>
      </c>
      <c r="X566" s="315" t="e">
        <f>#REF!-#REF!</f>
        <v>#REF!</v>
      </c>
      <c r="Y566" s="315" t="e">
        <f>#REF!-#REF!</f>
        <v>#REF!</v>
      </c>
      <c r="Z566" s="315" t="e">
        <f>#REF!-#REF!</f>
        <v>#REF!</v>
      </c>
      <c r="AA566" s="315" t="e">
        <f>#REF!-#REF!</f>
        <v>#REF!</v>
      </c>
      <c r="AB566" s="315" t="e">
        <f>#REF!-#REF!</f>
        <v>#REF!</v>
      </c>
      <c r="AC566" s="315" t="e">
        <f>#REF!-#REF!</f>
        <v>#REF!</v>
      </c>
      <c r="AD566" s="315" t="e">
        <f>#REF!-#REF!</f>
        <v>#REF!</v>
      </c>
      <c r="AE566" s="315" t="e">
        <f>#REF!-#REF!</f>
        <v>#REF!</v>
      </c>
      <c r="AF566" s="315" t="e">
        <f>#REF!-#REF!</f>
        <v>#REF!</v>
      </c>
      <c r="AG566" s="315" t="e">
        <f>#REF!-#REF!</f>
        <v>#REF!</v>
      </c>
      <c r="AH566" s="315" t="e">
        <f>#REF!-#REF!</f>
        <v>#REF!</v>
      </c>
      <c r="AI566" s="315" t="e">
        <f>#REF!-#REF!</f>
        <v>#REF!</v>
      </c>
      <c r="AJ566" s="315" t="e">
        <f>#REF!-#REF!</f>
        <v>#REF!</v>
      </c>
      <c r="AK566" s="315" t="e">
        <f>#REF!-#REF!</f>
        <v>#REF!</v>
      </c>
      <c r="AL566" s="315" t="e">
        <f>#REF!-#REF!</f>
        <v>#REF!</v>
      </c>
      <c r="AM566" s="315" t="e">
        <f>#REF!-#REF!</f>
        <v>#REF!</v>
      </c>
      <c r="AN566" s="315" t="e">
        <f>#REF!-#REF!</f>
        <v>#REF!</v>
      </c>
      <c r="AO566" s="315" t="e">
        <f>#REF!-#REF!</f>
        <v>#REF!</v>
      </c>
      <c r="AP566" s="315" t="e">
        <f>#REF!-#REF!</f>
        <v>#REF!</v>
      </c>
      <c r="AQ566" s="315" t="e">
        <f>#REF!-#REF!</f>
        <v>#REF!</v>
      </c>
      <c r="AR566" s="315" t="e">
        <f>#REF!-#REF!</f>
        <v>#REF!</v>
      </c>
      <c r="AS566" s="315" t="e">
        <f>#REF!-#REF!</f>
        <v>#REF!</v>
      </c>
      <c r="AT566" s="315" t="e">
        <f>#REF!-#REF!</f>
        <v>#REF!</v>
      </c>
      <c r="AU566" s="315" t="e">
        <f>#REF!-#REF!</f>
        <v>#REF!</v>
      </c>
      <c r="AV566" s="315" t="e">
        <f>#REF!-#REF!</f>
        <v>#REF!</v>
      </c>
      <c r="AW566" s="315" t="e">
        <f>#REF!-#REF!</f>
        <v>#REF!</v>
      </c>
      <c r="AX566" s="315" t="e">
        <f>#REF!-#REF!</f>
        <v>#REF!</v>
      </c>
      <c r="AY566" s="315" t="e">
        <f>#REF!-#REF!</f>
        <v>#REF!</v>
      </c>
      <c r="AZ566" s="315" t="e">
        <f>#REF!-#REF!</f>
        <v>#REF!</v>
      </c>
      <c r="BA566" s="315" t="e">
        <f>#REF!-#REF!</f>
        <v>#REF!</v>
      </c>
      <c r="BB566" s="315" t="e">
        <f>#REF!-#REF!</f>
        <v>#REF!</v>
      </c>
      <c r="BC566" s="315" t="e">
        <f>#REF!-#REF!</f>
        <v>#REF!</v>
      </c>
      <c r="BD566" s="315" t="e">
        <f>#REF!-#REF!</f>
        <v>#REF!</v>
      </c>
      <c r="BE566" s="315" t="e">
        <f>#REF!-#REF!</f>
        <v>#REF!</v>
      </c>
      <c r="BF566" s="315" t="e">
        <f>#REF!-#REF!</f>
        <v>#REF!</v>
      </c>
      <c r="BG566" s="315" t="e">
        <f>#REF!-#REF!</f>
        <v>#REF!</v>
      </c>
      <c r="BH566" s="315" t="e">
        <f>#REF!-#REF!</f>
        <v>#REF!</v>
      </c>
      <c r="BI566" s="315" t="e">
        <f>#REF!-#REF!</f>
        <v>#REF!</v>
      </c>
      <c r="BJ566" s="315" t="e">
        <f>#REF!-#REF!</f>
        <v>#REF!</v>
      </c>
      <c r="BK566" s="315" t="e">
        <f>#REF!-#REF!</f>
        <v>#REF!</v>
      </c>
      <c r="BL566" s="315" t="e">
        <f>#REF!-#REF!</f>
        <v>#REF!</v>
      </c>
      <c r="BM566" s="315" t="e">
        <f>#REF!-#REF!</f>
        <v>#REF!</v>
      </c>
      <c r="BN566" s="315" t="e">
        <f>#REF!-#REF!</f>
        <v>#REF!</v>
      </c>
      <c r="BO566" s="315" t="e">
        <f>#REF!-#REF!</f>
        <v>#REF!</v>
      </c>
      <c r="BP566" s="315" t="e">
        <f>#REF!-#REF!</f>
        <v>#REF!</v>
      </c>
      <c r="BQ566" s="315" t="e">
        <f>#REF!-#REF!</f>
        <v>#REF!</v>
      </c>
      <c r="BR566" s="315" t="e">
        <f>#REF!-#REF!</f>
        <v>#REF!</v>
      </c>
      <c r="BS566" s="315" t="e">
        <f>#REF!-#REF!</f>
        <v>#REF!</v>
      </c>
      <c r="BT566" s="315" t="e">
        <f>#REF!-#REF!</f>
        <v>#REF!</v>
      </c>
      <c r="BU566" s="315" t="e">
        <f>#REF!-#REF!</f>
        <v>#REF!</v>
      </c>
      <c r="BV566" s="315" t="e">
        <f>#REF!-#REF!</f>
        <v>#REF!</v>
      </c>
      <c r="BW566" s="315" t="e">
        <f>#REF!-#REF!</f>
        <v>#REF!</v>
      </c>
      <c r="BX566" s="315" t="e">
        <f>#REF!-#REF!</f>
        <v>#REF!</v>
      </c>
      <c r="BZ566" s="315" t="e">
        <f>#REF!-#REF!</f>
        <v>#REF!</v>
      </c>
      <c r="CA566" s="315" t="e">
        <f>#REF!-#REF!</f>
        <v>#REF!</v>
      </c>
    </row>
    <row r="567" spans="7:79" hidden="1" x14ac:dyDescent="0.2">
      <c r="G567" s="315" t="e">
        <f>#REF!-#REF!</f>
        <v>#REF!</v>
      </c>
      <c r="H567" s="315" t="e">
        <f>#REF!-#REF!</f>
        <v>#REF!</v>
      </c>
      <c r="I567" s="315" t="e">
        <f>#REF!-#REF!</f>
        <v>#REF!</v>
      </c>
      <c r="J567" s="315" t="e">
        <f>#REF!-#REF!</f>
        <v>#REF!</v>
      </c>
      <c r="K567" s="315" t="e">
        <f>#REF!-#REF!</f>
        <v>#REF!</v>
      </c>
      <c r="L567" s="315" t="e">
        <f>#REF!-#REF!</f>
        <v>#REF!</v>
      </c>
      <c r="M567" s="315" t="e">
        <f>#REF!-#REF!</f>
        <v>#REF!</v>
      </c>
      <c r="N567" s="315" t="e">
        <f>#REF!-#REF!</f>
        <v>#REF!</v>
      </c>
      <c r="O567" s="315" t="e">
        <f>#REF!-#REF!</f>
        <v>#REF!</v>
      </c>
      <c r="P567" s="315" t="e">
        <f>#REF!-#REF!</f>
        <v>#REF!</v>
      </c>
      <c r="Q567" s="315" t="e">
        <f>#REF!-#REF!</f>
        <v>#REF!</v>
      </c>
      <c r="R567" s="315" t="e">
        <f>#REF!-#REF!</f>
        <v>#REF!</v>
      </c>
      <c r="S567" s="315" t="e">
        <f>#REF!-#REF!</f>
        <v>#REF!</v>
      </c>
      <c r="T567" s="315" t="e">
        <f>#REF!-#REF!</f>
        <v>#REF!</v>
      </c>
      <c r="U567" s="315" t="e">
        <f>#REF!-#REF!</f>
        <v>#REF!</v>
      </c>
      <c r="V567" s="315" t="e">
        <f>#REF!-#REF!</f>
        <v>#REF!</v>
      </c>
      <c r="W567" s="315" t="e">
        <f>#REF!-#REF!</f>
        <v>#REF!</v>
      </c>
      <c r="X567" s="315" t="e">
        <f>#REF!-#REF!</f>
        <v>#REF!</v>
      </c>
      <c r="Y567" s="315" t="e">
        <f>#REF!-#REF!</f>
        <v>#REF!</v>
      </c>
      <c r="Z567" s="315" t="e">
        <f>#REF!-#REF!</f>
        <v>#REF!</v>
      </c>
      <c r="AA567" s="315" t="e">
        <f>#REF!-#REF!</f>
        <v>#REF!</v>
      </c>
      <c r="AB567" s="315" t="e">
        <f>#REF!-#REF!</f>
        <v>#REF!</v>
      </c>
      <c r="AC567" s="315" t="e">
        <f>#REF!-#REF!</f>
        <v>#REF!</v>
      </c>
      <c r="AD567" s="315" t="e">
        <f>#REF!-#REF!</f>
        <v>#REF!</v>
      </c>
      <c r="AE567" s="315" t="e">
        <f>#REF!-#REF!</f>
        <v>#REF!</v>
      </c>
      <c r="AF567" s="315" t="e">
        <f>#REF!-#REF!</f>
        <v>#REF!</v>
      </c>
      <c r="AG567" s="315" t="e">
        <f>#REF!-#REF!</f>
        <v>#REF!</v>
      </c>
      <c r="AH567" s="315" t="e">
        <f>#REF!-#REF!</f>
        <v>#REF!</v>
      </c>
      <c r="AI567" s="315" t="e">
        <f>#REF!-#REF!</f>
        <v>#REF!</v>
      </c>
      <c r="AJ567" s="315" t="e">
        <f>#REF!-#REF!</f>
        <v>#REF!</v>
      </c>
      <c r="AK567" s="315" t="e">
        <f>#REF!-#REF!</f>
        <v>#REF!</v>
      </c>
      <c r="AL567" s="315" t="e">
        <f>#REF!-#REF!</f>
        <v>#REF!</v>
      </c>
      <c r="AM567" s="315" t="e">
        <f>#REF!-#REF!</f>
        <v>#REF!</v>
      </c>
      <c r="AN567" s="315" t="e">
        <f>#REF!-#REF!</f>
        <v>#REF!</v>
      </c>
      <c r="AO567" s="315" t="e">
        <f>#REF!-#REF!</f>
        <v>#REF!</v>
      </c>
      <c r="AP567" s="315" t="e">
        <f>#REF!-#REF!</f>
        <v>#REF!</v>
      </c>
      <c r="AQ567" s="315" t="e">
        <f>#REF!-#REF!</f>
        <v>#REF!</v>
      </c>
      <c r="AR567" s="315" t="e">
        <f>#REF!-#REF!</f>
        <v>#REF!</v>
      </c>
      <c r="AS567" s="315" t="e">
        <f>#REF!-#REF!</f>
        <v>#REF!</v>
      </c>
      <c r="AT567" s="315" t="e">
        <f>#REF!-#REF!</f>
        <v>#REF!</v>
      </c>
      <c r="AU567" s="315" t="e">
        <f>#REF!-#REF!</f>
        <v>#REF!</v>
      </c>
      <c r="AV567" s="315" t="e">
        <f>#REF!-#REF!</f>
        <v>#REF!</v>
      </c>
      <c r="AW567" s="315" t="e">
        <f>#REF!-#REF!</f>
        <v>#REF!</v>
      </c>
      <c r="AX567" s="315" t="e">
        <f>#REF!-#REF!</f>
        <v>#REF!</v>
      </c>
      <c r="AY567" s="315" t="e">
        <f>#REF!-#REF!</f>
        <v>#REF!</v>
      </c>
      <c r="AZ567" s="315" t="e">
        <f>#REF!-#REF!</f>
        <v>#REF!</v>
      </c>
      <c r="BA567" s="315" t="e">
        <f>#REF!-#REF!</f>
        <v>#REF!</v>
      </c>
      <c r="BB567" s="315" t="e">
        <f>#REF!-#REF!</f>
        <v>#REF!</v>
      </c>
      <c r="BC567" s="315" t="e">
        <f>#REF!-#REF!</f>
        <v>#REF!</v>
      </c>
      <c r="BD567" s="315" t="e">
        <f>#REF!-#REF!</f>
        <v>#REF!</v>
      </c>
      <c r="BE567" s="315" t="e">
        <f>#REF!-#REF!</f>
        <v>#REF!</v>
      </c>
      <c r="BF567" s="315" t="e">
        <f>#REF!-#REF!</f>
        <v>#REF!</v>
      </c>
      <c r="BG567" s="315" t="e">
        <f>#REF!-#REF!</f>
        <v>#REF!</v>
      </c>
      <c r="BH567" s="315" t="e">
        <f>#REF!-#REF!</f>
        <v>#REF!</v>
      </c>
      <c r="BI567" s="315" t="e">
        <f>#REF!-#REF!</f>
        <v>#REF!</v>
      </c>
      <c r="BJ567" s="315" t="e">
        <f>#REF!-#REF!</f>
        <v>#REF!</v>
      </c>
      <c r="BK567" s="315" t="e">
        <f>#REF!-#REF!</f>
        <v>#REF!</v>
      </c>
      <c r="BL567" s="315" t="e">
        <f>#REF!-#REF!</f>
        <v>#REF!</v>
      </c>
      <c r="BM567" s="315" t="e">
        <f>#REF!-#REF!</f>
        <v>#REF!</v>
      </c>
      <c r="BN567" s="315" t="e">
        <f>#REF!-#REF!</f>
        <v>#REF!</v>
      </c>
      <c r="BO567" s="315" t="e">
        <f>#REF!-#REF!</f>
        <v>#REF!</v>
      </c>
      <c r="BP567" s="315" t="e">
        <f>#REF!-#REF!</f>
        <v>#REF!</v>
      </c>
      <c r="BQ567" s="315" t="e">
        <f>#REF!-#REF!</f>
        <v>#REF!</v>
      </c>
      <c r="BR567" s="315" t="e">
        <f>#REF!-#REF!</f>
        <v>#REF!</v>
      </c>
      <c r="BS567" s="315" t="e">
        <f>#REF!-#REF!</f>
        <v>#REF!</v>
      </c>
      <c r="BT567" s="315" t="e">
        <f>#REF!-#REF!</f>
        <v>#REF!</v>
      </c>
      <c r="BU567" s="315" t="e">
        <f>#REF!-#REF!</f>
        <v>#REF!</v>
      </c>
      <c r="BV567" s="315" t="e">
        <f>#REF!-#REF!</f>
        <v>#REF!</v>
      </c>
      <c r="BW567" s="315" t="e">
        <f>#REF!-#REF!</f>
        <v>#REF!</v>
      </c>
      <c r="BX567" s="315" t="e">
        <f>#REF!-#REF!</f>
        <v>#REF!</v>
      </c>
      <c r="BZ567" s="315" t="e">
        <f>#REF!-#REF!</f>
        <v>#REF!</v>
      </c>
      <c r="CA567" s="315" t="e">
        <f>#REF!-#REF!</f>
        <v>#REF!</v>
      </c>
    </row>
    <row r="568" spans="7:79" hidden="1" x14ac:dyDescent="0.2">
      <c r="G568" s="315" t="e">
        <f>#REF!-#REF!</f>
        <v>#REF!</v>
      </c>
      <c r="H568" s="315" t="e">
        <f>#REF!-#REF!</f>
        <v>#REF!</v>
      </c>
      <c r="I568" s="315" t="e">
        <f>#REF!-#REF!</f>
        <v>#REF!</v>
      </c>
      <c r="J568" s="315" t="e">
        <f>#REF!-#REF!</f>
        <v>#REF!</v>
      </c>
      <c r="K568" s="315" t="e">
        <f>#REF!-#REF!</f>
        <v>#REF!</v>
      </c>
      <c r="L568" s="315" t="e">
        <f>#REF!-#REF!</f>
        <v>#REF!</v>
      </c>
      <c r="M568" s="315" t="e">
        <f>#REF!-#REF!</f>
        <v>#REF!</v>
      </c>
      <c r="N568" s="315" t="e">
        <f>#REF!-#REF!</f>
        <v>#REF!</v>
      </c>
      <c r="O568" s="315" t="e">
        <f>#REF!-#REF!</f>
        <v>#REF!</v>
      </c>
      <c r="P568" s="315" t="e">
        <f>#REF!-#REF!</f>
        <v>#REF!</v>
      </c>
      <c r="Q568" s="315" t="e">
        <f>#REF!-#REF!</f>
        <v>#REF!</v>
      </c>
      <c r="R568" s="315" t="e">
        <f>#REF!-#REF!</f>
        <v>#REF!</v>
      </c>
      <c r="S568" s="315" t="e">
        <f>#REF!-#REF!</f>
        <v>#REF!</v>
      </c>
      <c r="T568" s="315" t="e">
        <f>#REF!-#REF!</f>
        <v>#REF!</v>
      </c>
      <c r="U568" s="315" t="e">
        <f>#REF!-#REF!</f>
        <v>#REF!</v>
      </c>
      <c r="V568" s="315" t="e">
        <f>#REF!-#REF!</f>
        <v>#REF!</v>
      </c>
      <c r="W568" s="315" t="e">
        <f>#REF!-#REF!</f>
        <v>#REF!</v>
      </c>
      <c r="X568" s="315" t="e">
        <f>#REF!-#REF!</f>
        <v>#REF!</v>
      </c>
      <c r="Y568" s="315" t="e">
        <f>#REF!-#REF!</f>
        <v>#REF!</v>
      </c>
      <c r="Z568" s="315" t="e">
        <f>#REF!-#REF!</f>
        <v>#REF!</v>
      </c>
      <c r="AA568" s="315" t="e">
        <f>#REF!-#REF!</f>
        <v>#REF!</v>
      </c>
      <c r="AB568" s="315" t="e">
        <f>#REF!-#REF!</f>
        <v>#REF!</v>
      </c>
      <c r="AC568" s="315" t="e">
        <f>#REF!-#REF!</f>
        <v>#REF!</v>
      </c>
      <c r="AD568" s="315" t="e">
        <f>#REF!-#REF!</f>
        <v>#REF!</v>
      </c>
      <c r="AE568" s="315" t="e">
        <f>#REF!-#REF!</f>
        <v>#REF!</v>
      </c>
      <c r="AF568" s="315" t="e">
        <f>#REF!-#REF!</f>
        <v>#REF!</v>
      </c>
      <c r="AG568" s="315" t="e">
        <f>#REF!-#REF!</f>
        <v>#REF!</v>
      </c>
      <c r="AH568" s="315" t="e">
        <f>#REF!-#REF!</f>
        <v>#REF!</v>
      </c>
      <c r="AI568" s="315" t="e">
        <f>#REF!-#REF!</f>
        <v>#REF!</v>
      </c>
      <c r="AJ568" s="315" t="e">
        <f>#REF!-#REF!</f>
        <v>#REF!</v>
      </c>
      <c r="AK568" s="315" t="e">
        <f>#REF!-#REF!</f>
        <v>#REF!</v>
      </c>
      <c r="AL568" s="315" t="e">
        <f>#REF!-#REF!</f>
        <v>#REF!</v>
      </c>
      <c r="AM568" s="315" t="e">
        <f>#REF!-#REF!</f>
        <v>#REF!</v>
      </c>
      <c r="AN568" s="315" t="e">
        <f>#REF!-#REF!</f>
        <v>#REF!</v>
      </c>
      <c r="AO568" s="315" t="e">
        <f>#REF!-#REF!</f>
        <v>#REF!</v>
      </c>
      <c r="AP568" s="315" t="e">
        <f>#REF!-#REF!</f>
        <v>#REF!</v>
      </c>
      <c r="AQ568" s="315" t="e">
        <f>#REF!-#REF!</f>
        <v>#REF!</v>
      </c>
      <c r="AR568" s="315" t="e">
        <f>#REF!-#REF!</f>
        <v>#REF!</v>
      </c>
      <c r="AS568" s="315" t="e">
        <f>#REF!-#REF!</f>
        <v>#REF!</v>
      </c>
      <c r="AT568" s="315" t="e">
        <f>#REF!-#REF!</f>
        <v>#REF!</v>
      </c>
      <c r="AU568" s="315" t="e">
        <f>#REF!-#REF!</f>
        <v>#REF!</v>
      </c>
      <c r="AV568" s="315" t="e">
        <f>#REF!-#REF!</f>
        <v>#REF!</v>
      </c>
      <c r="AW568" s="315" t="e">
        <f>#REF!-#REF!</f>
        <v>#REF!</v>
      </c>
      <c r="AX568" s="315" t="e">
        <f>#REF!-#REF!</f>
        <v>#REF!</v>
      </c>
      <c r="AY568" s="315" t="e">
        <f>#REF!-#REF!</f>
        <v>#REF!</v>
      </c>
      <c r="AZ568" s="315" t="e">
        <f>#REF!-#REF!</f>
        <v>#REF!</v>
      </c>
      <c r="BA568" s="315" t="e">
        <f>#REF!-#REF!</f>
        <v>#REF!</v>
      </c>
      <c r="BB568" s="315" t="e">
        <f>#REF!-#REF!</f>
        <v>#REF!</v>
      </c>
      <c r="BC568" s="315" t="e">
        <f>#REF!-#REF!</f>
        <v>#REF!</v>
      </c>
      <c r="BD568" s="315" t="e">
        <f>#REF!-#REF!</f>
        <v>#REF!</v>
      </c>
      <c r="BE568" s="315" t="e">
        <f>#REF!-#REF!</f>
        <v>#REF!</v>
      </c>
      <c r="BF568" s="315" t="e">
        <f>#REF!-#REF!</f>
        <v>#REF!</v>
      </c>
      <c r="BG568" s="315" t="e">
        <f>#REF!-#REF!</f>
        <v>#REF!</v>
      </c>
      <c r="BH568" s="315" t="e">
        <f>#REF!-#REF!</f>
        <v>#REF!</v>
      </c>
      <c r="BI568" s="315" t="e">
        <f>#REF!-#REF!</f>
        <v>#REF!</v>
      </c>
      <c r="BJ568" s="315" t="e">
        <f>#REF!-#REF!</f>
        <v>#REF!</v>
      </c>
      <c r="BK568" s="315" t="e">
        <f>#REF!-#REF!</f>
        <v>#REF!</v>
      </c>
      <c r="BL568" s="315" t="e">
        <f>#REF!-#REF!</f>
        <v>#REF!</v>
      </c>
      <c r="BM568" s="315" t="e">
        <f>#REF!-#REF!</f>
        <v>#REF!</v>
      </c>
      <c r="BN568" s="315" t="e">
        <f>#REF!-#REF!</f>
        <v>#REF!</v>
      </c>
      <c r="BO568" s="315" t="e">
        <f>#REF!-#REF!</f>
        <v>#REF!</v>
      </c>
      <c r="BP568" s="315" t="e">
        <f>#REF!-#REF!</f>
        <v>#REF!</v>
      </c>
      <c r="BQ568" s="315" t="e">
        <f>#REF!-#REF!</f>
        <v>#REF!</v>
      </c>
      <c r="BR568" s="315" t="e">
        <f>#REF!-#REF!</f>
        <v>#REF!</v>
      </c>
      <c r="BS568" s="315" t="e">
        <f>#REF!-#REF!</f>
        <v>#REF!</v>
      </c>
      <c r="BT568" s="315" t="e">
        <f>#REF!-#REF!</f>
        <v>#REF!</v>
      </c>
      <c r="BU568" s="315" t="e">
        <f>#REF!-#REF!</f>
        <v>#REF!</v>
      </c>
      <c r="BV568" s="315" t="e">
        <f>#REF!-#REF!</f>
        <v>#REF!</v>
      </c>
      <c r="BW568" s="315" t="e">
        <f>#REF!-#REF!</f>
        <v>#REF!</v>
      </c>
      <c r="BX568" s="315" t="e">
        <f>#REF!-#REF!</f>
        <v>#REF!</v>
      </c>
      <c r="BZ568" s="315" t="e">
        <f>#REF!-#REF!</f>
        <v>#REF!</v>
      </c>
      <c r="CA568" s="315" t="e">
        <f>#REF!-#REF!</f>
        <v>#REF!</v>
      </c>
    </row>
    <row r="569" spans="7:79" hidden="1" x14ac:dyDescent="0.2">
      <c r="G569" s="315" t="e">
        <f>#REF!-#REF!</f>
        <v>#REF!</v>
      </c>
      <c r="H569" s="315" t="e">
        <f>#REF!-#REF!</f>
        <v>#REF!</v>
      </c>
      <c r="I569" s="315" t="e">
        <f>#REF!-#REF!</f>
        <v>#REF!</v>
      </c>
      <c r="J569" s="315" t="e">
        <f>#REF!-#REF!</f>
        <v>#REF!</v>
      </c>
      <c r="K569" s="315" t="e">
        <f>#REF!-#REF!</f>
        <v>#REF!</v>
      </c>
      <c r="L569" s="315" t="e">
        <f>#REF!-#REF!</f>
        <v>#REF!</v>
      </c>
      <c r="M569" s="315" t="e">
        <f>#REF!-#REF!</f>
        <v>#REF!</v>
      </c>
      <c r="N569" s="315" t="e">
        <f>#REF!-#REF!</f>
        <v>#REF!</v>
      </c>
      <c r="O569" s="315" t="e">
        <f>#REF!-#REF!</f>
        <v>#REF!</v>
      </c>
      <c r="P569" s="315" t="e">
        <f>#REF!-#REF!</f>
        <v>#REF!</v>
      </c>
      <c r="Q569" s="315" t="e">
        <f>#REF!-#REF!</f>
        <v>#REF!</v>
      </c>
      <c r="R569" s="315" t="e">
        <f>#REF!-#REF!</f>
        <v>#REF!</v>
      </c>
      <c r="S569" s="315" t="e">
        <f>#REF!-#REF!</f>
        <v>#REF!</v>
      </c>
      <c r="T569" s="315" t="e">
        <f>#REF!-#REF!</f>
        <v>#REF!</v>
      </c>
      <c r="U569" s="315" t="e">
        <f>#REF!-#REF!</f>
        <v>#REF!</v>
      </c>
      <c r="V569" s="315" t="e">
        <f>#REF!-#REF!</f>
        <v>#REF!</v>
      </c>
      <c r="W569" s="315" t="e">
        <f>#REF!-#REF!</f>
        <v>#REF!</v>
      </c>
      <c r="X569" s="315" t="e">
        <f>#REF!-#REF!</f>
        <v>#REF!</v>
      </c>
      <c r="Y569" s="315" t="e">
        <f>#REF!-#REF!</f>
        <v>#REF!</v>
      </c>
      <c r="Z569" s="315" t="e">
        <f>#REF!-#REF!</f>
        <v>#REF!</v>
      </c>
      <c r="AA569" s="315" t="e">
        <f>#REF!-#REF!</f>
        <v>#REF!</v>
      </c>
      <c r="AB569" s="315" t="e">
        <f>#REF!-#REF!</f>
        <v>#REF!</v>
      </c>
      <c r="AC569" s="315" t="e">
        <f>#REF!-#REF!</f>
        <v>#REF!</v>
      </c>
      <c r="AD569" s="315" t="e">
        <f>#REF!-#REF!</f>
        <v>#REF!</v>
      </c>
      <c r="AE569" s="315" t="e">
        <f>#REF!-#REF!</f>
        <v>#REF!</v>
      </c>
      <c r="AF569" s="315" t="e">
        <f>#REF!-#REF!</f>
        <v>#REF!</v>
      </c>
      <c r="AG569" s="315" t="e">
        <f>#REF!-#REF!</f>
        <v>#REF!</v>
      </c>
      <c r="AH569" s="315" t="e">
        <f>#REF!-#REF!</f>
        <v>#REF!</v>
      </c>
      <c r="AI569" s="315" t="e">
        <f>#REF!-#REF!</f>
        <v>#REF!</v>
      </c>
      <c r="AJ569" s="315" t="e">
        <f>#REF!-#REF!</f>
        <v>#REF!</v>
      </c>
      <c r="AK569" s="315" t="e">
        <f>#REF!-#REF!</f>
        <v>#REF!</v>
      </c>
      <c r="AL569" s="315" t="e">
        <f>#REF!-#REF!</f>
        <v>#REF!</v>
      </c>
      <c r="AM569" s="315" t="e">
        <f>#REF!-#REF!</f>
        <v>#REF!</v>
      </c>
      <c r="AN569" s="315" t="e">
        <f>#REF!-#REF!</f>
        <v>#REF!</v>
      </c>
      <c r="AO569" s="315" t="e">
        <f>#REF!-#REF!</f>
        <v>#REF!</v>
      </c>
      <c r="AP569" s="315" t="e">
        <f>#REF!-#REF!</f>
        <v>#REF!</v>
      </c>
      <c r="AQ569" s="315" t="e">
        <f>#REF!-#REF!</f>
        <v>#REF!</v>
      </c>
      <c r="AR569" s="315" t="e">
        <f>#REF!-#REF!</f>
        <v>#REF!</v>
      </c>
      <c r="AS569" s="315" t="e">
        <f>#REF!-#REF!</f>
        <v>#REF!</v>
      </c>
      <c r="AT569" s="315" t="e">
        <f>#REF!-#REF!</f>
        <v>#REF!</v>
      </c>
      <c r="AU569" s="315" t="e">
        <f>#REF!-#REF!</f>
        <v>#REF!</v>
      </c>
      <c r="AV569" s="315" t="e">
        <f>#REF!-#REF!</f>
        <v>#REF!</v>
      </c>
      <c r="AW569" s="315" t="e">
        <f>#REF!-#REF!</f>
        <v>#REF!</v>
      </c>
      <c r="AX569" s="315" t="e">
        <f>#REF!-#REF!</f>
        <v>#REF!</v>
      </c>
      <c r="AY569" s="315" t="e">
        <f>#REF!-#REF!</f>
        <v>#REF!</v>
      </c>
      <c r="AZ569" s="315" t="e">
        <f>#REF!-#REF!</f>
        <v>#REF!</v>
      </c>
      <c r="BA569" s="315" t="e">
        <f>#REF!-#REF!</f>
        <v>#REF!</v>
      </c>
      <c r="BB569" s="315" t="e">
        <f>#REF!-#REF!</f>
        <v>#REF!</v>
      </c>
      <c r="BC569" s="315" t="e">
        <f>#REF!-#REF!</f>
        <v>#REF!</v>
      </c>
      <c r="BD569" s="315" t="e">
        <f>#REF!-#REF!</f>
        <v>#REF!</v>
      </c>
      <c r="BE569" s="315" t="e">
        <f>#REF!-#REF!</f>
        <v>#REF!</v>
      </c>
      <c r="BF569" s="315" t="e">
        <f>#REF!-#REF!</f>
        <v>#REF!</v>
      </c>
      <c r="BG569" s="315" t="e">
        <f>#REF!-#REF!</f>
        <v>#REF!</v>
      </c>
      <c r="BH569" s="315" t="e">
        <f>#REF!-#REF!</f>
        <v>#REF!</v>
      </c>
      <c r="BI569" s="315" t="e">
        <f>#REF!-#REF!</f>
        <v>#REF!</v>
      </c>
      <c r="BJ569" s="315" t="e">
        <f>#REF!-#REF!</f>
        <v>#REF!</v>
      </c>
      <c r="BK569" s="315" t="e">
        <f>#REF!-#REF!</f>
        <v>#REF!</v>
      </c>
      <c r="BL569" s="315" t="e">
        <f>#REF!-#REF!</f>
        <v>#REF!</v>
      </c>
      <c r="BM569" s="315" t="e">
        <f>#REF!-#REF!</f>
        <v>#REF!</v>
      </c>
      <c r="BN569" s="315" t="e">
        <f>#REF!-#REF!</f>
        <v>#REF!</v>
      </c>
      <c r="BO569" s="315" t="e">
        <f>#REF!-#REF!</f>
        <v>#REF!</v>
      </c>
      <c r="BP569" s="315" t="e">
        <f>#REF!-#REF!</f>
        <v>#REF!</v>
      </c>
      <c r="BQ569" s="315" t="e">
        <f>#REF!-#REF!</f>
        <v>#REF!</v>
      </c>
      <c r="BR569" s="315" t="e">
        <f>#REF!-#REF!</f>
        <v>#REF!</v>
      </c>
      <c r="BS569" s="315" t="e">
        <f>#REF!-#REF!</f>
        <v>#REF!</v>
      </c>
      <c r="BT569" s="315" t="e">
        <f>#REF!-#REF!</f>
        <v>#REF!</v>
      </c>
      <c r="BU569" s="315" t="e">
        <f>#REF!-#REF!</f>
        <v>#REF!</v>
      </c>
      <c r="BV569" s="315" t="e">
        <f>#REF!-#REF!</f>
        <v>#REF!</v>
      </c>
      <c r="BW569" s="315" t="e">
        <f>#REF!-#REF!</f>
        <v>#REF!</v>
      </c>
      <c r="BX569" s="315" t="e">
        <f>#REF!-#REF!</f>
        <v>#REF!</v>
      </c>
      <c r="BZ569" s="315" t="e">
        <f>#REF!-#REF!</f>
        <v>#REF!</v>
      </c>
      <c r="CA569" s="315" t="e">
        <f>#REF!-#REF!</f>
        <v>#REF!</v>
      </c>
    </row>
    <row r="570" spans="7:79" hidden="1" x14ac:dyDescent="0.2">
      <c r="G570" s="315" t="e">
        <f>#REF!-#REF!</f>
        <v>#REF!</v>
      </c>
      <c r="H570" s="315" t="e">
        <f>#REF!-#REF!</f>
        <v>#REF!</v>
      </c>
      <c r="I570" s="315" t="e">
        <f>#REF!-#REF!</f>
        <v>#REF!</v>
      </c>
      <c r="J570" s="315" t="e">
        <f>#REF!-#REF!</f>
        <v>#REF!</v>
      </c>
      <c r="K570" s="315" t="e">
        <f>#REF!-#REF!</f>
        <v>#REF!</v>
      </c>
      <c r="L570" s="315" t="e">
        <f>#REF!-#REF!</f>
        <v>#REF!</v>
      </c>
      <c r="M570" s="315" t="e">
        <f>#REF!-#REF!</f>
        <v>#REF!</v>
      </c>
      <c r="N570" s="315" t="e">
        <f>#REF!-#REF!</f>
        <v>#REF!</v>
      </c>
      <c r="O570" s="315" t="e">
        <f>#REF!-#REF!</f>
        <v>#REF!</v>
      </c>
      <c r="P570" s="315" t="e">
        <f>#REF!-#REF!</f>
        <v>#REF!</v>
      </c>
      <c r="Q570" s="315" t="e">
        <f>#REF!-#REF!</f>
        <v>#REF!</v>
      </c>
      <c r="R570" s="315" t="e">
        <f>#REF!-#REF!</f>
        <v>#REF!</v>
      </c>
      <c r="S570" s="315" t="e">
        <f>#REF!-#REF!</f>
        <v>#REF!</v>
      </c>
      <c r="T570" s="315" t="e">
        <f>#REF!-#REF!</f>
        <v>#REF!</v>
      </c>
      <c r="U570" s="315" t="e">
        <f>#REF!-#REF!</f>
        <v>#REF!</v>
      </c>
      <c r="V570" s="315" t="e">
        <f>#REF!-#REF!</f>
        <v>#REF!</v>
      </c>
      <c r="W570" s="315" t="e">
        <f>#REF!-#REF!</f>
        <v>#REF!</v>
      </c>
      <c r="X570" s="315" t="e">
        <f>#REF!-#REF!</f>
        <v>#REF!</v>
      </c>
      <c r="Y570" s="315" t="e">
        <f>#REF!-#REF!</f>
        <v>#REF!</v>
      </c>
      <c r="Z570" s="315" t="e">
        <f>#REF!-#REF!</f>
        <v>#REF!</v>
      </c>
      <c r="AA570" s="315" t="e">
        <f>#REF!-#REF!</f>
        <v>#REF!</v>
      </c>
      <c r="AB570" s="315" t="e">
        <f>#REF!-#REF!</f>
        <v>#REF!</v>
      </c>
      <c r="AC570" s="315" t="e">
        <f>#REF!-#REF!</f>
        <v>#REF!</v>
      </c>
      <c r="AD570" s="315" t="e">
        <f>#REF!-#REF!</f>
        <v>#REF!</v>
      </c>
      <c r="AE570" s="315" t="e">
        <f>#REF!-#REF!</f>
        <v>#REF!</v>
      </c>
      <c r="AF570" s="315" t="e">
        <f>#REF!-#REF!</f>
        <v>#REF!</v>
      </c>
      <c r="AG570" s="315" t="e">
        <f>#REF!-#REF!</f>
        <v>#REF!</v>
      </c>
      <c r="AH570" s="315" t="e">
        <f>#REF!-#REF!</f>
        <v>#REF!</v>
      </c>
      <c r="AI570" s="315" t="e">
        <f>#REF!-#REF!</f>
        <v>#REF!</v>
      </c>
      <c r="AJ570" s="315" t="e">
        <f>#REF!-#REF!</f>
        <v>#REF!</v>
      </c>
      <c r="AK570" s="315" t="e">
        <f>#REF!-#REF!</f>
        <v>#REF!</v>
      </c>
      <c r="AL570" s="315" t="e">
        <f>#REF!-#REF!</f>
        <v>#REF!</v>
      </c>
      <c r="AM570" s="315" t="e">
        <f>#REF!-#REF!</f>
        <v>#REF!</v>
      </c>
      <c r="AN570" s="315" t="e">
        <f>#REF!-#REF!</f>
        <v>#REF!</v>
      </c>
      <c r="AO570" s="315" t="e">
        <f>#REF!-#REF!</f>
        <v>#REF!</v>
      </c>
      <c r="AP570" s="315" t="e">
        <f>#REF!-#REF!</f>
        <v>#REF!</v>
      </c>
      <c r="AQ570" s="315" t="e">
        <f>#REF!-#REF!</f>
        <v>#REF!</v>
      </c>
      <c r="AR570" s="315" t="e">
        <f>#REF!-#REF!</f>
        <v>#REF!</v>
      </c>
      <c r="AS570" s="315" t="e">
        <f>#REF!-#REF!</f>
        <v>#REF!</v>
      </c>
      <c r="AT570" s="315" t="e">
        <f>#REF!-#REF!</f>
        <v>#REF!</v>
      </c>
      <c r="AU570" s="315" t="e">
        <f>#REF!-#REF!</f>
        <v>#REF!</v>
      </c>
      <c r="AV570" s="315" t="e">
        <f>#REF!-#REF!</f>
        <v>#REF!</v>
      </c>
      <c r="AW570" s="315" t="e">
        <f>#REF!-#REF!</f>
        <v>#REF!</v>
      </c>
      <c r="AX570" s="315" t="e">
        <f>#REF!-#REF!</f>
        <v>#REF!</v>
      </c>
      <c r="AY570" s="315" t="e">
        <f>#REF!-#REF!</f>
        <v>#REF!</v>
      </c>
      <c r="AZ570" s="315" t="e">
        <f>#REF!-#REF!</f>
        <v>#REF!</v>
      </c>
      <c r="BA570" s="315" t="e">
        <f>#REF!-#REF!</f>
        <v>#REF!</v>
      </c>
      <c r="BB570" s="315" t="e">
        <f>#REF!-#REF!</f>
        <v>#REF!</v>
      </c>
      <c r="BC570" s="315" t="e">
        <f>#REF!-#REF!</f>
        <v>#REF!</v>
      </c>
      <c r="BD570" s="315" t="e">
        <f>#REF!-#REF!</f>
        <v>#REF!</v>
      </c>
      <c r="BE570" s="315" t="e">
        <f>#REF!-#REF!</f>
        <v>#REF!</v>
      </c>
      <c r="BF570" s="315" t="e">
        <f>#REF!-#REF!</f>
        <v>#REF!</v>
      </c>
      <c r="BG570" s="315" t="e">
        <f>#REF!-#REF!</f>
        <v>#REF!</v>
      </c>
      <c r="BH570" s="315" t="e">
        <f>#REF!-#REF!</f>
        <v>#REF!</v>
      </c>
      <c r="BI570" s="315" t="e">
        <f>#REF!-#REF!</f>
        <v>#REF!</v>
      </c>
      <c r="BJ570" s="315" t="e">
        <f>#REF!-#REF!</f>
        <v>#REF!</v>
      </c>
      <c r="BK570" s="315" t="e">
        <f>#REF!-#REF!</f>
        <v>#REF!</v>
      </c>
      <c r="BL570" s="315" t="e">
        <f>#REF!-#REF!</f>
        <v>#REF!</v>
      </c>
      <c r="BM570" s="315" t="e">
        <f>#REF!-#REF!</f>
        <v>#REF!</v>
      </c>
      <c r="BN570" s="315" t="e">
        <f>#REF!-#REF!</f>
        <v>#REF!</v>
      </c>
      <c r="BO570" s="315" t="e">
        <f>#REF!-#REF!</f>
        <v>#REF!</v>
      </c>
      <c r="BP570" s="315" t="e">
        <f>#REF!-#REF!</f>
        <v>#REF!</v>
      </c>
      <c r="BQ570" s="315" t="e">
        <f>#REF!-#REF!</f>
        <v>#REF!</v>
      </c>
      <c r="BR570" s="315" t="e">
        <f>#REF!-#REF!</f>
        <v>#REF!</v>
      </c>
      <c r="BS570" s="315" t="e">
        <f>#REF!-#REF!</f>
        <v>#REF!</v>
      </c>
      <c r="BT570" s="315" t="e">
        <f>#REF!-#REF!</f>
        <v>#REF!</v>
      </c>
      <c r="BU570" s="315" t="e">
        <f>#REF!-#REF!</f>
        <v>#REF!</v>
      </c>
      <c r="BV570" s="315" t="e">
        <f>#REF!-#REF!</f>
        <v>#REF!</v>
      </c>
      <c r="BW570" s="315" t="e">
        <f>#REF!-#REF!</f>
        <v>#REF!</v>
      </c>
      <c r="BX570" s="315" t="e">
        <f>#REF!-#REF!</f>
        <v>#REF!</v>
      </c>
      <c r="BZ570" s="315" t="e">
        <f>#REF!-#REF!</f>
        <v>#REF!</v>
      </c>
      <c r="CA570" s="315" t="e">
        <f>#REF!-#REF!</f>
        <v>#REF!</v>
      </c>
    </row>
    <row r="571" spans="7:79" hidden="1" x14ac:dyDescent="0.2">
      <c r="G571" s="315" t="e">
        <f>#REF!-#REF!</f>
        <v>#REF!</v>
      </c>
      <c r="H571" s="315" t="e">
        <f>#REF!-#REF!</f>
        <v>#REF!</v>
      </c>
      <c r="I571" s="315" t="e">
        <f>#REF!-#REF!</f>
        <v>#REF!</v>
      </c>
      <c r="J571" s="315" t="e">
        <f>#REF!-#REF!</f>
        <v>#REF!</v>
      </c>
      <c r="K571" s="315" t="e">
        <f>#REF!-#REF!</f>
        <v>#REF!</v>
      </c>
      <c r="L571" s="315" t="e">
        <f>#REF!-#REF!</f>
        <v>#REF!</v>
      </c>
      <c r="M571" s="315" t="e">
        <f>#REF!-#REF!</f>
        <v>#REF!</v>
      </c>
      <c r="N571" s="315" t="e">
        <f>#REF!-#REF!</f>
        <v>#REF!</v>
      </c>
      <c r="O571" s="315" t="e">
        <f>#REF!-#REF!</f>
        <v>#REF!</v>
      </c>
      <c r="P571" s="315" t="e">
        <f>#REF!-#REF!</f>
        <v>#REF!</v>
      </c>
      <c r="Q571" s="315" t="e">
        <f>#REF!-#REF!</f>
        <v>#REF!</v>
      </c>
      <c r="R571" s="315" t="e">
        <f>#REF!-#REF!</f>
        <v>#REF!</v>
      </c>
      <c r="S571" s="315" t="e">
        <f>#REF!-#REF!</f>
        <v>#REF!</v>
      </c>
      <c r="T571" s="315" t="e">
        <f>#REF!-#REF!</f>
        <v>#REF!</v>
      </c>
      <c r="U571" s="315" t="e">
        <f>#REF!-#REF!</f>
        <v>#REF!</v>
      </c>
      <c r="V571" s="315" t="e">
        <f>#REF!-#REF!</f>
        <v>#REF!</v>
      </c>
      <c r="W571" s="315" t="e">
        <f>#REF!-#REF!</f>
        <v>#REF!</v>
      </c>
      <c r="X571" s="315" t="e">
        <f>#REF!-#REF!</f>
        <v>#REF!</v>
      </c>
      <c r="Y571" s="315" t="e">
        <f>#REF!-#REF!</f>
        <v>#REF!</v>
      </c>
      <c r="Z571" s="315" t="e">
        <f>#REF!-#REF!</f>
        <v>#REF!</v>
      </c>
      <c r="AA571" s="315" t="e">
        <f>#REF!-#REF!</f>
        <v>#REF!</v>
      </c>
      <c r="AB571" s="315" t="e">
        <f>#REF!-#REF!</f>
        <v>#REF!</v>
      </c>
      <c r="AC571" s="315" t="e">
        <f>#REF!-#REF!</f>
        <v>#REF!</v>
      </c>
      <c r="AD571" s="315" t="e">
        <f>#REF!-#REF!</f>
        <v>#REF!</v>
      </c>
      <c r="AE571" s="315" t="e">
        <f>#REF!-#REF!</f>
        <v>#REF!</v>
      </c>
      <c r="AF571" s="315" t="e">
        <f>#REF!-#REF!</f>
        <v>#REF!</v>
      </c>
      <c r="AG571" s="315" t="e">
        <f>#REF!-#REF!</f>
        <v>#REF!</v>
      </c>
      <c r="AH571" s="315" t="e">
        <f>#REF!-#REF!</f>
        <v>#REF!</v>
      </c>
      <c r="AI571" s="315" t="e">
        <f>#REF!-#REF!</f>
        <v>#REF!</v>
      </c>
      <c r="AJ571" s="315" t="e">
        <f>#REF!-#REF!</f>
        <v>#REF!</v>
      </c>
      <c r="AK571" s="315" t="e">
        <f>#REF!-#REF!</f>
        <v>#REF!</v>
      </c>
      <c r="AL571" s="315" t="e">
        <f>#REF!-#REF!</f>
        <v>#REF!</v>
      </c>
      <c r="AM571" s="315" t="e">
        <f>#REF!-#REF!</f>
        <v>#REF!</v>
      </c>
      <c r="AN571" s="315" t="e">
        <f>#REF!-#REF!</f>
        <v>#REF!</v>
      </c>
      <c r="AO571" s="315" t="e">
        <f>#REF!-#REF!</f>
        <v>#REF!</v>
      </c>
      <c r="AP571" s="315" t="e">
        <f>#REF!-#REF!</f>
        <v>#REF!</v>
      </c>
      <c r="AQ571" s="315" t="e">
        <f>#REF!-#REF!</f>
        <v>#REF!</v>
      </c>
      <c r="AR571" s="315" t="e">
        <f>#REF!-#REF!</f>
        <v>#REF!</v>
      </c>
      <c r="AS571" s="315" t="e">
        <f>#REF!-#REF!</f>
        <v>#REF!</v>
      </c>
      <c r="AT571" s="315" t="e">
        <f>#REF!-#REF!</f>
        <v>#REF!</v>
      </c>
      <c r="AU571" s="315" t="e">
        <f>#REF!-#REF!</f>
        <v>#REF!</v>
      </c>
      <c r="AV571" s="315" t="e">
        <f>#REF!-#REF!</f>
        <v>#REF!</v>
      </c>
      <c r="AW571" s="315" t="e">
        <f>#REF!-#REF!</f>
        <v>#REF!</v>
      </c>
      <c r="AX571" s="315" t="e">
        <f>#REF!-#REF!</f>
        <v>#REF!</v>
      </c>
      <c r="AY571" s="315" t="e">
        <f>#REF!-#REF!</f>
        <v>#REF!</v>
      </c>
      <c r="AZ571" s="315" t="e">
        <f>#REF!-#REF!</f>
        <v>#REF!</v>
      </c>
      <c r="BA571" s="315" t="e">
        <f>#REF!-#REF!</f>
        <v>#REF!</v>
      </c>
      <c r="BB571" s="315" t="e">
        <f>#REF!-#REF!</f>
        <v>#REF!</v>
      </c>
      <c r="BC571" s="315" t="e">
        <f>#REF!-#REF!</f>
        <v>#REF!</v>
      </c>
      <c r="BD571" s="315" t="e">
        <f>#REF!-#REF!</f>
        <v>#REF!</v>
      </c>
      <c r="BE571" s="315" t="e">
        <f>#REF!-#REF!</f>
        <v>#REF!</v>
      </c>
      <c r="BF571" s="315" t="e">
        <f>#REF!-#REF!</f>
        <v>#REF!</v>
      </c>
      <c r="BG571" s="315" t="e">
        <f>#REF!-#REF!</f>
        <v>#REF!</v>
      </c>
      <c r="BH571" s="315" t="e">
        <f>#REF!-#REF!</f>
        <v>#REF!</v>
      </c>
      <c r="BI571" s="315" t="e">
        <f>#REF!-#REF!</f>
        <v>#REF!</v>
      </c>
      <c r="BJ571" s="315" t="e">
        <f>#REF!-#REF!</f>
        <v>#REF!</v>
      </c>
      <c r="BK571" s="315" t="e">
        <f>#REF!-#REF!</f>
        <v>#REF!</v>
      </c>
      <c r="BL571" s="315" t="e">
        <f>#REF!-#REF!</f>
        <v>#REF!</v>
      </c>
      <c r="BM571" s="315" t="e">
        <f>#REF!-#REF!</f>
        <v>#REF!</v>
      </c>
      <c r="BN571" s="315" t="e">
        <f>#REF!-#REF!</f>
        <v>#REF!</v>
      </c>
      <c r="BO571" s="315" t="e">
        <f>#REF!-#REF!</f>
        <v>#REF!</v>
      </c>
      <c r="BP571" s="315" t="e">
        <f>#REF!-#REF!</f>
        <v>#REF!</v>
      </c>
      <c r="BQ571" s="315" t="e">
        <f>#REF!-#REF!</f>
        <v>#REF!</v>
      </c>
      <c r="BR571" s="315" t="e">
        <f>#REF!-#REF!</f>
        <v>#REF!</v>
      </c>
      <c r="BS571" s="315" t="e">
        <f>#REF!-#REF!</f>
        <v>#REF!</v>
      </c>
      <c r="BT571" s="315" t="e">
        <f>#REF!-#REF!</f>
        <v>#REF!</v>
      </c>
      <c r="BU571" s="315" t="e">
        <f>#REF!-#REF!</f>
        <v>#REF!</v>
      </c>
      <c r="BV571" s="315" t="e">
        <f>#REF!-#REF!</f>
        <v>#REF!</v>
      </c>
      <c r="BW571" s="315" t="e">
        <f>#REF!-#REF!</f>
        <v>#REF!</v>
      </c>
      <c r="BX571" s="315" t="e">
        <f>#REF!-#REF!</f>
        <v>#REF!</v>
      </c>
      <c r="BZ571" s="315" t="e">
        <f>#REF!-#REF!</f>
        <v>#REF!</v>
      </c>
      <c r="CA571" s="315" t="e">
        <f>#REF!-#REF!</f>
        <v>#REF!</v>
      </c>
    </row>
    <row r="572" spans="7:79" hidden="1" x14ac:dyDescent="0.2">
      <c r="G572" s="315" t="e">
        <f>#REF!-#REF!</f>
        <v>#REF!</v>
      </c>
      <c r="H572" s="315" t="e">
        <f>#REF!-#REF!</f>
        <v>#REF!</v>
      </c>
      <c r="I572" s="315" t="e">
        <f>#REF!-#REF!</f>
        <v>#REF!</v>
      </c>
      <c r="J572" s="315" t="e">
        <f>#REF!-#REF!</f>
        <v>#REF!</v>
      </c>
      <c r="K572" s="315" t="e">
        <f>#REF!-#REF!</f>
        <v>#REF!</v>
      </c>
      <c r="L572" s="315" t="e">
        <f>#REF!-#REF!</f>
        <v>#REF!</v>
      </c>
      <c r="M572" s="315" t="e">
        <f>#REF!-#REF!</f>
        <v>#REF!</v>
      </c>
      <c r="N572" s="315" t="e">
        <f>#REF!-#REF!</f>
        <v>#REF!</v>
      </c>
      <c r="O572" s="315" t="e">
        <f>#REF!-#REF!</f>
        <v>#REF!</v>
      </c>
      <c r="P572" s="315" t="e">
        <f>#REF!-#REF!</f>
        <v>#REF!</v>
      </c>
      <c r="Q572" s="315" t="e">
        <f>#REF!-#REF!</f>
        <v>#REF!</v>
      </c>
      <c r="R572" s="315" t="e">
        <f>#REF!-#REF!</f>
        <v>#REF!</v>
      </c>
      <c r="S572" s="315" t="e">
        <f>#REF!-#REF!</f>
        <v>#REF!</v>
      </c>
      <c r="T572" s="315" t="e">
        <f>#REF!-#REF!</f>
        <v>#REF!</v>
      </c>
      <c r="U572" s="315" t="e">
        <f>#REF!-#REF!</f>
        <v>#REF!</v>
      </c>
      <c r="V572" s="315" t="e">
        <f>#REF!-#REF!</f>
        <v>#REF!</v>
      </c>
      <c r="W572" s="315" t="e">
        <f>#REF!-#REF!</f>
        <v>#REF!</v>
      </c>
      <c r="X572" s="315" t="e">
        <f>#REF!-#REF!</f>
        <v>#REF!</v>
      </c>
      <c r="Y572" s="315" t="e">
        <f>#REF!-#REF!</f>
        <v>#REF!</v>
      </c>
      <c r="Z572" s="315" t="e">
        <f>#REF!-#REF!</f>
        <v>#REF!</v>
      </c>
      <c r="AA572" s="315" t="e">
        <f>#REF!-#REF!</f>
        <v>#REF!</v>
      </c>
      <c r="AB572" s="315" t="e">
        <f>#REF!-#REF!</f>
        <v>#REF!</v>
      </c>
      <c r="AC572" s="315" t="e">
        <f>#REF!-#REF!</f>
        <v>#REF!</v>
      </c>
      <c r="AD572" s="315" t="e">
        <f>#REF!-#REF!</f>
        <v>#REF!</v>
      </c>
      <c r="AE572" s="315" t="e">
        <f>#REF!-#REF!</f>
        <v>#REF!</v>
      </c>
      <c r="AF572" s="315" t="e">
        <f>#REF!-#REF!</f>
        <v>#REF!</v>
      </c>
      <c r="AG572" s="315" t="e">
        <f>#REF!-#REF!</f>
        <v>#REF!</v>
      </c>
      <c r="AH572" s="315" t="e">
        <f>#REF!-#REF!</f>
        <v>#REF!</v>
      </c>
      <c r="AI572" s="315" t="e">
        <f>#REF!-#REF!</f>
        <v>#REF!</v>
      </c>
      <c r="AJ572" s="315" t="e">
        <f>#REF!-#REF!</f>
        <v>#REF!</v>
      </c>
      <c r="AK572" s="315" t="e">
        <f>#REF!-#REF!</f>
        <v>#REF!</v>
      </c>
      <c r="AL572" s="315" t="e">
        <f>#REF!-#REF!</f>
        <v>#REF!</v>
      </c>
      <c r="AM572" s="315" t="e">
        <f>#REF!-#REF!</f>
        <v>#REF!</v>
      </c>
      <c r="AN572" s="315" t="e">
        <f>#REF!-#REF!</f>
        <v>#REF!</v>
      </c>
      <c r="AO572" s="315" t="e">
        <f>#REF!-#REF!</f>
        <v>#REF!</v>
      </c>
      <c r="AP572" s="315" t="e">
        <f>#REF!-#REF!</f>
        <v>#REF!</v>
      </c>
      <c r="AQ572" s="315" t="e">
        <f>#REF!-#REF!</f>
        <v>#REF!</v>
      </c>
      <c r="AR572" s="315" t="e">
        <f>#REF!-#REF!</f>
        <v>#REF!</v>
      </c>
      <c r="AS572" s="315" t="e">
        <f>#REF!-#REF!</f>
        <v>#REF!</v>
      </c>
      <c r="AT572" s="315" t="e">
        <f>#REF!-#REF!</f>
        <v>#REF!</v>
      </c>
      <c r="AU572" s="315" t="e">
        <f>#REF!-#REF!</f>
        <v>#REF!</v>
      </c>
      <c r="AV572" s="315" t="e">
        <f>#REF!-#REF!</f>
        <v>#REF!</v>
      </c>
      <c r="AW572" s="315" t="e">
        <f>#REF!-#REF!</f>
        <v>#REF!</v>
      </c>
      <c r="AX572" s="315" t="e">
        <f>#REF!-#REF!</f>
        <v>#REF!</v>
      </c>
      <c r="AY572" s="315" t="e">
        <f>#REF!-#REF!</f>
        <v>#REF!</v>
      </c>
      <c r="AZ572" s="315" t="e">
        <f>#REF!-#REF!</f>
        <v>#REF!</v>
      </c>
      <c r="BA572" s="315" t="e">
        <f>#REF!-#REF!</f>
        <v>#REF!</v>
      </c>
      <c r="BB572" s="315" t="e">
        <f>#REF!-#REF!</f>
        <v>#REF!</v>
      </c>
      <c r="BC572" s="315" t="e">
        <f>#REF!-#REF!</f>
        <v>#REF!</v>
      </c>
      <c r="BD572" s="315" t="e">
        <f>#REF!-#REF!</f>
        <v>#REF!</v>
      </c>
      <c r="BE572" s="315" t="e">
        <f>#REF!-#REF!</f>
        <v>#REF!</v>
      </c>
      <c r="BF572" s="315" t="e">
        <f>#REF!-#REF!</f>
        <v>#REF!</v>
      </c>
      <c r="BG572" s="315" t="e">
        <f>#REF!-#REF!</f>
        <v>#REF!</v>
      </c>
      <c r="BH572" s="315" t="e">
        <f>#REF!-#REF!</f>
        <v>#REF!</v>
      </c>
      <c r="BI572" s="315" t="e">
        <f>#REF!-#REF!</f>
        <v>#REF!</v>
      </c>
      <c r="BJ572" s="315" t="e">
        <f>#REF!-#REF!</f>
        <v>#REF!</v>
      </c>
      <c r="BK572" s="315" t="e">
        <f>#REF!-#REF!</f>
        <v>#REF!</v>
      </c>
      <c r="BL572" s="315" t="e">
        <f>#REF!-#REF!</f>
        <v>#REF!</v>
      </c>
      <c r="BM572" s="315" t="e">
        <f>#REF!-#REF!</f>
        <v>#REF!</v>
      </c>
      <c r="BN572" s="315" t="e">
        <f>#REF!-#REF!</f>
        <v>#REF!</v>
      </c>
      <c r="BO572" s="315" t="e">
        <f>#REF!-#REF!</f>
        <v>#REF!</v>
      </c>
      <c r="BP572" s="315" t="e">
        <f>#REF!-#REF!</f>
        <v>#REF!</v>
      </c>
      <c r="BQ572" s="315" t="e">
        <f>#REF!-#REF!</f>
        <v>#REF!</v>
      </c>
      <c r="BR572" s="315" t="e">
        <f>#REF!-#REF!</f>
        <v>#REF!</v>
      </c>
      <c r="BS572" s="315" t="e">
        <f>#REF!-#REF!</f>
        <v>#REF!</v>
      </c>
      <c r="BT572" s="315" t="e">
        <f>#REF!-#REF!</f>
        <v>#REF!</v>
      </c>
      <c r="BU572" s="315" t="e">
        <f>#REF!-#REF!</f>
        <v>#REF!</v>
      </c>
      <c r="BV572" s="315" t="e">
        <f>#REF!-#REF!</f>
        <v>#REF!</v>
      </c>
      <c r="BW572" s="315" t="e">
        <f>#REF!-#REF!</f>
        <v>#REF!</v>
      </c>
      <c r="BX572" s="315" t="e">
        <f>#REF!-#REF!</f>
        <v>#REF!</v>
      </c>
      <c r="BZ572" s="315" t="e">
        <f>#REF!-#REF!</f>
        <v>#REF!</v>
      </c>
      <c r="CA572" s="315" t="e">
        <f>#REF!-#REF!</f>
        <v>#REF!</v>
      </c>
    </row>
    <row r="573" spans="7:79" hidden="1" x14ac:dyDescent="0.2">
      <c r="G573" s="315" t="e">
        <f>#REF!-#REF!</f>
        <v>#REF!</v>
      </c>
      <c r="H573" s="315" t="e">
        <f>#REF!-#REF!</f>
        <v>#REF!</v>
      </c>
      <c r="I573" s="315" t="e">
        <f>#REF!-#REF!</f>
        <v>#REF!</v>
      </c>
      <c r="J573" s="315" t="e">
        <f>#REF!-#REF!</f>
        <v>#REF!</v>
      </c>
      <c r="K573" s="315" t="e">
        <f>#REF!-#REF!</f>
        <v>#REF!</v>
      </c>
      <c r="L573" s="315" t="e">
        <f>#REF!-#REF!</f>
        <v>#REF!</v>
      </c>
      <c r="M573" s="315" t="e">
        <f>#REF!-#REF!</f>
        <v>#REF!</v>
      </c>
      <c r="N573" s="315" t="e">
        <f>#REF!-#REF!</f>
        <v>#REF!</v>
      </c>
      <c r="O573" s="315" t="e">
        <f>#REF!-#REF!</f>
        <v>#REF!</v>
      </c>
      <c r="P573" s="315" t="e">
        <f>#REF!-#REF!</f>
        <v>#REF!</v>
      </c>
      <c r="Q573" s="315" t="e">
        <f>#REF!-#REF!</f>
        <v>#REF!</v>
      </c>
      <c r="R573" s="315" t="e">
        <f>#REF!-#REF!</f>
        <v>#REF!</v>
      </c>
      <c r="S573" s="315" t="e">
        <f>#REF!-#REF!</f>
        <v>#REF!</v>
      </c>
      <c r="T573" s="315" t="e">
        <f>#REF!-#REF!</f>
        <v>#REF!</v>
      </c>
      <c r="U573" s="315" t="e">
        <f>#REF!-#REF!</f>
        <v>#REF!</v>
      </c>
      <c r="V573" s="315" t="e">
        <f>#REF!-#REF!</f>
        <v>#REF!</v>
      </c>
      <c r="W573" s="315" t="e">
        <f>#REF!-#REF!</f>
        <v>#REF!</v>
      </c>
      <c r="X573" s="315" t="e">
        <f>#REF!-#REF!</f>
        <v>#REF!</v>
      </c>
      <c r="Y573" s="315" t="e">
        <f>#REF!-#REF!</f>
        <v>#REF!</v>
      </c>
      <c r="Z573" s="315" t="e">
        <f>#REF!-#REF!</f>
        <v>#REF!</v>
      </c>
      <c r="AA573" s="315" t="e">
        <f>#REF!-#REF!</f>
        <v>#REF!</v>
      </c>
      <c r="AB573" s="315" t="e">
        <f>#REF!-#REF!</f>
        <v>#REF!</v>
      </c>
      <c r="AC573" s="315" t="e">
        <f>#REF!-#REF!</f>
        <v>#REF!</v>
      </c>
      <c r="AD573" s="315" t="e">
        <f>#REF!-#REF!</f>
        <v>#REF!</v>
      </c>
      <c r="AE573" s="315" t="e">
        <f>#REF!-#REF!</f>
        <v>#REF!</v>
      </c>
      <c r="AF573" s="315" t="e">
        <f>#REF!-#REF!</f>
        <v>#REF!</v>
      </c>
      <c r="AG573" s="315" t="e">
        <f>#REF!-#REF!</f>
        <v>#REF!</v>
      </c>
      <c r="AH573" s="315" t="e">
        <f>#REF!-#REF!</f>
        <v>#REF!</v>
      </c>
      <c r="AI573" s="315" t="e">
        <f>#REF!-#REF!</f>
        <v>#REF!</v>
      </c>
      <c r="AJ573" s="315" t="e">
        <f>#REF!-#REF!</f>
        <v>#REF!</v>
      </c>
      <c r="AK573" s="315" t="e">
        <f>#REF!-#REF!</f>
        <v>#REF!</v>
      </c>
      <c r="AL573" s="315" t="e">
        <f>#REF!-#REF!</f>
        <v>#REF!</v>
      </c>
      <c r="AM573" s="315" t="e">
        <f>#REF!-#REF!</f>
        <v>#REF!</v>
      </c>
      <c r="AN573" s="315" t="e">
        <f>#REF!-#REF!</f>
        <v>#REF!</v>
      </c>
      <c r="AO573" s="315" t="e">
        <f>#REF!-#REF!</f>
        <v>#REF!</v>
      </c>
      <c r="AP573" s="315" t="e">
        <f>#REF!-#REF!</f>
        <v>#REF!</v>
      </c>
      <c r="AQ573" s="315" t="e">
        <f>#REF!-#REF!</f>
        <v>#REF!</v>
      </c>
      <c r="AR573" s="315" t="e">
        <f>#REF!-#REF!</f>
        <v>#REF!</v>
      </c>
      <c r="AS573" s="315" t="e">
        <f>#REF!-#REF!</f>
        <v>#REF!</v>
      </c>
      <c r="AT573" s="315" t="e">
        <f>#REF!-#REF!</f>
        <v>#REF!</v>
      </c>
      <c r="AU573" s="315" t="e">
        <f>#REF!-#REF!</f>
        <v>#REF!</v>
      </c>
      <c r="AV573" s="315" t="e">
        <f>#REF!-#REF!</f>
        <v>#REF!</v>
      </c>
      <c r="AW573" s="315" t="e">
        <f>#REF!-#REF!</f>
        <v>#REF!</v>
      </c>
      <c r="AX573" s="315" t="e">
        <f>#REF!-#REF!</f>
        <v>#REF!</v>
      </c>
      <c r="AY573" s="315" t="e">
        <f>#REF!-#REF!</f>
        <v>#REF!</v>
      </c>
      <c r="AZ573" s="315" t="e">
        <f>#REF!-#REF!</f>
        <v>#REF!</v>
      </c>
      <c r="BA573" s="315" t="e">
        <f>#REF!-#REF!</f>
        <v>#REF!</v>
      </c>
      <c r="BB573" s="315" t="e">
        <f>#REF!-#REF!</f>
        <v>#REF!</v>
      </c>
      <c r="BC573" s="315" t="e">
        <f>#REF!-#REF!</f>
        <v>#REF!</v>
      </c>
      <c r="BD573" s="315" t="e">
        <f>#REF!-#REF!</f>
        <v>#REF!</v>
      </c>
      <c r="BE573" s="315" t="e">
        <f>#REF!-#REF!</f>
        <v>#REF!</v>
      </c>
      <c r="BF573" s="315" t="e">
        <f>#REF!-#REF!</f>
        <v>#REF!</v>
      </c>
      <c r="BG573" s="315" t="e">
        <f>#REF!-#REF!</f>
        <v>#REF!</v>
      </c>
      <c r="BH573" s="315" t="e">
        <f>#REF!-#REF!</f>
        <v>#REF!</v>
      </c>
      <c r="BI573" s="315" t="e">
        <f>#REF!-#REF!</f>
        <v>#REF!</v>
      </c>
      <c r="BJ573" s="315" t="e">
        <f>#REF!-#REF!</f>
        <v>#REF!</v>
      </c>
      <c r="BK573" s="315" t="e">
        <f>#REF!-#REF!</f>
        <v>#REF!</v>
      </c>
      <c r="BL573" s="315" t="e">
        <f>#REF!-#REF!</f>
        <v>#REF!</v>
      </c>
      <c r="BM573" s="315" t="e">
        <f>#REF!-#REF!</f>
        <v>#REF!</v>
      </c>
      <c r="BN573" s="315" t="e">
        <f>#REF!-#REF!</f>
        <v>#REF!</v>
      </c>
      <c r="BO573" s="315" t="e">
        <f>#REF!-#REF!</f>
        <v>#REF!</v>
      </c>
      <c r="BP573" s="315" t="e">
        <f>#REF!-#REF!</f>
        <v>#REF!</v>
      </c>
      <c r="BQ573" s="315" t="e">
        <f>#REF!-#REF!</f>
        <v>#REF!</v>
      </c>
      <c r="BR573" s="315" t="e">
        <f>#REF!-#REF!</f>
        <v>#REF!</v>
      </c>
      <c r="BS573" s="315" t="e">
        <f>#REF!-#REF!</f>
        <v>#REF!</v>
      </c>
      <c r="BT573" s="315" t="e">
        <f>#REF!-#REF!</f>
        <v>#REF!</v>
      </c>
      <c r="BU573" s="315" t="e">
        <f>#REF!-#REF!</f>
        <v>#REF!</v>
      </c>
      <c r="BV573" s="315" t="e">
        <f>#REF!-#REF!</f>
        <v>#REF!</v>
      </c>
      <c r="BW573" s="315" t="e">
        <f>#REF!-#REF!</f>
        <v>#REF!</v>
      </c>
      <c r="BX573" s="315" t="e">
        <f>#REF!-#REF!</f>
        <v>#REF!</v>
      </c>
      <c r="BZ573" s="315" t="e">
        <f>#REF!-#REF!</f>
        <v>#REF!</v>
      </c>
      <c r="CA573" s="315" t="e">
        <f>#REF!-#REF!</f>
        <v>#REF!</v>
      </c>
    </row>
    <row r="574" spans="7:79" hidden="1" x14ac:dyDescent="0.2">
      <c r="G574" s="315" t="e">
        <f>#REF!-#REF!</f>
        <v>#REF!</v>
      </c>
      <c r="H574" s="315" t="e">
        <f>#REF!-#REF!</f>
        <v>#REF!</v>
      </c>
      <c r="I574" s="315" t="e">
        <f>#REF!-#REF!</f>
        <v>#REF!</v>
      </c>
      <c r="J574" s="315" t="e">
        <f>#REF!-#REF!</f>
        <v>#REF!</v>
      </c>
      <c r="K574" s="315" t="e">
        <f>#REF!-#REF!</f>
        <v>#REF!</v>
      </c>
      <c r="L574" s="315" t="e">
        <f>#REF!-#REF!</f>
        <v>#REF!</v>
      </c>
      <c r="M574" s="315" t="e">
        <f>#REF!-#REF!</f>
        <v>#REF!</v>
      </c>
      <c r="N574" s="315" t="e">
        <f>#REF!-#REF!</f>
        <v>#REF!</v>
      </c>
      <c r="O574" s="315" t="e">
        <f>#REF!-#REF!</f>
        <v>#REF!</v>
      </c>
      <c r="P574" s="315" t="e">
        <f>#REF!-#REF!</f>
        <v>#REF!</v>
      </c>
      <c r="Q574" s="315" t="e">
        <f>#REF!-#REF!</f>
        <v>#REF!</v>
      </c>
      <c r="R574" s="315" t="e">
        <f>#REF!-#REF!</f>
        <v>#REF!</v>
      </c>
      <c r="S574" s="315" t="e">
        <f>#REF!-#REF!</f>
        <v>#REF!</v>
      </c>
      <c r="T574" s="315" t="e">
        <f>#REF!-#REF!</f>
        <v>#REF!</v>
      </c>
      <c r="U574" s="315" t="e">
        <f>#REF!-#REF!</f>
        <v>#REF!</v>
      </c>
      <c r="V574" s="315" t="e">
        <f>#REF!-#REF!</f>
        <v>#REF!</v>
      </c>
      <c r="W574" s="315" t="e">
        <f>#REF!-#REF!</f>
        <v>#REF!</v>
      </c>
      <c r="X574" s="315" t="e">
        <f>#REF!-#REF!</f>
        <v>#REF!</v>
      </c>
      <c r="Y574" s="315" t="e">
        <f>#REF!-#REF!</f>
        <v>#REF!</v>
      </c>
      <c r="Z574" s="315" t="e">
        <f>#REF!-#REF!</f>
        <v>#REF!</v>
      </c>
      <c r="AA574" s="315" t="e">
        <f>#REF!-#REF!</f>
        <v>#REF!</v>
      </c>
      <c r="AB574" s="315" t="e">
        <f>#REF!-#REF!</f>
        <v>#REF!</v>
      </c>
      <c r="AC574" s="315" t="e">
        <f>#REF!-#REF!</f>
        <v>#REF!</v>
      </c>
      <c r="AD574" s="315" t="e">
        <f>#REF!-#REF!</f>
        <v>#REF!</v>
      </c>
      <c r="AE574" s="315" t="e">
        <f>#REF!-#REF!</f>
        <v>#REF!</v>
      </c>
      <c r="AF574" s="315" t="e">
        <f>#REF!-#REF!</f>
        <v>#REF!</v>
      </c>
      <c r="AG574" s="315" t="e">
        <f>#REF!-#REF!</f>
        <v>#REF!</v>
      </c>
      <c r="AH574" s="315" t="e">
        <f>#REF!-#REF!</f>
        <v>#REF!</v>
      </c>
      <c r="AI574" s="315" t="e">
        <f>#REF!-#REF!</f>
        <v>#REF!</v>
      </c>
      <c r="AJ574" s="315" t="e">
        <f>#REF!-#REF!</f>
        <v>#REF!</v>
      </c>
      <c r="AK574" s="315" t="e">
        <f>#REF!-#REF!</f>
        <v>#REF!</v>
      </c>
      <c r="AL574" s="315" t="e">
        <f>#REF!-#REF!</f>
        <v>#REF!</v>
      </c>
      <c r="AM574" s="315" t="e">
        <f>#REF!-#REF!</f>
        <v>#REF!</v>
      </c>
      <c r="AN574" s="315" t="e">
        <f>#REF!-#REF!</f>
        <v>#REF!</v>
      </c>
      <c r="AO574" s="315" t="e">
        <f>#REF!-#REF!</f>
        <v>#REF!</v>
      </c>
      <c r="AP574" s="315" t="e">
        <f>#REF!-#REF!</f>
        <v>#REF!</v>
      </c>
      <c r="AQ574" s="315" t="e">
        <f>#REF!-#REF!</f>
        <v>#REF!</v>
      </c>
      <c r="AR574" s="315" t="e">
        <f>#REF!-#REF!</f>
        <v>#REF!</v>
      </c>
      <c r="AS574" s="315" t="e">
        <f>#REF!-#REF!</f>
        <v>#REF!</v>
      </c>
      <c r="AT574" s="315" t="e">
        <f>#REF!-#REF!</f>
        <v>#REF!</v>
      </c>
      <c r="AU574" s="315" t="e">
        <f>#REF!-#REF!</f>
        <v>#REF!</v>
      </c>
      <c r="AV574" s="315" t="e">
        <f>#REF!-#REF!</f>
        <v>#REF!</v>
      </c>
      <c r="AW574" s="315" t="e">
        <f>#REF!-#REF!</f>
        <v>#REF!</v>
      </c>
      <c r="AX574" s="315" t="e">
        <f>#REF!-#REF!</f>
        <v>#REF!</v>
      </c>
      <c r="AY574" s="315" t="e">
        <f>#REF!-#REF!</f>
        <v>#REF!</v>
      </c>
      <c r="AZ574" s="315" t="e">
        <f>#REF!-#REF!</f>
        <v>#REF!</v>
      </c>
      <c r="BA574" s="315" t="e">
        <f>#REF!-#REF!</f>
        <v>#REF!</v>
      </c>
      <c r="BB574" s="315" t="e">
        <f>#REF!-#REF!</f>
        <v>#REF!</v>
      </c>
      <c r="BC574" s="315" t="e">
        <f>#REF!-#REF!</f>
        <v>#REF!</v>
      </c>
      <c r="BD574" s="315" t="e">
        <f>#REF!-#REF!</f>
        <v>#REF!</v>
      </c>
      <c r="BE574" s="315" t="e">
        <f>#REF!-#REF!</f>
        <v>#REF!</v>
      </c>
      <c r="BF574" s="315" t="e">
        <f>#REF!-#REF!</f>
        <v>#REF!</v>
      </c>
      <c r="BG574" s="315" t="e">
        <f>#REF!-#REF!</f>
        <v>#REF!</v>
      </c>
      <c r="BH574" s="315" t="e">
        <f>#REF!-#REF!</f>
        <v>#REF!</v>
      </c>
      <c r="BI574" s="315" t="e">
        <f>#REF!-#REF!</f>
        <v>#REF!</v>
      </c>
      <c r="BJ574" s="315" t="e">
        <f>#REF!-#REF!</f>
        <v>#REF!</v>
      </c>
      <c r="BK574" s="315" t="e">
        <f>#REF!-#REF!</f>
        <v>#REF!</v>
      </c>
      <c r="BL574" s="315" t="e">
        <f>#REF!-#REF!</f>
        <v>#REF!</v>
      </c>
      <c r="BM574" s="315" t="e">
        <f>#REF!-#REF!</f>
        <v>#REF!</v>
      </c>
      <c r="BN574" s="315" t="e">
        <f>#REF!-#REF!</f>
        <v>#REF!</v>
      </c>
      <c r="BO574" s="315" t="e">
        <f>#REF!-#REF!</f>
        <v>#REF!</v>
      </c>
      <c r="BP574" s="315" t="e">
        <f>#REF!-#REF!</f>
        <v>#REF!</v>
      </c>
      <c r="BQ574" s="315" t="e">
        <f>#REF!-#REF!</f>
        <v>#REF!</v>
      </c>
      <c r="BR574" s="315" t="e">
        <f>#REF!-#REF!</f>
        <v>#REF!</v>
      </c>
      <c r="BS574" s="315" t="e">
        <f>#REF!-#REF!</f>
        <v>#REF!</v>
      </c>
      <c r="BT574" s="315" t="e">
        <f>#REF!-#REF!</f>
        <v>#REF!</v>
      </c>
      <c r="BU574" s="315" t="e">
        <f>#REF!-#REF!</f>
        <v>#REF!</v>
      </c>
      <c r="BV574" s="315" t="e">
        <f>#REF!-#REF!</f>
        <v>#REF!</v>
      </c>
      <c r="BW574" s="315" t="e">
        <f>#REF!-#REF!</f>
        <v>#REF!</v>
      </c>
      <c r="BX574" s="315" t="e">
        <f>#REF!-#REF!</f>
        <v>#REF!</v>
      </c>
      <c r="BZ574" s="315" t="e">
        <f>#REF!-#REF!</f>
        <v>#REF!</v>
      </c>
      <c r="CA574" s="315" t="e">
        <f>#REF!-#REF!</f>
        <v>#REF!</v>
      </c>
    </row>
    <row r="575" spans="7:79" hidden="1" x14ac:dyDescent="0.2">
      <c r="G575" s="315">
        <f t="shared" ref="G575:BR579" si="109">G158-BY158</f>
        <v>0</v>
      </c>
      <c r="H575" s="315">
        <f t="shared" si="109"/>
        <v>0</v>
      </c>
      <c r="I575" s="315">
        <f t="shared" si="109"/>
        <v>0</v>
      </c>
      <c r="J575" s="315">
        <f t="shared" si="109"/>
        <v>0</v>
      </c>
      <c r="K575" s="315">
        <f t="shared" si="109"/>
        <v>0</v>
      </c>
      <c r="L575" s="315">
        <f t="shared" si="109"/>
        <v>0</v>
      </c>
      <c r="M575" s="315">
        <f t="shared" si="109"/>
        <v>0</v>
      </c>
      <c r="N575" s="315">
        <f t="shared" si="109"/>
        <v>0</v>
      </c>
      <c r="O575" s="315">
        <f t="shared" si="109"/>
        <v>0</v>
      </c>
      <c r="P575" s="315">
        <f t="shared" si="109"/>
        <v>0</v>
      </c>
      <c r="Q575" s="315">
        <f t="shared" si="109"/>
        <v>0</v>
      </c>
      <c r="R575" s="315">
        <f t="shared" si="109"/>
        <v>0</v>
      </c>
      <c r="S575" s="315">
        <f t="shared" si="109"/>
        <v>0</v>
      </c>
      <c r="T575" s="315">
        <f t="shared" si="109"/>
        <v>0</v>
      </c>
      <c r="U575" s="315">
        <f t="shared" si="109"/>
        <v>0</v>
      </c>
      <c r="V575" s="315">
        <f t="shared" si="109"/>
        <v>0</v>
      </c>
      <c r="W575" s="315">
        <f t="shared" si="109"/>
        <v>0</v>
      </c>
      <c r="X575" s="315">
        <f t="shared" si="109"/>
        <v>0</v>
      </c>
      <c r="Y575" s="315">
        <f t="shared" si="109"/>
        <v>0</v>
      </c>
      <c r="Z575" s="315">
        <f t="shared" si="109"/>
        <v>0</v>
      </c>
      <c r="AA575" s="315">
        <f t="shared" si="109"/>
        <v>0</v>
      </c>
      <c r="AB575" s="315">
        <f t="shared" si="109"/>
        <v>0</v>
      </c>
      <c r="AC575" s="315">
        <f t="shared" si="109"/>
        <v>0</v>
      </c>
      <c r="AD575" s="315">
        <f t="shared" si="109"/>
        <v>0</v>
      </c>
      <c r="AE575" s="315">
        <f t="shared" si="109"/>
        <v>0</v>
      </c>
      <c r="AF575" s="315">
        <f t="shared" si="109"/>
        <v>0</v>
      </c>
      <c r="AG575" s="315">
        <f t="shared" si="109"/>
        <v>0</v>
      </c>
      <c r="AH575" s="315">
        <f t="shared" si="109"/>
        <v>0</v>
      </c>
      <c r="AI575" s="315">
        <f t="shared" si="109"/>
        <v>0</v>
      </c>
      <c r="AJ575" s="315">
        <f t="shared" si="109"/>
        <v>0</v>
      </c>
      <c r="AK575" s="315">
        <f t="shared" si="109"/>
        <v>0</v>
      </c>
      <c r="AL575" s="315">
        <f t="shared" si="109"/>
        <v>0</v>
      </c>
      <c r="AM575" s="315">
        <f t="shared" si="109"/>
        <v>0</v>
      </c>
      <c r="AN575" s="315">
        <f t="shared" si="109"/>
        <v>0</v>
      </c>
      <c r="AO575" s="315">
        <f t="shared" si="109"/>
        <v>0</v>
      </c>
      <c r="AP575" s="315">
        <f t="shared" si="109"/>
        <v>0</v>
      </c>
      <c r="AQ575" s="315">
        <f t="shared" si="109"/>
        <v>0</v>
      </c>
      <c r="AR575" s="315">
        <f t="shared" si="109"/>
        <v>0</v>
      </c>
      <c r="AS575" s="315">
        <f t="shared" si="109"/>
        <v>0</v>
      </c>
      <c r="AT575" s="315">
        <f t="shared" si="109"/>
        <v>0</v>
      </c>
      <c r="AU575" s="315">
        <f t="shared" si="109"/>
        <v>0</v>
      </c>
      <c r="AV575" s="315">
        <f t="shared" si="109"/>
        <v>0</v>
      </c>
      <c r="AW575" s="315">
        <f t="shared" si="109"/>
        <v>0</v>
      </c>
      <c r="AX575" s="315">
        <f t="shared" si="109"/>
        <v>0</v>
      </c>
      <c r="AY575" s="315">
        <f t="shared" si="109"/>
        <v>0</v>
      </c>
      <c r="AZ575" s="315">
        <f t="shared" si="109"/>
        <v>0</v>
      </c>
      <c r="BA575" s="315">
        <f t="shared" si="109"/>
        <v>0</v>
      </c>
      <c r="BB575" s="315">
        <f t="shared" si="109"/>
        <v>0</v>
      </c>
      <c r="BC575" s="315">
        <f t="shared" si="109"/>
        <v>0</v>
      </c>
      <c r="BD575" s="315">
        <f t="shared" si="109"/>
        <v>0</v>
      </c>
      <c r="BE575" s="315">
        <f t="shared" si="109"/>
        <v>0</v>
      </c>
      <c r="BF575" s="315">
        <f t="shared" si="109"/>
        <v>0</v>
      </c>
      <c r="BG575" s="315">
        <f t="shared" si="109"/>
        <v>0</v>
      </c>
      <c r="BH575" s="315">
        <f t="shared" si="109"/>
        <v>0</v>
      </c>
      <c r="BI575" s="315">
        <f t="shared" si="109"/>
        <v>0</v>
      </c>
      <c r="BJ575" s="315">
        <f t="shared" si="109"/>
        <v>0</v>
      </c>
      <c r="BK575" s="315">
        <f t="shared" si="109"/>
        <v>0</v>
      </c>
      <c r="BL575" s="315">
        <f t="shared" si="109"/>
        <v>0</v>
      </c>
      <c r="BM575" s="315">
        <f t="shared" si="109"/>
        <v>0</v>
      </c>
      <c r="BN575" s="315">
        <f t="shared" si="109"/>
        <v>0</v>
      </c>
      <c r="BO575" s="315">
        <f t="shared" si="109"/>
        <v>0</v>
      </c>
      <c r="BP575" s="315">
        <f t="shared" si="109"/>
        <v>0</v>
      </c>
      <c r="BQ575" s="315">
        <f t="shared" si="109"/>
        <v>0</v>
      </c>
      <c r="BR575" s="315">
        <f t="shared" si="109"/>
        <v>0</v>
      </c>
      <c r="BS575" s="315">
        <f t="shared" ref="BO575:BX580" si="110">BS158-EK158</f>
        <v>0</v>
      </c>
      <c r="BT575" s="315">
        <f t="shared" si="110"/>
        <v>0</v>
      </c>
      <c r="BU575" s="315">
        <f t="shared" si="110"/>
        <v>0</v>
      </c>
      <c r="BV575" s="315">
        <f t="shared" si="110"/>
        <v>0</v>
      </c>
      <c r="BW575" s="315">
        <f t="shared" si="110"/>
        <v>0</v>
      </c>
      <c r="BX575" s="315">
        <f t="shared" si="110"/>
        <v>0</v>
      </c>
      <c r="BZ575" s="315">
        <f t="shared" ref="BZ575:CA580" si="111">BZ158-ER158</f>
        <v>0</v>
      </c>
      <c r="CA575" s="315">
        <f t="shared" si="111"/>
        <v>0</v>
      </c>
    </row>
    <row r="576" spans="7:79" hidden="1" x14ac:dyDescent="0.2">
      <c r="G576" s="315">
        <f t="shared" si="109"/>
        <v>0</v>
      </c>
      <c r="H576" s="315">
        <f t="shared" si="109"/>
        <v>0</v>
      </c>
      <c r="I576" s="315">
        <f t="shared" si="109"/>
        <v>0</v>
      </c>
      <c r="J576" s="315">
        <f t="shared" si="109"/>
        <v>0</v>
      </c>
      <c r="K576" s="315">
        <f t="shared" si="109"/>
        <v>0</v>
      </c>
      <c r="L576" s="315">
        <f t="shared" si="109"/>
        <v>0</v>
      </c>
      <c r="M576" s="315">
        <f t="shared" si="109"/>
        <v>0</v>
      </c>
      <c r="N576" s="315">
        <f t="shared" si="109"/>
        <v>0</v>
      </c>
      <c r="O576" s="315">
        <f t="shared" si="109"/>
        <v>0</v>
      </c>
      <c r="P576" s="315">
        <f t="shared" si="109"/>
        <v>0</v>
      </c>
      <c r="Q576" s="315">
        <f t="shared" si="109"/>
        <v>0</v>
      </c>
      <c r="R576" s="315">
        <f t="shared" si="109"/>
        <v>0</v>
      </c>
      <c r="S576" s="315">
        <f t="shared" si="109"/>
        <v>0</v>
      </c>
      <c r="T576" s="315">
        <f t="shared" si="109"/>
        <v>0</v>
      </c>
      <c r="U576" s="315">
        <f t="shared" si="109"/>
        <v>0</v>
      </c>
      <c r="V576" s="315">
        <f t="shared" si="109"/>
        <v>0</v>
      </c>
      <c r="W576" s="315">
        <f t="shared" si="109"/>
        <v>0</v>
      </c>
      <c r="X576" s="315">
        <f t="shared" si="109"/>
        <v>0</v>
      </c>
      <c r="Y576" s="315">
        <f t="shared" si="109"/>
        <v>0</v>
      </c>
      <c r="Z576" s="315">
        <f t="shared" si="109"/>
        <v>0</v>
      </c>
      <c r="AA576" s="315">
        <f t="shared" si="109"/>
        <v>0</v>
      </c>
      <c r="AB576" s="315">
        <f t="shared" si="109"/>
        <v>0</v>
      </c>
      <c r="AC576" s="315">
        <f t="shared" si="109"/>
        <v>0</v>
      </c>
      <c r="AD576" s="315">
        <f t="shared" si="109"/>
        <v>0</v>
      </c>
      <c r="AE576" s="315">
        <f t="shared" si="109"/>
        <v>0</v>
      </c>
      <c r="AF576" s="315">
        <f t="shared" si="109"/>
        <v>0</v>
      </c>
      <c r="AG576" s="315">
        <f t="shared" si="109"/>
        <v>0</v>
      </c>
      <c r="AH576" s="315">
        <f t="shared" si="109"/>
        <v>0</v>
      </c>
      <c r="AI576" s="315">
        <f t="shared" si="109"/>
        <v>0</v>
      </c>
      <c r="AJ576" s="315">
        <f t="shared" si="109"/>
        <v>0</v>
      </c>
      <c r="AK576" s="315">
        <f t="shared" si="109"/>
        <v>0</v>
      </c>
      <c r="AL576" s="315">
        <f t="shared" si="109"/>
        <v>0</v>
      </c>
      <c r="AM576" s="315">
        <f t="shared" si="109"/>
        <v>0</v>
      </c>
      <c r="AN576" s="315">
        <f t="shared" si="109"/>
        <v>0</v>
      </c>
      <c r="AO576" s="315">
        <f t="shared" si="109"/>
        <v>0</v>
      </c>
      <c r="AP576" s="315">
        <f t="shared" si="109"/>
        <v>0</v>
      </c>
      <c r="AQ576" s="315">
        <f t="shared" si="109"/>
        <v>0</v>
      </c>
      <c r="AR576" s="315">
        <f t="shared" si="109"/>
        <v>0</v>
      </c>
      <c r="AS576" s="315">
        <f t="shared" si="109"/>
        <v>0</v>
      </c>
      <c r="AT576" s="315">
        <f t="shared" si="109"/>
        <v>0</v>
      </c>
      <c r="AU576" s="315">
        <f t="shared" si="109"/>
        <v>0</v>
      </c>
      <c r="AV576" s="315">
        <f t="shared" si="109"/>
        <v>0</v>
      </c>
      <c r="AW576" s="315">
        <f t="shared" si="109"/>
        <v>0</v>
      </c>
      <c r="AX576" s="315">
        <f t="shared" si="109"/>
        <v>0</v>
      </c>
      <c r="AY576" s="315">
        <f t="shared" si="109"/>
        <v>0</v>
      </c>
      <c r="AZ576" s="315">
        <f t="shared" si="109"/>
        <v>0</v>
      </c>
      <c r="BA576" s="315">
        <f t="shared" si="109"/>
        <v>0</v>
      </c>
      <c r="BB576" s="315">
        <f t="shared" si="109"/>
        <v>0</v>
      </c>
      <c r="BC576" s="315">
        <f t="shared" si="109"/>
        <v>0</v>
      </c>
      <c r="BD576" s="315">
        <f t="shared" si="109"/>
        <v>0</v>
      </c>
      <c r="BE576" s="315">
        <f t="shared" si="109"/>
        <v>0</v>
      </c>
      <c r="BF576" s="315">
        <f t="shared" si="109"/>
        <v>0</v>
      </c>
      <c r="BG576" s="315">
        <f t="shared" si="109"/>
        <v>0</v>
      </c>
      <c r="BH576" s="315">
        <f t="shared" si="109"/>
        <v>0</v>
      </c>
      <c r="BI576" s="315">
        <f t="shared" si="109"/>
        <v>0</v>
      </c>
      <c r="BJ576" s="315">
        <f t="shared" si="109"/>
        <v>0</v>
      </c>
      <c r="BK576" s="315">
        <f t="shared" si="109"/>
        <v>0</v>
      </c>
      <c r="BL576" s="315">
        <f t="shared" si="109"/>
        <v>0</v>
      </c>
      <c r="BM576" s="315">
        <f t="shared" si="109"/>
        <v>0</v>
      </c>
      <c r="BN576" s="315">
        <f t="shared" si="109"/>
        <v>0</v>
      </c>
      <c r="BO576" s="315">
        <f t="shared" si="110"/>
        <v>0</v>
      </c>
      <c r="BP576" s="315">
        <f t="shared" si="110"/>
        <v>0</v>
      </c>
      <c r="BQ576" s="315">
        <f t="shared" si="110"/>
        <v>0</v>
      </c>
      <c r="BR576" s="315">
        <f t="shared" si="110"/>
        <v>0</v>
      </c>
      <c r="BS576" s="315">
        <f t="shared" si="110"/>
        <v>0</v>
      </c>
      <c r="BT576" s="315">
        <f t="shared" si="110"/>
        <v>0</v>
      </c>
      <c r="BU576" s="315">
        <f t="shared" si="110"/>
        <v>0</v>
      </c>
      <c r="BV576" s="315">
        <f t="shared" si="110"/>
        <v>0</v>
      </c>
      <c r="BW576" s="315">
        <f t="shared" si="110"/>
        <v>0</v>
      </c>
      <c r="BX576" s="315">
        <f t="shared" si="110"/>
        <v>0</v>
      </c>
      <c r="BZ576" s="315">
        <f t="shared" si="111"/>
        <v>0</v>
      </c>
      <c r="CA576" s="315">
        <f t="shared" si="111"/>
        <v>0</v>
      </c>
    </row>
    <row r="577" spans="7:79" hidden="1" x14ac:dyDescent="0.2">
      <c r="G577" s="315">
        <f t="shared" si="109"/>
        <v>0</v>
      </c>
      <c r="H577" s="315">
        <f t="shared" si="109"/>
        <v>0</v>
      </c>
      <c r="I577" s="315">
        <f t="shared" si="109"/>
        <v>0</v>
      </c>
      <c r="J577" s="315">
        <f t="shared" si="109"/>
        <v>0</v>
      </c>
      <c r="K577" s="315">
        <f t="shared" si="109"/>
        <v>0</v>
      </c>
      <c r="L577" s="315">
        <f t="shared" si="109"/>
        <v>0</v>
      </c>
      <c r="M577" s="315">
        <f t="shared" si="109"/>
        <v>0</v>
      </c>
      <c r="N577" s="315">
        <f t="shared" si="109"/>
        <v>0</v>
      </c>
      <c r="O577" s="315">
        <f t="shared" si="109"/>
        <v>0</v>
      </c>
      <c r="P577" s="315">
        <f t="shared" si="109"/>
        <v>0</v>
      </c>
      <c r="Q577" s="315">
        <f t="shared" si="109"/>
        <v>0</v>
      </c>
      <c r="R577" s="315">
        <f t="shared" si="109"/>
        <v>0</v>
      </c>
      <c r="S577" s="315">
        <f t="shared" si="109"/>
        <v>0</v>
      </c>
      <c r="T577" s="315">
        <f t="shared" si="109"/>
        <v>0</v>
      </c>
      <c r="U577" s="315">
        <f t="shared" si="109"/>
        <v>0</v>
      </c>
      <c r="V577" s="315">
        <f t="shared" si="109"/>
        <v>0</v>
      </c>
      <c r="W577" s="315">
        <f t="shared" si="109"/>
        <v>0</v>
      </c>
      <c r="X577" s="315">
        <f t="shared" si="109"/>
        <v>0</v>
      </c>
      <c r="Y577" s="315">
        <f t="shared" si="109"/>
        <v>0</v>
      </c>
      <c r="Z577" s="315">
        <f t="shared" si="109"/>
        <v>0</v>
      </c>
      <c r="AA577" s="315">
        <f t="shared" si="109"/>
        <v>0</v>
      </c>
      <c r="AB577" s="315">
        <f t="shared" si="109"/>
        <v>0</v>
      </c>
      <c r="AC577" s="315">
        <f t="shared" si="109"/>
        <v>0</v>
      </c>
      <c r="AD577" s="315">
        <f t="shared" si="109"/>
        <v>0</v>
      </c>
      <c r="AE577" s="315">
        <f t="shared" si="109"/>
        <v>0</v>
      </c>
      <c r="AF577" s="315">
        <f t="shared" si="109"/>
        <v>0</v>
      </c>
      <c r="AG577" s="315">
        <f t="shared" si="109"/>
        <v>0</v>
      </c>
      <c r="AH577" s="315">
        <f t="shared" si="109"/>
        <v>0</v>
      </c>
      <c r="AI577" s="315">
        <f t="shared" si="109"/>
        <v>0</v>
      </c>
      <c r="AJ577" s="315">
        <f t="shared" si="109"/>
        <v>0</v>
      </c>
      <c r="AK577" s="315">
        <f t="shared" si="109"/>
        <v>0</v>
      </c>
      <c r="AL577" s="315">
        <f t="shared" si="109"/>
        <v>0</v>
      </c>
      <c r="AM577" s="315">
        <f t="shared" si="109"/>
        <v>0</v>
      </c>
      <c r="AN577" s="315">
        <f t="shared" si="109"/>
        <v>0</v>
      </c>
      <c r="AO577" s="315">
        <f t="shared" si="109"/>
        <v>0</v>
      </c>
      <c r="AP577" s="315">
        <f t="shared" si="109"/>
        <v>0</v>
      </c>
      <c r="AQ577" s="315">
        <f t="shared" si="109"/>
        <v>0</v>
      </c>
      <c r="AR577" s="315">
        <f t="shared" si="109"/>
        <v>0</v>
      </c>
      <c r="AS577" s="315">
        <f t="shared" si="109"/>
        <v>0</v>
      </c>
      <c r="AT577" s="315">
        <f t="shared" si="109"/>
        <v>0</v>
      </c>
      <c r="AU577" s="315">
        <f t="shared" si="109"/>
        <v>0</v>
      </c>
      <c r="AV577" s="315">
        <f t="shared" si="109"/>
        <v>0</v>
      </c>
      <c r="AW577" s="315">
        <f t="shared" si="109"/>
        <v>0</v>
      </c>
      <c r="AX577" s="315">
        <f t="shared" si="109"/>
        <v>0</v>
      </c>
      <c r="AY577" s="315">
        <f t="shared" si="109"/>
        <v>0</v>
      </c>
      <c r="AZ577" s="315">
        <f t="shared" si="109"/>
        <v>0</v>
      </c>
      <c r="BA577" s="315">
        <f t="shared" si="109"/>
        <v>0</v>
      </c>
      <c r="BB577" s="315">
        <f t="shared" si="109"/>
        <v>0</v>
      </c>
      <c r="BC577" s="315">
        <f t="shared" si="109"/>
        <v>0</v>
      </c>
      <c r="BD577" s="315">
        <f t="shared" si="109"/>
        <v>0</v>
      </c>
      <c r="BE577" s="315">
        <f t="shared" si="109"/>
        <v>0</v>
      </c>
      <c r="BF577" s="315">
        <f t="shared" si="109"/>
        <v>0</v>
      </c>
      <c r="BG577" s="315">
        <f t="shared" si="109"/>
        <v>0</v>
      </c>
      <c r="BH577" s="315">
        <f t="shared" si="109"/>
        <v>0</v>
      </c>
      <c r="BI577" s="315">
        <f t="shared" si="109"/>
        <v>0</v>
      </c>
      <c r="BJ577" s="315">
        <f t="shared" si="109"/>
        <v>0</v>
      </c>
      <c r="BK577" s="315">
        <f t="shared" si="109"/>
        <v>0</v>
      </c>
      <c r="BL577" s="315">
        <f t="shared" si="109"/>
        <v>0</v>
      </c>
      <c r="BM577" s="315">
        <f t="shared" si="109"/>
        <v>0</v>
      </c>
      <c r="BN577" s="315">
        <f t="shared" si="109"/>
        <v>0</v>
      </c>
      <c r="BO577" s="315">
        <f t="shared" si="110"/>
        <v>0</v>
      </c>
      <c r="BP577" s="315">
        <f t="shared" si="110"/>
        <v>0</v>
      </c>
      <c r="BQ577" s="315">
        <f t="shared" si="110"/>
        <v>0</v>
      </c>
      <c r="BR577" s="315">
        <f t="shared" si="110"/>
        <v>0</v>
      </c>
      <c r="BS577" s="315">
        <f t="shared" si="110"/>
        <v>0</v>
      </c>
      <c r="BT577" s="315">
        <f t="shared" si="110"/>
        <v>0</v>
      </c>
      <c r="BU577" s="315">
        <f t="shared" si="110"/>
        <v>0</v>
      </c>
      <c r="BV577" s="315">
        <f t="shared" si="110"/>
        <v>0</v>
      </c>
      <c r="BW577" s="315">
        <f t="shared" si="110"/>
        <v>0</v>
      </c>
      <c r="BX577" s="315">
        <f t="shared" si="110"/>
        <v>0</v>
      </c>
      <c r="BZ577" s="315">
        <f t="shared" si="111"/>
        <v>0</v>
      </c>
      <c r="CA577" s="315">
        <f t="shared" si="111"/>
        <v>0</v>
      </c>
    </row>
    <row r="578" spans="7:79" hidden="1" x14ac:dyDescent="0.2">
      <c r="G578" s="315">
        <f t="shared" si="109"/>
        <v>0</v>
      </c>
      <c r="H578" s="315">
        <f t="shared" si="109"/>
        <v>0</v>
      </c>
      <c r="I578" s="315">
        <f t="shared" si="109"/>
        <v>0</v>
      </c>
      <c r="J578" s="315">
        <f t="shared" si="109"/>
        <v>0</v>
      </c>
      <c r="K578" s="315">
        <f t="shared" si="109"/>
        <v>0</v>
      </c>
      <c r="L578" s="315">
        <f t="shared" si="109"/>
        <v>0</v>
      </c>
      <c r="M578" s="315">
        <f t="shared" si="109"/>
        <v>0</v>
      </c>
      <c r="N578" s="315">
        <f t="shared" si="109"/>
        <v>0</v>
      </c>
      <c r="O578" s="315">
        <f t="shared" si="109"/>
        <v>0</v>
      </c>
      <c r="P578" s="315">
        <f t="shared" si="109"/>
        <v>0</v>
      </c>
      <c r="Q578" s="315">
        <f t="shared" si="109"/>
        <v>0</v>
      </c>
      <c r="R578" s="315">
        <f t="shared" si="109"/>
        <v>0</v>
      </c>
      <c r="S578" s="315">
        <f t="shared" si="109"/>
        <v>0</v>
      </c>
      <c r="T578" s="315">
        <f t="shared" si="109"/>
        <v>0</v>
      </c>
      <c r="U578" s="315">
        <f t="shared" si="109"/>
        <v>0</v>
      </c>
      <c r="V578" s="315">
        <f t="shared" si="109"/>
        <v>0</v>
      </c>
      <c r="W578" s="315">
        <f t="shared" si="109"/>
        <v>0</v>
      </c>
      <c r="X578" s="315">
        <f t="shared" si="109"/>
        <v>0</v>
      </c>
      <c r="Y578" s="315">
        <f t="shared" si="109"/>
        <v>0</v>
      </c>
      <c r="Z578" s="315">
        <f t="shared" si="109"/>
        <v>0</v>
      </c>
      <c r="AA578" s="315">
        <f t="shared" si="109"/>
        <v>0</v>
      </c>
      <c r="AB578" s="315">
        <f t="shared" si="109"/>
        <v>0</v>
      </c>
      <c r="AC578" s="315">
        <f t="shared" si="109"/>
        <v>0</v>
      </c>
      <c r="AD578" s="315">
        <f t="shared" si="109"/>
        <v>0</v>
      </c>
      <c r="AE578" s="315">
        <f t="shared" si="109"/>
        <v>0</v>
      </c>
      <c r="AF578" s="315">
        <f t="shared" si="109"/>
        <v>0</v>
      </c>
      <c r="AG578" s="315">
        <f t="shared" si="109"/>
        <v>0</v>
      </c>
      <c r="AH578" s="315">
        <f t="shared" si="109"/>
        <v>0</v>
      </c>
      <c r="AI578" s="315">
        <f t="shared" si="109"/>
        <v>0</v>
      </c>
      <c r="AJ578" s="315">
        <f t="shared" si="109"/>
        <v>0</v>
      </c>
      <c r="AK578" s="315">
        <f t="shared" si="109"/>
        <v>0</v>
      </c>
      <c r="AL578" s="315">
        <f t="shared" si="109"/>
        <v>0</v>
      </c>
      <c r="AM578" s="315">
        <f t="shared" si="109"/>
        <v>0</v>
      </c>
      <c r="AN578" s="315">
        <f t="shared" si="109"/>
        <v>0</v>
      </c>
      <c r="AO578" s="315">
        <f t="shared" si="109"/>
        <v>0</v>
      </c>
      <c r="AP578" s="315">
        <f t="shared" si="109"/>
        <v>0</v>
      </c>
      <c r="AQ578" s="315">
        <f t="shared" si="109"/>
        <v>0</v>
      </c>
      <c r="AR578" s="315">
        <f t="shared" si="109"/>
        <v>0</v>
      </c>
      <c r="AS578" s="315">
        <f t="shared" si="109"/>
        <v>0</v>
      </c>
      <c r="AT578" s="315">
        <f t="shared" si="109"/>
        <v>0</v>
      </c>
      <c r="AU578" s="315">
        <f t="shared" si="109"/>
        <v>0</v>
      </c>
      <c r="AV578" s="315">
        <f t="shared" si="109"/>
        <v>0</v>
      </c>
      <c r="AW578" s="315">
        <f t="shared" si="109"/>
        <v>0</v>
      </c>
      <c r="AX578" s="315">
        <f t="shared" si="109"/>
        <v>0</v>
      </c>
      <c r="AY578" s="315">
        <f t="shared" si="109"/>
        <v>0</v>
      </c>
      <c r="AZ578" s="315">
        <f t="shared" si="109"/>
        <v>0</v>
      </c>
      <c r="BA578" s="315">
        <f t="shared" si="109"/>
        <v>0</v>
      </c>
      <c r="BB578" s="315">
        <f t="shared" si="109"/>
        <v>0</v>
      </c>
      <c r="BC578" s="315">
        <f t="shared" si="109"/>
        <v>0</v>
      </c>
      <c r="BD578" s="315">
        <f t="shared" si="109"/>
        <v>0</v>
      </c>
      <c r="BE578" s="315">
        <f t="shared" si="109"/>
        <v>0</v>
      </c>
      <c r="BF578" s="315">
        <f t="shared" si="109"/>
        <v>0</v>
      </c>
      <c r="BG578" s="315">
        <f t="shared" si="109"/>
        <v>0</v>
      </c>
      <c r="BH578" s="315">
        <f t="shared" si="109"/>
        <v>0</v>
      </c>
      <c r="BI578" s="315">
        <f t="shared" si="109"/>
        <v>0</v>
      </c>
      <c r="BJ578" s="315">
        <f t="shared" si="109"/>
        <v>0</v>
      </c>
      <c r="BK578" s="315">
        <f t="shared" si="109"/>
        <v>0</v>
      </c>
      <c r="BL578" s="315">
        <f t="shared" si="109"/>
        <v>0</v>
      </c>
      <c r="BM578" s="315">
        <f t="shared" si="109"/>
        <v>0</v>
      </c>
      <c r="BN578" s="315">
        <f t="shared" si="109"/>
        <v>0</v>
      </c>
      <c r="BO578" s="315">
        <f t="shared" si="110"/>
        <v>0</v>
      </c>
      <c r="BP578" s="315">
        <f t="shared" si="110"/>
        <v>0</v>
      </c>
      <c r="BQ578" s="315">
        <f t="shared" si="110"/>
        <v>0</v>
      </c>
      <c r="BR578" s="315">
        <f t="shared" si="110"/>
        <v>0</v>
      </c>
      <c r="BS578" s="315">
        <f t="shared" si="110"/>
        <v>0</v>
      </c>
      <c r="BT578" s="315">
        <f t="shared" si="110"/>
        <v>0</v>
      </c>
      <c r="BU578" s="315">
        <f t="shared" si="110"/>
        <v>0</v>
      </c>
      <c r="BV578" s="315">
        <f t="shared" si="110"/>
        <v>0</v>
      </c>
      <c r="BW578" s="315">
        <f t="shared" si="110"/>
        <v>0</v>
      </c>
      <c r="BX578" s="315">
        <f t="shared" si="110"/>
        <v>0</v>
      </c>
      <c r="BZ578" s="315">
        <f t="shared" si="111"/>
        <v>0</v>
      </c>
      <c r="CA578" s="315">
        <f t="shared" si="111"/>
        <v>0</v>
      </c>
    </row>
    <row r="579" spans="7:79" hidden="1" x14ac:dyDescent="0.2">
      <c r="G579" s="315">
        <f t="shared" si="109"/>
        <v>0</v>
      </c>
      <c r="H579" s="315">
        <f t="shared" si="109"/>
        <v>0</v>
      </c>
      <c r="I579" s="315">
        <f t="shared" si="109"/>
        <v>0</v>
      </c>
      <c r="J579" s="315">
        <f t="shared" si="109"/>
        <v>0</v>
      </c>
      <c r="K579" s="315">
        <f t="shared" si="109"/>
        <v>0</v>
      </c>
      <c r="L579" s="315">
        <f t="shared" si="109"/>
        <v>0</v>
      </c>
      <c r="M579" s="315">
        <f t="shared" si="109"/>
        <v>0</v>
      </c>
      <c r="N579" s="315">
        <f t="shared" si="109"/>
        <v>0</v>
      </c>
      <c r="O579" s="315">
        <f t="shared" si="109"/>
        <v>0</v>
      </c>
      <c r="P579" s="315">
        <f t="shared" si="109"/>
        <v>0</v>
      </c>
      <c r="Q579" s="315">
        <f t="shared" si="109"/>
        <v>0</v>
      </c>
      <c r="R579" s="315">
        <f t="shared" ref="Q579:BN580" si="112">R162-CJ162</f>
        <v>0</v>
      </c>
      <c r="S579" s="315">
        <f t="shared" si="112"/>
        <v>0</v>
      </c>
      <c r="T579" s="315">
        <f t="shared" si="112"/>
        <v>0</v>
      </c>
      <c r="U579" s="315">
        <f t="shared" si="112"/>
        <v>0</v>
      </c>
      <c r="V579" s="315">
        <f t="shared" si="112"/>
        <v>0</v>
      </c>
      <c r="W579" s="315">
        <f t="shared" si="112"/>
        <v>0</v>
      </c>
      <c r="X579" s="315">
        <f t="shared" si="112"/>
        <v>0</v>
      </c>
      <c r="Y579" s="315">
        <f t="shared" si="112"/>
        <v>0</v>
      </c>
      <c r="Z579" s="315">
        <f t="shared" si="112"/>
        <v>0</v>
      </c>
      <c r="AA579" s="315">
        <f t="shared" si="112"/>
        <v>0</v>
      </c>
      <c r="AB579" s="315">
        <f t="shared" si="112"/>
        <v>0</v>
      </c>
      <c r="AC579" s="315">
        <f t="shared" si="112"/>
        <v>0</v>
      </c>
      <c r="AD579" s="315">
        <f t="shared" si="112"/>
        <v>0</v>
      </c>
      <c r="AE579" s="315">
        <f t="shared" si="112"/>
        <v>0</v>
      </c>
      <c r="AF579" s="315">
        <f t="shared" si="112"/>
        <v>0</v>
      </c>
      <c r="AG579" s="315">
        <f t="shared" si="112"/>
        <v>0</v>
      </c>
      <c r="AH579" s="315">
        <f t="shared" si="112"/>
        <v>0</v>
      </c>
      <c r="AI579" s="315">
        <f t="shared" si="112"/>
        <v>0</v>
      </c>
      <c r="AJ579" s="315">
        <f t="shared" si="112"/>
        <v>0</v>
      </c>
      <c r="AK579" s="315">
        <f t="shared" si="112"/>
        <v>0</v>
      </c>
      <c r="AL579" s="315">
        <f t="shared" si="112"/>
        <v>0</v>
      </c>
      <c r="AM579" s="315">
        <f t="shared" si="112"/>
        <v>0</v>
      </c>
      <c r="AN579" s="315">
        <f t="shared" si="112"/>
        <v>0</v>
      </c>
      <c r="AO579" s="315">
        <f t="shared" si="112"/>
        <v>0</v>
      </c>
      <c r="AP579" s="315">
        <f t="shared" si="112"/>
        <v>0</v>
      </c>
      <c r="AQ579" s="315">
        <f t="shared" si="112"/>
        <v>0</v>
      </c>
      <c r="AR579" s="315">
        <f t="shared" si="112"/>
        <v>0</v>
      </c>
      <c r="AS579" s="315">
        <f t="shared" si="112"/>
        <v>0</v>
      </c>
      <c r="AT579" s="315">
        <f t="shared" si="112"/>
        <v>0</v>
      </c>
      <c r="AU579" s="315">
        <f t="shared" si="112"/>
        <v>0</v>
      </c>
      <c r="AV579" s="315">
        <f t="shared" si="112"/>
        <v>0</v>
      </c>
      <c r="AW579" s="315">
        <f t="shared" si="112"/>
        <v>0</v>
      </c>
      <c r="AX579" s="315">
        <f t="shared" si="112"/>
        <v>0</v>
      </c>
      <c r="AY579" s="315">
        <f t="shared" si="112"/>
        <v>0</v>
      </c>
      <c r="AZ579" s="315">
        <f t="shared" si="112"/>
        <v>0</v>
      </c>
      <c r="BA579" s="315">
        <f t="shared" si="112"/>
        <v>0</v>
      </c>
      <c r="BB579" s="315">
        <f t="shared" si="112"/>
        <v>0</v>
      </c>
      <c r="BC579" s="315">
        <f t="shared" si="112"/>
        <v>0</v>
      </c>
      <c r="BD579" s="315">
        <f t="shared" si="112"/>
        <v>0</v>
      </c>
      <c r="BE579" s="315">
        <f t="shared" si="112"/>
        <v>0</v>
      </c>
      <c r="BF579" s="315">
        <f t="shared" si="112"/>
        <v>0</v>
      </c>
      <c r="BG579" s="315">
        <f t="shared" si="112"/>
        <v>0</v>
      </c>
      <c r="BH579" s="315">
        <f t="shared" si="112"/>
        <v>0</v>
      </c>
      <c r="BI579" s="315">
        <f t="shared" si="112"/>
        <v>0</v>
      </c>
      <c r="BJ579" s="315">
        <f t="shared" si="112"/>
        <v>0</v>
      </c>
      <c r="BK579" s="315">
        <f t="shared" si="112"/>
        <v>0</v>
      </c>
      <c r="BL579" s="315">
        <f t="shared" si="112"/>
        <v>0</v>
      </c>
      <c r="BM579" s="315">
        <f t="shared" si="112"/>
        <v>0</v>
      </c>
      <c r="BN579" s="315">
        <f t="shared" si="112"/>
        <v>0</v>
      </c>
      <c r="BO579" s="315">
        <f t="shared" si="110"/>
        <v>0</v>
      </c>
      <c r="BP579" s="315">
        <f t="shared" si="110"/>
        <v>0</v>
      </c>
      <c r="BQ579" s="315">
        <f t="shared" si="110"/>
        <v>0</v>
      </c>
      <c r="BR579" s="315">
        <f t="shared" si="110"/>
        <v>0</v>
      </c>
      <c r="BS579" s="315">
        <f t="shared" si="110"/>
        <v>0</v>
      </c>
      <c r="BT579" s="315">
        <f t="shared" si="110"/>
        <v>0</v>
      </c>
      <c r="BU579" s="315">
        <f t="shared" si="110"/>
        <v>0</v>
      </c>
      <c r="BV579" s="315">
        <f t="shared" si="110"/>
        <v>0</v>
      </c>
      <c r="BW579" s="315">
        <f t="shared" si="110"/>
        <v>0</v>
      </c>
      <c r="BX579" s="315">
        <f t="shared" si="110"/>
        <v>0</v>
      </c>
      <c r="BZ579" s="315">
        <f t="shared" si="111"/>
        <v>0</v>
      </c>
      <c r="CA579" s="315">
        <f t="shared" si="111"/>
        <v>0</v>
      </c>
    </row>
    <row r="580" spans="7:79" hidden="1" x14ac:dyDescent="0.2">
      <c r="G580" s="315">
        <f t="shared" ref="G580:P580" si="113">G163-BY163</f>
        <v>0</v>
      </c>
      <c r="H580" s="315">
        <f t="shared" si="113"/>
        <v>0</v>
      </c>
      <c r="I580" s="315">
        <f t="shared" si="113"/>
        <v>0</v>
      </c>
      <c r="J580" s="315">
        <f t="shared" si="113"/>
        <v>0</v>
      </c>
      <c r="K580" s="315">
        <f t="shared" si="113"/>
        <v>0</v>
      </c>
      <c r="L580" s="315">
        <f t="shared" si="113"/>
        <v>0</v>
      </c>
      <c r="M580" s="315">
        <f t="shared" si="113"/>
        <v>0</v>
      </c>
      <c r="N580" s="315">
        <f t="shared" si="113"/>
        <v>0</v>
      </c>
      <c r="O580" s="315">
        <f t="shared" si="113"/>
        <v>0</v>
      </c>
      <c r="P580" s="315">
        <f t="shared" si="113"/>
        <v>0</v>
      </c>
      <c r="Q580" s="315">
        <f t="shared" si="112"/>
        <v>0</v>
      </c>
      <c r="R580" s="315">
        <f t="shared" si="112"/>
        <v>0</v>
      </c>
      <c r="S580" s="315">
        <f t="shared" si="112"/>
        <v>0</v>
      </c>
      <c r="T580" s="315">
        <f t="shared" si="112"/>
        <v>0</v>
      </c>
      <c r="U580" s="315">
        <f t="shared" si="112"/>
        <v>0</v>
      </c>
      <c r="V580" s="315">
        <f t="shared" si="112"/>
        <v>0</v>
      </c>
      <c r="W580" s="315">
        <f t="shared" si="112"/>
        <v>0</v>
      </c>
      <c r="X580" s="315">
        <f t="shared" si="112"/>
        <v>0</v>
      </c>
      <c r="Y580" s="315">
        <f t="shared" si="112"/>
        <v>0</v>
      </c>
      <c r="Z580" s="315">
        <f t="shared" si="112"/>
        <v>0</v>
      </c>
      <c r="AA580" s="315">
        <f t="shared" si="112"/>
        <v>0</v>
      </c>
      <c r="AB580" s="315">
        <f t="shared" si="112"/>
        <v>0</v>
      </c>
      <c r="AC580" s="315">
        <f t="shared" si="112"/>
        <v>0</v>
      </c>
      <c r="AD580" s="315">
        <f t="shared" si="112"/>
        <v>0</v>
      </c>
      <c r="AE580" s="315">
        <f t="shared" si="112"/>
        <v>0</v>
      </c>
      <c r="AF580" s="315">
        <f t="shared" si="112"/>
        <v>0</v>
      </c>
      <c r="AG580" s="315">
        <f t="shared" si="112"/>
        <v>0</v>
      </c>
      <c r="AH580" s="315">
        <f t="shared" si="112"/>
        <v>0</v>
      </c>
      <c r="AI580" s="315">
        <f t="shared" si="112"/>
        <v>0</v>
      </c>
      <c r="AJ580" s="315">
        <f t="shared" si="112"/>
        <v>0</v>
      </c>
      <c r="AK580" s="315">
        <f t="shared" si="112"/>
        <v>0</v>
      </c>
      <c r="AL580" s="315">
        <f t="shared" si="112"/>
        <v>0</v>
      </c>
      <c r="AM580" s="315">
        <f t="shared" si="112"/>
        <v>0</v>
      </c>
      <c r="AN580" s="315">
        <f t="shared" si="112"/>
        <v>0</v>
      </c>
      <c r="AO580" s="315">
        <f t="shared" si="112"/>
        <v>0</v>
      </c>
      <c r="AP580" s="315">
        <f t="shared" si="112"/>
        <v>0</v>
      </c>
      <c r="AQ580" s="315">
        <f t="shared" si="112"/>
        <v>0</v>
      </c>
      <c r="AR580" s="315">
        <f t="shared" si="112"/>
        <v>0</v>
      </c>
      <c r="AS580" s="315">
        <f t="shared" si="112"/>
        <v>0</v>
      </c>
      <c r="AT580" s="315">
        <f t="shared" si="112"/>
        <v>0</v>
      </c>
      <c r="AU580" s="315">
        <f t="shared" si="112"/>
        <v>0</v>
      </c>
      <c r="AV580" s="315">
        <f t="shared" si="112"/>
        <v>0</v>
      </c>
      <c r="AW580" s="315">
        <f t="shared" si="112"/>
        <v>0</v>
      </c>
      <c r="AX580" s="315">
        <f t="shared" si="112"/>
        <v>0</v>
      </c>
      <c r="AY580" s="315">
        <f t="shared" si="112"/>
        <v>0</v>
      </c>
      <c r="AZ580" s="315">
        <f t="shared" si="112"/>
        <v>0</v>
      </c>
      <c r="BA580" s="315">
        <f t="shared" si="112"/>
        <v>0</v>
      </c>
      <c r="BB580" s="315">
        <f t="shared" si="112"/>
        <v>0</v>
      </c>
      <c r="BC580" s="315">
        <f t="shared" si="112"/>
        <v>0</v>
      </c>
      <c r="BD580" s="315">
        <f t="shared" si="112"/>
        <v>0</v>
      </c>
      <c r="BE580" s="315">
        <f t="shared" si="112"/>
        <v>0</v>
      </c>
      <c r="BF580" s="315">
        <f t="shared" si="112"/>
        <v>0</v>
      </c>
      <c r="BG580" s="315">
        <f t="shared" si="112"/>
        <v>0</v>
      </c>
      <c r="BH580" s="315">
        <f t="shared" si="112"/>
        <v>0</v>
      </c>
      <c r="BI580" s="315">
        <f t="shared" si="112"/>
        <v>0</v>
      </c>
      <c r="BJ580" s="315">
        <f t="shared" si="112"/>
        <v>0</v>
      </c>
      <c r="BK580" s="315">
        <f t="shared" si="112"/>
        <v>0</v>
      </c>
      <c r="BL580" s="315">
        <f t="shared" si="112"/>
        <v>0</v>
      </c>
      <c r="BM580" s="315">
        <f t="shared" si="112"/>
        <v>0</v>
      </c>
      <c r="BN580" s="315">
        <f t="shared" si="112"/>
        <v>0</v>
      </c>
      <c r="BO580" s="315">
        <f t="shared" si="110"/>
        <v>0</v>
      </c>
      <c r="BP580" s="315">
        <f t="shared" si="110"/>
        <v>0</v>
      </c>
      <c r="BQ580" s="315">
        <f t="shared" si="110"/>
        <v>0</v>
      </c>
      <c r="BR580" s="315">
        <f t="shared" si="110"/>
        <v>0</v>
      </c>
      <c r="BS580" s="315">
        <f t="shared" si="110"/>
        <v>0</v>
      </c>
      <c r="BT580" s="315">
        <f t="shared" si="110"/>
        <v>0</v>
      </c>
      <c r="BU580" s="315">
        <f t="shared" si="110"/>
        <v>0</v>
      </c>
      <c r="BV580" s="315">
        <f t="shared" si="110"/>
        <v>0</v>
      </c>
      <c r="BW580" s="315">
        <f t="shared" si="110"/>
        <v>0</v>
      </c>
      <c r="BX580" s="315">
        <f t="shared" si="110"/>
        <v>0</v>
      </c>
      <c r="BZ580" s="315">
        <f t="shared" si="111"/>
        <v>0</v>
      </c>
      <c r="CA580" s="315">
        <f t="shared" si="111"/>
        <v>0</v>
      </c>
    </row>
    <row r="581" spans="7:79" hidden="1" x14ac:dyDescent="0.2"/>
    <row r="582" spans="7:79" hidden="1" x14ac:dyDescent="0.2"/>
    <row r="583" spans="7:79" hidden="1" x14ac:dyDescent="0.2"/>
    <row r="584" spans="7:79" hidden="1" x14ac:dyDescent="0.2">
      <c r="G584" s="315">
        <f t="shared" ref="G584:BR586" si="114">G167-BY167</f>
        <v>0</v>
      </c>
      <c r="H584" s="315">
        <f t="shared" si="114"/>
        <v>0</v>
      </c>
      <c r="I584" s="315">
        <f t="shared" si="114"/>
        <v>0</v>
      </c>
      <c r="J584" s="315">
        <f t="shared" si="114"/>
        <v>0</v>
      </c>
      <c r="K584" s="315">
        <f t="shared" si="114"/>
        <v>0</v>
      </c>
      <c r="L584" s="315">
        <f t="shared" si="114"/>
        <v>0</v>
      </c>
      <c r="M584" s="315">
        <f t="shared" si="114"/>
        <v>0</v>
      </c>
      <c r="N584" s="315">
        <f t="shared" si="114"/>
        <v>0</v>
      </c>
      <c r="O584" s="315">
        <f t="shared" si="114"/>
        <v>0</v>
      </c>
      <c r="P584" s="315">
        <f t="shared" si="114"/>
        <v>0</v>
      </c>
      <c r="Q584" s="315">
        <f t="shared" si="114"/>
        <v>0</v>
      </c>
      <c r="R584" s="315">
        <f t="shared" si="114"/>
        <v>0</v>
      </c>
      <c r="S584" s="315">
        <f t="shared" si="114"/>
        <v>0</v>
      </c>
      <c r="T584" s="315">
        <f t="shared" si="114"/>
        <v>0</v>
      </c>
      <c r="U584" s="315">
        <f t="shared" si="114"/>
        <v>0</v>
      </c>
      <c r="V584" s="315">
        <f t="shared" si="114"/>
        <v>0</v>
      </c>
      <c r="W584" s="315">
        <f t="shared" si="114"/>
        <v>0</v>
      </c>
      <c r="X584" s="315">
        <f t="shared" si="114"/>
        <v>0</v>
      </c>
      <c r="Y584" s="315">
        <f t="shared" si="114"/>
        <v>0</v>
      </c>
      <c r="Z584" s="315">
        <f t="shared" si="114"/>
        <v>0</v>
      </c>
      <c r="AA584" s="315">
        <f t="shared" si="114"/>
        <v>0</v>
      </c>
      <c r="AB584" s="315">
        <f t="shared" si="114"/>
        <v>0</v>
      </c>
      <c r="AC584" s="315">
        <f t="shared" si="114"/>
        <v>0</v>
      </c>
      <c r="AD584" s="315">
        <f t="shared" si="114"/>
        <v>0</v>
      </c>
      <c r="AE584" s="315">
        <f t="shared" si="114"/>
        <v>0</v>
      </c>
      <c r="AF584" s="315">
        <f t="shared" si="114"/>
        <v>0</v>
      </c>
      <c r="AG584" s="315">
        <f t="shared" si="114"/>
        <v>0</v>
      </c>
      <c r="AH584" s="315">
        <f t="shared" si="114"/>
        <v>0</v>
      </c>
      <c r="AI584" s="315">
        <f t="shared" si="114"/>
        <v>0</v>
      </c>
      <c r="AJ584" s="315">
        <f t="shared" si="114"/>
        <v>0</v>
      </c>
      <c r="AK584" s="315">
        <f t="shared" si="114"/>
        <v>0</v>
      </c>
      <c r="AL584" s="315">
        <f t="shared" si="114"/>
        <v>0</v>
      </c>
      <c r="AM584" s="315">
        <f t="shared" si="114"/>
        <v>0</v>
      </c>
      <c r="AN584" s="315">
        <f t="shared" si="114"/>
        <v>0</v>
      </c>
      <c r="AO584" s="315">
        <f t="shared" si="114"/>
        <v>0</v>
      </c>
      <c r="AP584" s="315">
        <f t="shared" si="114"/>
        <v>0</v>
      </c>
      <c r="AQ584" s="315">
        <f t="shared" si="114"/>
        <v>0</v>
      </c>
      <c r="AR584" s="315">
        <f t="shared" si="114"/>
        <v>0</v>
      </c>
      <c r="AS584" s="315">
        <f t="shared" si="114"/>
        <v>0</v>
      </c>
      <c r="AT584" s="315">
        <f t="shared" si="114"/>
        <v>0</v>
      </c>
      <c r="AU584" s="315">
        <f t="shared" si="114"/>
        <v>0</v>
      </c>
      <c r="AV584" s="315">
        <f t="shared" si="114"/>
        <v>0</v>
      </c>
      <c r="AW584" s="315">
        <f t="shared" si="114"/>
        <v>0</v>
      </c>
      <c r="AX584" s="315">
        <f t="shared" si="114"/>
        <v>0</v>
      </c>
      <c r="AY584" s="315">
        <f t="shared" si="114"/>
        <v>0</v>
      </c>
      <c r="AZ584" s="315">
        <f t="shared" si="114"/>
        <v>0</v>
      </c>
      <c r="BA584" s="315">
        <f t="shared" si="114"/>
        <v>0</v>
      </c>
      <c r="BB584" s="315">
        <f t="shared" si="114"/>
        <v>0</v>
      </c>
      <c r="BC584" s="315">
        <f t="shared" si="114"/>
        <v>0</v>
      </c>
      <c r="BD584" s="315">
        <f t="shared" si="114"/>
        <v>0</v>
      </c>
      <c r="BE584" s="315">
        <f t="shared" si="114"/>
        <v>0</v>
      </c>
      <c r="BF584" s="315">
        <f t="shared" si="114"/>
        <v>0</v>
      </c>
      <c r="BG584" s="315">
        <f t="shared" si="114"/>
        <v>0</v>
      </c>
      <c r="BH584" s="315">
        <f t="shared" si="114"/>
        <v>0</v>
      </c>
      <c r="BI584" s="315">
        <f t="shared" si="114"/>
        <v>0</v>
      </c>
      <c r="BJ584" s="315">
        <f t="shared" si="114"/>
        <v>0</v>
      </c>
      <c r="BK584" s="315">
        <f t="shared" si="114"/>
        <v>0</v>
      </c>
      <c r="BL584" s="315">
        <f t="shared" si="114"/>
        <v>0</v>
      </c>
      <c r="BM584" s="315">
        <f t="shared" si="114"/>
        <v>0</v>
      </c>
      <c r="BN584" s="315">
        <f t="shared" si="114"/>
        <v>0</v>
      </c>
      <c r="BO584" s="315">
        <f t="shared" si="114"/>
        <v>0</v>
      </c>
      <c r="BP584" s="315">
        <f t="shared" si="114"/>
        <v>0</v>
      </c>
      <c r="BQ584" s="315">
        <f t="shared" si="114"/>
        <v>0</v>
      </c>
      <c r="BR584" s="315">
        <f t="shared" si="114"/>
        <v>0</v>
      </c>
      <c r="BS584" s="315">
        <f t="shared" ref="BO584:BX586" si="115">BS167-EK167</f>
        <v>0</v>
      </c>
      <c r="BT584" s="315">
        <f t="shared" si="115"/>
        <v>0</v>
      </c>
      <c r="BU584" s="315">
        <f t="shared" si="115"/>
        <v>0</v>
      </c>
      <c r="BV584" s="315">
        <f t="shared" si="115"/>
        <v>0</v>
      </c>
      <c r="BW584" s="315">
        <f t="shared" si="115"/>
        <v>0</v>
      </c>
      <c r="BX584" s="315">
        <f t="shared" si="115"/>
        <v>0</v>
      </c>
      <c r="BZ584" s="315">
        <f t="shared" ref="BZ584:CA586" si="116">BZ167-ER167</f>
        <v>0</v>
      </c>
      <c r="CA584" s="315">
        <f t="shared" si="116"/>
        <v>0</v>
      </c>
    </row>
    <row r="585" spans="7:79" hidden="1" x14ac:dyDescent="0.2">
      <c r="G585" s="315">
        <f t="shared" si="114"/>
        <v>0</v>
      </c>
      <c r="H585" s="315">
        <f t="shared" si="114"/>
        <v>0</v>
      </c>
      <c r="I585" s="315">
        <f t="shared" si="114"/>
        <v>0</v>
      </c>
      <c r="J585" s="315">
        <f t="shared" si="114"/>
        <v>0</v>
      </c>
      <c r="K585" s="315">
        <f t="shared" si="114"/>
        <v>0</v>
      </c>
      <c r="L585" s="315">
        <f t="shared" si="114"/>
        <v>0</v>
      </c>
      <c r="M585" s="315">
        <f t="shared" si="114"/>
        <v>0</v>
      </c>
      <c r="N585" s="315">
        <f t="shared" si="114"/>
        <v>0</v>
      </c>
      <c r="O585" s="315">
        <f t="shared" si="114"/>
        <v>0</v>
      </c>
      <c r="P585" s="315">
        <f t="shared" si="114"/>
        <v>0</v>
      </c>
      <c r="Q585" s="315">
        <f t="shared" si="114"/>
        <v>0</v>
      </c>
      <c r="R585" s="315">
        <f t="shared" si="114"/>
        <v>0</v>
      </c>
      <c r="S585" s="315">
        <f t="shared" si="114"/>
        <v>0</v>
      </c>
      <c r="T585" s="315">
        <f t="shared" si="114"/>
        <v>0</v>
      </c>
      <c r="U585" s="315">
        <f t="shared" si="114"/>
        <v>0</v>
      </c>
      <c r="V585" s="315">
        <f t="shared" si="114"/>
        <v>0</v>
      </c>
      <c r="W585" s="315">
        <f t="shared" si="114"/>
        <v>0</v>
      </c>
      <c r="X585" s="315">
        <f t="shared" si="114"/>
        <v>0</v>
      </c>
      <c r="Y585" s="315">
        <f t="shared" si="114"/>
        <v>0</v>
      </c>
      <c r="Z585" s="315">
        <f t="shared" si="114"/>
        <v>0</v>
      </c>
      <c r="AA585" s="315">
        <f t="shared" si="114"/>
        <v>0</v>
      </c>
      <c r="AB585" s="315">
        <f t="shared" si="114"/>
        <v>0</v>
      </c>
      <c r="AC585" s="315">
        <f t="shared" si="114"/>
        <v>0</v>
      </c>
      <c r="AD585" s="315">
        <f t="shared" si="114"/>
        <v>0</v>
      </c>
      <c r="AE585" s="315">
        <f t="shared" si="114"/>
        <v>0</v>
      </c>
      <c r="AF585" s="315">
        <f t="shared" si="114"/>
        <v>0</v>
      </c>
      <c r="AG585" s="315">
        <f t="shared" si="114"/>
        <v>0</v>
      </c>
      <c r="AH585" s="315">
        <f t="shared" si="114"/>
        <v>0</v>
      </c>
      <c r="AI585" s="315">
        <f t="shared" si="114"/>
        <v>0</v>
      </c>
      <c r="AJ585" s="315">
        <f t="shared" si="114"/>
        <v>0</v>
      </c>
      <c r="AK585" s="315">
        <f t="shared" si="114"/>
        <v>0</v>
      </c>
      <c r="AL585" s="315">
        <f t="shared" si="114"/>
        <v>0</v>
      </c>
      <c r="AM585" s="315">
        <f t="shared" si="114"/>
        <v>0</v>
      </c>
      <c r="AN585" s="315">
        <f t="shared" si="114"/>
        <v>0</v>
      </c>
      <c r="AO585" s="315">
        <f t="shared" si="114"/>
        <v>0</v>
      </c>
      <c r="AP585" s="315">
        <f t="shared" si="114"/>
        <v>0</v>
      </c>
      <c r="AQ585" s="315">
        <f t="shared" si="114"/>
        <v>0</v>
      </c>
      <c r="AR585" s="315">
        <f t="shared" si="114"/>
        <v>0</v>
      </c>
      <c r="AS585" s="315">
        <f t="shared" si="114"/>
        <v>0</v>
      </c>
      <c r="AT585" s="315">
        <f t="shared" si="114"/>
        <v>0</v>
      </c>
      <c r="AU585" s="315">
        <f t="shared" si="114"/>
        <v>0</v>
      </c>
      <c r="AV585" s="315">
        <f t="shared" si="114"/>
        <v>0</v>
      </c>
      <c r="AW585" s="315">
        <f t="shared" si="114"/>
        <v>0</v>
      </c>
      <c r="AX585" s="315">
        <f t="shared" si="114"/>
        <v>0</v>
      </c>
      <c r="AY585" s="315">
        <f t="shared" si="114"/>
        <v>0</v>
      </c>
      <c r="AZ585" s="315">
        <f t="shared" si="114"/>
        <v>0</v>
      </c>
      <c r="BA585" s="315">
        <f t="shared" si="114"/>
        <v>0</v>
      </c>
      <c r="BB585" s="315">
        <f t="shared" si="114"/>
        <v>0</v>
      </c>
      <c r="BC585" s="315">
        <f t="shared" si="114"/>
        <v>0</v>
      </c>
      <c r="BD585" s="315">
        <f t="shared" si="114"/>
        <v>0</v>
      </c>
      <c r="BE585" s="315">
        <f t="shared" si="114"/>
        <v>0</v>
      </c>
      <c r="BF585" s="315">
        <f t="shared" si="114"/>
        <v>0</v>
      </c>
      <c r="BG585" s="315">
        <f t="shared" si="114"/>
        <v>0</v>
      </c>
      <c r="BH585" s="315">
        <f t="shared" si="114"/>
        <v>0</v>
      </c>
      <c r="BI585" s="315">
        <f t="shared" si="114"/>
        <v>0</v>
      </c>
      <c r="BJ585" s="315">
        <f t="shared" si="114"/>
        <v>0</v>
      </c>
      <c r="BK585" s="315">
        <f t="shared" si="114"/>
        <v>0</v>
      </c>
      <c r="BL585" s="315">
        <f t="shared" si="114"/>
        <v>0</v>
      </c>
      <c r="BM585" s="315">
        <f t="shared" si="114"/>
        <v>0</v>
      </c>
      <c r="BN585" s="315">
        <f t="shared" si="114"/>
        <v>0</v>
      </c>
      <c r="BO585" s="315">
        <f t="shared" si="115"/>
        <v>0</v>
      </c>
      <c r="BP585" s="315">
        <f t="shared" si="115"/>
        <v>0</v>
      </c>
      <c r="BQ585" s="315">
        <f t="shared" si="115"/>
        <v>0</v>
      </c>
      <c r="BR585" s="315">
        <f t="shared" si="115"/>
        <v>0</v>
      </c>
      <c r="BS585" s="315">
        <f t="shared" si="115"/>
        <v>0</v>
      </c>
      <c r="BT585" s="315">
        <f t="shared" si="115"/>
        <v>0</v>
      </c>
      <c r="BU585" s="315">
        <f t="shared" si="115"/>
        <v>0</v>
      </c>
      <c r="BV585" s="315">
        <f t="shared" si="115"/>
        <v>0</v>
      </c>
      <c r="BW585" s="315">
        <f t="shared" si="115"/>
        <v>0</v>
      </c>
      <c r="BX585" s="315">
        <f t="shared" si="115"/>
        <v>0</v>
      </c>
      <c r="BZ585" s="315">
        <f t="shared" si="116"/>
        <v>0</v>
      </c>
      <c r="CA585" s="315">
        <f t="shared" si="116"/>
        <v>0</v>
      </c>
    </row>
    <row r="586" spans="7:79" hidden="1" x14ac:dyDescent="0.2">
      <c r="G586" s="315">
        <f t="shared" si="114"/>
        <v>0</v>
      </c>
      <c r="H586" s="315">
        <f t="shared" si="114"/>
        <v>0</v>
      </c>
      <c r="I586" s="315">
        <f t="shared" si="114"/>
        <v>0</v>
      </c>
      <c r="J586" s="315">
        <f t="shared" si="114"/>
        <v>0</v>
      </c>
      <c r="K586" s="315">
        <f t="shared" si="114"/>
        <v>0</v>
      </c>
      <c r="L586" s="315">
        <f t="shared" si="114"/>
        <v>0</v>
      </c>
      <c r="M586" s="315">
        <f t="shared" si="114"/>
        <v>0</v>
      </c>
      <c r="N586" s="315">
        <f t="shared" si="114"/>
        <v>0</v>
      </c>
      <c r="O586" s="315">
        <f t="shared" si="114"/>
        <v>0</v>
      </c>
      <c r="P586" s="315">
        <f t="shared" si="114"/>
        <v>0</v>
      </c>
      <c r="Q586" s="315">
        <f t="shared" si="114"/>
        <v>0</v>
      </c>
      <c r="R586" s="315">
        <f t="shared" si="114"/>
        <v>0</v>
      </c>
      <c r="S586" s="315">
        <f t="shared" si="114"/>
        <v>0</v>
      </c>
      <c r="T586" s="315">
        <f t="shared" si="114"/>
        <v>0</v>
      </c>
      <c r="U586" s="315">
        <f t="shared" si="114"/>
        <v>0</v>
      </c>
      <c r="V586" s="315">
        <f t="shared" si="114"/>
        <v>0</v>
      </c>
      <c r="W586" s="315">
        <f t="shared" si="114"/>
        <v>0</v>
      </c>
      <c r="X586" s="315">
        <f t="shared" si="114"/>
        <v>0</v>
      </c>
      <c r="Y586" s="315">
        <f t="shared" si="114"/>
        <v>0</v>
      </c>
      <c r="Z586" s="315">
        <f t="shared" si="114"/>
        <v>0</v>
      </c>
      <c r="AA586" s="315">
        <f t="shared" si="114"/>
        <v>0</v>
      </c>
      <c r="AB586" s="315">
        <f t="shared" si="114"/>
        <v>0</v>
      </c>
      <c r="AC586" s="315">
        <f t="shared" si="114"/>
        <v>0</v>
      </c>
      <c r="AD586" s="315">
        <f t="shared" si="114"/>
        <v>0</v>
      </c>
      <c r="AE586" s="315">
        <f t="shared" si="114"/>
        <v>0</v>
      </c>
      <c r="AF586" s="315">
        <f t="shared" si="114"/>
        <v>0</v>
      </c>
      <c r="AG586" s="315">
        <f t="shared" si="114"/>
        <v>0</v>
      </c>
      <c r="AH586" s="315">
        <f t="shared" si="114"/>
        <v>0</v>
      </c>
      <c r="AI586" s="315">
        <f t="shared" si="114"/>
        <v>0</v>
      </c>
      <c r="AJ586" s="315">
        <f t="shared" si="114"/>
        <v>0</v>
      </c>
      <c r="AK586" s="315">
        <f t="shared" si="114"/>
        <v>0</v>
      </c>
      <c r="AL586" s="315">
        <f t="shared" si="114"/>
        <v>0</v>
      </c>
      <c r="AM586" s="315">
        <f t="shared" si="114"/>
        <v>0</v>
      </c>
      <c r="AN586" s="315">
        <f t="shared" si="114"/>
        <v>0</v>
      </c>
      <c r="AO586" s="315">
        <f t="shared" si="114"/>
        <v>0</v>
      </c>
      <c r="AP586" s="315">
        <f t="shared" si="114"/>
        <v>0</v>
      </c>
      <c r="AQ586" s="315">
        <f t="shared" si="114"/>
        <v>0</v>
      </c>
      <c r="AR586" s="315">
        <f t="shared" si="114"/>
        <v>0</v>
      </c>
      <c r="AS586" s="315">
        <f t="shared" si="114"/>
        <v>0</v>
      </c>
      <c r="AT586" s="315">
        <f t="shared" si="114"/>
        <v>0</v>
      </c>
      <c r="AU586" s="315">
        <f t="shared" si="114"/>
        <v>0</v>
      </c>
      <c r="AV586" s="315">
        <f t="shared" si="114"/>
        <v>0</v>
      </c>
      <c r="AW586" s="315">
        <f t="shared" si="114"/>
        <v>0</v>
      </c>
      <c r="AX586" s="315">
        <f t="shared" si="114"/>
        <v>0</v>
      </c>
      <c r="AY586" s="315">
        <f t="shared" si="114"/>
        <v>0</v>
      </c>
      <c r="AZ586" s="315">
        <f t="shared" si="114"/>
        <v>0</v>
      </c>
      <c r="BA586" s="315">
        <f t="shared" si="114"/>
        <v>0</v>
      </c>
      <c r="BB586" s="315">
        <f t="shared" si="114"/>
        <v>0</v>
      </c>
      <c r="BC586" s="315">
        <f t="shared" si="114"/>
        <v>0</v>
      </c>
      <c r="BD586" s="315">
        <f t="shared" si="114"/>
        <v>0</v>
      </c>
      <c r="BE586" s="315">
        <f t="shared" si="114"/>
        <v>0</v>
      </c>
      <c r="BF586" s="315">
        <f t="shared" si="114"/>
        <v>0</v>
      </c>
      <c r="BG586" s="315">
        <f t="shared" si="114"/>
        <v>0</v>
      </c>
      <c r="BH586" s="315">
        <f t="shared" si="114"/>
        <v>0</v>
      </c>
      <c r="BI586" s="315">
        <f t="shared" si="114"/>
        <v>0</v>
      </c>
      <c r="BJ586" s="315">
        <f t="shared" si="114"/>
        <v>0</v>
      </c>
      <c r="BK586" s="315">
        <f t="shared" si="114"/>
        <v>0</v>
      </c>
      <c r="BL586" s="315">
        <f t="shared" si="114"/>
        <v>0</v>
      </c>
      <c r="BM586" s="315">
        <f t="shared" si="114"/>
        <v>0</v>
      </c>
      <c r="BN586" s="315">
        <f t="shared" si="114"/>
        <v>0</v>
      </c>
      <c r="BO586" s="315">
        <f t="shared" si="115"/>
        <v>0</v>
      </c>
      <c r="BP586" s="315">
        <f t="shared" si="115"/>
        <v>0</v>
      </c>
      <c r="BQ586" s="315">
        <f t="shared" si="115"/>
        <v>0</v>
      </c>
      <c r="BR586" s="315">
        <f t="shared" si="115"/>
        <v>0</v>
      </c>
      <c r="BS586" s="315">
        <f t="shared" si="115"/>
        <v>0</v>
      </c>
      <c r="BT586" s="315">
        <f t="shared" si="115"/>
        <v>0</v>
      </c>
      <c r="BU586" s="315">
        <f t="shared" si="115"/>
        <v>0</v>
      </c>
      <c r="BV586" s="315">
        <f t="shared" si="115"/>
        <v>0</v>
      </c>
      <c r="BW586" s="315">
        <f t="shared" si="115"/>
        <v>0</v>
      </c>
      <c r="BX586" s="315">
        <f t="shared" si="115"/>
        <v>0</v>
      </c>
      <c r="BZ586" s="315">
        <f t="shared" si="116"/>
        <v>0</v>
      </c>
      <c r="CA586" s="315">
        <f t="shared" si="116"/>
        <v>0</v>
      </c>
    </row>
    <row r="587" spans="7:79" hidden="1" x14ac:dyDescent="0.2">
      <c r="G587" s="315" t="e">
        <f>#REF!-#REF!</f>
        <v>#REF!</v>
      </c>
      <c r="H587" s="315" t="e">
        <f>#REF!-#REF!</f>
        <v>#REF!</v>
      </c>
      <c r="I587" s="315" t="e">
        <f>#REF!-#REF!</f>
        <v>#REF!</v>
      </c>
      <c r="J587" s="315" t="e">
        <f>#REF!-#REF!</f>
        <v>#REF!</v>
      </c>
      <c r="K587" s="315" t="e">
        <f>#REF!-#REF!</f>
        <v>#REF!</v>
      </c>
      <c r="L587" s="315" t="e">
        <f>#REF!-#REF!</f>
        <v>#REF!</v>
      </c>
      <c r="M587" s="315" t="e">
        <f>#REF!-#REF!</f>
        <v>#REF!</v>
      </c>
      <c r="N587" s="315" t="e">
        <f>#REF!-#REF!</f>
        <v>#REF!</v>
      </c>
      <c r="O587" s="315" t="e">
        <f>#REF!-#REF!</f>
        <v>#REF!</v>
      </c>
      <c r="P587" s="315" t="e">
        <f>#REF!-#REF!</f>
        <v>#REF!</v>
      </c>
      <c r="Q587" s="315" t="e">
        <f>#REF!-#REF!</f>
        <v>#REF!</v>
      </c>
      <c r="R587" s="315" t="e">
        <f>#REF!-#REF!</f>
        <v>#REF!</v>
      </c>
      <c r="S587" s="315" t="e">
        <f>#REF!-#REF!</f>
        <v>#REF!</v>
      </c>
      <c r="T587" s="315" t="e">
        <f>#REF!-#REF!</f>
        <v>#REF!</v>
      </c>
      <c r="U587" s="315" t="e">
        <f>#REF!-#REF!</f>
        <v>#REF!</v>
      </c>
      <c r="V587" s="315" t="e">
        <f>#REF!-#REF!</f>
        <v>#REF!</v>
      </c>
      <c r="W587" s="315" t="e">
        <f>#REF!-#REF!</f>
        <v>#REF!</v>
      </c>
      <c r="X587" s="315" t="e">
        <f>#REF!-#REF!</f>
        <v>#REF!</v>
      </c>
      <c r="Y587" s="315" t="e">
        <f>#REF!-#REF!</f>
        <v>#REF!</v>
      </c>
      <c r="Z587" s="315" t="e">
        <f>#REF!-#REF!</f>
        <v>#REF!</v>
      </c>
      <c r="AA587" s="315" t="e">
        <f>#REF!-#REF!</f>
        <v>#REF!</v>
      </c>
      <c r="AB587" s="315" t="e">
        <f>#REF!-#REF!</f>
        <v>#REF!</v>
      </c>
      <c r="AC587" s="315" t="e">
        <f>#REF!-#REF!</f>
        <v>#REF!</v>
      </c>
      <c r="AD587" s="315" t="e">
        <f>#REF!-#REF!</f>
        <v>#REF!</v>
      </c>
      <c r="AE587" s="315" t="e">
        <f>#REF!-#REF!</f>
        <v>#REF!</v>
      </c>
      <c r="AF587" s="315" t="e">
        <f>#REF!-#REF!</f>
        <v>#REF!</v>
      </c>
      <c r="AG587" s="315" t="e">
        <f>#REF!-#REF!</f>
        <v>#REF!</v>
      </c>
      <c r="AH587" s="315" t="e">
        <f>#REF!-#REF!</f>
        <v>#REF!</v>
      </c>
      <c r="AI587" s="315" t="e">
        <f>#REF!-#REF!</f>
        <v>#REF!</v>
      </c>
      <c r="AJ587" s="315" t="e">
        <f>#REF!-#REF!</f>
        <v>#REF!</v>
      </c>
      <c r="AK587" s="315" t="e">
        <f>#REF!-#REF!</f>
        <v>#REF!</v>
      </c>
      <c r="AL587" s="315" t="e">
        <f>#REF!-#REF!</f>
        <v>#REF!</v>
      </c>
      <c r="AM587" s="315" t="e">
        <f>#REF!-#REF!</f>
        <v>#REF!</v>
      </c>
      <c r="AN587" s="315" t="e">
        <f>#REF!-#REF!</f>
        <v>#REF!</v>
      </c>
      <c r="AO587" s="315" t="e">
        <f>#REF!-#REF!</f>
        <v>#REF!</v>
      </c>
      <c r="AP587" s="315" t="e">
        <f>#REF!-#REF!</f>
        <v>#REF!</v>
      </c>
      <c r="AQ587" s="315" t="e">
        <f>#REF!-#REF!</f>
        <v>#REF!</v>
      </c>
      <c r="AR587" s="315" t="e">
        <f>#REF!-#REF!</f>
        <v>#REF!</v>
      </c>
      <c r="AS587" s="315" t="e">
        <f>#REF!-#REF!</f>
        <v>#REF!</v>
      </c>
      <c r="AT587" s="315" t="e">
        <f>#REF!-#REF!</f>
        <v>#REF!</v>
      </c>
      <c r="AU587" s="315" t="e">
        <f>#REF!-#REF!</f>
        <v>#REF!</v>
      </c>
      <c r="AV587" s="315" t="e">
        <f>#REF!-#REF!</f>
        <v>#REF!</v>
      </c>
      <c r="AW587" s="315" t="e">
        <f>#REF!-#REF!</f>
        <v>#REF!</v>
      </c>
      <c r="AX587" s="315" t="e">
        <f>#REF!-#REF!</f>
        <v>#REF!</v>
      </c>
      <c r="AY587" s="315" t="e">
        <f>#REF!-#REF!</f>
        <v>#REF!</v>
      </c>
      <c r="AZ587" s="315" t="e">
        <f>#REF!-#REF!</f>
        <v>#REF!</v>
      </c>
      <c r="BA587" s="315" t="e">
        <f>#REF!-#REF!</f>
        <v>#REF!</v>
      </c>
      <c r="BB587" s="315" t="e">
        <f>#REF!-#REF!</f>
        <v>#REF!</v>
      </c>
      <c r="BC587" s="315" t="e">
        <f>#REF!-#REF!</f>
        <v>#REF!</v>
      </c>
      <c r="BD587" s="315" t="e">
        <f>#REF!-#REF!</f>
        <v>#REF!</v>
      </c>
      <c r="BE587" s="315" t="e">
        <f>#REF!-#REF!</f>
        <v>#REF!</v>
      </c>
      <c r="BF587" s="315" t="e">
        <f>#REF!-#REF!</f>
        <v>#REF!</v>
      </c>
      <c r="BG587" s="315" t="e">
        <f>#REF!-#REF!</f>
        <v>#REF!</v>
      </c>
      <c r="BH587" s="315" t="e">
        <f>#REF!-#REF!</f>
        <v>#REF!</v>
      </c>
      <c r="BI587" s="315" t="e">
        <f>#REF!-#REF!</f>
        <v>#REF!</v>
      </c>
      <c r="BJ587" s="315" t="e">
        <f>#REF!-#REF!</f>
        <v>#REF!</v>
      </c>
      <c r="BK587" s="315" t="e">
        <f>#REF!-#REF!</f>
        <v>#REF!</v>
      </c>
      <c r="BL587" s="315" t="e">
        <f>#REF!-#REF!</f>
        <v>#REF!</v>
      </c>
      <c r="BM587" s="315" t="e">
        <f>#REF!-#REF!</f>
        <v>#REF!</v>
      </c>
      <c r="BN587" s="315" t="e">
        <f>#REF!-#REF!</f>
        <v>#REF!</v>
      </c>
      <c r="BO587" s="315" t="e">
        <f>#REF!-#REF!</f>
        <v>#REF!</v>
      </c>
      <c r="BP587" s="315" t="e">
        <f>#REF!-#REF!</f>
        <v>#REF!</v>
      </c>
      <c r="BQ587" s="315" t="e">
        <f>#REF!-#REF!</f>
        <v>#REF!</v>
      </c>
      <c r="BR587" s="315" t="e">
        <f>#REF!-#REF!</f>
        <v>#REF!</v>
      </c>
      <c r="BS587" s="315" t="e">
        <f>#REF!-#REF!</f>
        <v>#REF!</v>
      </c>
      <c r="BT587" s="315" t="e">
        <f>#REF!-#REF!</f>
        <v>#REF!</v>
      </c>
      <c r="BU587" s="315" t="e">
        <f>#REF!-#REF!</f>
        <v>#REF!</v>
      </c>
      <c r="BV587" s="315" t="e">
        <f>#REF!-#REF!</f>
        <v>#REF!</v>
      </c>
      <c r="BW587" s="315" t="e">
        <f>#REF!-#REF!</f>
        <v>#REF!</v>
      </c>
      <c r="BX587" s="315" t="e">
        <f>#REF!-#REF!</f>
        <v>#REF!</v>
      </c>
      <c r="BZ587" s="315" t="e">
        <f>#REF!-#REF!</f>
        <v>#REF!</v>
      </c>
      <c r="CA587" s="315" t="e">
        <f>#REF!-#REF!</f>
        <v>#REF!</v>
      </c>
    </row>
    <row r="588" spans="7:79" hidden="1" x14ac:dyDescent="0.2">
      <c r="G588" s="315" t="e">
        <f>#REF!-#REF!</f>
        <v>#REF!</v>
      </c>
      <c r="H588" s="315" t="e">
        <f>#REF!-#REF!</f>
        <v>#REF!</v>
      </c>
      <c r="I588" s="315" t="e">
        <f>#REF!-#REF!</f>
        <v>#REF!</v>
      </c>
      <c r="J588" s="315" t="e">
        <f>#REF!-#REF!</f>
        <v>#REF!</v>
      </c>
      <c r="K588" s="315" t="e">
        <f>#REF!-#REF!</f>
        <v>#REF!</v>
      </c>
      <c r="L588" s="315" t="e">
        <f>#REF!-#REF!</f>
        <v>#REF!</v>
      </c>
      <c r="M588" s="315" t="e">
        <f>#REF!-#REF!</f>
        <v>#REF!</v>
      </c>
      <c r="N588" s="315" t="e">
        <f>#REF!-#REF!</f>
        <v>#REF!</v>
      </c>
      <c r="O588" s="315" t="e">
        <f>#REF!-#REF!</f>
        <v>#REF!</v>
      </c>
      <c r="P588" s="315" t="e">
        <f>#REF!-#REF!</f>
        <v>#REF!</v>
      </c>
      <c r="Q588" s="315" t="e">
        <f>#REF!-#REF!</f>
        <v>#REF!</v>
      </c>
      <c r="R588" s="315" t="e">
        <f>#REF!-#REF!</f>
        <v>#REF!</v>
      </c>
      <c r="S588" s="315" t="e">
        <f>#REF!-#REF!</f>
        <v>#REF!</v>
      </c>
      <c r="T588" s="315" t="e">
        <f>#REF!-#REF!</f>
        <v>#REF!</v>
      </c>
      <c r="U588" s="315" t="e">
        <f>#REF!-#REF!</f>
        <v>#REF!</v>
      </c>
      <c r="V588" s="315" t="e">
        <f>#REF!-#REF!</f>
        <v>#REF!</v>
      </c>
      <c r="W588" s="315" t="e">
        <f>#REF!-#REF!</f>
        <v>#REF!</v>
      </c>
      <c r="X588" s="315" t="e">
        <f>#REF!-#REF!</f>
        <v>#REF!</v>
      </c>
      <c r="Y588" s="315" t="e">
        <f>#REF!-#REF!</f>
        <v>#REF!</v>
      </c>
      <c r="Z588" s="315" t="e">
        <f>#REF!-#REF!</f>
        <v>#REF!</v>
      </c>
      <c r="AA588" s="315" t="e">
        <f>#REF!-#REF!</f>
        <v>#REF!</v>
      </c>
      <c r="AB588" s="315" t="e">
        <f>#REF!-#REF!</f>
        <v>#REF!</v>
      </c>
      <c r="AC588" s="315" t="e">
        <f>#REF!-#REF!</f>
        <v>#REF!</v>
      </c>
      <c r="AD588" s="315" t="e">
        <f>#REF!-#REF!</f>
        <v>#REF!</v>
      </c>
      <c r="AE588" s="315" t="e">
        <f>#REF!-#REF!</f>
        <v>#REF!</v>
      </c>
      <c r="AF588" s="315" t="e">
        <f>#REF!-#REF!</f>
        <v>#REF!</v>
      </c>
      <c r="AG588" s="315" t="e">
        <f>#REF!-#REF!</f>
        <v>#REF!</v>
      </c>
      <c r="AH588" s="315" t="e">
        <f>#REF!-#REF!</f>
        <v>#REF!</v>
      </c>
      <c r="AI588" s="315" t="e">
        <f>#REF!-#REF!</f>
        <v>#REF!</v>
      </c>
      <c r="AJ588" s="315" t="e">
        <f>#REF!-#REF!</f>
        <v>#REF!</v>
      </c>
      <c r="AK588" s="315" t="e">
        <f>#REF!-#REF!</f>
        <v>#REF!</v>
      </c>
      <c r="AL588" s="315" t="e">
        <f>#REF!-#REF!</f>
        <v>#REF!</v>
      </c>
      <c r="AM588" s="315" t="e">
        <f>#REF!-#REF!</f>
        <v>#REF!</v>
      </c>
      <c r="AN588" s="315" t="e">
        <f>#REF!-#REF!</f>
        <v>#REF!</v>
      </c>
      <c r="AO588" s="315" t="e">
        <f>#REF!-#REF!</f>
        <v>#REF!</v>
      </c>
      <c r="AP588" s="315" t="e">
        <f>#REF!-#REF!</f>
        <v>#REF!</v>
      </c>
      <c r="AQ588" s="315" t="e">
        <f>#REF!-#REF!</f>
        <v>#REF!</v>
      </c>
      <c r="AR588" s="315" t="e">
        <f>#REF!-#REF!</f>
        <v>#REF!</v>
      </c>
      <c r="AS588" s="315" t="e">
        <f>#REF!-#REF!</f>
        <v>#REF!</v>
      </c>
      <c r="AT588" s="315" t="e">
        <f>#REF!-#REF!</f>
        <v>#REF!</v>
      </c>
      <c r="AU588" s="315" t="e">
        <f>#REF!-#REF!</f>
        <v>#REF!</v>
      </c>
      <c r="AV588" s="315" t="e">
        <f>#REF!-#REF!</f>
        <v>#REF!</v>
      </c>
      <c r="AW588" s="315" t="e">
        <f>#REF!-#REF!</f>
        <v>#REF!</v>
      </c>
      <c r="AX588" s="315" t="e">
        <f>#REF!-#REF!</f>
        <v>#REF!</v>
      </c>
      <c r="AY588" s="315" t="e">
        <f>#REF!-#REF!</f>
        <v>#REF!</v>
      </c>
      <c r="AZ588" s="315" t="e">
        <f>#REF!-#REF!</f>
        <v>#REF!</v>
      </c>
      <c r="BA588" s="315" t="e">
        <f>#REF!-#REF!</f>
        <v>#REF!</v>
      </c>
      <c r="BB588" s="315" t="e">
        <f>#REF!-#REF!</f>
        <v>#REF!</v>
      </c>
      <c r="BC588" s="315" t="e">
        <f>#REF!-#REF!</f>
        <v>#REF!</v>
      </c>
      <c r="BD588" s="315" t="e">
        <f>#REF!-#REF!</f>
        <v>#REF!</v>
      </c>
      <c r="BE588" s="315" t="e">
        <f>#REF!-#REF!</f>
        <v>#REF!</v>
      </c>
      <c r="BF588" s="315" t="e">
        <f>#REF!-#REF!</f>
        <v>#REF!</v>
      </c>
      <c r="BG588" s="315" t="e">
        <f>#REF!-#REF!</f>
        <v>#REF!</v>
      </c>
      <c r="BH588" s="315" t="e">
        <f>#REF!-#REF!</f>
        <v>#REF!</v>
      </c>
      <c r="BI588" s="315" t="e">
        <f>#REF!-#REF!</f>
        <v>#REF!</v>
      </c>
      <c r="BJ588" s="315" t="e">
        <f>#REF!-#REF!</f>
        <v>#REF!</v>
      </c>
      <c r="BK588" s="315" t="e">
        <f>#REF!-#REF!</f>
        <v>#REF!</v>
      </c>
      <c r="BL588" s="315" t="e">
        <f>#REF!-#REF!</f>
        <v>#REF!</v>
      </c>
      <c r="BM588" s="315" t="e">
        <f>#REF!-#REF!</f>
        <v>#REF!</v>
      </c>
      <c r="BN588" s="315" t="e">
        <f>#REF!-#REF!</f>
        <v>#REF!</v>
      </c>
      <c r="BO588" s="315" t="e">
        <f>#REF!-#REF!</f>
        <v>#REF!</v>
      </c>
      <c r="BP588" s="315" t="e">
        <f>#REF!-#REF!</f>
        <v>#REF!</v>
      </c>
      <c r="BQ588" s="315" t="e">
        <f>#REF!-#REF!</f>
        <v>#REF!</v>
      </c>
      <c r="BR588" s="315" t="e">
        <f>#REF!-#REF!</f>
        <v>#REF!</v>
      </c>
      <c r="BS588" s="315" t="e">
        <f>#REF!-#REF!</f>
        <v>#REF!</v>
      </c>
      <c r="BT588" s="315" t="e">
        <f>#REF!-#REF!</f>
        <v>#REF!</v>
      </c>
      <c r="BU588" s="315" t="e">
        <f>#REF!-#REF!</f>
        <v>#REF!</v>
      </c>
      <c r="BV588" s="315" t="e">
        <f>#REF!-#REF!</f>
        <v>#REF!</v>
      </c>
      <c r="BW588" s="315" t="e">
        <f>#REF!-#REF!</f>
        <v>#REF!</v>
      </c>
      <c r="BX588" s="315" t="e">
        <f>#REF!-#REF!</f>
        <v>#REF!</v>
      </c>
      <c r="BZ588" s="315" t="e">
        <f>#REF!-#REF!</f>
        <v>#REF!</v>
      </c>
      <c r="CA588" s="315" t="e">
        <f>#REF!-#REF!</f>
        <v>#REF!</v>
      </c>
    </row>
    <row r="589" spans="7:79" hidden="1" x14ac:dyDescent="0.2">
      <c r="G589" s="315" t="e">
        <f>#REF!-#REF!</f>
        <v>#REF!</v>
      </c>
      <c r="H589" s="315" t="e">
        <f>#REF!-#REF!</f>
        <v>#REF!</v>
      </c>
      <c r="I589" s="315" t="e">
        <f>#REF!-#REF!</f>
        <v>#REF!</v>
      </c>
      <c r="J589" s="315" t="e">
        <f>#REF!-#REF!</f>
        <v>#REF!</v>
      </c>
      <c r="K589" s="315" t="e">
        <f>#REF!-#REF!</f>
        <v>#REF!</v>
      </c>
      <c r="L589" s="315" t="e">
        <f>#REF!-#REF!</f>
        <v>#REF!</v>
      </c>
      <c r="M589" s="315" t="e">
        <f>#REF!-#REF!</f>
        <v>#REF!</v>
      </c>
      <c r="N589" s="315" t="e">
        <f>#REF!-#REF!</f>
        <v>#REF!</v>
      </c>
      <c r="O589" s="315" t="e">
        <f>#REF!-#REF!</f>
        <v>#REF!</v>
      </c>
      <c r="P589" s="315" t="e">
        <f>#REF!-#REF!</f>
        <v>#REF!</v>
      </c>
      <c r="Q589" s="315" t="e">
        <f>#REF!-#REF!</f>
        <v>#REF!</v>
      </c>
      <c r="R589" s="315" t="e">
        <f>#REF!-#REF!</f>
        <v>#REF!</v>
      </c>
      <c r="S589" s="315" t="e">
        <f>#REF!-#REF!</f>
        <v>#REF!</v>
      </c>
      <c r="T589" s="315" t="e">
        <f>#REF!-#REF!</f>
        <v>#REF!</v>
      </c>
      <c r="U589" s="315" t="e">
        <f>#REF!-#REF!</f>
        <v>#REF!</v>
      </c>
      <c r="V589" s="315" t="e">
        <f>#REF!-#REF!</f>
        <v>#REF!</v>
      </c>
      <c r="W589" s="315" t="e">
        <f>#REF!-#REF!</f>
        <v>#REF!</v>
      </c>
      <c r="X589" s="315" t="e">
        <f>#REF!-#REF!</f>
        <v>#REF!</v>
      </c>
      <c r="Y589" s="315" t="e">
        <f>#REF!-#REF!</f>
        <v>#REF!</v>
      </c>
      <c r="Z589" s="315" t="e">
        <f>#REF!-#REF!</f>
        <v>#REF!</v>
      </c>
      <c r="AA589" s="315" t="e">
        <f>#REF!-#REF!</f>
        <v>#REF!</v>
      </c>
      <c r="AB589" s="315" t="e">
        <f>#REF!-#REF!</f>
        <v>#REF!</v>
      </c>
      <c r="AC589" s="315" t="e">
        <f>#REF!-#REF!</f>
        <v>#REF!</v>
      </c>
      <c r="AD589" s="315" t="e">
        <f>#REF!-#REF!</f>
        <v>#REF!</v>
      </c>
      <c r="AE589" s="315" t="e">
        <f>#REF!-#REF!</f>
        <v>#REF!</v>
      </c>
      <c r="AF589" s="315" t="e">
        <f>#REF!-#REF!</f>
        <v>#REF!</v>
      </c>
      <c r="AG589" s="315" t="e">
        <f>#REF!-#REF!</f>
        <v>#REF!</v>
      </c>
      <c r="AH589" s="315" t="e">
        <f>#REF!-#REF!</f>
        <v>#REF!</v>
      </c>
      <c r="AI589" s="315" t="e">
        <f>#REF!-#REF!</f>
        <v>#REF!</v>
      </c>
      <c r="AJ589" s="315" t="e">
        <f>#REF!-#REF!</f>
        <v>#REF!</v>
      </c>
      <c r="AK589" s="315" t="e">
        <f>#REF!-#REF!</f>
        <v>#REF!</v>
      </c>
      <c r="AL589" s="315" t="e">
        <f>#REF!-#REF!</f>
        <v>#REF!</v>
      </c>
      <c r="AM589" s="315" t="e">
        <f>#REF!-#REF!</f>
        <v>#REF!</v>
      </c>
      <c r="AN589" s="315" t="e">
        <f>#REF!-#REF!</f>
        <v>#REF!</v>
      </c>
      <c r="AO589" s="315" t="e">
        <f>#REF!-#REF!</f>
        <v>#REF!</v>
      </c>
      <c r="AP589" s="315" t="e">
        <f>#REF!-#REF!</f>
        <v>#REF!</v>
      </c>
      <c r="AQ589" s="315" t="e">
        <f>#REF!-#REF!</f>
        <v>#REF!</v>
      </c>
      <c r="AR589" s="315" t="e">
        <f>#REF!-#REF!</f>
        <v>#REF!</v>
      </c>
      <c r="AS589" s="315" t="e">
        <f>#REF!-#REF!</f>
        <v>#REF!</v>
      </c>
      <c r="AT589" s="315" t="e">
        <f>#REF!-#REF!</f>
        <v>#REF!</v>
      </c>
      <c r="AU589" s="315" t="e">
        <f>#REF!-#REF!</f>
        <v>#REF!</v>
      </c>
      <c r="AV589" s="315" t="e">
        <f>#REF!-#REF!</f>
        <v>#REF!</v>
      </c>
      <c r="AW589" s="315" t="e">
        <f>#REF!-#REF!</f>
        <v>#REF!</v>
      </c>
      <c r="AX589" s="315" t="e">
        <f>#REF!-#REF!</f>
        <v>#REF!</v>
      </c>
      <c r="AY589" s="315" t="e">
        <f>#REF!-#REF!</f>
        <v>#REF!</v>
      </c>
      <c r="AZ589" s="315" t="e">
        <f>#REF!-#REF!</f>
        <v>#REF!</v>
      </c>
      <c r="BA589" s="315" t="e">
        <f>#REF!-#REF!</f>
        <v>#REF!</v>
      </c>
      <c r="BB589" s="315" t="e">
        <f>#REF!-#REF!</f>
        <v>#REF!</v>
      </c>
      <c r="BC589" s="315" t="e">
        <f>#REF!-#REF!</f>
        <v>#REF!</v>
      </c>
      <c r="BD589" s="315" t="e">
        <f>#REF!-#REF!</f>
        <v>#REF!</v>
      </c>
      <c r="BE589" s="315" t="e">
        <f>#REF!-#REF!</f>
        <v>#REF!</v>
      </c>
      <c r="BF589" s="315" t="e">
        <f>#REF!-#REF!</f>
        <v>#REF!</v>
      </c>
      <c r="BG589" s="315" t="e">
        <f>#REF!-#REF!</f>
        <v>#REF!</v>
      </c>
      <c r="BH589" s="315" t="e">
        <f>#REF!-#REF!</f>
        <v>#REF!</v>
      </c>
      <c r="BI589" s="315" t="e">
        <f>#REF!-#REF!</f>
        <v>#REF!</v>
      </c>
      <c r="BJ589" s="315" t="e">
        <f>#REF!-#REF!</f>
        <v>#REF!</v>
      </c>
      <c r="BK589" s="315" t="e">
        <f>#REF!-#REF!</f>
        <v>#REF!</v>
      </c>
      <c r="BL589" s="315" t="e">
        <f>#REF!-#REF!</f>
        <v>#REF!</v>
      </c>
      <c r="BM589" s="315" t="e">
        <f>#REF!-#REF!</f>
        <v>#REF!</v>
      </c>
      <c r="BN589" s="315" t="e">
        <f>#REF!-#REF!</f>
        <v>#REF!</v>
      </c>
      <c r="BO589" s="315" t="e">
        <f>#REF!-#REF!</f>
        <v>#REF!</v>
      </c>
      <c r="BP589" s="315" t="e">
        <f>#REF!-#REF!</f>
        <v>#REF!</v>
      </c>
      <c r="BQ589" s="315" t="e">
        <f>#REF!-#REF!</f>
        <v>#REF!</v>
      </c>
      <c r="BR589" s="315" t="e">
        <f>#REF!-#REF!</f>
        <v>#REF!</v>
      </c>
      <c r="BS589" s="315" t="e">
        <f>#REF!-#REF!</f>
        <v>#REF!</v>
      </c>
      <c r="BT589" s="315" t="e">
        <f>#REF!-#REF!</f>
        <v>#REF!</v>
      </c>
      <c r="BU589" s="315" t="e">
        <f>#REF!-#REF!</f>
        <v>#REF!</v>
      </c>
      <c r="BV589" s="315" t="e">
        <f>#REF!-#REF!</f>
        <v>#REF!</v>
      </c>
      <c r="BW589" s="315" t="e">
        <f>#REF!-#REF!</f>
        <v>#REF!</v>
      </c>
      <c r="BX589" s="315" t="e">
        <f>#REF!-#REF!</f>
        <v>#REF!</v>
      </c>
      <c r="BZ589" s="315" t="e">
        <f>#REF!-#REF!</f>
        <v>#REF!</v>
      </c>
      <c r="CA589" s="315" t="e">
        <f>#REF!-#REF!</f>
        <v>#REF!</v>
      </c>
    </row>
    <row r="590" spans="7:79" hidden="1" x14ac:dyDescent="0.2">
      <c r="G590" s="315" t="e">
        <f>#REF!-#REF!</f>
        <v>#REF!</v>
      </c>
      <c r="H590" s="315" t="e">
        <f>#REF!-#REF!</f>
        <v>#REF!</v>
      </c>
      <c r="I590" s="315" t="e">
        <f>#REF!-#REF!</f>
        <v>#REF!</v>
      </c>
      <c r="J590" s="315" t="e">
        <f>#REF!-#REF!</f>
        <v>#REF!</v>
      </c>
      <c r="K590" s="315" t="e">
        <f>#REF!-#REF!</f>
        <v>#REF!</v>
      </c>
      <c r="L590" s="315" t="e">
        <f>#REF!-#REF!</f>
        <v>#REF!</v>
      </c>
      <c r="M590" s="315" t="e">
        <f>#REF!-#REF!</f>
        <v>#REF!</v>
      </c>
      <c r="N590" s="315" t="e">
        <f>#REF!-#REF!</f>
        <v>#REF!</v>
      </c>
      <c r="O590" s="315" t="e">
        <f>#REF!-#REF!</f>
        <v>#REF!</v>
      </c>
      <c r="P590" s="315" t="e">
        <f>#REF!-#REF!</f>
        <v>#REF!</v>
      </c>
      <c r="Q590" s="315" t="e">
        <f>#REF!-#REF!</f>
        <v>#REF!</v>
      </c>
      <c r="R590" s="315" t="e">
        <f>#REF!-#REF!</f>
        <v>#REF!</v>
      </c>
      <c r="S590" s="315" t="e">
        <f>#REF!-#REF!</f>
        <v>#REF!</v>
      </c>
      <c r="T590" s="315" t="e">
        <f>#REF!-#REF!</f>
        <v>#REF!</v>
      </c>
      <c r="U590" s="315" t="e">
        <f>#REF!-#REF!</f>
        <v>#REF!</v>
      </c>
      <c r="V590" s="315" t="e">
        <f>#REF!-#REF!</f>
        <v>#REF!</v>
      </c>
      <c r="W590" s="315" t="e">
        <f>#REF!-#REF!</f>
        <v>#REF!</v>
      </c>
      <c r="X590" s="315" t="e">
        <f>#REF!-#REF!</f>
        <v>#REF!</v>
      </c>
      <c r="Y590" s="315" t="e">
        <f>#REF!-#REF!</f>
        <v>#REF!</v>
      </c>
      <c r="Z590" s="315" t="e">
        <f>#REF!-#REF!</f>
        <v>#REF!</v>
      </c>
      <c r="AA590" s="315" t="e">
        <f>#REF!-#REF!</f>
        <v>#REF!</v>
      </c>
      <c r="AB590" s="315" t="e">
        <f>#REF!-#REF!</f>
        <v>#REF!</v>
      </c>
      <c r="AC590" s="315" t="e">
        <f>#REF!-#REF!</f>
        <v>#REF!</v>
      </c>
      <c r="AD590" s="315" t="e">
        <f>#REF!-#REF!</f>
        <v>#REF!</v>
      </c>
      <c r="AE590" s="315" t="e">
        <f>#REF!-#REF!</f>
        <v>#REF!</v>
      </c>
      <c r="AF590" s="315" t="e">
        <f>#REF!-#REF!</f>
        <v>#REF!</v>
      </c>
      <c r="AG590" s="315" t="e">
        <f>#REF!-#REF!</f>
        <v>#REF!</v>
      </c>
      <c r="AH590" s="315" t="e">
        <f>#REF!-#REF!</f>
        <v>#REF!</v>
      </c>
      <c r="AI590" s="315" t="e">
        <f>#REF!-#REF!</f>
        <v>#REF!</v>
      </c>
      <c r="AJ590" s="315" t="e">
        <f>#REF!-#REF!</f>
        <v>#REF!</v>
      </c>
      <c r="AK590" s="315" t="e">
        <f>#REF!-#REF!</f>
        <v>#REF!</v>
      </c>
      <c r="AL590" s="315" t="e">
        <f>#REF!-#REF!</f>
        <v>#REF!</v>
      </c>
      <c r="AM590" s="315" t="e">
        <f>#REF!-#REF!</f>
        <v>#REF!</v>
      </c>
      <c r="AN590" s="315" t="e">
        <f>#REF!-#REF!</f>
        <v>#REF!</v>
      </c>
      <c r="AO590" s="315" t="e">
        <f>#REF!-#REF!</f>
        <v>#REF!</v>
      </c>
      <c r="AP590" s="315" t="e">
        <f>#REF!-#REF!</f>
        <v>#REF!</v>
      </c>
      <c r="AQ590" s="315" t="e">
        <f>#REF!-#REF!</f>
        <v>#REF!</v>
      </c>
      <c r="AR590" s="315" t="e">
        <f>#REF!-#REF!</f>
        <v>#REF!</v>
      </c>
      <c r="AS590" s="315" t="e">
        <f>#REF!-#REF!</f>
        <v>#REF!</v>
      </c>
      <c r="AT590" s="315" t="e">
        <f>#REF!-#REF!</f>
        <v>#REF!</v>
      </c>
      <c r="AU590" s="315" t="e">
        <f>#REF!-#REF!</f>
        <v>#REF!</v>
      </c>
      <c r="AV590" s="315" t="e">
        <f>#REF!-#REF!</f>
        <v>#REF!</v>
      </c>
      <c r="AW590" s="315" t="e">
        <f>#REF!-#REF!</f>
        <v>#REF!</v>
      </c>
      <c r="AX590" s="315" t="e">
        <f>#REF!-#REF!</f>
        <v>#REF!</v>
      </c>
      <c r="AY590" s="315" t="e">
        <f>#REF!-#REF!</f>
        <v>#REF!</v>
      </c>
      <c r="AZ590" s="315" t="e">
        <f>#REF!-#REF!</f>
        <v>#REF!</v>
      </c>
      <c r="BA590" s="315" t="e">
        <f>#REF!-#REF!</f>
        <v>#REF!</v>
      </c>
      <c r="BB590" s="315" t="e">
        <f>#REF!-#REF!</f>
        <v>#REF!</v>
      </c>
      <c r="BC590" s="315" t="e">
        <f>#REF!-#REF!</f>
        <v>#REF!</v>
      </c>
      <c r="BD590" s="315" t="e">
        <f>#REF!-#REF!</f>
        <v>#REF!</v>
      </c>
      <c r="BE590" s="315" t="e">
        <f>#REF!-#REF!</f>
        <v>#REF!</v>
      </c>
      <c r="BF590" s="315" t="e">
        <f>#REF!-#REF!</f>
        <v>#REF!</v>
      </c>
      <c r="BG590" s="315" t="e">
        <f>#REF!-#REF!</f>
        <v>#REF!</v>
      </c>
      <c r="BH590" s="315" t="e">
        <f>#REF!-#REF!</f>
        <v>#REF!</v>
      </c>
      <c r="BI590" s="315" t="e">
        <f>#REF!-#REF!</f>
        <v>#REF!</v>
      </c>
      <c r="BJ590" s="315" t="e">
        <f>#REF!-#REF!</f>
        <v>#REF!</v>
      </c>
      <c r="BK590" s="315" t="e">
        <f>#REF!-#REF!</f>
        <v>#REF!</v>
      </c>
      <c r="BL590" s="315" t="e">
        <f>#REF!-#REF!</f>
        <v>#REF!</v>
      </c>
      <c r="BM590" s="315" t="e">
        <f>#REF!-#REF!</f>
        <v>#REF!</v>
      </c>
      <c r="BN590" s="315" t="e">
        <f>#REF!-#REF!</f>
        <v>#REF!</v>
      </c>
      <c r="BO590" s="315" t="e">
        <f>#REF!-#REF!</f>
        <v>#REF!</v>
      </c>
      <c r="BP590" s="315" t="e">
        <f>#REF!-#REF!</f>
        <v>#REF!</v>
      </c>
      <c r="BQ590" s="315" t="e">
        <f>#REF!-#REF!</f>
        <v>#REF!</v>
      </c>
      <c r="BR590" s="315" t="e">
        <f>#REF!-#REF!</f>
        <v>#REF!</v>
      </c>
      <c r="BS590" s="315" t="e">
        <f>#REF!-#REF!</f>
        <v>#REF!</v>
      </c>
      <c r="BT590" s="315" t="e">
        <f>#REF!-#REF!</f>
        <v>#REF!</v>
      </c>
      <c r="BU590" s="315" t="e">
        <f>#REF!-#REF!</f>
        <v>#REF!</v>
      </c>
      <c r="BV590" s="315" t="e">
        <f>#REF!-#REF!</f>
        <v>#REF!</v>
      </c>
      <c r="BW590" s="315" t="e">
        <f>#REF!-#REF!</f>
        <v>#REF!</v>
      </c>
      <c r="BX590" s="315" t="e">
        <f>#REF!-#REF!</f>
        <v>#REF!</v>
      </c>
      <c r="BZ590" s="315" t="e">
        <f>#REF!-#REF!</f>
        <v>#REF!</v>
      </c>
      <c r="CA590" s="315" t="e">
        <f>#REF!-#REF!</f>
        <v>#REF!</v>
      </c>
    </row>
    <row r="591" spans="7:79" hidden="1" x14ac:dyDescent="0.2">
      <c r="G591" s="315" t="e">
        <f>#REF!-#REF!</f>
        <v>#REF!</v>
      </c>
      <c r="H591" s="315" t="e">
        <f>#REF!-#REF!</f>
        <v>#REF!</v>
      </c>
      <c r="I591" s="315" t="e">
        <f>#REF!-#REF!</f>
        <v>#REF!</v>
      </c>
      <c r="J591" s="315" t="e">
        <f>#REF!-#REF!</f>
        <v>#REF!</v>
      </c>
      <c r="K591" s="315" t="e">
        <f>#REF!-#REF!</f>
        <v>#REF!</v>
      </c>
      <c r="L591" s="315" t="e">
        <f>#REF!-#REF!</f>
        <v>#REF!</v>
      </c>
      <c r="M591" s="315" t="e">
        <f>#REF!-#REF!</f>
        <v>#REF!</v>
      </c>
      <c r="N591" s="315" t="e">
        <f>#REF!-#REF!</f>
        <v>#REF!</v>
      </c>
      <c r="O591" s="315" t="e">
        <f>#REF!-#REF!</f>
        <v>#REF!</v>
      </c>
      <c r="P591" s="315" t="e">
        <f>#REF!-#REF!</f>
        <v>#REF!</v>
      </c>
      <c r="Q591" s="315" t="e">
        <f>#REF!-#REF!</f>
        <v>#REF!</v>
      </c>
      <c r="R591" s="315" t="e">
        <f>#REF!-#REF!</f>
        <v>#REF!</v>
      </c>
      <c r="S591" s="315" t="e">
        <f>#REF!-#REF!</f>
        <v>#REF!</v>
      </c>
      <c r="T591" s="315" t="e">
        <f>#REF!-#REF!</f>
        <v>#REF!</v>
      </c>
      <c r="U591" s="315" t="e">
        <f>#REF!-#REF!</f>
        <v>#REF!</v>
      </c>
      <c r="V591" s="315" t="e">
        <f>#REF!-#REF!</f>
        <v>#REF!</v>
      </c>
      <c r="W591" s="315" t="e">
        <f>#REF!-#REF!</f>
        <v>#REF!</v>
      </c>
      <c r="X591" s="315" t="e">
        <f>#REF!-#REF!</f>
        <v>#REF!</v>
      </c>
      <c r="Y591" s="315" t="e">
        <f>#REF!-#REF!</f>
        <v>#REF!</v>
      </c>
      <c r="Z591" s="315" t="e">
        <f>#REF!-#REF!</f>
        <v>#REF!</v>
      </c>
      <c r="AA591" s="315" t="e">
        <f>#REF!-#REF!</f>
        <v>#REF!</v>
      </c>
      <c r="AB591" s="315" t="e">
        <f>#REF!-#REF!</f>
        <v>#REF!</v>
      </c>
      <c r="AC591" s="315" t="e">
        <f>#REF!-#REF!</f>
        <v>#REF!</v>
      </c>
      <c r="AD591" s="315" t="e">
        <f>#REF!-#REF!</f>
        <v>#REF!</v>
      </c>
      <c r="AE591" s="315" t="e">
        <f>#REF!-#REF!</f>
        <v>#REF!</v>
      </c>
      <c r="AF591" s="315" t="e">
        <f>#REF!-#REF!</f>
        <v>#REF!</v>
      </c>
      <c r="AG591" s="315" t="e">
        <f>#REF!-#REF!</f>
        <v>#REF!</v>
      </c>
      <c r="AH591" s="315" t="e">
        <f>#REF!-#REF!</f>
        <v>#REF!</v>
      </c>
      <c r="AI591" s="315" t="e">
        <f>#REF!-#REF!</f>
        <v>#REF!</v>
      </c>
      <c r="AJ591" s="315" t="e">
        <f>#REF!-#REF!</f>
        <v>#REF!</v>
      </c>
      <c r="AK591" s="315" t="e">
        <f>#REF!-#REF!</f>
        <v>#REF!</v>
      </c>
      <c r="AL591" s="315" t="e">
        <f>#REF!-#REF!</f>
        <v>#REF!</v>
      </c>
      <c r="AM591" s="315" t="e">
        <f>#REF!-#REF!</f>
        <v>#REF!</v>
      </c>
      <c r="AN591" s="315" t="e">
        <f>#REF!-#REF!</f>
        <v>#REF!</v>
      </c>
      <c r="AO591" s="315" t="e">
        <f>#REF!-#REF!</f>
        <v>#REF!</v>
      </c>
      <c r="AP591" s="315" t="e">
        <f>#REF!-#REF!</f>
        <v>#REF!</v>
      </c>
      <c r="AQ591" s="315" t="e">
        <f>#REF!-#REF!</f>
        <v>#REF!</v>
      </c>
      <c r="AR591" s="315" t="e">
        <f>#REF!-#REF!</f>
        <v>#REF!</v>
      </c>
      <c r="AS591" s="315" t="e">
        <f>#REF!-#REF!</f>
        <v>#REF!</v>
      </c>
      <c r="AT591" s="315" t="e">
        <f>#REF!-#REF!</f>
        <v>#REF!</v>
      </c>
      <c r="AU591" s="315" t="e">
        <f>#REF!-#REF!</f>
        <v>#REF!</v>
      </c>
      <c r="AV591" s="315" t="e">
        <f>#REF!-#REF!</f>
        <v>#REF!</v>
      </c>
      <c r="AW591" s="315" t="e">
        <f>#REF!-#REF!</f>
        <v>#REF!</v>
      </c>
      <c r="AX591" s="315" t="e">
        <f>#REF!-#REF!</f>
        <v>#REF!</v>
      </c>
      <c r="AY591" s="315" t="e">
        <f>#REF!-#REF!</f>
        <v>#REF!</v>
      </c>
      <c r="AZ591" s="315" t="e">
        <f>#REF!-#REF!</f>
        <v>#REF!</v>
      </c>
      <c r="BA591" s="315" t="e">
        <f>#REF!-#REF!</f>
        <v>#REF!</v>
      </c>
      <c r="BB591" s="315" t="e">
        <f>#REF!-#REF!</f>
        <v>#REF!</v>
      </c>
      <c r="BC591" s="315" t="e">
        <f>#REF!-#REF!</f>
        <v>#REF!</v>
      </c>
      <c r="BD591" s="315" t="e">
        <f>#REF!-#REF!</f>
        <v>#REF!</v>
      </c>
      <c r="BE591" s="315" t="e">
        <f>#REF!-#REF!</f>
        <v>#REF!</v>
      </c>
      <c r="BF591" s="315" t="e">
        <f>#REF!-#REF!</f>
        <v>#REF!</v>
      </c>
      <c r="BG591" s="315" t="e">
        <f>#REF!-#REF!</f>
        <v>#REF!</v>
      </c>
      <c r="BH591" s="315" t="e">
        <f>#REF!-#REF!</f>
        <v>#REF!</v>
      </c>
      <c r="BI591" s="315" t="e">
        <f>#REF!-#REF!</f>
        <v>#REF!</v>
      </c>
      <c r="BJ591" s="315" t="e">
        <f>#REF!-#REF!</f>
        <v>#REF!</v>
      </c>
      <c r="BK591" s="315" t="e">
        <f>#REF!-#REF!</f>
        <v>#REF!</v>
      </c>
      <c r="BL591" s="315" t="e">
        <f>#REF!-#REF!</f>
        <v>#REF!</v>
      </c>
      <c r="BM591" s="315" t="e">
        <f>#REF!-#REF!</f>
        <v>#REF!</v>
      </c>
      <c r="BN591" s="315" t="e">
        <f>#REF!-#REF!</f>
        <v>#REF!</v>
      </c>
      <c r="BO591" s="315" t="e">
        <f>#REF!-#REF!</f>
        <v>#REF!</v>
      </c>
      <c r="BP591" s="315" t="e">
        <f>#REF!-#REF!</f>
        <v>#REF!</v>
      </c>
      <c r="BQ591" s="315" t="e">
        <f>#REF!-#REF!</f>
        <v>#REF!</v>
      </c>
      <c r="BR591" s="315" t="e">
        <f>#REF!-#REF!</f>
        <v>#REF!</v>
      </c>
      <c r="BS591" s="315" t="e">
        <f>#REF!-#REF!</f>
        <v>#REF!</v>
      </c>
      <c r="BT591" s="315" t="e">
        <f>#REF!-#REF!</f>
        <v>#REF!</v>
      </c>
      <c r="BU591" s="315" t="e">
        <f>#REF!-#REF!</f>
        <v>#REF!</v>
      </c>
      <c r="BV591" s="315" t="e">
        <f>#REF!-#REF!</f>
        <v>#REF!</v>
      </c>
      <c r="BW591" s="315" t="e">
        <f>#REF!-#REF!</f>
        <v>#REF!</v>
      </c>
      <c r="BX591" s="315" t="e">
        <f>#REF!-#REF!</f>
        <v>#REF!</v>
      </c>
      <c r="BZ591" s="315" t="e">
        <f>#REF!-#REF!</f>
        <v>#REF!</v>
      </c>
      <c r="CA591" s="315" t="e">
        <f>#REF!-#REF!</f>
        <v>#REF!</v>
      </c>
    </row>
    <row r="592" spans="7:79" hidden="1" x14ac:dyDescent="0.2">
      <c r="G592" s="315" t="e">
        <f>#REF!-#REF!</f>
        <v>#REF!</v>
      </c>
      <c r="H592" s="315" t="e">
        <f>#REF!-#REF!</f>
        <v>#REF!</v>
      </c>
      <c r="I592" s="315" t="e">
        <f>#REF!-#REF!</f>
        <v>#REF!</v>
      </c>
      <c r="J592" s="315" t="e">
        <f>#REF!-#REF!</f>
        <v>#REF!</v>
      </c>
      <c r="K592" s="315" t="e">
        <f>#REF!-#REF!</f>
        <v>#REF!</v>
      </c>
      <c r="L592" s="315" t="e">
        <f>#REF!-#REF!</f>
        <v>#REF!</v>
      </c>
      <c r="M592" s="315" t="e">
        <f>#REF!-#REF!</f>
        <v>#REF!</v>
      </c>
      <c r="N592" s="315" t="e">
        <f>#REF!-#REF!</f>
        <v>#REF!</v>
      </c>
      <c r="O592" s="315" t="e">
        <f>#REF!-#REF!</f>
        <v>#REF!</v>
      </c>
      <c r="P592" s="315" t="e">
        <f>#REF!-#REF!</f>
        <v>#REF!</v>
      </c>
      <c r="Q592" s="315" t="e">
        <f>#REF!-#REF!</f>
        <v>#REF!</v>
      </c>
      <c r="R592" s="315" t="e">
        <f>#REF!-#REF!</f>
        <v>#REF!</v>
      </c>
      <c r="S592" s="315" t="e">
        <f>#REF!-#REF!</f>
        <v>#REF!</v>
      </c>
      <c r="T592" s="315" t="e">
        <f>#REF!-#REF!</f>
        <v>#REF!</v>
      </c>
      <c r="U592" s="315" t="e">
        <f>#REF!-#REF!</f>
        <v>#REF!</v>
      </c>
      <c r="V592" s="315" t="e">
        <f>#REF!-#REF!</f>
        <v>#REF!</v>
      </c>
      <c r="W592" s="315" t="e">
        <f>#REF!-#REF!</f>
        <v>#REF!</v>
      </c>
      <c r="X592" s="315" t="e">
        <f>#REF!-#REF!</f>
        <v>#REF!</v>
      </c>
      <c r="Y592" s="315" t="e">
        <f>#REF!-#REF!</f>
        <v>#REF!</v>
      </c>
      <c r="Z592" s="315" t="e">
        <f>#REF!-#REF!</f>
        <v>#REF!</v>
      </c>
      <c r="AA592" s="315" t="e">
        <f>#REF!-#REF!</f>
        <v>#REF!</v>
      </c>
      <c r="AB592" s="315" t="e">
        <f>#REF!-#REF!</f>
        <v>#REF!</v>
      </c>
      <c r="AC592" s="315" t="e">
        <f>#REF!-#REF!</f>
        <v>#REF!</v>
      </c>
      <c r="AD592" s="315" t="e">
        <f>#REF!-#REF!</f>
        <v>#REF!</v>
      </c>
      <c r="AE592" s="315" t="e">
        <f>#REF!-#REF!</f>
        <v>#REF!</v>
      </c>
      <c r="AF592" s="315" t="e">
        <f>#REF!-#REF!</f>
        <v>#REF!</v>
      </c>
      <c r="AG592" s="315" t="e">
        <f>#REF!-#REF!</f>
        <v>#REF!</v>
      </c>
      <c r="AH592" s="315" t="e">
        <f>#REF!-#REF!</f>
        <v>#REF!</v>
      </c>
      <c r="AI592" s="315" t="e">
        <f>#REF!-#REF!</f>
        <v>#REF!</v>
      </c>
      <c r="AJ592" s="315" t="e">
        <f>#REF!-#REF!</f>
        <v>#REF!</v>
      </c>
      <c r="AK592" s="315" t="e">
        <f>#REF!-#REF!</f>
        <v>#REF!</v>
      </c>
      <c r="AL592" s="315" t="e">
        <f>#REF!-#REF!</f>
        <v>#REF!</v>
      </c>
      <c r="AM592" s="315" t="e">
        <f>#REF!-#REF!</f>
        <v>#REF!</v>
      </c>
      <c r="AN592" s="315" t="e">
        <f>#REF!-#REF!</f>
        <v>#REF!</v>
      </c>
      <c r="AO592" s="315" t="e">
        <f>#REF!-#REF!</f>
        <v>#REF!</v>
      </c>
      <c r="AP592" s="315" t="e">
        <f>#REF!-#REF!</f>
        <v>#REF!</v>
      </c>
      <c r="AQ592" s="315" t="e">
        <f>#REF!-#REF!</f>
        <v>#REF!</v>
      </c>
      <c r="AR592" s="315" t="e">
        <f>#REF!-#REF!</f>
        <v>#REF!</v>
      </c>
      <c r="AS592" s="315" t="e">
        <f>#REF!-#REF!</f>
        <v>#REF!</v>
      </c>
      <c r="AT592" s="315" t="e">
        <f>#REF!-#REF!</f>
        <v>#REF!</v>
      </c>
      <c r="AU592" s="315" t="e">
        <f>#REF!-#REF!</f>
        <v>#REF!</v>
      </c>
      <c r="AV592" s="315" t="e">
        <f>#REF!-#REF!</f>
        <v>#REF!</v>
      </c>
      <c r="AW592" s="315" t="e">
        <f>#REF!-#REF!</f>
        <v>#REF!</v>
      </c>
      <c r="AX592" s="315" t="e">
        <f>#REF!-#REF!</f>
        <v>#REF!</v>
      </c>
      <c r="AY592" s="315" t="e">
        <f>#REF!-#REF!</f>
        <v>#REF!</v>
      </c>
      <c r="AZ592" s="315" t="e">
        <f>#REF!-#REF!</f>
        <v>#REF!</v>
      </c>
      <c r="BA592" s="315" t="e">
        <f>#REF!-#REF!</f>
        <v>#REF!</v>
      </c>
      <c r="BB592" s="315" t="e">
        <f>#REF!-#REF!</f>
        <v>#REF!</v>
      </c>
      <c r="BC592" s="315" t="e">
        <f>#REF!-#REF!</f>
        <v>#REF!</v>
      </c>
      <c r="BD592" s="315" t="e">
        <f>#REF!-#REF!</f>
        <v>#REF!</v>
      </c>
      <c r="BE592" s="315" t="e">
        <f>#REF!-#REF!</f>
        <v>#REF!</v>
      </c>
      <c r="BF592" s="315" t="e">
        <f>#REF!-#REF!</f>
        <v>#REF!</v>
      </c>
      <c r="BG592" s="315" t="e">
        <f>#REF!-#REF!</f>
        <v>#REF!</v>
      </c>
      <c r="BH592" s="315" t="e">
        <f>#REF!-#REF!</f>
        <v>#REF!</v>
      </c>
      <c r="BI592" s="315" t="e">
        <f>#REF!-#REF!</f>
        <v>#REF!</v>
      </c>
      <c r="BJ592" s="315" t="e">
        <f>#REF!-#REF!</f>
        <v>#REF!</v>
      </c>
      <c r="BK592" s="315" t="e">
        <f>#REF!-#REF!</f>
        <v>#REF!</v>
      </c>
      <c r="BL592" s="315" t="e">
        <f>#REF!-#REF!</f>
        <v>#REF!</v>
      </c>
      <c r="BM592" s="315" t="e">
        <f>#REF!-#REF!</f>
        <v>#REF!</v>
      </c>
      <c r="BN592" s="315" t="e">
        <f>#REF!-#REF!</f>
        <v>#REF!</v>
      </c>
      <c r="BO592" s="315" t="e">
        <f>#REF!-#REF!</f>
        <v>#REF!</v>
      </c>
      <c r="BP592" s="315" t="e">
        <f>#REF!-#REF!</f>
        <v>#REF!</v>
      </c>
      <c r="BQ592" s="315" t="e">
        <f>#REF!-#REF!</f>
        <v>#REF!</v>
      </c>
      <c r="BR592" s="315" t="e">
        <f>#REF!-#REF!</f>
        <v>#REF!</v>
      </c>
      <c r="BS592" s="315" t="e">
        <f>#REF!-#REF!</f>
        <v>#REF!</v>
      </c>
      <c r="BT592" s="315" t="e">
        <f>#REF!-#REF!</f>
        <v>#REF!</v>
      </c>
      <c r="BU592" s="315" t="e">
        <f>#REF!-#REF!</f>
        <v>#REF!</v>
      </c>
      <c r="BV592" s="315" t="e">
        <f>#REF!-#REF!</f>
        <v>#REF!</v>
      </c>
      <c r="BW592" s="315" t="e">
        <f>#REF!-#REF!</f>
        <v>#REF!</v>
      </c>
      <c r="BX592" s="315" t="e">
        <f>#REF!-#REF!</f>
        <v>#REF!</v>
      </c>
      <c r="BZ592" s="315" t="e">
        <f>#REF!-#REF!</f>
        <v>#REF!</v>
      </c>
      <c r="CA592" s="315" t="e">
        <f>#REF!-#REF!</f>
        <v>#REF!</v>
      </c>
    </row>
    <row r="593" spans="7:79" hidden="1" x14ac:dyDescent="0.2">
      <c r="G593" s="315" t="e">
        <f>#REF!-#REF!</f>
        <v>#REF!</v>
      </c>
      <c r="H593" s="315" t="e">
        <f>#REF!-#REF!</f>
        <v>#REF!</v>
      </c>
      <c r="I593" s="315" t="e">
        <f>#REF!-#REF!</f>
        <v>#REF!</v>
      </c>
      <c r="J593" s="315" t="e">
        <f>#REF!-#REF!</f>
        <v>#REF!</v>
      </c>
      <c r="K593" s="315" t="e">
        <f>#REF!-#REF!</f>
        <v>#REF!</v>
      </c>
      <c r="L593" s="315" t="e">
        <f>#REF!-#REF!</f>
        <v>#REF!</v>
      </c>
      <c r="M593" s="315" t="e">
        <f>#REF!-#REF!</f>
        <v>#REF!</v>
      </c>
      <c r="N593" s="315" t="e">
        <f>#REF!-#REF!</f>
        <v>#REF!</v>
      </c>
      <c r="O593" s="315" t="e">
        <f>#REF!-#REF!</f>
        <v>#REF!</v>
      </c>
      <c r="P593" s="315" t="e">
        <f>#REF!-#REF!</f>
        <v>#REF!</v>
      </c>
      <c r="Q593" s="315" t="e">
        <f>#REF!-#REF!</f>
        <v>#REF!</v>
      </c>
      <c r="R593" s="315" t="e">
        <f>#REF!-#REF!</f>
        <v>#REF!</v>
      </c>
      <c r="S593" s="315" t="e">
        <f>#REF!-#REF!</f>
        <v>#REF!</v>
      </c>
      <c r="T593" s="315" t="e">
        <f>#REF!-#REF!</f>
        <v>#REF!</v>
      </c>
      <c r="U593" s="315" t="e">
        <f>#REF!-#REF!</f>
        <v>#REF!</v>
      </c>
      <c r="V593" s="315" t="e">
        <f>#REF!-#REF!</f>
        <v>#REF!</v>
      </c>
      <c r="W593" s="315" t="e">
        <f>#REF!-#REF!</f>
        <v>#REF!</v>
      </c>
      <c r="X593" s="315" t="e">
        <f>#REF!-#REF!</f>
        <v>#REF!</v>
      </c>
      <c r="Y593" s="315" t="e">
        <f>#REF!-#REF!</f>
        <v>#REF!</v>
      </c>
      <c r="Z593" s="315" t="e">
        <f>#REF!-#REF!</f>
        <v>#REF!</v>
      </c>
      <c r="AA593" s="315" t="e">
        <f>#REF!-#REF!</f>
        <v>#REF!</v>
      </c>
      <c r="AB593" s="315" t="e">
        <f>#REF!-#REF!</f>
        <v>#REF!</v>
      </c>
      <c r="AC593" s="315" t="e">
        <f>#REF!-#REF!</f>
        <v>#REF!</v>
      </c>
      <c r="AD593" s="315" t="e">
        <f>#REF!-#REF!</f>
        <v>#REF!</v>
      </c>
      <c r="AE593" s="315" t="e">
        <f>#REF!-#REF!</f>
        <v>#REF!</v>
      </c>
      <c r="AF593" s="315" t="e">
        <f>#REF!-#REF!</f>
        <v>#REF!</v>
      </c>
      <c r="AG593" s="315" t="e">
        <f>#REF!-#REF!</f>
        <v>#REF!</v>
      </c>
      <c r="AH593" s="315" t="e">
        <f>#REF!-#REF!</f>
        <v>#REF!</v>
      </c>
      <c r="AI593" s="315" t="e">
        <f>#REF!-#REF!</f>
        <v>#REF!</v>
      </c>
      <c r="AJ593" s="315" t="e">
        <f>#REF!-#REF!</f>
        <v>#REF!</v>
      </c>
      <c r="AK593" s="315" t="e">
        <f>#REF!-#REF!</f>
        <v>#REF!</v>
      </c>
      <c r="AL593" s="315" t="e">
        <f>#REF!-#REF!</f>
        <v>#REF!</v>
      </c>
      <c r="AM593" s="315" t="e">
        <f>#REF!-#REF!</f>
        <v>#REF!</v>
      </c>
      <c r="AN593" s="315" t="e">
        <f>#REF!-#REF!</f>
        <v>#REF!</v>
      </c>
      <c r="AO593" s="315" t="e">
        <f>#REF!-#REF!</f>
        <v>#REF!</v>
      </c>
      <c r="AP593" s="315" t="e">
        <f>#REF!-#REF!</f>
        <v>#REF!</v>
      </c>
      <c r="AQ593" s="315" t="e">
        <f>#REF!-#REF!</f>
        <v>#REF!</v>
      </c>
      <c r="AR593" s="315" t="e">
        <f>#REF!-#REF!</f>
        <v>#REF!</v>
      </c>
      <c r="AS593" s="315" t="e">
        <f>#REF!-#REF!</f>
        <v>#REF!</v>
      </c>
      <c r="AT593" s="315" t="e">
        <f>#REF!-#REF!</f>
        <v>#REF!</v>
      </c>
      <c r="AU593" s="315" t="e">
        <f>#REF!-#REF!</f>
        <v>#REF!</v>
      </c>
      <c r="AV593" s="315" t="e">
        <f>#REF!-#REF!</f>
        <v>#REF!</v>
      </c>
      <c r="AW593" s="315" t="e">
        <f>#REF!-#REF!</f>
        <v>#REF!</v>
      </c>
      <c r="AX593" s="315" t="e">
        <f>#REF!-#REF!</f>
        <v>#REF!</v>
      </c>
      <c r="AY593" s="315" t="e">
        <f>#REF!-#REF!</f>
        <v>#REF!</v>
      </c>
      <c r="AZ593" s="315" t="e">
        <f>#REF!-#REF!</f>
        <v>#REF!</v>
      </c>
      <c r="BA593" s="315" t="e">
        <f>#REF!-#REF!</f>
        <v>#REF!</v>
      </c>
      <c r="BB593" s="315" t="e">
        <f>#REF!-#REF!</f>
        <v>#REF!</v>
      </c>
      <c r="BC593" s="315" t="e">
        <f>#REF!-#REF!</f>
        <v>#REF!</v>
      </c>
      <c r="BD593" s="315" t="e">
        <f>#REF!-#REF!</f>
        <v>#REF!</v>
      </c>
      <c r="BE593" s="315" t="e">
        <f>#REF!-#REF!</f>
        <v>#REF!</v>
      </c>
      <c r="BF593" s="315" t="e">
        <f>#REF!-#REF!</f>
        <v>#REF!</v>
      </c>
      <c r="BG593" s="315" t="e">
        <f>#REF!-#REF!</f>
        <v>#REF!</v>
      </c>
      <c r="BH593" s="315" t="e">
        <f>#REF!-#REF!</f>
        <v>#REF!</v>
      </c>
      <c r="BI593" s="315" t="e">
        <f>#REF!-#REF!</f>
        <v>#REF!</v>
      </c>
      <c r="BJ593" s="315" t="e">
        <f>#REF!-#REF!</f>
        <v>#REF!</v>
      </c>
      <c r="BK593" s="315" t="e">
        <f>#REF!-#REF!</f>
        <v>#REF!</v>
      </c>
      <c r="BL593" s="315" t="e">
        <f>#REF!-#REF!</f>
        <v>#REF!</v>
      </c>
      <c r="BM593" s="315" t="e">
        <f>#REF!-#REF!</f>
        <v>#REF!</v>
      </c>
      <c r="BN593" s="315" t="e">
        <f>#REF!-#REF!</f>
        <v>#REF!</v>
      </c>
      <c r="BO593" s="315" t="e">
        <f>#REF!-#REF!</f>
        <v>#REF!</v>
      </c>
      <c r="BP593" s="315" t="e">
        <f>#REF!-#REF!</f>
        <v>#REF!</v>
      </c>
      <c r="BQ593" s="315" t="e">
        <f>#REF!-#REF!</f>
        <v>#REF!</v>
      </c>
      <c r="BR593" s="315" t="e">
        <f>#REF!-#REF!</f>
        <v>#REF!</v>
      </c>
      <c r="BS593" s="315" t="e">
        <f>#REF!-#REF!</f>
        <v>#REF!</v>
      </c>
      <c r="BT593" s="315" t="e">
        <f>#REF!-#REF!</f>
        <v>#REF!</v>
      </c>
      <c r="BU593" s="315" t="e">
        <f>#REF!-#REF!</f>
        <v>#REF!</v>
      </c>
      <c r="BV593" s="315" t="e">
        <f>#REF!-#REF!</f>
        <v>#REF!</v>
      </c>
      <c r="BW593" s="315" t="e">
        <f>#REF!-#REF!</f>
        <v>#REF!</v>
      </c>
      <c r="BX593" s="315" t="e">
        <f>#REF!-#REF!</f>
        <v>#REF!</v>
      </c>
      <c r="BZ593" s="315" t="e">
        <f>#REF!-#REF!</f>
        <v>#REF!</v>
      </c>
      <c r="CA593" s="315" t="e">
        <f>#REF!-#REF!</f>
        <v>#REF!</v>
      </c>
    </row>
    <row r="594" spans="7:79" hidden="1" x14ac:dyDescent="0.2">
      <c r="G594" s="315" t="e">
        <f>#REF!-#REF!</f>
        <v>#REF!</v>
      </c>
      <c r="H594" s="315" t="e">
        <f>#REF!-#REF!</f>
        <v>#REF!</v>
      </c>
      <c r="I594" s="315" t="e">
        <f>#REF!-#REF!</f>
        <v>#REF!</v>
      </c>
      <c r="J594" s="315" t="e">
        <f>#REF!-#REF!</f>
        <v>#REF!</v>
      </c>
      <c r="K594" s="315" t="e">
        <f>#REF!-#REF!</f>
        <v>#REF!</v>
      </c>
      <c r="L594" s="315" t="e">
        <f>#REF!-#REF!</f>
        <v>#REF!</v>
      </c>
      <c r="M594" s="315" t="e">
        <f>#REF!-#REF!</f>
        <v>#REF!</v>
      </c>
      <c r="N594" s="315" t="e">
        <f>#REF!-#REF!</f>
        <v>#REF!</v>
      </c>
      <c r="O594" s="315" t="e">
        <f>#REF!-#REF!</f>
        <v>#REF!</v>
      </c>
      <c r="P594" s="315" t="e">
        <f>#REF!-#REF!</f>
        <v>#REF!</v>
      </c>
      <c r="Q594" s="315" t="e">
        <f>#REF!-#REF!</f>
        <v>#REF!</v>
      </c>
      <c r="R594" s="315" t="e">
        <f>#REF!-#REF!</f>
        <v>#REF!</v>
      </c>
      <c r="S594" s="315" t="e">
        <f>#REF!-#REF!</f>
        <v>#REF!</v>
      </c>
      <c r="T594" s="315" t="e">
        <f>#REF!-#REF!</f>
        <v>#REF!</v>
      </c>
      <c r="U594" s="315" t="e">
        <f>#REF!-#REF!</f>
        <v>#REF!</v>
      </c>
      <c r="V594" s="315" t="e">
        <f>#REF!-#REF!</f>
        <v>#REF!</v>
      </c>
      <c r="W594" s="315" t="e">
        <f>#REF!-#REF!</f>
        <v>#REF!</v>
      </c>
      <c r="X594" s="315" t="e">
        <f>#REF!-#REF!</f>
        <v>#REF!</v>
      </c>
      <c r="Y594" s="315" t="e">
        <f>#REF!-#REF!</f>
        <v>#REF!</v>
      </c>
      <c r="Z594" s="315" t="e">
        <f>#REF!-#REF!</f>
        <v>#REF!</v>
      </c>
      <c r="AA594" s="315" t="e">
        <f>#REF!-#REF!</f>
        <v>#REF!</v>
      </c>
      <c r="AB594" s="315" t="e">
        <f>#REF!-#REF!</f>
        <v>#REF!</v>
      </c>
      <c r="AC594" s="315" t="e">
        <f>#REF!-#REF!</f>
        <v>#REF!</v>
      </c>
      <c r="AD594" s="315" t="e">
        <f>#REF!-#REF!</f>
        <v>#REF!</v>
      </c>
      <c r="AE594" s="315" t="e">
        <f>#REF!-#REF!</f>
        <v>#REF!</v>
      </c>
      <c r="AF594" s="315" t="e">
        <f>#REF!-#REF!</f>
        <v>#REF!</v>
      </c>
      <c r="AG594" s="315" t="e">
        <f>#REF!-#REF!</f>
        <v>#REF!</v>
      </c>
      <c r="AH594" s="315" t="e">
        <f>#REF!-#REF!</f>
        <v>#REF!</v>
      </c>
      <c r="AI594" s="315" t="e">
        <f>#REF!-#REF!</f>
        <v>#REF!</v>
      </c>
      <c r="AJ594" s="315" t="e">
        <f>#REF!-#REF!</f>
        <v>#REF!</v>
      </c>
      <c r="AK594" s="315" t="e">
        <f>#REF!-#REF!</f>
        <v>#REF!</v>
      </c>
      <c r="AL594" s="315" t="e">
        <f>#REF!-#REF!</f>
        <v>#REF!</v>
      </c>
      <c r="AM594" s="315" t="e">
        <f>#REF!-#REF!</f>
        <v>#REF!</v>
      </c>
      <c r="AN594" s="315" t="e">
        <f>#REF!-#REF!</f>
        <v>#REF!</v>
      </c>
      <c r="AO594" s="315" t="e">
        <f>#REF!-#REF!</f>
        <v>#REF!</v>
      </c>
      <c r="AP594" s="315" t="e">
        <f>#REF!-#REF!</f>
        <v>#REF!</v>
      </c>
      <c r="AQ594" s="315" t="e">
        <f>#REF!-#REF!</f>
        <v>#REF!</v>
      </c>
      <c r="AR594" s="315" t="e">
        <f>#REF!-#REF!</f>
        <v>#REF!</v>
      </c>
      <c r="AS594" s="315" t="e">
        <f>#REF!-#REF!</f>
        <v>#REF!</v>
      </c>
      <c r="AT594" s="315" t="e">
        <f>#REF!-#REF!</f>
        <v>#REF!</v>
      </c>
      <c r="AU594" s="315" t="e">
        <f>#REF!-#REF!</f>
        <v>#REF!</v>
      </c>
      <c r="AV594" s="315" t="e">
        <f>#REF!-#REF!</f>
        <v>#REF!</v>
      </c>
      <c r="AW594" s="315" t="e">
        <f>#REF!-#REF!</f>
        <v>#REF!</v>
      </c>
      <c r="AX594" s="315" t="e">
        <f>#REF!-#REF!</f>
        <v>#REF!</v>
      </c>
      <c r="AY594" s="315" t="e">
        <f>#REF!-#REF!</f>
        <v>#REF!</v>
      </c>
      <c r="AZ594" s="315" t="e">
        <f>#REF!-#REF!</f>
        <v>#REF!</v>
      </c>
      <c r="BA594" s="315" t="e">
        <f>#REF!-#REF!</f>
        <v>#REF!</v>
      </c>
      <c r="BB594" s="315" t="e">
        <f>#REF!-#REF!</f>
        <v>#REF!</v>
      </c>
      <c r="BC594" s="315" t="e">
        <f>#REF!-#REF!</f>
        <v>#REF!</v>
      </c>
      <c r="BD594" s="315" t="e">
        <f>#REF!-#REF!</f>
        <v>#REF!</v>
      </c>
      <c r="BE594" s="315" t="e">
        <f>#REF!-#REF!</f>
        <v>#REF!</v>
      </c>
      <c r="BF594" s="315" t="e">
        <f>#REF!-#REF!</f>
        <v>#REF!</v>
      </c>
      <c r="BG594" s="315" t="e">
        <f>#REF!-#REF!</f>
        <v>#REF!</v>
      </c>
      <c r="BH594" s="315" t="e">
        <f>#REF!-#REF!</f>
        <v>#REF!</v>
      </c>
      <c r="BI594" s="315" t="e">
        <f>#REF!-#REF!</f>
        <v>#REF!</v>
      </c>
      <c r="BJ594" s="315" t="e">
        <f>#REF!-#REF!</f>
        <v>#REF!</v>
      </c>
      <c r="BK594" s="315" t="e">
        <f>#REF!-#REF!</f>
        <v>#REF!</v>
      </c>
      <c r="BL594" s="315" t="e">
        <f>#REF!-#REF!</f>
        <v>#REF!</v>
      </c>
      <c r="BM594" s="315" t="e">
        <f>#REF!-#REF!</f>
        <v>#REF!</v>
      </c>
      <c r="BN594" s="315" t="e">
        <f>#REF!-#REF!</f>
        <v>#REF!</v>
      </c>
      <c r="BO594" s="315" t="e">
        <f>#REF!-#REF!</f>
        <v>#REF!</v>
      </c>
      <c r="BP594" s="315" t="e">
        <f>#REF!-#REF!</f>
        <v>#REF!</v>
      </c>
      <c r="BQ594" s="315" t="e">
        <f>#REF!-#REF!</f>
        <v>#REF!</v>
      </c>
      <c r="BR594" s="315" t="e">
        <f>#REF!-#REF!</f>
        <v>#REF!</v>
      </c>
      <c r="BS594" s="315" t="e">
        <f>#REF!-#REF!</f>
        <v>#REF!</v>
      </c>
      <c r="BT594" s="315" t="e">
        <f>#REF!-#REF!</f>
        <v>#REF!</v>
      </c>
      <c r="BU594" s="315" t="e">
        <f>#REF!-#REF!</f>
        <v>#REF!</v>
      </c>
      <c r="BV594" s="315" t="e">
        <f>#REF!-#REF!</f>
        <v>#REF!</v>
      </c>
      <c r="BW594" s="315" t="e">
        <f>#REF!-#REF!</f>
        <v>#REF!</v>
      </c>
      <c r="BX594" s="315" t="e">
        <f>#REF!-#REF!</f>
        <v>#REF!</v>
      </c>
      <c r="BZ594" s="315" t="e">
        <f>#REF!-#REF!</f>
        <v>#REF!</v>
      </c>
      <c r="CA594" s="315" t="e">
        <f>#REF!-#REF!</f>
        <v>#REF!</v>
      </c>
    </row>
    <row r="595" spans="7:79" hidden="1" x14ac:dyDescent="0.2">
      <c r="G595" s="315">
        <f t="shared" ref="G595:BR595" si="117">G170-BY170</f>
        <v>0</v>
      </c>
      <c r="H595" s="315">
        <f t="shared" si="117"/>
        <v>0</v>
      </c>
      <c r="I595" s="315">
        <f t="shared" si="117"/>
        <v>0</v>
      </c>
      <c r="J595" s="315">
        <f t="shared" si="117"/>
        <v>0</v>
      </c>
      <c r="K595" s="315">
        <f t="shared" si="117"/>
        <v>0</v>
      </c>
      <c r="L595" s="315">
        <f t="shared" si="117"/>
        <v>0</v>
      </c>
      <c r="M595" s="315">
        <f t="shared" si="117"/>
        <v>0</v>
      </c>
      <c r="N595" s="315">
        <f t="shared" si="117"/>
        <v>0</v>
      </c>
      <c r="O595" s="315">
        <f t="shared" si="117"/>
        <v>0</v>
      </c>
      <c r="P595" s="315">
        <f t="shared" si="117"/>
        <v>0</v>
      </c>
      <c r="Q595" s="315">
        <f t="shared" si="117"/>
        <v>0</v>
      </c>
      <c r="R595" s="315">
        <f t="shared" si="117"/>
        <v>0</v>
      </c>
      <c r="S595" s="315">
        <f t="shared" si="117"/>
        <v>0</v>
      </c>
      <c r="T595" s="315">
        <f t="shared" si="117"/>
        <v>0</v>
      </c>
      <c r="U595" s="315">
        <f t="shared" si="117"/>
        <v>0</v>
      </c>
      <c r="V595" s="315">
        <f t="shared" si="117"/>
        <v>0</v>
      </c>
      <c r="W595" s="315">
        <f t="shared" si="117"/>
        <v>0</v>
      </c>
      <c r="X595" s="315">
        <f t="shared" si="117"/>
        <v>0</v>
      </c>
      <c r="Y595" s="315">
        <f t="shared" si="117"/>
        <v>0</v>
      </c>
      <c r="Z595" s="315">
        <f t="shared" si="117"/>
        <v>0</v>
      </c>
      <c r="AA595" s="315">
        <f t="shared" si="117"/>
        <v>0</v>
      </c>
      <c r="AB595" s="315">
        <f t="shared" si="117"/>
        <v>0</v>
      </c>
      <c r="AC595" s="315">
        <f t="shared" si="117"/>
        <v>0</v>
      </c>
      <c r="AD595" s="315">
        <f t="shared" si="117"/>
        <v>0</v>
      </c>
      <c r="AE595" s="315">
        <f t="shared" si="117"/>
        <v>0</v>
      </c>
      <c r="AF595" s="315">
        <f t="shared" si="117"/>
        <v>0</v>
      </c>
      <c r="AG595" s="315">
        <f t="shared" si="117"/>
        <v>0</v>
      </c>
      <c r="AH595" s="315">
        <f t="shared" si="117"/>
        <v>0</v>
      </c>
      <c r="AI595" s="315">
        <f t="shared" si="117"/>
        <v>0</v>
      </c>
      <c r="AJ595" s="315">
        <f t="shared" si="117"/>
        <v>0</v>
      </c>
      <c r="AK595" s="315">
        <f t="shared" si="117"/>
        <v>0</v>
      </c>
      <c r="AL595" s="315">
        <f t="shared" si="117"/>
        <v>0</v>
      </c>
      <c r="AM595" s="315">
        <f t="shared" si="117"/>
        <v>0</v>
      </c>
      <c r="AN595" s="315">
        <f t="shared" si="117"/>
        <v>0</v>
      </c>
      <c r="AO595" s="315">
        <f t="shared" si="117"/>
        <v>0</v>
      </c>
      <c r="AP595" s="315">
        <f t="shared" si="117"/>
        <v>0</v>
      </c>
      <c r="AQ595" s="315">
        <f t="shared" si="117"/>
        <v>0</v>
      </c>
      <c r="AR595" s="315">
        <f t="shared" si="117"/>
        <v>0</v>
      </c>
      <c r="AS595" s="315">
        <f t="shared" si="117"/>
        <v>0</v>
      </c>
      <c r="AT595" s="315">
        <f t="shared" si="117"/>
        <v>0</v>
      </c>
      <c r="AU595" s="315">
        <f t="shared" si="117"/>
        <v>0</v>
      </c>
      <c r="AV595" s="315">
        <f t="shared" si="117"/>
        <v>0</v>
      </c>
      <c r="AW595" s="315">
        <f t="shared" si="117"/>
        <v>0</v>
      </c>
      <c r="AX595" s="315">
        <f t="shared" si="117"/>
        <v>0</v>
      </c>
      <c r="AY595" s="315">
        <f t="shared" si="117"/>
        <v>0</v>
      </c>
      <c r="AZ595" s="315">
        <f t="shared" si="117"/>
        <v>0</v>
      </c>
      <c r="BA595" s="315">
        <f t="shared" si="117"/>
        <v>0</v>
      </c>
      <c r="BB595" s="315">
        <f t="shared" si="117"/>
        <v>0</v>
      </c>
      <c r="BC595" s="315">
        <f t="shared" si="117"/>
        <v>0</v>
      </c>
      <c r="BD595" s="315">
        <f t="shared" si="117"/>
        <v>0</v>
      </c>
      <c r="BE595" s="315">
        <f t="shared" si="117"/>
        <v>0</v>
      </c>
      <c r="BF595" s="315">
        <f t="shared" si="117"/>
        <v>0</v>
      </c>
      <c r="BG595" s="315">
        <f t="shared" si="117"/>
        <v>0</v>
      </c>
      <c r="BH595" s="315">
        <f t="shared" si="117"/>
        <v>0</v>
      </c>
      <c r="BI595" s="315">
        <f t="shared" si="117"/>
        <v>0</v>
      </c>
      <c r="BJ595" s="315">
        <f t="shared" si="117"/>
        <v>0</v>
      </c>
      <c r="BK595" s="315">
        <f t="shared" si="117"/>
        <v>0</v>
      </c>
      <c r="BL595" s="315">
        <f t="shared" si="117"/>
        <v>0</v>
      </c>
      <c r="BM595" s="315">
        <f t="shared" si="117"/>
        <v>0</v>
      </c>
      <c r="BN595" s="315">
        <f t="shared" si="117"/>
        <v>0</v>
      </c>
      <c r="BO595" s="315">
        <f t="shared" si="117"/>
        <v>0</v>
      </c>
      <c r="BP595" s="315">
        <f t="shared" si="117"/>
        <v>0</v>
      </c>
      <c r="BQ595" s="315">
        <f t="shared" si="117"/>
        <v>0</v>
      </c>
      <c r="BR595" s="315">
        <f t="shared" si="117"/>
        <v>0</v>
      </c>
      <c r="BS595" s="315">
        <f t="shared" ref="BS595:BX595" si="118">BS170-EK170</f>
        <v>0</v>
      </c>
      <c r="BT595" s="315">
        <f t="shared" si="118"/>
        <v>0</v>
      </c>
      <c r="BU595" s="315">
        <f t="shared" si="118"/>
        <v>0</v>
      </c>
      <c r="BV595" s="315">
        <f t="shared" si="118"/>
        <v>0</v>
      </c>
      <c r="BW595" s="315">
        <f t="shared" si="118"/>
        <v>0</v>
      </c>
      <c r="BX595" s="315">
        <f t="shared" si="118"/>
        <v>0</v>
      </c>
      <c r="BZ595" s="315">
        <f>BZ170-ER170</f>
        <v>0</v>
      </c>
      <c r="CA595" s="315">
        <f>CA170-ES170</f>
        <v>0</v>
      </c>
    </row>
    <row r="596" spans="7:79" hidden="1" x14ac:dyDescent="0.2">
      <c r="G596" s="315" t="e">
        <f>#REF!-#REF!</f>
        <v>#REF!</v>
      </c>
      <c r="H596" s="315" t="e">
        <f>#REF!-#REF!</f>
        <v>#REF!</v>
      </c>
      <c r="I596" s="315" t="e">
        <f>#REF!-#REF!</f>
        <v>#REF!</v>
      </c>
      <c r="J596" s="315" t="e">
        <f>#REF!-#REF!</f>
        <v>#REF!</v>
      </c>
      <c r="K596" s="315" t="e">
        <f>#REF!-#REF!</f>
        <v>#REF!</v>
      </c>
      <c r="L596" s="315" t="e">
        <f>#REF!-#REF!</f>
        <v>#REF!</v>
      </c>
      <c r="M596" s="315" t="e">
        <f>#REF!-#REF!</f>
        <v>#REF!</v>
      </c>
      <c r="N596" s="315" t="e">
        <f>#REF!-#REF!</f>
        <v>#REF!</v>
      </c>
      <c r="O596" s="315" t="e">
        <f>#REF!-#REF!</f>
        <v>#REF!</v>
      </c>
      <c r="P596" s="315" t="e">
        <f>#REF!-#REF!</f>
        <v>#REF!</v>
      </c>
      <c r="Q596" s="315" t="e">
        <f>#REF!-#REF!</f>
        <v>#REF!</v>
      </c>
      <c r="R596" s="315" t="e">
        <f>#REF!-#REF!</f>
        <v>#REF!</v>
      </c>
      <c r="S596" s="315" t="e">
        <f>#REF!-#REF!</f>
        <v>#REF!</v>
      </c>
      <c r="T596" s="315" t="e">
        <f>#REF!-#REF!</f>
        <v>#REF!</v>
      </c>
      <c r="U596" s="315" t="e">
        <f>#REF!-#REF!</f>
        <v>#REF!</v>
      </c>
      <c r="V596" s="315" t="e">
        <f>#REF!-#REF!</f>
        <v>#REF!</v>
      </c>
      <c r="W596" s="315" t="e">
        <f>#REF!-#REF!</f>
        <v>#REF!</v>
      </c>
      <c r="X596" s="315" t="e">
        <f>#REF!-#REF!</f>
        <v>#REF!</v>
      </c>
      <c r="Y596" s="315" t="e">
        <f>#REF!-#REF!</f>
        <v>#REF!</v>
      </c>
      <c r="Z596" s="315" t="e">
        <f>#REF!-#REF!</f>
        <v>#REF!</v>
      </c>
      <c r="AA596" s="315" t="e">
        <f>#REF!-#REF!</f>
        <v>#REF!</v>
      </c>
      <c r="AB596" s="315" t="e">
        <f>#REF!-#REF!</f>
        <v>#REF!</v>
      </c>
      <c r="AC596" s="315" t="e">
        <f>#REF!-#REF!</f>
        <v>#REF!</v>
      </c>
      <c r="AD596" s="315" t="e">
        <f>#REF!-#REF!</f>
        <v>#REF!</v>
      </c>
      <c r="AE596" s="315" t="e">
        <f>#REF!-#REF!</f>
        <v>#REF!</v>
      </c>
      <c r="AF596" s="315" t="e">
        <f>#REF!-#REF!</f>
        <v>#REF!</v>
      </c>
      <c r="AG596" s="315" t="e">
        <f>#REF!-#REF!</f>
        <v>#REF!</v>
      </c>
      <c r="AH596" s="315" t="e">
        <f>#REF!-#REF!</f>
        <v>#REF!</v>
      </c>
      <c r="AI596" s="315" t="e">
        <f>#REF!-#REF!</f>
        <v>#REF!</v>
      </c>
      <c r="AJ596" s="315" t="e">
        <f>#REF!-#REF!</f>
        <v>#REF!</v>
      </c>
      <c r="AK596" s="315" t="e">
        <f>#REF!-#REF!</f>
        <v>#REF!</v>
      </c>
      <c r="AL596" s="315" t="e">
        <f>#REF!-#REF!</f>
        <v>#REF!</v>
      </c>
      <c r="AM596" s="315" t="e">
        <f>#REF!-#REF!</f>
        <v>#REF!</v>
      </c>
      <c r="AN596" s="315" t="e">
        <f>#REF!-#REF!</f>
        <v>#REF!</v>
      </c>
      <c r="AO596" s="315" t="e">
        <f>#REF!-#REF!</f>
        <v>#REF!</v>
      </c>
      <c r="AP596" s="315" t="e">
        <f>#REF!-#REF!</f>
        <v>#REF!</v>
      </c>
      <c r="AQ596" s="315" t="e">
        <f>#REF!-#REF!</f>
        <v>#REF!</v>
      </c>
      <c r="AR596" s="315" t="e">
        <f>#REF!-#REF!</f>
        <v>#REF!</v>
      </c>
      <c r="AS596" s="315" t="e">
        <f>#REF!-#REF!</f>
        <v>#REF!</v>
      </c>
      <c r="AT596" s="315" t="e">
        <f>#REF!-#REF!</f>
        <v>#REF!</v>
      </c>
      <c r="AU596" s="315" t="e">
        <f>#REF!-#REF!</f>
        <v>#REF!</v>
      </c>
      <c r="AV596" s="315" t="e">
        <f>#REF!-#REF!</f>
        <v>#REF!</v>
      </c>
      <c r="AW596" s="315" t="e">
        <f>#REF!-#REF!</f>
        <v>#REF!</v>
      </c>
      <c r="AX596" s="315" t="e">
        <f>#REF!-#REF!</f>
        <v>#REF!</v>
      </c>
      <c r="AY596" s="315" t="e">
        <f>#REF!-#REF!</f>
        <v>#REF!</v>
      </c>
      <c r="AZ596" s="315" t="e">
        <f>#REF!-#REF!</f>
        <v>#REF!</v>
      </c>
      <c r="BA596" s="315" t="e">
        <f>#REF!-#REF!</f>
        <v>#REF!</v>
      </c>
      <c r="BB596" s="315" t="e">
        <f>#REF!-#REF!</f>
        <v>#REF!</v>
      </c>
      <c r="BC596" s="315" t="e">
        <f>#REF!-#REF!</f>
        <v>#REF!</v>
      </c>
      <c r="BD596" s="315" t="e">
        <f>#REF!-#REF!</f>
        <v>#REF!</v>
      </c>
      <c r="BE596" s="315" t="e">
        <f>#REF!-#REF!</f>
        <v>#REF!</v>
      </c>
      <c r="BF596" s="315" t="e">
        <f>#REF!-#REF!</f>
        <v>#REF!</v>
      </c>
      <c r="BG596" s="315" t="e">
        <f>#REF!-#REF!</f>
        <v>#REF!</v>
      </c>
      <c r="BH596" s="315" t="e">
        <f>#REF!-#REF!</f>
        <v>#REF!</v>
      </c>
      <c r="BI596" s="315" t="e">
        <f>#REF!-#REF!</f>
        <v>#REF!</v>
      </c>
      <c r="BJ596" s="315" t="e">
        <f>#REF!-#REF!</f>
        <v>#REF!</v>
      </c>
      <c r="BK596" s="315" t="e">
        <f>#REF!-#REF!</f>
        <v>#REF!</v>
      </c>
      <c r="BL596" s="315" t="e">
        <f>#REF!-#REF!</f>
        <v>#REF!</v>
      </c>
      <c r="BM596" s="315" t="e">
        <f>#REF!-#REF!</f>
        <v>#REF!</v>
      </c>
      <c r="BN596" s="315" t="e">
        <f>#REF!-#REF!</f>
        <v>#REF!</v>
      </c>
      <c r="BO596" s="315" t="e">
        <f>#REF!-#REF!</f>
        <v>#REF!</v>
      </c>
      <c r="BP596" s="315" t="e">
        <f>#REF!-#REF!</f>
        <v>#REF!</v>
      </c>
      <c r="BQ596" s="315" t="e">
        <f>#REF!-#REF!</f>
        <v>#REF!</v>
      </c>
      <c r="BR596" s="315" t="e">
        <f>#REF!-#REF!</f>
        <v>#REF!</v>
      </c>
      <c r="BS596" s="315" t="e">
        <f>#REF!-#REF!</f>
        <v>#REF!</v>
      </c>
      <c r="BT596" s="315" t="e">
        <f>#REF!-#REF!</f>
        <v>#REF!</v>
      </c>
      <c r="BU596" s="315" t="e">
        <f>#REF!-#REF!</f>
        <v>#REF!</v>
      </c>
      <c r="BV596" s="315" t="e">
        <f>#REF!-#REF!</f>
        <v>#REF!</v>
      </c>
      <c r="BW596" s="315" t="e">
        <f>#REF!-#REF!</f>
        <v>#REF!</v>
      </c>
      <c r="BX596" s="315" t="e">
        <f>#REF!-#REF!</f>
        <v>#REF!</v>
      </c>
      <c r="BZ596" s="315" t="e">
        <f>#REF!-#REF!</f>
        <v>#REF!</v>
      </c>
      <c r="CA596" s="315" t="e">
        <f>#REF!-#REF!</f>
        <v>#REF!</v>
      </c>
    </row>
    <row r="597" spans="7:79" hidden="1" x14ac:dyDescent="0.2">
      <c r="G597" s="315" t="e">
        <f>#REF!-#REF!</f>
        <v>#REF!</v>
      </c>
      <c r="H597" s="315" t="e">
        <f>#REF!-#REF!</f>
        <v>#REF!</v>
      </c>
      <c r="I597" s="315" t="e">
        <f>#REF!-#REF!</f>
        <v>#REF!</v>
      </c>
      <c r="J597" s="315" t="e">
        <f>#REF!-#REF!</f>
        <v>#REF!</v>
      </c>
      <c r="K597" s="315" t="e">
        <f>#REF!-#REF!</f>
        <v>#REF!</v>
      </c>
      <c r="L597" s="315" t="e">
        <f>#REF!-#REF!</f>
        <v>#REF!</v>
      </c>
      <c r="M597" s="315" t="e">
        <f>#REF!-#REF!</f>
        <v>#REF!</v>
      </c>
      <c r="N597" s="315" t="e">
        <f>#REF!-#REF!</f>
        <v>#REF!</v>
      </c>
      <c r="O597" s="315" t="e">
        <f>#REF!-#REF!</f>
        <v>#REF!</v>
      </c>
      <c r="P597" s="315" t="e">
        <f>#REF!-#REF!</f>
        <v>#REF!</v>
      </c>
      <c r="Q597" s="315" t="e">
        <f>#REF!-#REF!</f>
        <v>#REF!</v>
      </c>
      <c r="R597" s="315" t="e">
        <f>#REF!-#REF!</f>
        <v>#REF!</v>
      </c>
      <c r="S597" s="315" t="e">
        <f>#REF!-#REF!</f>
        <v>#REF!</v>
      </c>
      <c r="T597" s="315" t="e">
        <f>#REF!-#REF!</f>
        <v>#REF!</v>
      </c>
      <c r="U597" s="315" t="e">
        <f>#REF!-#REF!</f>
        <v>#REF!</v>
      </c>
      <c r="V597" s="315" t="e">
        <f>#REF!-#REF!</f>
        <v>#REF!</v>
      </c>
      <c r="W597" s="315" t="e">
        <f>#REF!-#REF!</f>
        <v>#REF!</v>
      </c>
      <c r="X597" s="315" t="e">
        <f>#REF!-#REF!</f>
        <v>#REF!</v>
      </c>
      <c r="Y597" s="315" t="e">
        <f>#REF!-#REF!</f>
        <v>#REF!</v>
      </c>
      <c r="Z597" s="315" t="e">
        <f>#REF!-#REF!</f>
        <v>#REF!</v>
      </c>
      <c r="AA597" s="315" t="e">
        <f>#REF!-#REF!</f>
        <v>#REF!</v>
      </c>
      <c r="AB597" s="315" t="e">
        <f>#REF!-#REF!</f>
        <v>#REF!</v>
      </c>
      <c r="AC597" s="315" t="e">
        <f>#REF!-#REF!</f>
        <v>#REF!</v>
      </c>
      <c r="AD597" s="315" t="e">
        <f>#REF!-#REF!</f>
        <v>#REF!</v>
      </c>
      <c r="AE597" s="315" t="e">
        <f>#REF!-#REF!</f>
        <v>#REF!</v>
      </c>
      <c r="AF597" s="315" t="e">
        <f>#REF!-#REF!</f>
        <v>#REF!</v>
      </c>
      <c r="AG597" s="315" t="e">
        <f>#REF!-#REF!</f>
        <v>#REF!</v>
      </c>
      <c r="AH597" s="315" t="e">
        <f>#REF!-#REF!</f>
        <v>#REF!</v>
      </c>
      <c r="AI597" s="315" t="e">
        <f>#REF!-#REF!</f>
        <v>#REF!</v>
      </c>
      <c r="AJ597" s="315" t="e">
        <f>#REF!-#REF!</f>
        <v>#REF!</v>
      </c>
      <c r="AK597" s="315" t="e">
        <f>#REF!-#REF!</f>
        <v>#REF!</v>
      </c>
      <c r="AL597" s="315" t="e">
        <f>#REF!-#REF!</f>
        <v>#REF!</v>
      </c>
      <c r="AM597" s="315" t="e">
        <f>#REF!-#REF!</f>
        <v>#REF!</v>
      </c>
      <c r="AN597" s="315" t="e">
        <f>#REF!-#REF!</f>
        <v>#REF!</v>
      </c>
      <c r="AO597" s="315" t="e">
        <f>#REF!-#REF!</f>
        <v>#REF!</v>
      </c>
      <c r="AP597" s="315" t="e">
        <f>#REF!-#REF!</f>
        <v>#REF!</v>
      </c>
      <c r="AQ597" s="315" t="e">
        <f>#REF!-#REF!</f>
        <v>#REF!</v>
      </c>
      <c r="AR597" s="315" t="e">
        <f>#REF!-#REF!</f>
        <v>#REF!</v>
      </c>
      <c r="AS597" s="315" t="e">
        <f>#REF!-#REF!</f>
        <v>#REF!</v>
      </c>
      <c r="AT597" s="315" t="e">
        <f>#REF!-#REF!</f>
        <v>#REF!</v>
      </c>
      <c r="AU597" s="315" t="e">
        <f>#REF!-#REF!</f>
        <v>#REF!</v>
      </c>
      <c r="AV597" s="315" t="e">
        <f>#REF!-#REF!</f>
        <v>#REF!</v>
      </c>
      <c r="AW597" s="315" t="e">
        <f>#REF!-#REF!</f>
        <v>#REF!</v>
      </c>
      <c r="AX597" s="315" t="e">
        <f>#REF!-#REF!</f>
        <v>#REF!</v>
      </c>
      <c r="AY597" s="315" t="e">
        <f>#REF!-#REF!</f>
        <v>#REF!</v>
      </c>
      <c r="AZ597" s="315" t="e">
        <f>#REF!-#REF!</f>
        <v>#REF!</v>
      </c>
      <c r="BA597" s="315" t="e">
        <f>#REF!-#REF!</f>
        <v>#REF!</v>
      </c>
      <c r="BB597" s="315" t="e">
        <f>#REF!-#REF!</f>
        <v>#REF!</v>
      </c>
      <c r="BC597" s="315" t="e">
        <f>#REF!-#REF!</f>
        <v>#REF!</v>
      </c>
      <c r="BD597" s="315" t="e">
        <f>#REF!-#REF!</f>
        <v>#REF!</v>
      </c>
      <c r="BE597" s="315" t="e">
        <f>#REF!-#REF!</f>
        <v>#REF!</v>
      </c>
      <c r="BF597" s="315" t="e">
        <f>#REF!-#REF!</f>
        <v>#REF!</v>
      </c>
      <c r="BG597" s="315" t="e">
        <f>#REF!-#REF!</f>
        <v>#REF!</v>
      </c>
      <c r="BH597" s="315" t="e">
        <f>#REF!-#REF!</f>
        <v>#REF!</v>
      </c>
      <c r="BI597" s="315" t="e">
        <f>#REF!-#REF!</f>
        <v>#REF!</v>
      </c>
      <c r="BJ597" s="315" t="e">
        <f>#REF!-#REF!</f>
        <v>#REF!</v>
      </c>
      <c r="BK597" s="315" t="e">
        <f>#REF!-#REF!</f>
        <v>#REF!</v>
      </c>
      <c r="BL597" s="315" t="e">
        <f>#REF!-#REF!</f>
        <v>#REF!</v>
      </c>
      <c r="BM597" s="315" t="e">
        <f>#REF!-#REF!</f>
        <v>#REF!</v>
      </c>
      <c r="BN597" s="315" t="e">
        <f>#REF!-#REF!</f>
        <v>#REF!</v>
      </c>
      <c r="BO597" s="315" t="e">
        <f>#REF!-#REF!</f>
        <v>#REF!</v>
      </c>
      <c r="BP597" s="315" t="e">
        <f>#REF!-#REF!</f>
        <v>#REF!</v>
      </c>
      <c r="BQ597" s="315" t="e">
        <f>#REF!-#REF!</f>
        <v>#REF!</v>
      </c>
      <c r="BR597" s="315" t="e">
        <f>#REF!-#REF!</f>
        <v>#REF!</v>
      </c>
      <c r="BS597" s="315" t="e">
        <f>#REF!-#REF!</f>
        <v>#REF!</v>
      </c>
      <c r="BT597" s="315" t="e">
        <f>#REF!-#REF!</f>
        <v>#REF!</v>
      </c>
      <c r="BU597" s="315" t="e">
        <f>#REF!-#REF!</f>
        <v>#REF!</v>
      </c>
      <c r="BV597" s="315" t="e">
        <f>#REF!-#REF!</f>
        <v>#REF!</v>
      </c>
      <c r="BW597" s="315" t="e">
        <f>#REF!-#REF!</f>
        <v>#REF!</v>
      </c>
      <c r="BX597" s="315" t="e">
        <f>#REF!-#REF!</f>
        <v>#REF!</v>
      </c>
      <c r="BZ597" s="315" t="e">
        <f>#REF!-#REF!</f>
        <v>#REF!</v>
      </c>
      <c r="CA597" s="315" t="e">
        <f>#REF!-#REF!</f>
        <v>#REF!</v>
      </c>
    </row>
    <row r="598" spans="7:79" hidden="1" x14ac:dyDescent="0.2">
      <c r="G598" s="315">
        <f t="shared" ref="G598:BR602" si="119">G171-BY171</f>
        <v>0</v>
      </c>
      <c r="H598" s="315">
        <f t="shared" si="119"/>
        <v>0</v>
      </c>
      <c r="I598" s="315">
        <f t="shared" si="119"/>
        <v>0</v>
      </c>
      <c r="J598" s="315">
        <f t="shared" si="119"/>
        <v>0</v>
      </c>
      <c r="K598" s="315">
        <f t="shared" si="119"/>
        <v>0</v>
      </c>
      <c r="L598" s="315">
        <f t="shared" si="119"/>
        <v>0</v>
      </c>
      <c r="M598" s="315">
        <f t="shared" si="119"/>
        <v>0</v>
      </c>
      <c r="N598" s="315">
        <f t="shared" si="119"/>
        <v>0</v>
      </c>
      <c r="O598" s="315">
        <f t="shared" si="119"/>
        <v>0</v>
      </c>
      <c r="P598" s="315">
        <f t="shared" si="119"/>
        <v>0</v>
      </c>
      <c r="Q598" s="315">
        <f t="shared" si="119"/>
        <v>0</v>
      </c>
      <c r="R598" s="315">
        <f t="shared" si="119"/>
        <v>0</v>
      </c>
      <c r="S598" s="315">
        <f t="shared" si="119"/>
        <v>0</v>
      </c>
      <c r="T598" s="315">
        <f t="shared" si="119"/>
        <v>0</v>
      </c>
      <c r="U598" s="315">
        <f t="shared" si="119"/>
        <v>0</v>
      </c>
      <c r="V598" s="315">
        <f t="shared" si="119"/>
        <v>0</v>
      </c>
      <c r="W598" s="315">
        <f t="shared" si="119"/>
        <v>0</v>
      </c>
      <c r="X598" s="315">
        <f t="shared" si="119"/>
        <v>0</v>
      </c>
      <c r="Y598" s="315">
        <f t="shared" si="119"/>
        <v>0</v>
      </c>
      <c r="Z598" s="315">
        <f t="shared" si="119"/>
        <v>0</v>
      </c>
      <c r="AA598" s="315">
        <f t="shared" si="119"/>
        <v>0</v>
      </c>
      <c r="AB598" s="315">
        <f t="shared" si="119"/>
        <v>0</v>
      </c>
      <c r="AC598" s="315">
        <f t="shared" si="119"/>
        <v>0</v>
      </c>
      <c r="AD598" s="315">
        <f t="shared" si="119"/>
        <v>0</v>
      </c>
      <c r="AE598" s="315">
        <f t="shared" si="119"/>
        <v>0</v>
      </c>
      <c r="AF598" s="315">
        <f t="shared" si="119"/>
        <v>0</v>
      </c>
      <c r="AG598" s="315">
        <f t="shared" si="119"/>
        <v>0</v>
      </c>
      <c r="AH598" s="315">
        <f t="shared" si="119"/>
        <v>0</v>
      </c>
      <c r="AI598" s="315">
        <f t="shared" si="119"/>
        <v>0</v>
      </c>
      <c r="AJ598" s="315">
        <f t="shared" si="119"/>
        <v>0</v>
      </c>
      <c r="AK598" s="315">
        <f t="shared" si="119"/>
        <v>0</v>
      </c>
      <c r="AL598" s="315">
        <f t="shared" si="119"/>
        <v>0</v>
      </c>
      <c r="AM598" s="315">
        <f t="shared" si="119"/>
        <v>0</v>
      </c>
      <c r="AN598" s="315">
        <f t="shared" si="119"/>
        <v>0</v>
      </c>
      <c r="AO598" s="315">
        <f t="shared" si="119"/>
        <v>0</v>
      </c>
      <c r="AP598" s="315">
        <f t="shared" si="119"/>
        <v>0</v>
      </c>
      <c r="AQ598" s="315">
        <f t="shared" si="119"/>
        <v>0</v>
      </c>
      <c r="AR598" s="315">
        <f t="shared" si="119"/>
        <v>0</v>
      </c>
      <c r="AS598" s="315">
        <f t="shared" si="119"/>
        <v>0</v>
      </c>
      <c r="AT598" s="315">
        <f t="shared" si="119"/>
        <v>0</v>
      </c>
      <c r="AU598" s="315">
        <f t="shared" si="119"/>
        <v>0</v>
      </c>
      <c r="AV598" s="315">
        <f t="shared" si="119"/>
        <v>0</v>
      </c>
      <c r="AW598" s="315">
        <f t="shared" si="119"/>
        <v>0</v>
      </c>
      <c r="AX598" s="315">
        <f t="shared" si="119"/>
        <v>0</v>
      </c>
      <c r="AY598" s="315">
        <f t="shared" si="119"/>
        <v>0</v>
      </c>
      <c r="AZ598" s="315">
        <f t="shared" si="119"/>
        <v>0</v>
      </c>
      <c r="BA598" s="315">
        <f t="shared" si="119"/>
        <v>0</v>
      </c>
      <c r="BB598" s="315">
        <f t="shared" si="119"/>
        <v>0</v>
      </c>
      <c r="BC598" s="315">
        <f t="shared" si="119"/>
        <v>0</v>
      </c>
      <c r="BD598" s="315">
        <f t="shared" si="119"/>
        <v>0</v>
      </c>
      <c r="BE598" s="315">
        <f t="shared" si="119"/>
        <v>0</v>
      </c>
      <c r="BF598" s="315">
        <f t="shared" si="119"/>
        <v>0</v>
      </c>
      <c r="BG598" s="315">
        <f t="shared" si="119"/>
        <v>0</v>
      </c>
      <c r="BH598" s="315">
        <f t="shared" si="119"/>
        <v>0</v>
      </c>
      <c r="BI598" s="315">
        <f t="shared" si="119"/>
        <v>0</v>
      </c>
      <c r="BJ598" s="315">
        <f t="shared" si="119"/>
        <v>0</v>
      </c>
      <c r="BK598" s="315">
        <f t="shared" si="119"/>
        <v>0</v>
      </c>
      <c r="BL598" s="315">
        <f t="shared" si="119"/>
        <v>0</v>
      </c>
      <c r="BM598" s="315">
        <f t="shared" si="119"/>
        <v>0</v>
      </c>
      <c r="BN598" s="315">
        <f t="shared" si="119"/>
        <v>0</v>
      </c>
      <c r="BO598" s="315">
        <f t="shared" si="119"/>
        <v>0</v>
      </c>
      <c r="BP598" s="315">
        <f t="shared" si="119"/>
        <v>0</v>
      </c>
      <c r="BQ598" s="315">
        <f t="shared" si="119"/>
        <v>0</v>
      </c>
      <c r="BR598" s="315">
        <f t="shared" si="119"/>
        <v>0</v>
      </c>
      <c r="BS598" s="315">
        <f t="shared" ref="BO598:BX602" si="120">BS171-EK171</f>
        <v>0</v>
      </c>
      <c r="BT598" s="315">
        <f t="shared" si="120"/>
        <v>0</v>
      </c>
      <c r="BU598" s="315">
        <f t="shared" si="120"/>
        <v>0</v>
      </c>
      <c r="BV598" s="315">
        <f t="shared" si="120"/>
        <v>0</v>
      </c>
      <c r="BW598" s="315">
        <f t="shared" si="120"/>
        <v>0</v>
      </c>
      <c r="BX598" s="315">
        <f t="shared" si="120"/>
        <v>0</v>
      </c>
      <c r="BZ598" s="315">
        <f t="shared" ref="BZ598:CA602" si="121">BZ171-ER171</f>
        <v>0</v>
      </c>
      <c r="CA598" s="315">
        <f t="shared" si="121"/>
        <v>0</v>
      </c>
    </row>
    <row r="599" spans="7:79" hidden="1" x14ac:dyDescent="0.2">
      <c r="G599" s="315">
        <f t="shared" si="119"/>
        <v>0</v>
      </c>
      <c r="H599" s="315">
        <f t="shared" si="119"/>
        <v>0</v>
      </c>
      <c r="I599" s="315">
        <f t="shared" si="119"/>
        <v>0</v>
      </c>
      <c r="J599" s="315">
        <f t="shared" si="119"/>
        <v>0</v>
      </c>
      <c r="K599" s="315">
        <f t="shared" si="119"/>
        <v>0</v>
      </c>
      <c r="L599" s="315">
        <f t="shared" si="119"/>
        <v>0</v>
      </c>
      <c r="M599" s="315">
        <f t="shared" si="119"/>
        <v>0</v>
      </c>
      <c r="N599" s="315">
        <f t="shared" si="119"/>
        <v>0</v>
      </c>
      <c r="O599" s="315">
        <f t="shared" si="119"/>
        <v>0</v>
      </c>
      <c r="P599" s="315">
        <f t="shared" si="119"/>
        <v>0</v>
      </c>
      <c r="Q599" s="315">
        <f t="shared" si="119"/>
        <v>0</v>
      </c>
      <c r="R599" s="315">
        <f t="shared" si="119"/>
        <v>0</v>
      </c>
      <c r="S599" s="315">
        <f t="shared" si="119"/>
        <v>0</v>
      </c>
      <c r="T599" s="315">
        <f t="shared" si="119"/>
        <v>0</v>
      </c>
      <c r="U599" s="315">
        <f t="shared" si="119"/>
        <v>0</v>
      </c>
      <c r="V599" s="315">
        <f t="shared" si="119"/>
        <v>0</v>
      </c>
      <c r="W599" s="315">
        <f t="shared" si="119"/>
        <v>0</v>
      </c>
      <c r="X599" s="315">
        <f t="shared" si="119"/>
        <v>0</v>
      </c>
      <c r="Y599" s="315">
        <f t="shared" si="119"/>
        <v>0</v>
      </c>
      <c r="Z599" s="315">
        <f t="shared" si="119"/>
        <v>0</v>
      </c>
      <c r="AA599" s="315">
        <f t="shared" si="119"/>
        <v>0</v>
      </c>
      <c r="AB599" s="315">
        <f t="shared" si="119"/>
        <v>0</v>
      </c>
      <c r="AC599" s="315">
        <f t="shared" si="119"/>
        <v>0</v>
      </c>
      <c r="AD599" s="315">
        <f t="shared" si="119"/>
        <v>0</v>
      </c>
      <c r="AE599" s="315">
        <f t="shared" si="119"/>
        <v>0</v>
      </c>
      <c r="AF599" s="315">
        <f t="shared" si="119"/>
        <v>0</v>
      </c>
      <c r="AG599" s="315">
        <f t="shared" si="119"/>
        <v>0</v>
      </c>
      <c r="AH599" s="315">
        <f t="shared" si="119"/>
        <v>0</v>
      </c>
      <c r="AI599" s="315">
        <f t="shared" si="119"/>
        <v>0</v>
      </c>
      <c r="AJ599" s="315">
        <f t="shared" si="119"/>
        <v>0</v>
      </c>
      <c r="AK599" s="315">
        <f t="shared" si="119"/>
        <v>0</v>
      </c>
      <c r="AL599" s="315">
        <f t="shared" si="119"/>
        <v>0</v>
      </c>
      <c r="AM599" s="315">
        <f t="shared" si="119"/>
        <v>0</v>
      </c>
      <c r="AN599" s="315">
        <f t="shared" si="119"/>
        <v>0</v>
      </c>
      <c r="AO599" s="315">
        <f t="shared" si="119"/>
        <v>0</v>
      </c>
      <c r="AP599" s="315">
        <f t="shared" si="119"/>
        <v>0</v>
      </c>
      <c r="AQ599" s="315">
        <f t="shared" si="119"/>
        <v>0</v>
      </c>
      <c r="AR599" s="315">
        <f t="shared" si="119"/>
        <v>0</v>
      </c>
      <c r="AS599" s="315">
        <f t="shared" si="119"/>
        <v>0</v>
      </c>
      <c r="AT599" s="315">
        <f t="shared" si="119"/>
        <v>0</v>
      </c>
      <c r="AU599" s="315">
        <f t="shared" si="119"/>
        <v>0</v>
      </c>
      <c r="AV599" s="315">
        <f t="shared" si="119"/>
        <v>0</v>
      </c>
      <c r="AW599" s="315">
        <f t="shared" si="119"/>
        <v>0</v>
      </c>
      <c r="AX599" s="315">
        <f t="shared" si="119"/>
        <v>0</v>
      </c>
      <c r="AY599" s="315">
        <f t="shared" si="119"/>
        <v>0</v>
      </c>
      <c r="AZ599" s="315">
        <f t="shared" si="119"/>
        <v>0</v>
      </c>
      <c r="BA599" s="315">
        <f t="shared" si="119"/>
        <v>0</v>
      </c>
      <c r="BB599" s="315">
        <f t="shared" si="119"/>
        <v>0</v>
      </c>
      <c r="BC599" s="315">
        <f t="shared" si="119"/>
        <v>0</v>
      </c>
      <c r="BD599" s="315">
        <f t="shared" si="119"/>
        <v>0</v>
      </c>
      <c r="BE599" s="315">
        <f t="shared" si="119"/>
        <v>0</v>
      </c>
      <c r="BF599" s="315">
        <f t="shared" si="119"/>
        <v>0</v>
      </c>
      <c r="BG599" s="315">
        <f t="shared" si="119"/>
        <v>0</v>
      </c>
      <c r="BH599" s="315">
        <f t="shared" si="119"/>
        <v>0</v>
      </c>
      <c r="BI599" s="315">
        <f t="shared" si="119"/>
        <v>0</v>
      </c>
      <c r="BJ599" s="315">
        <f t="shared" si="119"/>
        <v>0</v>
      </c>
      <c r="BK599" s="315">
        <f t="shared" si="119"/>
        <v>0</v>
      </c>
      <c r="BL599" s="315">
        <f t="shared" si="119"/>
        <v>0</v>
      </c>
      <c r="BM599" s="315">
        <f t="shared" si="119"/>
        <v>0</v>
      </c>
      <c r="BN599" s="315">
        <f t="shared" si="119"/>
        <v>0</v>
      </c>
      <c r="BO599" s="315">
        <f t="shared" si="120"/>
        <v>0</v>
      </c>
      <c r="BP599" s="315">
        <f t="shared" si="120"/>
        <v>0</v>
      </c>
      <c r="BQ599" s="315">
        <f t="shared" si="120"/>
        <v>0</v>
      </c>
      <c r="BR599" s="315">
        <f t="shared" si="120"/>
        <v>0</v>
      </c>
      <c r="BS599" s="315">
        <f t="shared" si="120"/>
        <v>0</v>
      </c>
      <c r="BT599" s="315">
        <f t="shared" si="120"/>
        <v>0</v>
      </c>
      <c r="BU599" s="315">
        <f t="shared" si="120"/>
        <v>0</v>
      </c>
      <c r="BV599" s="315">
        <f t="shared" si="120"/>
        <v>0</v>
      </c>
      <c r="BW599" s="315">
        <f t="shared" si="120"/>
        <v>0</v>
      </c>
      <c r="BX599" s="315">
        <f t="shared" si="120"/>
        <v>0</v>
      </c>
      <c r="BZ599" s="315">
        <f t="shared" si="121"/>
        <v>0</v>
      </c>
      <c r="CA599" s="315">
        <f t="shared" si="121"/>
        <v>0</v>
      </c>
    </row>
    <row r="600" spans="7:79" hidden="1" x14ac:dyDescent="0.2">
      <c r="G600" s="315">
        <f t="shared" si="119"/>
        <v>0</v>
      </c>
      <c r="H600" s="315">
        <f t="shared" si="119"/>
        <v>0</v>
      </c>
      <c r="I600" s="315">
        <f t="shared" si="119"/>
        <v>0</v>
      </c>
      <c r="J600" s="315">
        <f t="shared" si="119"/>
        <v>0</v>
      </c>
      <c r="K600" s="315">
        <f t="shared" si="119"/>
        <v>0</v>
      </c>
      <c r="L600" s="315">
        <f t="shared" si="119"/>
        <v>0</v>
      </c>
      <c r="M600" s="315">
        <f t="shared" si="119"/>
        <v>0</v>
      </c>
      <c r="N600" s="315">
        <f t="shared" si="119"/>
        <v>0</v>
      </c>
      <c r="O600" s="315">
        <f t="shared" si="119"/>
        <v>0</v>
      </c>
      <c r="P600" s="315">
        <f t="shared" si="119"/>
        <v>0</v>
      </c>
      <c r="Q600" s="315">
        <f t="shared" si="119"/>
        <v>0</v>
      </c>
      <c r="R600" s="315">
        <f t="shared" si="119"/>
        <v>0</v>
      </c>
      <c r="S600" s="315">
        <f t="shared" si="119"/>
        <v>0</v>
      </c>
      <c r="T600" s="315">
        <f t="shared" si="119"/>
        <v>0</v>
      </c>
      <c r="U600" s="315">
        <f t="shared" si="119"/>
        <v>0</v>
      </c>
      <c r="V600" s="315">
        <f t="shared" si="119"/>
        <v>0</v>
      </c>
      <c r="W600" s="315">
        <f t="shared" si="119"/>
        <v>0</v>
      </c>
      <c r="X600" s="315">
        <f t="shared" si="119"/>
        <v>0</v>
      </c>
      <c r="Y600" s="315">
        <f t="shared" si="119"/>
        <v>0</v>
      </c>
      <c r="Z600" s="315">
        <f t="shared" si="119"/>
        <v>0</v>
      </c>
      <c r="AA600" s="315">
        <f t="shared" si="119"/>
        <v>0</v>
      </c>
      <c r="AB600" s="315">
        <f t="shared" si="119"/>
        <v>0</v>
      </c>
      <c r="AC600" s="315">
        <f t="shared" si="119"/>
        <v>0</v>
      </c>
      <c r="AD600" s="315">
        <f t="shared" si="119"/>
        <v>0</v>
      </c>
      <c r="AE600" s="315">
        <f t="shared" si="119"/>
        <v>0</v>
      </c>
      <c r="AF600" s="315">
        <f t="shared" si="119"/>
        <v>0</v>
      </c>
      <c r="AG600" s="315">
        <f t="shared" si="119"/>
        <v>0</v>
      </c>
      <c r="AH600" s="315">
        <f t="shared" si="119"/>
        <v>0</v>
      </c>
      <c r="AI600" s="315">
        <f t="shared" si="119"/>
        <v>0</v>
      </c>
      <c r="AJ600" s="315">
        <f t="shared" si="119"/>
        <v>0</v>
      </c>
      <c r="AK600" s="315">
        <f t="shared" si="119"/>
        <v>0</v>
      </c>
      <c r="AL600" s="315">
        <f t="shared" si="119"/>
        <v>0</v>
      </c>
      <c r="AM600" s="315">
        <f t="shared" si="119"/>
        <v>0</v>
      </c>
      <c r="AN600" s="315">
        <f t="shared" si="119"/>
        <v>0</v>
      </c>
      <c r="AO600" s="315">
        <f t="shared" si="119"/>
        <v>0</v>
      </c>
      <c r="AP600" s="315">
        <f t="shared" si="119"/>
        <v>0</v>
      </c>
      <c r="AQ600" s="315">
        <f t="shared" si="119"/>
        <v>0</v>
      </c>
      <c r="AR600" s="315">
        <f t="shared" si="119"/>
        <v>0</v>
      </c>
      <c r="AS600" s="315">
        <f t="shared" si="119"/>
        <v>0</v>
      </c>
      <c r="AT600" s="315">
        <f t="shared" si="119"/>
        <v>0</v>
      </c>
      <c r="AU600" s="315">
        <f t="shared" si="119"/>
        <v>0</v>
      </c>
      <c r="AV600" s="315">
        <f t="shared" si="119"/>
        <v>0</v>
      </c>
      <c r="AW600" s="315">
        <f t="shared" si="119"/>
        <v>0</v>
      </c>
      <c r="AX600" s="315">
        <f t="shared" si="119"/>
        <v>0</v>
      </c>
      <c r="AY600" s="315">
        <f t="shared" si="119"/>
        <v>0</v>
      </c>
      <c r="AZ600" s="315">
        <f t="shared" si="119"/>
        <v>0</v>
      </c>
      <c r="BA600" s="315">
        <f t="shared" si="119"/>
        <v>0</v>
      </c>
      <c r="BB600" s="315">
        <f t="shared" si="119"/>
        <v>0</v>
      </c>
      <c r="BC600" s="315">
        <f t="shared" si="119"/>
        <v>0</v>
      </c>
      <c r="BD600" s="315">
        <f t="shared" si="119"/>
        <v>0</v>
      </c>
      <c r="BE600" s="315">
        <f t="shared" si="119"/>
        <v>0</v>
      </c>
      <c r="BF600" s="315">
        <f t="shared" si="119"/>
        <v>0</v>
      </c>
      <c r="BG600" s="315">
        <f t="shared" si="119"/>
        <v>0</v>
      </c>
      <c r="BH600" s="315">
        <f t="shared" si="119"/>
        <v>0</v>
      </c>
      <c r="BI600" s="315">
        <f t="shared" si="119"/>
        <v>0</v>
      </c>
      <c r="BJ600" s="315">
        <f t="shared" si="119"/>
        <v>0</v>
      </c>
      <c r="BK600" s="315">
        <f t="shared" si="119"/>
        <v>0</v>
      </c>
      <c r="BL600" s="315">
        <f t="shared" si="119"/>
        <v>0</v>
      </c>
      <c r="BM600" s="315">
        <f t="shared" si="119"/>
        <v>0</v>
      </c>
      <c r="BN600" s="315">
        <f t="shared" si="119"/>
        <v>0</v>
      </c>
      <c r="BO600" s="315">
        <f t="shared" si="120"/>
        <v>0</v>
      </c>
      <c r="BP600" s="315">
        <f t="shared" si="120"/>
        <v>0</v>
      </c>
      <c r="BQ600" s="315">
        <f t="shared" si="120"/>
        <v>0</v>
      </c>
      <c r="BR600" s="315">
        <f t="shared" si="120"/>
        <v>0</v>
      </c>
      <c r="BS600" s="315">
        <f t="shared" si="120"/>
        <v>0</v>
      </c>
      <c r="BT600" s="315">
        <f t="shared" si="120"/>
        <v>0</v>
      </c>
      <c r="BU600" s="315">
        <f t="shared" si="120"/>
        <v>0</v>
      </c>
      <c r="BV600" s="315">
        <f t="shared" si="120"/>
        <v>0</v>
      </c>
      <c r="BW600" s="315">
        <f t="shared" si="120"/>
        <v>0</v>
      </c>
      <c r="BX600" s="315">
        <f t="shared" si="120"/>
        <v>0</v>
      </c>
      <c r="BZ600" s="315">
        <f t="shared" si="121"/>
        <v>0</v>
      </c>
      <c r="CA600" s="315">
        <f t="shared" si="121"/>
        <v>0</v>
      </c>
    </row>
    <row r="601" spans="7:79" hidden="1" x14ac:dyDescent="0.2">
      <c r="G601" s="315">
        <f t="shared" si="119"/>
        <v>0</v>
      </c>
      <c r="H601" s="315">
        <f t="shared" si="119"/>
        <v>0</v>
      </c>
      <c r="I601" s="315">
        <f t="shared" si="119"/>
        <v>0</v>
      </c>
      <c r="J601" s="315">
        <f t="shared" si="119"/>
        <v>0</v>
      </c>
      <c r="K601" s="315">
        <f t="shared" si="119"/>
        <v>0</v>
      </c>
      <c r="L601" s="315">
        <f t="shared" si="119"/>
        <v>0</v>
      </c>
      <c r="M601" s="315">
        <f t="shared" si="119"/>
        <v>0</v>
      </c>
      <c r="N601" s="315">
        <f t="shared" si="119"/>
        <v>0</v>
      </c>
      <c r="O601" s="315">
        <f t="shared" si="119"/>
        <v>0</v>
      </c>
      <c r="P601" s="315">
        <f t="shared" si="119"/>
        <v>0</v>
      </c>
      <c r="Q601" s="315">
        <f t="shared" si="119"/>
        <v>0</v>
      </c>
      <c r="R601" s="315">
        <f t="shared" si="119"/>
        <v>0</v>
      </c>
      <c r="S601" s="315">
        <f t="shared" si="119"/>
        <v>0</v>
      </c>
      <c r="T601" s="315">
        <f t="shared" si="119"/>
        <v>0</v>
      </c>
      <c r="U601" s="315">
        <f t="shared" si="119"/>
        <v>0</v>
      </c>
      <c r="V601" s="315">
        <f t="shared" si="119"/>
        <v>0</v>
      </c>
      <c r="W601" s="315">
        <f t="shared" si="119"/>
        <v>0</v>
      </c>
      <c r="X601" s="315">
        <f t="shared" si="119"/>
        <v>0</v>
      </c>
      <c r="Y601" s="315">
        <f t="shared" si="119"/>
        <v>0</v>
      </c>
      <c r="Z601" s="315">
        <f t="shared" si="119"/>
        <v>0</v>
      </c>
      <c r="AA601" s="315">
        <f t="shared" si="119"/>
        <v>0</v>
      </c>
      <c r="AB601" s="315">
        <f t="shared" si="119"/>
        <v>0</v>
      </c>
      <c r="AC601" s="315">
        <f t="shared" si="119"/>
        <v>0</v>
      </c>
      <c r="AD601" s="315">
        <f t="shared" si="119"/>
        <v>0</v>
      </c>
      <c r="AE601" s="315">
        <f t="shared" si="119"/>
        <v>0</v>
      </c>
      <c r="AF601" s="315">
        <f t="shared" si="119"/>
        <v>0</v>
      </c>
      <c r="AG601" s="315">
        <f t="shared" si="119"/>
        <v>0</v>
      </c>
      <c r="AH601" s="315">
        <f t="shared" si="119"/>
        <v>0</v>
      </c>
      <c r="AI601" s="315">
        <f t="shared" si="119"/>
        <v>0</v>
      </c>
      <c r="AJ601" s="315">
        <f t="shared" si="119"/>
        <v>0</v>
      </c>
      <c r="AK601" s="315">
        <f t="shared" si="119"/>
        <v>0</v>
      </c>
      <c r="AL601" s="315">
        <f t="shared" si="119"/>
        <v>0</v>
      </c>
      <c r="AM601" s="315">
        <f t="shared" si="119"/>
        <v>0</v>
      </c>
      <c r="AN601" s="315">
        <f t="shared" si="119"/>
        <v>0</v>
      </c>
      <c r="AO601" s="315">
        <f t="shared" si="119"/>
        <v>0</v>
      </c>
      <c r="AP601" s="315">
        <f t="shared" si="119"/>
        <v>0</v>
      </c>
      <c r="AQ601" s="315">
        <f t="shared" si="119"/>
        <v>0</v>
      </c>
      <c r="AR601" s="315">
        <f t="shared" si="119"/>
        <v>0</v>
      </c>
      <c r="AS601" s="315">
        <f t="shared" si="119"/>
        <v>0</v>
      </c>
      <c r="AT601" s="315">
        <f t="shared" si="119"/>
        <v>0</v>
      </c>
      <c r="AU601" s="315">
        <f t="shared" si="119"/>
        <v>0</v>
      </c>
      <c r="AV601" s="315">
        <f t="shared" si="119"/>
        <v>0</v>
      </c>
      <c r="AW601" s="315">
        <f t="shared" si="119"/>
        <v>0</v>
      </c>
      <c r="AX601" s="315">
        <f t="shared" si="119"/>
        <v>0</v>
      </c>
      <c r="AY601" s="315">
        <f t="shared" si="119"/>
        <v>0</v>
      </c>
      <c r="AZ601" s="315">
        <f t="shared" si="119"/>
        <v>0</v>
      </c>
      <c r="BA601" s="315">
        <f t="shared" si="119"/>
        <v>0</v>
      </c>
      <c r="BB601" s="315">
        <f t="shared" si="119"/>
        <v>0</v>
      </c>
      <c r="BC601" s="315">
        <f t="shared" si="119"/>
        <v>0</v>
      </c>
      <c r="BD601" s="315">
        <f t="shared" si="119"/>
        <v>0</v>
      </c>
      <c r="BE601" s="315">
        <f t="shared" si="119"/>
        <v>0</v>
      </c>
      <c r="BF601" s="315">
        <f t="shared" si="119"/>
        <v>0</v>
      </c>
      <c r="BG601" s="315">
        <f t="shared" si="119"/>
        <v>0</v>
      </c>
      <c r="BH601" s="315">
        <f t="shared" si="119"/>
        <v>0</v>
      </c>
      <c r="BI601" s="315">
        <f t="shared" si="119"/>
        <v>0</v>
      </c>
      <c r="BJ601" s="315">
        <f t="shared" si="119"/>
        <v>0</v>
      </c>
      <c r="BK601" s="315">
        <f t="shared" si="119"/>
        <v>0</v>
      </c>
      <c r="BL601" s="315">
        <f t="shared" si="119"/>
        <v>0</v>
      </c>
      <c r="BM601" s="315">
        <f t="shared" si="119"/>
        <v>0</v>
      </c>
      <c r="BN601" s="315">
        <f t="shared" si="119"/>
        <v>0</v>
      </c>
      <c r="BO601" s="315">
        <f t="shared" si="120"/>
        <v>0</v>
      </c>
      <c r="BP601" s="315">
        <f t="shared" si="120"/>
        <v>0</v>
      </c>
      <c r="BQ601" s="315">
        <f t="shared" si="120"/>
        <v>0</v>
      </c>
      <c r="BR601" s="315">
        <f t="shared" si="120"/>
        <v>0</v>
      </c>
      <c r="BS601" s="315">
        <f t="shared" si="120"/>
        <v>0</v>
      </c>
      <c r="BT601" s="315">
        <f t="shared" si="120"/>
        <v>0</v>
      </c>
      <c r="BU601" s="315">
        <f t="shared" si="120"/>
        <v>0</v>
      </c>
      <c r="BV601" s="315">
        <f t="shared" si="120"/>
        <v>0</v>
      </c>
      <c r="BW601" s="315">
        <f t="shared" si="120"/>
        <v>0</v>
      </c>
      <c r="BX601" s="315">
        <f t="shared" si="120"/>
        <v>0</v>
      </c>
      <c r="BZ601" s="315">
        <f t="shared" si="121"/>
        <v>0</v>
      </c>
      <c r="CA601" s="315">
        <f t="shared" si="121"/>
        <v>0</v>
      </c>
    </row>
    <row r="602" spans="7:79" hidden="1" x14ac:dyDescent="0.2">
      <c r="G602" s="315">
        <f t="shared" si="119"/>
        <v>0</v>
      </c>
      <c r="H602" s="315">
        <f t="shared" si="119"/>
        <v>0</v>
      </c>
      <c r="I602" s="315">
        <f t="shared" si="119"/>
        <v>0</v>
      </c>
      <c r="J602" s="315">
        <f t="shared" si="119"/>
        <v>0</v>
      </c>
      <c r="K602" s="315">
        <f t="shared" si="119"/>
        <v>0</v>
      </c>
      <c r="L602" s="315">
        <f t="shared" si="119"/>
        <v>0</v>
      </c>
      <c r="M602" s="315">
        <f t="shared" si="119"/>
        <v>0</v>
      </c>
      <c r="N602" s="315">
        <f t="shared" si="119"/>
        <v>0</v>
      </c>
      <c r="O602" s="315">
        <f t="shared" si="119"/>
        <v>0</v>
      </c>
      <c r="P602" s="315">
        <f t="shared" si="119"/>
        <v>0</v>
      </c>
      <c r="Q602" s="315">
        <f t="shared" si="119"/>
        <v>0</v>
      </c>
      <c r="R602" s="315">
        <f t="shared" ref="R602:BN602" si="122">R175-CJ175</f>
        <v>0</v>
      </c>
      <c r="S602" s="315">
        <f t="shared" si="122"/>
        <v>0</v>
      </c>
      <c r="T602" s="315">
        <f t="shared" si="122"/>
        <v>0</v>
      </c>
      <c r="U602" s="315">
        <f t="shared" si="122"/>
        <v>0</v>
      </c>
      <c r="V602" s="315">
        <f t="shared" si="122"/>
        <v>0</v>
      </c>
      <c r="W602" s="315">
        <f t="shared" si="122"/>
        <v>0</v>
      </c>
      <c r="X602" s="315">
        <f t="shared" si="122"/>
        <v>0</v>
      </c>
      <c r="Y602" s="315">
        <f t="shared" si="122"/>
        <v>0</v>
      </c>
      <c r="Z602" s="315">
        <f t="shared" si="122"/>
        <v>0</v>
      </c>
      <c r="AA602" s="315">
        <f t="shared" si="122"/>
        <v>0</v>
      </c>
      <c r="AB602" s="315">
        <f t="shared" si="122"/>
        <v>0</v>
      </c>
      <c r="AC602" s="315">
        <f t="shared" si="122"/>
        <v>0</v>
      </c>
      <c r="AD602" s="315">
        <f t="shared" si="122"/>
        <v>0</v>
      </c>
      <c r="AE602" s="315">
        <f t="shared" si="122"/>
        <v>0</v>
      </c>
      <c r="AF602" s="315">
        <f t="shared" si="122"/>
        <v>0</v>
      </c>
      <c r="AG602" s="315">
        <f t="shared" si="122"/>
        <v>0</v>
      </c>
      <c r="AH602" s="315">
        <f t="shared" si="122"/>
        <v>0</v>
      </c>
      <c r="AI602" s="315">
        <f t="shared" si="122"/>
        <v>0</v>
      </c>
      <c r="AJ602" s="315">
        <f t="shared" si="122"/>
        <v>0</v>
      </c>
      <c r="AK602" s="315">
        <f t="shared" si="122"/>
        <v>0</v>
      </c>
      <c r="AL602" s="315">
        <f t="shared" si="122"/>
        <v>0</v>
      </c>
      <c r="AM602" s="315">
        <f t="shared" si="122"/>
        <v>0</v>
      </c>
      <c r="AN602" s="315">
        <f t="shared" si="122"/>
        <v>0</v>
      </c>
      <c r="AO602" s="315">
        <f t="shared" si="122"/>
        <v>0</v>
      </c>
      <c r="AP602" s="315">
        <f t="shared" si="122"/>
        <v>0</v>
      </c>
      <c r="AQ602" s="315">
        <f t="shared" si="122"/>
        <v>0</v>
      </c>
      <c r="AR602" s="315">
        <f t="shared" si="122"/>
        <v>0</v>
      </c>
      <c r="AS602" s="315">
        <f t="shared" si="122"/>
        <v>0</v>
      </c>
      <c r="AT602" s="315">
        <f t="shared" si="122"/>
        <v>0</v>
      </c>
      <c r="AU602" s="315">
        <f t="shared" si="122"/>
        <v>0</v>
      </c>
      <c r="AV602" s="315">
        <f t="shared" si="122"/>
        <v>0</v>
      </c>
      <c r="AW602" s="315">
        <f t="shared" si="122"/>
        <v>0</v>
      </c>
      <c r="AX602" s="315">
        <f t="shared" si="122"/>
        <v>0</v>
      </c>
      <c r="AY602" s="315">
        <f t="shared" si="122"/>
        <v>0</v>
      </c>
      <c r="AZ602" s="315">
        <f t="shared" si="122"/>
        <v>0</v>
      </c>
      <c r="BA602" s="315">
        <f t="shared" si="122"/>
        <v>0</v>
      </c>
      <c r="BB602" s="315">
        <f t="shared" si="122"/>
        <v>0</v>
      </c>
      <c r="BC602" s="315">
        <f t="shared" si="122"/>
        <v>0</v>
      </c>
      <c r="BD602" s="315">
        <f t="shared" si="122"/>
        <v>0</v>
      </c>
      <c r="BE602" s="315">
        <f t="shared" si="122"/>
        <v>0</v>
      </c>
      <c r="BF602" s="315">
        <f t="shared" si="122"/>
        <v>0</v>
      </c>
      <c r="BG602" s="315">
        <f t="shared" si="122"/>
        <v>0</v>
      </c>
      <c r="BH602" s="315">
        <f t="shared" si="122"/>
        <v>0</v>
      </c>
      <c r="BI602" s="315">
        <f t="shared" si="122"/>
        <v>0</v>
      </c>
      <c r="BJ602" s="315">
        <f t="shared" si="122"/>
        <v>0</v>
      </c>
      <c r="BK602" s="315">
        <f t="shared" si="122"/>
        <v>0</v>
      </c>
      <c r="BL602" s="315">
        <f t="shared" si="122"/>
        <v>0</v>
      </c>
      <c r="BM602" s="315">
        <f t="shared" si="122"/>
        <v>0</v>
      </c>
      <c r="BN602" s="315">
        <f t="shared" si="122"/>
        <v>0</v>
      </c>
      <c r="BO602" s="315">
        <f t="shared" si="120"/>
        <v>0</v>
      </c>
      <c r="BP602" s="315">
        <f t="shared" si="120"/>
        <v>0</v>
      </c>
      <c r="BQ602" s="315">
        <f t="shared" si="120"/>
        <v>0</v>
      </c>
      <c r="BR602" s="315">
        <f t="shared" si="120"/>
        <v>0</v>
      </c>
      <c r="BS602" s="315">
        <f t="shared" si="120"/>
        <v>0</v>
      </c>
      <c r="BT602" s="315">
        <f t="shared" si="120"/>
        <v>0</v>
      </c>
      <c r="BU602" s="315">
        <f t="shared" si="120"/>
        <v>0</v>
      </c>
      <c r="BV602" s="315">
        <f t="shared" si="120"/>
        <v>0</v>
      </c>
      <c r="BW602" s="315">
        <f t="shared" si="120"/>
        <v>0</v>
      </c>
      <c r="BX602" s="315">
        <f t="shared" si="120"/>
        <v>0</v>
      </c>
      <c r="BZ602" s="315">
        <f t="shared" si="121"/>
        <v>0</v>
      </c>
      <c r="CA602" s="315">
        <f t="shared" si="121"/>
        <v>0</v>
      </c>
    </row>
    <row r="603" spans="7:79" hidden="1" x14ac:dyDescent="0.2">
      <c r="G603" s="315">
        <f t="shared" ref="G603:BR606" si="123">G179-BY179</f>
        <v>0</v>
      </c>
      <c r="H603" s="315">
        <f t="shared" si="123"/>
        <v>0</v>
      </c>
      <c r="I603" s="315">
        <f t="shared" si="123"/>
        <v>0</v>
      </c>
      <c r="J603" s="315">
        <f t="shared" si="123"/>
        <v>0</v>
      </c>
      <c r="K603" s="315">
        <f t="shared" si="123"/>
        <v>0</v>
      </c>
      <c r="L603" s="315">
        <f t="shared" si="123"/>
        <v>0</v>
      </c>
      <c r="M603" s="315">
        <f t="shared" si="123"/>
        <v>0</v>
      </c>
      <c r="N603" s="315">
        <f t="shared" si="123"/>
        <v>0</v>
      </c>
      <c r="O603" s="315">
        <f t="shared" si="123"/>
        <v>0</v>
      </c>
      <c r="P603" s="315">
        <f t="shared" si="123"/>
        <v>0</v>
      </c>
      <c r="Q603" s="315">
        <f t="shared" si="123"/>
        <v>0</v>
      </c>
      <c r="R603" s="315">
        <f t="shared" si="123"/>
        <v>0</v>
      </c>
      <c r="S603" s="315">
        <f t="shared" si="123"/>
        <v>0</v>
      </c>
      <c r="T603" s="315">
        <f t="shared" si="123"/>
        <v>0</v>
      </c>
      <c r="U603" s="315">
        <f t="shared" si="123"/>
        <v>0</v>
      </c>
      <c r="V603" s="315">
        <f t="shared" si="123"/>
        <v>0</v>
      </c>
      <c r="W603" s="315">
        <f t="shared" si="123"/>
        <v>0</v>
      </c>
      <c r="X603" s="315">
        <f t="shared" si="123"/>
        <v>0</v>
      </c>
      <c r="Y603" s="315">
        <f t="shared" si="123"/>
        <v>0</v>
      </c>
      <c r="Z603" s="315">
        <f t="shared" si="123"/>
        <v>0</v>
      </c>
      <c r="AA603" s="315">
        <f t="shared" si="123"/>
        <v>0</v>
      </c>
      <c r="AB603" s="315">
        <f t="shared" si="123"/>
        <v>0</v>
      </c>
      <c r="AC603" s="315">
        <f t="shared" si="123"/>
        <v>0</v>
      </c>
      <c r="AD603" s="315">
        <f t="shared" si="123"/>
        <v>0</v>
      </c>
      <c r="AE603" s="315">
        <f t="shared" si="123"/>
        <v>0</v>
      </c>
      <c r="AF603" s="315">
        <f t="shared" si="123"/>
        <v>0</v>
      </c>
      <c r="AG603" s="315">
        <f t="shared" si="123"/>
        <v>0</v>
      </c>
      <c r="AH603" s="315">
        <f t="shared" si="123"/>
        <v>0</v>
      </c>
      <c r="AI603" s="315">
        <f t="shared" si="123"/>
        <v>0</v>
      </c>
      <c r="AJ603" s="315">
        <f t="shared" si="123"/>
        <v>0</v>
      </c>
      <c r="AK603" s="315">
        <f t="shared" si="123"/>
        <v>0</v>
      </c>
      <c r="AL603" s="315">
        <f t="shared" si="123"/>
        <v>0</v>
      </c>
      <c r="AM603" s="315">
        <f t="shared" si="123"/>
        <v>0</v>
      </c>
      <c r="AN603" s="315">
        <f t="shared" si="123"/>
        <v>0</v>
      </c>
      <c r="AO603" s="315">
        <f t="shared" si="123"/>
        <v>0</v>
      </c>
      <c r="AP603" s="315">
        <f t="shared" si="123"/>
        <v>0</v>
      </c>
      <c r="AQ603" s="315">
        <f t="shared" si="123"/>
        <v>0</v>
      </c>
      <c r="AR603" s="315">
        <f t="shared" si="123"/>
        <v>0</v>
      </c>
      <c r="AS603" s="315">
        <f t="shared" si="123"/>
        <v>0</v>
      </c>
      <c r="AT603" s="315">
        <f t="shared" si="123"/>
        <v>0</v>
      </c>
      <c r="AU603" s="315">
        <f t="shared" si="123"/>
        <v>0</v>
      </c>
      <c r="AV603" s="315">
        <f t="shared" si="123"/>
        <v>0</v>
      </c>
      <c r="AW603" s="315">
        <f t="shared" si="123"/>
        <v>0</v>
      </c>
      <c r="AX603" s="315">
        <f t="shared" si="123"/>
        <v>0</v>
      </c>
      <c r="AY603" s="315">
        <f t="shared" si="123"/>
        <v>0</v>
      </c>
      <c r="AZ603" s="315">
        <f t="shared" si="123"/>
        <v>0</v>
      </c>
      <c r="BA603" s="315">
        <f t="shared" si="123"/>
        <v>0</v>
      </c>
      <c r="BB603" s="315">
        <f t="shared" si="123"/>
        <v>0</v>
      </c>
      <c r="BC603" s="315">
        <f t="shared" si="123"/>
        <v>0</v>
      </c>
      <c r="BD603" s="315">
        <f t="shared" si="123"/>
        <v>0</v>
      </c>
      <c r="BE603" s="315">
        <f t="shared" si="123"/>
        <v>0</v>
      </c>
      <c r="BF603" s="315">
        <f t="shared" si="123"/>
        <v>0</v>
      </c>
      <c r="BG603" s="315">
        <f t="shared" si="123"/>
        <v>0</v>
      </c>
      <c r="BH603" s="315">
        <f t="shared" si="123"/>
        <v>0</v>
      </c>
      <c r="BI603" s="315">
        <f t="shared" si="123"/>
        <v>0</v>
      </c>
      <c r="BJ603" s="315">
        <f t="shared" si="123"/>
        <v>0</v>
      </c>
      <c r="BK603" s="315">
        <f t="shared" si="123"/>
        <v>0</v>
      </c>
      <c r="BL603" s="315">
        <f t="shared" si="123"/>
        <v>0</v>
      </c>
      <c r="BM603" s="315">
        <f t="shared" si="123"/>
        <v>0</v>
      </c>
      <c r="BN603" s="315">
        <f t="shared" si="123"/>
        <v>0</v>
      </c>
      <c r="BO603" s="315">
        <f t="shared" si="123"/>
        <v>0</v>
      </c>
      <c r="BP603" s="315">
        <f t="shared" si="123"/>
        <v>0</v>
      </c>
      <c r="BQ603" s="315">
        <f t="shared" si="123"/>
        <v>0</v>
      </c>
      <c r="BR603" s="315">
        <f t="shared" si="123"/>
        <v>0</v>
      </c>
      <c r="BS603" s="315">
        <f t="shared" ref="BS603:BX613" si="124">BS179-EK179</f>
        <v>0</v>
      </c>
      <c r="BT603" s="315">
        <f t="shared" si="124"/>
        <v>0</v>
      </c>
      <c r="BU603" s="315">
        <f t="shared" si="124"/>
        <v>0</v>
      </c>
      <c r="BV603" s="315">
        <f t="shared" si="124"/>
        <v>0</v>
      </c>
      <c r="BW603" s="315">
        <f t="shared" si="124"/>
        <v>0</v>
      </c>
      <c r="BX603" s="315">
        <f t="shared" si="124"/>
        <v>0</v>
      </c>
      <c r="BZ603" s="315">
        <f t="shared" ref="BZ603:CA613" si="125">BZ179-ER179</f>
        <v>0</v>
      </c>
      <c r="CA603" s="315">
        <f t="shared" si="125"/>
        <v>0</v>
      </c>
    </row>
    <row r="604" spans="7:79" hidden="1" x14ac:dyDescent="0.2">
      <c r="G604" s="315">
        <f t="shared" si="123"/>
        <v>0</v>
      </c>
      <c r="H604" s="315">
        <f t="shared" si="123"/>
        <v>0</v>
      </c>
      <c r="I604" s="315">
        <f t="shared" si="123"/>
        <v>0</v>
      </c>
      <c r="J604" s="315">
        <f t="shared" si="123"/>
        <v>0</v>
      </c>
      <c r="K604" s="315">
        <f t="shared" si="123"/>
        <v>0</v>
      </c>
      <c r="L604" s="315">
        <f t="shared" si="123"/>
        <v>0</v>
      </c>
      <c r="M604" s="315">
        <f t="shared" si="123"/>
        <v>0</v>
      </c>
      <c r="N604" s="315">
        <f t="shared" si="123"/>
        <v>0</v>
      </c>
      <c r="O604" s="315">
        <f t="shared" si="123"/>
        <v>0</v>
      </c>
      <c r="P604" s="315">
        <f t="shared" si="123"/>
        <v>0</v>
      </c>
      <c r="Q604" s="315">
        <f t="shared" si="123"/>
        <v>0</v>
      </c>
      <c r="R604" s="315">
        <f t="shared" si="123"/>
        <v>0</v>
      </c>
      <c r="S604" s="315">
        <f t="shared" si="123"/>
        <v>0</v>
      </c>
      <c r="T604" s="315">
        <f t="shared" si="123"/>
        <v>0</v>
      </c>
      <c r="U604" s="315">
        <f t="shared" si="123"/>
        <v>0</v>
      </c>
      <c r="V604" s="315">
        <f t="shared" si="123"/>
        <v>0</v>
      </c>
      <c r="W604" s="315">
        <f t="shared" si="123"/>
        <v>0</v>
      </c>
      <c r="X604" s="315">
        <f t="shared" si="123"/>
        <v>0</v>
      </c>
      <c r="Y604" s="315">
        <f t="shared" si="123"/>
        <v>0</v>
      </c>
      <c r="Z604" s="315">
        <f t="shared" si="123"/>
        <v>0</v>
      </c>
      <c r="AA604" s="315">
        <f t="shared" si="123"/>
        <v>0</v>
      </c>
      <c r="AB604" s="315">
        <f t="shared" si="123"/>
        <v>0</v>
      </c>
      <c r="AC604" s="315">
        <f t="shared" si="123"/>
        <v>0</v>
      </c>
      <c r="AD604" s="315">
        <f t="shared" si="123"/>
        <v>0</v>
      </c>
      <c r="AE604" s="315">
        <f t="shared" si="123"/>
        <v>0</v>
      </c>
      <c r="AF604" s="315">
        <f t="shared" si="123"/>
        <v>0</v>
      </c>
      <c r="AG604" s="315">
        <f t="shared" si="123"/>
        <v>0</v>
      </c>
      <c r="AH604" s="315">
        <f t="shared" si="123"/>
        <v>0</v>
      </c>
      <c r="AI604" s="315">
        <f t="shared" si="123"/>
        <v>0</v>
      </c>
      <c r="AJ604" s="315">
        <f t="shared" si="123"/>
        <v>0</v>
      </c>
      <c r="AK604" s="315">
        <f t="shared" si="123"/>
        <v>0</v>
      </c>
      <c r="AL604" s="315">
        <f t="shared" si="123"/>
        <v>0</v>
      </c>
      <c r="AM604" s="315">
        <f t="shared" si="123"/>
        <v>0</v>
      </c>
      <c r="AN604" s="315">
        <f t="shared" si="123"/>
        <v>0</v>
      </c>
      <c r="AO604" s="315">
        <f t="shared" si="123"/>
        <v>0</v>
      </c>
      <c r="AP604" s="315">
        <f t="shared" si="123"/>
        <v>0</v>
      </c>
      <c r="AQ604" s="315">
        <f t="shared" si="123"/>
        <v>0</v>
      </c>
      <c r="AR604" s="315">
        <f t="shared" si="123"/>
        <v>0</v>
      </c>
      <c r="AS604" s="315">
        <f t="shared" si="123"/>
        <v>0</v>
      </c>
      <c r="AT604" s="315">
        <f t="shared" si="123"/>
        <v>0</v>
      </c>
      <c r="AU604" s="315">
        <f t="shared" si="123"/>
        <v>0</v>
      </c>
      <c r="AV604" s="315">
        <f t="shared" si="123"/>
        <v>0</v>
      </c>
      <c r="AW604" s="315">
        <f t="shared" si="123"/>
        <v>0</v>
      </c>
      <c r="AX604" s="315">
        <f t="shared" si="123"/>
        <v>0</v>
      </c>
      <c r="AY604" s="315">
        <f t="shared" si="123"/>
        <v>0</v>
      </c>
      <c r="AZ604" s="315">
        <f t="shared" si="123"/>
        <v>0</v>
      </c>
      <c r="BA604" s="315">
        <f t="shared" si="123"/>
        <v>0</v>
      </c>
      <c r="BB604" s="315">
        <f t="shared" si="123"/>
        <v>0</v>
      </c>
      <c r="BC604" s="315">
        <f t="shared" si="123"/>
        <v>0</v>
      </c>
      <c r="BD604" s="315">
        <f t="shared" si="123"/>
        <v>0</v>
      </c>
      <c r="BE604" s="315">
        <f t="shared" si="123"/>
        <v>0</v>
      </c>
      <c r="BF604" s="315">
        <f t="shared" si="123"/>
        <v>0</v>
      </c>
      <c r="BG604" s="315">
        <f t="shared" si="123"/>
        <v>0</v>
      </c>
      <c r="BH604" s="315">
        <f t="shared" si="123"/>
        <v>0</v>
      </c>
      <c r="BI604" s="315">
        <f t="shared" si="123"/>
        <v>0</v>
      </c>
      <c r="BJ604" s="315">
        <f t="shared" si="123"/>
        <v>0</v>
      </c>
      <c r="BK604" s="315">
        <f t="shared" si="123"/>
        <v>0</v>
      </c>
      <c r="BL604" s="315">
        <f t="shared" si="123"/>
        <v>0</v>
      </c>
      <c r="BM604" s="315">
        <f t="shared" si="123"/>
        <v>0</v>
      </c>
      <c r="BN604" s="315">
        <f t="shared" si="123"/>
        <v>0</v>
      </c>
      <c r="BO604" s="315">
        <f t="shared" si="123"/>
        <v>0</v>
      </c>
      <c r="BP604" s="315">
        <f t="shared" si="123"/>
        <v>0</v>
      </c>
      <c r="BQ604" s="315">
        <f t="shared" si="123"/>
        <v>0</v>
      </c>
      <c r="BR604" s="315">
        <f t="shared" si="123"/>
        <v>0</v>
      </c>
      <c r="BS604" s="315">
        <f t="shared" si="124"/>
        <v>0</v>
      </c>
      <c r="BT604" s="315">
        <f t="shared" si="124"/>
        <v>0</v>
      </c>
      <c r="BU604" s="315">
        <f t="shared" si="124"/>
        <v>0</v>
      </c>
      <c r="BV604" s="315">
        <f t="shared" si="124"/>
        <v>0</v>
      </c>
      <c r="BW604" s="315">
        <f t="shared" si="124"/>
        <v>0</v>
      </c>
      <c r="BX604" s="315">
        <f t="shared" si="124"/>
        <v>0</v>
      </c>
      <c r="BZ604" s="315">
        <f t="shared" si="125"/>
        <v>0</v>
      </c>
      <c r="CA604" s="315">
        <f t="shared" si="125"/>
        <v>0</v>
      </c>
    </row>
    <row r="605" spans="7:79" hidden="1" x14ac:dyDescent="0.2">
      <c r="G605" s="315">
        <f t="shared" si="123"/>
        <v>-45097803</v>
      </c>
      <c r="H605" s="315">
        <f t="shared" si="123"/>
        <v>0</v>
      </c>
      <c r="I605" s="315">
        <f t="shared" si="123"/>
        <v>0</v>
      </c>
      <c r="J605" s="315">
        <f t="shared" si="123"/>
        <v>0</v>
      </c>
      <c r="K605" s="315">
        <f t="shared" si="123"/>
        <v>0</v>
      </c>
      <c r="L605" s="315">
        <f t="shared" si="123"/>
        <v>-8253520</v>
      </c>
      <c r="M605" s="315">
        <f t="shared" si="123"/>
        <v>0</v>
      </c>
      <c r="N605" s="315">
        <f t="shared" si="123"/>
        <v>0</v>
      </c>
      <c r="O605" s="315">
        <f t="shared" si="123"/>
        <v>0</v>
      </c>
      <c r="P605" s="315">
        <f t="shared" si="123"/>
        <v>0</v>
      </c>
      <c r="Q605" s="315">
        <f t="shared" si="123"/>
        <v>286578</v>
      </c>
      <c r="R605" s="315">
        <f t="shared" si="123"/>
        <v>0</v>
      </c>
      <c r="S605" s="315">
        <f t="shared" si="123"/>
        <v>0</v>
      </c>
      <c r="T605" s="315">
        <f t="shared" si="123"/>
        <v>0</v>
      </c>
      <c r="U605" s="315">
        <f t="shared" si="123"/>
        <v>0</v>
      </c>
      <c r="V605" s="315">
        <f t="shared" si="123"/>
        <v>-6299769</v>
      </c>
      <c r="W605" s="315">
        <f t="shared" si="123"/>
        <v>0</v>
      </c>
      <c r="X605" s="315">
        <f t="shared" si="123"/>
        <v>0</v>
      </c>
      <c r="Y605" s="315">
        <f t="shared" si="123"/>
        <v>0</v>
      </c>
      <c r="Z605" s="315">
        <f t="shared" si="123"/>
        <v>0</v>
      </c>
      <c r="AA605" s="315">
        <f t="shared" si="123"/>
        <v>-3456518</v>
      </c>
      <c r="AB605" s="315">
        <f t="shared" si="123"/>
        <v>0</v>
      </c>
      <c r="AC605" s="315">
        <f t="shared" si="123"/>
        <v>0</v>
      </c>
      <c r="AD605" s="315">
        <f t="shared" si="123"/>
        <v>0</v>
      </c>
      <c r="AE605" s="315">
        <f t="shared" si="123"/>
        <v>0</v>
      </c>
      <c r="AF605" s="315">
        <f t="shared" si="123"/>
        <v>-4835965</v>
      </c>
      <c r="AG605" s="315">
        <f t="shared" si="123"/>
        <v>0</v>
      </c>
      <c r="AH605" s="315">
        <f t="shared" si="123"/>
        <v>0</v>
      </c>
      <c r="AI605" s="315">
        <f t="shared" si="123"/>
        <v>0</v>
      </c>
      <c r="AJ605" s="315">
        <f t="shared" si="123"/>
        <v>0</v>
      </c>
      <c r="AK605" s="315">
        <f t="shared" si="123"/>
        <v>-2187184</v>
      </c>
      <c r="AL605" s="315">
        <f t="shared" si="123"/>
        <v>0</v>
      </c>
      <c r="AM605" s="315">
        <f t="shared" si="123"/>
        <v>0</v>
      </c>
      <c r="AN605" s="315">
        <f t="shared" si="123"/>
        <v>0</v>
      </c>
      <c r="AO605" s="315">
        <f t="shared" si="123"/>
        <v>0</v>
      </c>
      <c r="AP605" s="315">
        <f t="shared" si="123"/>
        <v>-5017820</v>
      </c>
      <c r="AQ605" s="315">
        <f t="shared" si="123"/>
        <v>0</v>
      </c>
      <c r="AR605" s="315">
        <f t="shared" si="123"/>
        <v>0</v>
      </c>
      <c r="AS605" s="315">
        <f t="shared" si="123"/>
        <v>0</v>
      </c>
      <c r="AT605" s="315">
        <f t="shared" si="123"/>
        <v>0</v>
      </c>
      <c r="AU605" s="315">
        <f t="shared" si="123"/>
        <v>-4108885</v>
      </c>
      <c r="AV605" s="315">
        <f t="shared" si="123"/>
        <v>0</v>
      </c>
      <c r="AW605" s="315">
        <f t="shared" si="123"/>
        <v>0</v>
      </c>
      <c r="AX605" s="315">
        <f t="shared" si="123"/>
        <v>0</v>
      </c>
      <c r="AY605" s="315">
        <f t="shared" si="123"/>
        <v>0</v>
      </c>
      <c r="AZ605" s="315">
        <f t="shared" si="123"/>
        <v>-3708680</v>
      </c>
      <c r="BA605" s="315">
        <f t="shared" si="123"/>
        <v>0</v>
      </c>
      <c r="BB605" s="315">
        <f t="shared" si="123"/>
        <v>0</v>
      </c>
      <c r="BC605" s="315">
        <f t="shared" si="123"/>
        <v>0</v>
      </c>
      <c r="BD605" s="315">
        <f t="shared" si="123"/>
        <v>0</v>
      </c>
      <c r="BE605" s="315">
        <f t="shared" si="123"/>
        <v>-2673022</v>
      </c>
      <c r="BF605" s="315">
        <f t="shared" si="123"/>
        <v>0</v>
      </c>
      <c r="BG605" s="315">
        <f t="shared" si="123"/>
        <v>0</v>
      </c>
      <c r="BH605" s="315">
        <f t="shared" si="123"/>
        <v>0</v>
      </c>
      <c r="BI605" s="315">
        <f t="shared" si="123"/>
        <v>0</v>
      </c>
      <c r="BJ605" s="315">
        <f t="shared" si="123"/>
        <v>-3014010</v>
      </c>
      <c r="BK605" s="315">
        <f t="shared" si="123"/>
        <v>0</v>
      </c>
      <c r="BL605" s="315">
        <f t="shared" si="123"/>
        <v>0</v>
      </c>
      <c r="BM605" s="315">
        <f t="shared" si="123"/>
        <v>0</v>
      </c>
      <c r="BN605" s="315">
        <f t="shared" si="123"/>
        <v>0</v>
      </c>
      <c r="BO605" s="315">
        <f t="shared" si="123"/>
        <v>-1829008</v>
      </c>
      <c r="BP605" s="315">
        <f t="shared" si="123"/>
        <v>0</v>
      </c>
      <c r="BQ605" s="315">
        <f t="shared" si="123"/>
        <v>0</v>
      </c>
      <c r="BR605" s="315">
        <f t="shared" si="123"/>
        <v>0</v>
      </c>
      <c r="BS605" s="315">
        <f t="shared" si="124"/>
        <v>0</v>
      </c>
      <c r="BT605" s="315">
        <f t="shared" si="124"/>
        <v>-29764198</v>
      </c>
      <c r="BU605" s="315">
        <f t="shared" si="124"/>
        <v>0</v>
      </c>
      <c r="BV605" s="315">
        <f t="shared" si="124"/>
        <v>0</v>
      </c>
      <c r="BW605" s="315">
        <f t="shared" si="124"/>
        <v>0</v>
      </c>
      <c r="BX605" s="315">
        <f t="shared" si="124"/>
        <v>0</v>
      </c>
      <c r="BZ605" s="315">
        <f t="shared" si="125"/>
        <v>0</v>
      </c>
      <c r="CA605" s="315">
        <f t="shared" si="125"/>
        <v>0</v>
      </c>
    </row>
    <row r="606" spans="7:79" hidden="1" x14ac:dyDescent="0.2">
      <c r="G606" s="315">
        <f t="shared" si="123"/>
        <v>-41918399</v>
      </c>
      <c r="H606" s="315">
        <f t="shared" si="123"/>
        <v>0</v>
      </c>
      <c r="I606" s="315">
        <f t="shared" si="123"/>
        <v>0</v>
      </c>
      <c r="J606" s="315">
        <f t="shared" si="123"/>
        <v>0</v>
      </c>
      <c r="K606" s="315">
        <f t="shared" si="123"/>
        <v>0</v>
      </c>
      <c r="L606" s="315">
        <f t="shared" si="123"/>
        <v>-7521389</v>
      </c>
      <c r="M606" s="315">
        <f t="shared" si="123"/>
        <v>0</v>
      </c>
      <c r="N606" s="315">
        <f t="shared" si="123"/>
        <v>0</v>
      </c>
      <c r="O606" s="315">
        <f t="shared" si="123"/>
        <v>0</v>
      </c>
      <c r="P606" s="315">
        <f t="shared" si="123"/>
        <v>0</v>
      </c>
      <c r="Q606" s="315">
        <f t="shared" si="123"/>
        <v>128344</v>
      </c>
      <c r="R606" s="315">
        <f t="shared" si="123"/>
        <v>0</v>
      </c>
      <c r="S606" s="315">
        <f t="shared" si="123"/>
        <v>0</v>
      </c>
      <c r="T606" s="315">
        <f t="shared" si="123"/>
        <v>0</v>
      </c>
      <c r="U606" s="315">
        <f t="shared" si="123"/>
        <v>0</v>
      </c>
      <c r="V606" s="315">
        <f t="shared" si="123"/>
        <v>-5993626</v>
      </c>
      <c r="W606" s="315">
        <f t="shared" si="123"/>
        <v>0</v>
      </c>
      <c r="X606" s="315">
        <f t="shared" si="123"/>
        <v>0</v>
      </c>
      <c r="Y606" s="315">
        <f t="shared" si="123"/>
        <v>0</v>
      </c>
      <c r="Z606" s="315">
        <f t="shared" si="123"/>
        <v>0</v>
      </c>
      <c r="AA606" s="315">
        <f t="shared" si="123"/>
        <v>-3300045</v>
      </c>
      <c r="AB606" s="315">
        <f t="shared" si="123"/>
        <v>0</v>
      </c>
      <c r="AC606" s="315">
        <f t="shared" si="123"/>
        <v>0</v>
      </c>
      <c r="AD606" s="315">
        <f t="shared" si="123"/>
        <v>0</v>
      </c>
      <c r="AE606" s="315">
        <f t="shared" si="123"/>
        <v>0</v>
      </c>
      <c r="AF606" s="315">
        <f t="shared" si="123"/>
        <v>-4600884</v>
      </c>
      <c r="AG606" s="315">
        <f t="shared" si="123"/>
        <v>0</v>
      </c>
      <c r="AH606" s="315">
        <f t="shared" si="123"/>
        <v>0</v>
      </c>
      <c r="AI606" s="315">
        <f t="shared" si="123"/>
        <v>0</v>
      </c>
      <c r="AJ606" s="315">
        <f t="shared" si="123"/>
        <v>0</v>
      </c>
      <c r="AK606" s="315">
        <f t="shared" si="123"/>
        <v>-2320684</v>
      </c>
      <c r="AL606" s="315">
        <f t="shared" si="123"/>
        <v>0</v>
      </c>
      <c r="AM606" s="315">
        <f t="shared" si="123"/>
        <v>0</v>
      </c>
      <c r="AN606" s="315">
        <f t="shared" si="123"/>
        <v>0</v>
      </c>
      <c r="AO606" s="315">
        <f t="shared" si="123"/>
        <v>0</v>
      </c>
      <c r="AP606" s="315">
        <f t="shared" si="123"/>
        <v>-4355790</v>
      </c>
      <c r="AQ606" s="315">
        <f t="shared" si="123"/>
        <v>0</v>
      </c>
      <c r="AR606" s="315">
        <f t="shared" si="123"/>
        <v>0</v>
      </c>
      <c r="AS606" s="315">
        <f t="shared" si="123"/>
        <v>0</v>
      </c>
      <c r="AT606" s="315">
        <f t="shared" si="123"/>
        <v>0</v>
      </c>
      <c r="AU606" s="315">
        <f t="shared" si="123"/>
        <v>-3525338</v>
      </c>
      <c r="AV606" s="315">
        <f t="shared" si="123"/>
        <v>0</v>
      </c>
      <c r="AW606" s="315">
        <f t="shared" si="123"/>
        <v>0</v>
      </c>
      <c r="AX606" s="315">
        <f t="shared" si="123"/>
        <v>0</v>
      </c>
      <c r="AY606" s="315">
        <f t="shared" si="123"/>
        <v>0</v>
      </c>
      <c r="AZ606" s="315">
        <f t="shared" si="123"/>
        <v>-3411845</v>
      </c>
      <c r="BA606" s="315">
        <f t="shared" si="123"/>
        <v>0</v>
      </c>
      <c r="BB606" s="315">
        <f t="shared" si="123"/>
        <v>0</v>
      </c>
      <c r="BC606" s="315">
        <f t="shared" si="123"/>
        <v>0</v>
      </c>
      <c r="BD606" s="315">
        <f t="shared" si="123"/>
        <v>0</v>
      </c>
      <c r="BE606" s="315">
        <f t="shared" si="123"/>
        <v>-2368101</v>
      </c>
      <c r="BF606" s="315">
        <f t="shared" si="123"/>
        <v>0</v>
      </c>
      <c r="BG606" s="315">
        <f t="shared" si="123"/>
        <v>0</v>
      </c>
      <c r="BH606" s="315">
        <f t="shared" si="123"/>
        <v>0</v>
      </c>
      <c r="BI606" s="315">
        <f t="shared" si="123"/>
        <v>0</v>
      </c>
      <c r="BJ606" s="315">
        <f t="shared" si="123"/>
        <v>-2760963</v>
      </c>
      <c r="BK606" s="315">
        <f t="shared" si="123"/>
        <v>0</v>
      </c>
      <c r="BL606" s="315">
        <f t="shared" si="123"/>
        <v>0</v>
      </c>
      <c r="BM606" s="315">
        <f t="shared" si="123"/>
        <v>0</v>
      </c>
      <c r="BN606" s="315">
        <f t="shared" si="123"/>
        <v>0</v>
      </c>
      <c r="BO606" s="315">
        <f t="shared" si="123"/>
        <v>-1888078</v>
      </c>
      <c r="BP606" s="315">
        <f t="shared" si="123"/>
        <v>0</v>
      </c>
      <c r="BQ606" s="315">
        <f t="shared" si="123"/>
        <v>0</v>
      </c>
      <c r="BR606" s="315">
        <f t="shared" ref="BR606:BR613" si="126">BR182-EJ182</f>
        <v>0</v>
      </c>
      <c r="BS606" s="315">
        <f t="shared" si="124"/>
        <v>0</v>
      </c>
      <c r="BT606" s="315">
        <f t="shared" si="124"/>
        <v>-27964074</v>
      </c>
      <c r="BU606" s="315">
        <f t="shared" si="124"/>
        <v>0</v>
      </c>
      <c r="BV606" s="315">
        <f t="shared" si="124"/>
        <v>0</v>
      </c>
      <c r="BW606" s="315">
        <f t="shared" si="124"/>
        <v>0</v>
      </c>
      <c r="BX606" s="315">
        <f t="shared" si="124"/>
        <v>0</v>
      </c>
      <c r="BZ606" s="315">
        <f t="shared" si="125"/>
        <v>0</v>
      </c>
      <c r="CA606" s="315">
        <f t="shared" si="125"/>
        <v>0</v>
      </c>
    </row>
    <row r="607" spans="7:79" hidden="1" x14ac:dyDescent="0.2">
      <c r="G607" s="315">
        <f t="shared" ref="G607:BQ611" si="127">G183-BY183</f>
        <v>-4492664</v>
      </c>
      <c r="H607" s="315">
        <f t="shared" si="127"/>
        <v>0</v>
      </c>
      <c r="I607" s="315">
        <f t="shared" si="127"/>
        <v>0</v>
      </c>
      <c r="J607" s="315">
        <f t="shared" si="127"/>
        <v>0</v>
      </c>
      <c r="K607" s="315">
        <f t="shared" si="127"/>
        <v>0</v>
      </c>
      <c r="L607" s="315">
        <f t="shared" si="127"/>
        <v>-1023047</v>
      </c>
      <c r="M607" s="315">
        <f t="shared" si="127"/>
        <v>0</v>
      </c>
      <c r="N607" s="315">
        <f t="shared" si="127"/>
        <v>0</v>
      </c>
      <c r="O607" s="315">
        <f t="shared" si="127"/>
        <v>0</v>
      </c>
      <c r="P607" s="315">
        <f t="shared" si="127"/>
        <v>0</v>
      </c>
      <c r="Q607" s="315">
        <f t="shared" si="127"/>
        <v>89826</v>
      </c>
      <c r="R607" s="315">
        <f t="shared" si="127"/>
        <v>0</v>
      </c>
      <c r="S607" s="315">
        <f t="shared" si="127"/>
        <v>0</v>
      </c>
      <c r="T607" s="315">
        <f t="shared" si="127"/>
        <v>0</v>
      </c>
      <c r="U607" s="315">
        <f t="shared" si="127"/>
        <v>0</v>
      </c>
      <c r="V607" s="315">
        <f t="shared" si="127"/>
        <v>-519307</v>
      </c>
      <c r="W607" s="315">
        <f t="shared" si="127"/>
        <v>0</v>
      </c>
      <c r="X607" s="315">
        <f t="shared" si="127"/>
        <v>0</v>
      </c>
      <c r="Y607" s="315">
        <f t="shared" si="127"/>
        <v>0</v>
      </c>
      <c r="Z607" s="315">
        <f t="shared" si="127"/>
        <v>0</v>
      </c>
      <c r="AA607" s="315">
        <f t="shared" si="127"/>
        <v>-271993</v>
      </c>
      <c r="AB607" s="315">
        <f t="shared" si="127"/>
        <v>0</v>
      </c>
      <c r="AC607" s="315">
        <f t="shared" si="127"/>
        <v>0</v>
      </c>
      <c r="AD607" s="315">
        <f t="shared" si="127"/>
        <v>0</v>
      </c>
      <c r="AE607" s="315">
        <f t="shared" si="127"/>
        <v>0</v>
      </c>
      <c r="AF607" s="315">
        <f t="shared" si="127"/>
        <v>-350772</v>
      </c>
      <c r="AG607" s="315">
        <f t="shared" si="127"/>
        <v>0</v>
      </c>
      <c r="AH607" s="315">
        <f t="shared" si="127"/>
        <v>0</v>
      </c>
      <c r="AI607" s="315">
        <f t="shared" si="127"/>
        <v>0</v>
      </c>
      <c r="AJ607" s="315">
        <f t="shared" si="127"/>
        <v>0</v>
      </c>
      <c r="AK607" s="315">
        <f t="shared" si="127"/>
        <v>-77228</v>
      </c>
      <c r="AL607" s="315">
        <f t="shared" si="127"/>
        <v>0</v>
      </c>
      <c r="AM607" s="315">
        <f t="shared" si="127"/>
        <v>0</v>
      </c>
      <c r="AN607" s="315">
        <f t="shared" si="127"/>
        <v>0</v>
      </c>
      <c r="AO607" s="315">
        <f t="shared" si="127"/>
        <v>0</v>
      </c>
      <c r="AP607" s="315">
        <f t="shared" si="127"/>
        <v>-682857</v>
      </c>
      <c r="AQ607" s="315">
        <f t="shared" si="127"/>
        <v>0</v>
      </c>
      <c r="AR607" s="315">
        <f t="shared" si="127"/>
        <v>0</v>
      </c>
      <c r="AS607" s="315">
        <f t="shared" si="127"/>
        <v>0</v>
      </c>
      <c r="AT607" s="315">
        <f t="shared" si="127"/>
        <v>0</v>
      </c>
      <c r="AU607" s="315">
        <f t="shared" si="127"/>
        <v>-605254</v>
      </c>
      <c r="AV607" s="315">
        <f t="shared" si="127"/>
        <v>0</v>
      </c>
      <c r="AW607" s="315">
        <f t="shared" si="127"/>
        <v>0</v>
      </c>
      <c r="AX607" s="315">
        <f t="shared" si="127"/>
        <v>0</v>
      </c>
      <c r="AY607" s="315">
        <f t="shared" si="127"/>
        <v>0</v>
      </c>
      <c r="AZ607" s="315">
        <f t="shared" si="127"/>
        <v>-375351</v>
      </c>
      <c r="BA607" s="315">
        <f t="shared" si="127"/>
        <v>0</v>
      </c>
      <c r="BB607" s="315">
        <f t="shared" si="127"/>
        <v>0</v>
      </c>
      <c r="BC607" s="315">
        <f t="shared" si="127"/>
        <v>0</v>
      </c>
      <c r="BD607" s="315">
        <f t="shared" si="127"/>
        <v>0</v>
      </c>
      <c r="BE607" s="315">
        <f t="shared" si="127"/>
        <v>-335778</v>
      </c>
      <c r="BF607" s="315">
        <f t="shared" si="127"/>
        <v>0</v>
      </c>
      <c r="BG607" s="315">
        <f t="shared" si="127"/>
        <v>0</v>
      </c>
      <c r="BH607" s="315">
        <f t="shared" si="127"/>
        <v>0</v>
      </c>
      <c r="BI607" s="315">
        <f t="shared" si="127"/>
        <v>0</v>
      </c>
      <c r="BJ607" s="315">
        <f t="shared" si="127"/>
        <v>-274925</v>
      </c>
      <c r="BK607" s="315">
        <f t="shared" si="127"/>
        <v>0</v>
      </c>
      <c r="BL607" s="315">
        <f t="shared" si="127"/>
        <v>0</v>
      </c>
      <c r="BM607" s="315">
        <f t="shared" si="127"/>
        <v>0</v>
      </c>
      <c r="BN607" s="315">
        <f t="shared" si="127"/>
        <v>0</v>
      </c>
      <c r="BO607" s="315">
        <f t="shared" si="127"/>
        <v>-65978</v>
      </c>
      <c r="BP607" s="315">
        <f t="shared" si="127"/>
        <v>0</v>
      </c>
      <c r="BQ607" s="315">
        <f t="shared" si="127"/>
        <v>0</v>
      </c>
      <c r="BR607" s="315">
        <f t="shared" si="126"/>
        <v>0</v>
      </c>
      <c r="BS607" s="315">
        <f t="shared" si="124"/>
        <v>0</v>
      </c>
      <c r="BT607" s="315">
        <f t="shared" si="124"/>
        <v>-2835378</v>
      </c>
      <c r="BU607" s="315">
        <f t="shared" si="124"/>
        <v>0</v>
      </c>
      <c r="BV607" s="315">
        <f t="shared" si="124"/>
        <v>0</v>
      </c>
      <c r="BW607" s="315">
        <f t="shared" si="124"/>
        <v>0</v>
      </c>
      <c r="BX607" s="315">
        <f t="shared" si="124"/>
        <v>0</v>
      </c>
      <c r="BZ607" s="315">
        <f t="shared" si="125"/>
        <v>0</v>
      </c>
      <c r="CA607" s="315">
        <f t="shared" si="125"/>
        <v>0</v>
      </c>
    </row>
    <row r="608" spans="7:79" hidden="1" x14ac:dyDescent="0.2">
      <c r="G608" s="315">
        <f t="shared" si="127"/>
        <v>1313260</v>
      </c>
      <c r="H608" s="315">
        <f t="shared" si="127"/>
        <v>0</v>
      </c>
      <c r="I608" s="315">
        <f t="shared" si="127"/>
        <v>0</v>
      </c>
      <c r="J608" s="315">
        <f t="shared" si="127"/>
        <v>0</v>
      </c>
      <c r="K608" s="315">
        <f t="shared" si="127"/>
        <v>0</v>
      </c>
      <c r="L608" s="315">
        <f t="shared" si="127"/>
        <v>290916</v>
      </c>
      <c r="M608" s="315">
        <f t="shared" si="127"/>
        <v>0</v>
      </c>
      <c r="N608" s="315">
        <f t="shared" si="127"/>
        <v>0</v>
      </c>
      <c r="O608" s="315">
        <f t="shared" si="127"/>
        <v>0</v>
      </c>
      <c r="P608" s="315">
        <f t="shared" si="127"/>
        <v>0</v>
      </c>
      <c r="Q608" s="315">
        <f t="shared" si="127"/>
        <v>68408</v>
      </c>
      <c r="R608" s="315">
        <f t="shared" si="127"/>
        <v>0</v>
      </c>
      <c r="S608" s="315">
        <f t="shared" si="127"/>
        <v>0</v>
      </c>
      <c r="T608" s="315">
        <f t="shared" si="127"/>
        <v>0</v>
      </c>
      <c r="U608" s="315">
        <f t="shared" si="127"/>
        <v>0</v>
      </c>
      <c r="V608" s="315">
        <f t="shared" si="127"/>
        <v>213164</v>
      </c>
      <c r="W608" s="315">
        <f t="shared" si="127"/>
        <v>0</v>
      </c>
      <c r="X608" s="315">
        <f t="shared" si="127"/>
        <v>0</v>
      </c>
      <c r="Y608" s="315">
        <f t="shared" si="127"/>
        <v>0</v>
      </c>
      <c r="Z608" s="315">
        <f t="shared" si="127"/>
        <v>0</v>
      </c>
      <c r="AA608" s="315">
        <f t="shared" si="127"/>
        <v>115520</v>
      </c>
      <c r="AB608" s="315">
        <f t="shared" si="127"/>
        <v>0</v>
      </c>
      <c r="AC608" s="315">
        <f t="shared" si="127"/>
        <v>0</v>
      </c>
      <c r="AD608" s="315">
        <f t="shared" si="127"/>
        <v>0</v>
      </c>
      <c r="AE608" s="315">
        <f t="shared" si="127"/>
        <v>0</v>
      </c>
      <c r="AF608" s="315">
        <f t="shared" si="127"/>
        <v>115691</v>
      </c>
      <c r="AG608" s="315">
        <f t="shared" si="127"/>
        <v>0</v>
      </c>
      <c r="AH608" s="315">
        <f t="shared" si="127"/>
        <v>0</v>
      </c>
      <c r="AI608" s="315">
        <f t="shared" si="127"/>
        <v>0</v>
      </c>
      <c r="AJ608" s="315">
        <f t="shared" si="127"/>
        <v>0</v>
      </c>
      <c r="AK608" s="315">
        <f t="shared" si="127"/>
        <v>210728</v>
      </c>
      <c r="AL608" s="315">
        <f t="shared" si="127"/>
        <v>0</v>
      </c>
      <c r="AM608" s="315">
        <f t="shared" si="127"/>
        <v>0</v>
      </c>
      <c r="AN608" s="315">
        <f t="shared" si="127"/>
        <v>0</v>
      </c>
      <c r="AO608" s="315">
        <f t="shared" si="127"/>
        <v>0</v>
      </c>
      <c r="AP608" s="315">
        <f t="shared" si="127"/>
        <v>20827</v>
      </c>
      <c r="AQ608" s="315">
        <f t="shared" si="127"/>
        <v>0</v>
      </c>
      <c r="AR608" s="315">
        <f t="shared" si="127"/>
        <v>0</v>
      </c>
      <c r="AS608" s="315">
        <f t="shared" si="127"/>
        <v>0</v>
      </c>
      <c r="AT608" s="315">
        <f t="shared" si="127"/>
        <v>0</v>
      </c>
      <c r="AU608" s="315">
        <f t="shared" si="127"/>
        <v>21707</v>
      </c>
      <c r="AV608" s="315">
        <f t="shared" si="127"/>
        <v>0</v>
      </c>
      <c r="AW608" s="315">
        <f t="shared" si="127"/>
        <v>0</v>
      </c>
      <c r="AX608" s="315">
        <f t="shared" si="127"/>
        <v>0</v>
      </c>
      <c r="AY608" s="315">
        <f t="shared" si="127"/>
        <v>0</v>
      </c>
      <c r="AZ608" s="315">
        <f t="shared" si="127"/>
        <v>78516</v>
      </c>
      <c r="BA608" s="315">
        <f t="shared" si="127"/>
        <v>0</v>
      </c>
      <c r="BB608" s="315">
        <f t="shared" si="127"/>
        <v>0</v>
      </c>
      <c r="BC608" s="315">
        <f t="shared" si="127"/>
        <v>0</v>
      </c>
      <c r="BD608" s="315">
        <f t="shared" si="127"/>
        <v>0</v>
      </c>
      <c r="BE608" s="315">
        <f t="shared" si="127"/>
        <v>30857</v>
      </c>
      <c r="BF608" s="315">
        <f t="shared" si="127"/>
        <v>0</v>
      </c>
      <c r="BG608" s="315">
        <f t="shared" si="127"/>
        <v>0</v>
      </c>
      <c r="BH608" s="315">
        <f t="shared" si="127"/>
        <v>0</v>
      </c>
      <c r="BI608" s="315">
        <f t="shared" si="127"/>
        <v>0</v>
      </c>
      <c r="BJ608" s="315">
        <f t="shared" si="127"/>
        <v>21878</v>
      </c>
      <c r="BK608" s="315">
        <f t="shared" si="127"/>
        <v>0</v>
      </c>
      <c r="BL608" s="315">
        <f t="shared" si="127"/>
        <v>0</v>
      </c>
      <c r="BM608" s="315">
        <f t="shared" si="127"/>
        <v>0</v>
      </c>
      <c r="BN608" s="315">
        <f t="shared" si="127"/>
        <v>0</v>
      </c>
      <c r="BO608" s="315">
        <f t="shared" si="127"/>
        <v>125048</v>
      </c>
      <c r="BP608" s="315">
        <f t="shared" si="127"/>
        <v>0</v>
      </c>
      <c r="BQ608" s="315">
        <f t="shared" si="127"/>
        <v>0</v>
      </c>
      <c r="BR608" s="315">
        <f t="shared" si="126"/>
        <v>0</v>
      </c>
      <c r="BS608" s="315">
        <f t="shared" si="124"/>
        <v>0</v>
      </c>
      <c r="BT608" s="315">
        <f t="shared" si="124"/>
        <v>1035254</v>
      </c>
      <c r="BU608" s="315">
        <f t="shared" si="124"/>
        <v>0</v>
      </c>
      <c r="BV608" s="315">
        <f t="shared" si="124"/>
        <v>0</v>
      </c>
      <c r="BW608" s="315">
        <f t="shared" si="124"/>
        <v>0</v>
      </c>
      <c r="BX608" s="315">
        <f t="shared" si="124"/>
        <v>0</v>
      </c>
      <c r="BZ608" s="315">
        <f t="shared" si="125"/>
        <v>0</v>
      </c>
      <c r="CA608" s="315">
        <f t="shared" si="125"/>
        <v>0</v>
      </c>
    </row>
    <row r="609" spans="7:79" hidden="1" x14ac:dyDescent="0.2">
      <c r="G609" s="315">
        <f t="shared" si="127"/>
        <v>0</v>
      </c>
      <c r="H609" s="315">
        <f t="shared" si="127"/>
        <v>0</v>
      </c>
      <c r="I609" s="315">
        <f t="shared" si="127"/>
        <v>0</v>
      </c>
      <c r="J609" s="315">
        <f t="shared" si="127"/>
        <v>0</v>
      </c>
      <c r="K609" s="315">
        <f t="shared" si="127"/>
        <v>0</v>
      </c>
      <c r="L609" s="315">
        <f t="shared" si="127"/>
        <v>0</v>
      </c>
      <c r="M609" s="315">
        <f t="shared" si="127"/>
        <v>0</v>
      </c>
      <c r="N609" s="315">
        <f t="shared" si="127"/>
        <v>0</v>
      </c>
      <c r="O609" s="315">
        <f t="shared" si="127"/>
        <v>0</v>
      </c>
      <c r="P609" s="315">
        <f t="shared" si="127"/>
        <v>0</v>
      </c>
      <c r="Q609" s="315">
        <f t="shared" si="127"/>
        <v>0</v>
      </c>
      <c r="R609" s="315">
        <f t="shared" si="127"/>
        <v>0</v>
      </c>
      <c r="S609" s="315">
        <f t="shared" si="127"/>
        <v>0</v>
      </c>
      <c r="T609" s="315">
        <f t="shared" si="127"/>
        <v>0</v>
      </c>
      <c r="U609" s="315">
        <f t="shared" si="127"/>
        <v>0</v>
      </c>
      <c r="V609" s="315">
        <f t="shared" si="127"/>
        <v>0</v>
      </c>
      <c r="W609" s="315">
        <f t="shared" si="127"/>
        <v>0</v>
      </c>
      <c r="X609" s="315">
        <f t="shared" si="127"/>
        <v>0</v>
      </c>
      <c r="Y609" s="315">
        <f t="shared" si="127"/>
        <v>0</v>
      </c>
      <c r="Z609" s="315">
        <f t="shared" si="127"/>
        <v>0</v>
      </c>
      <c r="AA609" s="315">
        <f t="shared" si="127"/>
        <v>0</v>
      </c>
      <c r="AB609" s="315">
        <f t="shared" si="127"/>
        <v>0</v>
      </c>
      <c r="AC609" s="315">
        <f t="shared" si="127"/>
        <v>0</v>
      </c>
      <c r="AD609" s="315">
        <f t="shared" si="127"/>
        <v>0</v>
      </c>
      <c r="AE609" s="315">
        <f t="shared" si="127"/>
        <v>0</v>
      </c>
      <c r="AF609" s="315">
        <f t="shared" si="127"/>
        <v>0</v>
      </c>
      <c r="AG609" s="315">
        <f t="shared" si="127"/>
        <v>0</v>
      </c>
      <c r="AH609" s="315">
        <f t="shared" si="127"/>
        <v>0</v>
      </c>
      <c r="AI609" s="315">
        <f t="shared" si="127"/>
        <v>0</v>
      </c>
      <c r="AJ609" s="315">
        <f t="shared" si="127"/>
        <v>0</v>
      </c>
      <c r="AK609" s="315">
        <f t="shared" si="127"/>
        <v>0</v>
      </c>
      <c r="AL609" s="315">
        <f t="shared" si="127"/>
        <v>0</v>
      </c>
      <c r="AM609" s="315">
        <f t="shared" si="127"/>
        <v>0</v>
      </c>
      <c r="AN609" s="315">
        <f t="shared" si="127"/>
        <v>0</v>
      </c>
      <c r="AO609" s="315">
        <f t="shared" si="127"/>
        <v>0</v>
      </c>
      <c r="AP609" s="315">
        <f t="shared" si="127"/>
        <v>0</v>
      </c>
      <c r="AQ609" s="315">
        <f t="shared" si="127"/>
        <v>0</v>
      </c>
      <c r="AR609" s="315">
        <f t="shared" si="127"/>
        <v>0</v>
      </c>
      <c r="AS609" s="315">
        <f t="shared" si="127"/>
        <v>0</v>
      </c>
      <c r="AT609" s="315">
        <f t="shared" si="127"/>
        <v>0</v>
      </c>
      <c r="AU609" s="315">
        <f t="shared" si="127"/>
        <v>0</v>
      </c>
      <c r="AV609" s="315">
        <f t="shared" si="127"/>
        <v>0</v>
      </c>
      <c r="AW609" s="315">
        <f t="shared" si="127"/>
        <v>0</v>
      </c>
      <c r="AX609" s="315">
        <f t="shared" si="127"/>
        <v>0</v>
      </c>
      <c r="AY609" s="315">
        <f t="shared" si="127"/>
        <v>0</v>
      </c>
      <c r="AZ609" s="315">
        <f t="shared" si="127"/>
        <v>0</v>
      </c>
      <c r="BA609" s="315">
        <f t="shared" si="127"/>
        <v>0</v>
      </c>
      <c r="BB609" s="315">
        <f t="shared" si="127"/>
        <v>0</v>
      </c>
      <c r="BC609" s="315">
        <f t="shared" si="127"/>
        <v>0</v>
      </c>
      <c r="BD609" s="315">
        <f t="shared" si="127"/>
        <v>0</v>
      </c>
      <c r="BE609" s="315">
        <f t="shared" si="127"/>
        <v>0</v>
      </c>
      <c r="BF609" s="315">
        <f t="shared" si="127"/>
        <v>0</v>
      </c>
      <c r="BG609" s="315">
        <f t="shared" si="127"/>
        <v>0</v>
      </c>
      <c r="BH609" s="315">
        <f t="shared" si="127"/>
        <v>0</v>
      </c>
      <c r="BI609" s="315">
        <f t="shared" si="127"/>
        <v>0</v>
      </c>
      <c r="BJ609" s="315">
        <f t="shared" si="127"/>
        <v>0</v>
      </c>
      <c r="BK609" s="315">
        <f t="shared" si="127"/>
        <v>0</v>
      </c>
      <c r="BL609" s="315">
        <f t="shared" si="127"/>
        <v>0</v>
      </c>
      <c r="BM609" s="315">
        <f t="shared" si="127"/>
        <v>0</v>
      </c>
      <c r="BN609" s="315">
        <f t="shared" si="127"/>
        <v>0</v>
      </c>
      <c r="BO609" s="315">
        <f t="shared" si="127"/>
        <v>0</v>
      </c>
      <c r="BP609" s="315">
        <f t="shared" si="127"/>
        <v>0</v>
      </c>
      <c r="BQ609" s="315">
        <f t="shared" si="127"/>
        <v>0</v>
      </c>
      <c r="BR609" s="315">
        <f t="shared" si="126"/>
        <v>0</v>
      </c>
      <c r="BS609" s="315">
        <f t="shared" si="124"/>
        <v>0</v>
      </c>
      <c r="BT609" s="315">
        <f t="shared" si="124"/>
        <v>0</v>
      </c>
      <c r="BU609" s="315">
        <f t="shared" si="124"/>
        <v>0</v>
      </c>
      <c r="BV609" s="315">
        <f t="shared" si="124"/>
        <v>0</v>
      </c>
      <c r="BW609" s="315">
        <f t="shared" si="124"/>
        <v>0</v>
      </c>
      <c r="BX609" s="315">
        <f t="shared" si="124"/>
        <v>0</v>
      </c>
      <c r="BZ609" s="315">
        <f t="shared" si="125"/>
        <v>0</v>
      </c>
      <c r="CA609" s="315">
        <f t="shared" si="125"/>
        <v>0</v>
      </c>
    </row>
    <row r="610" spans="7:79" hidden="1" x14ac:dyDescent="0.2">
      <c r="G610" s="315">
        <f t="shared" si="127"/>
        <v>0</v>
      </c>
      <c r="H610" s="315">
        <f t="shared" si="127"/>
        <v>0</v>
      </c>
      <c r="I610" s="315">
        <f t="shared" si="127"/>
        <v>0</v>
      </c>
      <c r="J610" s="315">
        <f t="shared" si="127"/>
        <v>0</v>
      </c>
      <c r="K610" s="315">
        <f t="shared" si="127"/>
        <v>0</v>
      </c>
      <c r="L610" s="315">
        <f t="shared" si="127"/>
        <v>0</v>
      </c>
      <c r="M610" s="315">
        <f t="shared" si="127"/>
        <v>0</v>
      </c>
      <c r="N610" s="315">
        <f t="shared" si="127"/>
        <v>0</v>
      </c>
      <c r="O610" s="315">
        <f t="shared" si="127"/>
        <v>0</v>
      </c>
      <c r="P610" s="315">
        <f t="shared" si="127"/>
        <v>0</v>
      </c>
      <c r="Q610" s="315">
        <f t="shared" si="127"/>
        <v>0</v>
      </c>
      <c r="R610" s="315">
        <f t="shared" si="127"/>
        <v>0</v>
      </c>
      <c r="S610" s="315">
        <f t="shared" si="127"/>
        <v>0</v>
      </c>
      <c r="T610" s="315">
        <f t="shared" si="127"/>
        <v>0</v>
      </c>
      <c r="U610" s="315">
        <f t="shared" si="127"/>
        <v>0</v>
      </c>
      <c r="V610" s="315">
        <f t="shared" si="127"/>
        <v>0</v>
      </c>
      <c r="W610" s="315">
        <f t="shared" si="127"/>
        <v>0</v>
      </c>
      <c r="X610" s="315">
        <f t="shared" si="127"/>
        <v>0</v>
      </c>
      <c r="Y610" s="315">
        <f t="shared" si="127"/>
        <v>0</v>
      </c>
      <c r="Z610" s="315">
        <f t="shared" si="127"/>
        <v>0</v>
      </c>
      <c r="AA610" s="315">
        <f t="shared" si="127"/>
        <v>0</v>
      </c>
      <c r="AB610" s="315">
        <f t="shared" si="127"/>
        <v>0</v>
      </c>
      <c r="AC610" s="315">
        <f t="shared" si="127"/>
        <v>0</v>
      </c>
      <c r="AD610" s="315">
        <f t="shared" si="127"/>
        <v>0</v>
      </c>
      <c r="AE610" s="315">
        <f t="shared" si="127"/>
        <v>0</v>
      </c>
      <c r="AF610" s="315">
        <f t="shared" si="127"/>
        <v>0</v>
      </c>
      <c r="AG610" s="315">
        <f t="shared" si="127"/>
        <v>0</v>
      </c>
      <c r="AH610" s="315">
        <f t="shared" si="127"/>
        <v>0</v>
      </c>
      <c r="AI610" s="315">
        <f t="shared" si="127"/>
        <v>0</v>
      </c>
      <c r="AJ610" s="315">
        <f t="shared" si="127"/>
        <v>0</v>
      </c>
      <c r="AK610" s="315">
        <f t="shared" si="127"/>
        <v>0</v>
      </c>
      <c r="AL610" s="315">
        <f t="shared" si="127"/>
        <v>0</v>
      </c>
      <c r="AM610" s="315">
        <f t="shared" si="127"/>
        <v>0</v>
      </c>
      <c r="AN610" s="315">
        <f t="shared" si="127"/>
        <v>0</v>
      </c>
      <c r="AO610" s="315">
        <f t="shared" si="127"/>
        <v>0</v>
      </c>
      <c r="AP610" s="315">
        <f t="shared" si="127"/>
        <v>0</v>
      </c>
      <c r="AQ610" s="315">
        <f t="shared" si="127"/>
        <v>0</v>
      </c>
      <c r="AR610" s="315">
        <f t="shared" si="127"/>
        <v>0</v>
      </c>
      <c r="AS610" s="315">
        <f t="shared" si="127"/>
        <v>0</v>
      </c>
      <c r="AT610" s="315">
        <f t="shared" si="127"/>
        <v>0</v>
      </c>
      <c r="AU610" s="315">
        <f t="shared" si="127"/>
        <v>0</v>
      </c>
      <c r="AV610" s="315">
        <f t="shared" si="127"/>
        <v>0</v>
      </c>
      <c r="AW610" s="315">
        <f t="shared" si="127"/>
        <v>0</v>
      </c>
      <c r="AX610" s="315">
        <f t="shared" si="127"/>
        <v>0</v>
      </c>
      <c r="AY610" s="315">
        <f t="shared" si="127"/>
        <v>0</v>
      </c>
      <c r="AZ610" s="315">
        <f t="shared" si="127"/>
        <v>0</v>
      </c>
      <c r="BA610" s="315">
        <f t="shared" si="127"/>
        <v>0</v>
      </c>
      <c r="BB610" s="315">
        <f t="shared" si="127"/>
        <v>0</v>
      </c>
      <c r="BC610" s="315">
        <f t="shared" si="127"/>
        <v>0</v>
      </c>
      <c r="BD610" s="315">
        <f t="shared" si="127"/>
        <v>0</v>
      </c>
      <c r="BE610" s="315">
        <f t="shared" si="127"/>
        <v>0</v>
      </c>
      <c r="BF610" s="315">
        <f t="shared" si="127"/>
        <v>0</v>
      </c>
      <c r="BG610" s="315">
        <f t="shared" si="127"/>
        <v>0</v>
      </c>
      <c r="BH610" s="315">
        <f t="shared" si="127"/>
        <v>0</v>
      </c>
      <c r="BI610" s="315">
        <f t="shared" si="127"/>
        <v>0</v>
      </c>
      <c r="BJ610" s="315">
        <f t="shared" si="127"/>
        <v>0</v>
      </c>
      <c r="BK610" s="315">
        <f t="shared" si="127"/>
        <v>0</v>
      </c>
      <c r="BL610" s="315">
        <f t="shared" si="127"/>
        <v>0</v>
      </c>
      <c r="BM610" s="315">
        <f t="shared" si="127"/>
        <v>0</v>
      </c>
      <c r="BN610" s="315">
        <f t="shared" si="127"/>
        <v>0</v>
      </c>
      <c r="BO610" s="315">
        <f t="shared" si="127"/>
        <v>0</v>
      </c>
      <c r="BP610" s="315">
        <f t="shared" si="127"/>
        <v>0</v>
      </c>
      <c r="BQ610" s="315">
        <f t="shared" si="127"/>
        <v>0</v>
      </c>
      <c r="BR610" s="315">
        <f t="shared" si="126"/>
        <v>0</v>
      </c>
      <c r="BS610" s="315">
        <f t="shared" si="124"/>
        <v>0</v>
      </c>
      <c r="BT610" s="315">
        <f t="shared" si="124"/>
        <v>0</v>
      </c>
      <c r="BU610" s="315">
        <f t="shared" si="124"/>
        <v>0</v>
      </c>
      <c r="BV610" s="315">
        <f t="shared" si="124"/>
        <v>0</v>
      </c>
      <c r="BW610" s="315">
        <f t="shared" si="124"/>
        <v>0</v>
      </c>
      <c r="BX610" s="315">
        <f t="shared" si="124"/>
        <v>0</v>
      </c>
      <c r="BZ610" s="315">
        <f t="shared" si="125"/>
        <v>0</v>
      </c>
      <c r="CA610" s="315">
        <f t="shared" si="125"/>
        <v>0</v>
      </c>
    </row>
    <row r="611" spans="7:79" hidden="1" x14ac:dyDescent="0.2">
      <c r="G611" s="315">
        <f t="shared" si="127"/>
        <v>0</v>
      </c>
      <c r="H611" s="315">
        <f t="shared" si="127"/>
        <v>0</v>
      </c>
      <c r="I611" s="315">
        <f t="shared" si="127"/>
        <v>0</v>
      </c>
      <c r="J611" s="315">
        <f t="shared" ref="J611:BQ613" si="128">J187-CB187</f>
        <v>0</v>
      </c>
      <c r="K611" s="315">
        <f t="shared" si="128"/>
        <v>0</v>
      </c>
      <c r="L611" s="315">
        <f t="shared" si="128"/>
        <v>0</v>
      </c>
      <c r="M611" s="315">
        <f t="shared" si="128"/>
        <v>0</v>
      </c>
      <c r="N611" s="315">
        <f t="shared" si="128"/>
        <v>0</v>
      </c>
      <c r="O611" s="315">
        <f t="shared" si="128"/>
        <v>0</v>
      </c>
      <c r="P611" s="315">
        <f t="shared" si="128"/>
        <v>0</v>
      </c>
      <c r="Q611" s="315">
        <f t="shared" si="128"/>
        <v>0</v>
      </c>
      <c r="R611" s="315">
        <f t="shared" si="128"/>
        <v>0</v>
      </c>
      <c r="S611" s="315">
        <f t="shared" si="128"/>
        <v>0</v>
      </c>
      <c r="T611" s="315">
        <f t="shared" si="128"/>
        <v>0</v>
      </c>
      <c r="U611" s="315">
        <f t="shared" si="128"/>
        <v>0</v>
      </c>
      <c r="V611" s="315">
        <f t="shared" si="128"/>
        <v>0</v>
      </c>
      <c r="W611" s="315">
        <f t="shared" si="128"/>
        <v>0</v>
      </c>
      <c r="X611" s="315">
        <f t="shared" si="128"/>
        <v>0</v>
      </c>
      <c r="Y611" s="315">
        <f t="shared" si="128"/>
        <v>0</v>
      </c>
      <c r="Z611" s="315">
        <f t="shared" si="128"/>
        <v>0</v>
      </c>
      <c r="AA611" s="315">
        <f t="shared" si="128"/>
        <v>0</v>
      </c>
      <c r="AB611" s="315">
        <f t="shared" si="128"/>
        <v>0</v>
      </c>
      <c r="AC611" s="315">
        <f t="shared" si="128"/>
        <v>0</v>
      </c>
      <c r="AD611" s="315">
        <f t="shared" si="128"/>
        <v>0</v>
      </c>
      <c r="AE611" s="315">
        <f t="shared" si="128"/>
        <v>0</v>
      </c>
      <c r="AF611" s="315">
        <f t="shared" si="128"/>
        <v>0</v>
      </c>
      <c r="AG611" s="315">
        <f t="shared" si="128"/>
        <v>0</v>
      </c>
      <c r="AH611" s="315">
        <f t="shared" si="128"/>
        <v>0</v>
      </c>
      <c r="AI611" s="315">
        <f t="shared" si="128"/>
        <v>0</v>
      </c>
      <c r="AJ611" s="315">
        <f t="shared" si="128"/>
        <v>0</v>
      </c>
      <c r="AK611" s="315">
        <f t="shared" si="128"/>
        <v>0</v>
      </c>
      <c r="AL611" s="315">
        <f t="shared" si="128"/>
        <v>0</v>
      </c>
      <c r="AM611" s="315">
        <f t="shared" si="128"/>
        <v>0</v>
      </c>
      <c r="AN611" s="315">
        <f t="shared" si="128"/>
        <v>0</v>
      </c>
      <c r="AO611" s="315">
        <f t="shared" si="128"/>
        <v>0</v>
      </c>
      <c r="AP611" s="315">
        <f t="shared" si="128"/>
        <v>0</v>
      </c>
      <c r="AQ611" s="315">
        <f t="shared" si="128"/>
        <v>0</v>
      </c>
      <c r="AR611" s="315">
        <f t="shared" si="128"/>
        <v>0</v>
      </c>
      <c r="AS611" s="315">
        <f t="shared" si="128"/>
        <v>0</v>
      </c>
      <c r="AT611" s="315">
        <f t="shared" si="128"/>
        <v>0</v>
      </c>
      <c r="AU611" s="315">
        <f t="shared" si="128"/>
        <v>0</v>
      </c>
      <c r="AV611" s="315">
        <f t="shared" si="128"/>
        <v>0</v>
      </c>
      <c r="AW611" s="315">
        <f t="shared" si="128"/>
        <v>0</v>
      </c>
      <c r="AX611" s="315">
        <f t="shared" si="128"/>
        <v>0</v>
      </c>
      <c r="AY611" s="315">
        <f t="shared" si="128"/>
        <v>0</v>
      </c>
      <c r="AZ611" s="315">
        <f t="shared" si="128"/>
        <v>0</v>
      </c>
      <c r="BA611" s="315">
        <f t="shared" si="128"/>
        <v>0</v>
      </c>
      <c r="BB611" s="315">
        <f t="shared" si="128"/>
        <v>0</v>
      </c>
      <c r="BC611" s="315">
        <f t="shared" si="128"/>
        <v>0</v>
      </c>
      <c r="BD611" s="315">
        <f t="shared" si="128"/>
        <v>0</v>
      </c>
      <c r="BE611" s="315">
        <f t="shared" si="128"/>
        <v>0</v>
      </c>
      <c r="BF611" s="315">
        <f t="shared" si="128"/>
        <v>0</v>
      </c>
      <c r="BG611" s="315">
        <f t="shared" si="128"/>
        <v>0</v>
      </c>
      <c r="BH611" s="315">
        <f t="shared" si="128"/>
        <v>0</v>
      </c>
      <c r="BI611" s="315">
        <f t="shared" si="128"/>
        <v>0</v>
      </c>
      <c r="BJ611" s="315">
        <f t="shared" si="128"/>
        <v>0</v>
      </c>
      <c r="BK611" s="315">
        <f t="shared" si="128"/>
        <v>0</v>
      </c>
      <c r="BL611" s="315">
        <f t="shared" si="128"/>
        <v>0</v>
      </c>
      <c r="BM611" s="315">
        <f t="shared" si="128"/>
        <v>0</v>
      </c>
      <c r="BN611" s="315">
        <f t="shared" si="128"/>
        <v>0</v>
      </c>
      <c r="BO611" s="315">
        <f t="shared" si="128"/>
        <v>0</v>
      </c>
      <c r="BP611" s="315">
        <f t="shared" si="128"/>
        <v>0</v>
      </c>
      <c r="BQ611" s="315">
        <f t="shared" si="128"/>
        <v>0</v>
      </c>
      <c r="BR611" s="315">
        <f t="shared" si="126"/>
        <v>0</v>
      </c>
      <c r="BS611" s="315">
        <f t="shared" si="124"/>
        <v>0</v>
      </c>
      <c r="BT611" s="315">
        <f t="shared" si="124"/>
        <v>0</v>
      </c>
      <c r="BU611" s="315">
        <f t="shared" si="124"/>
        <v>0</v>
      </c>
      <c r="BV611" s="315">
        <f t="shared" si="124"/>
        <v>0</v>
      </c>
      <c r="BW611" s="315">
        <f t="shared" si="124"/>
        <v>0</v>
      </c>
      <c r="BX611" s="315">
        <f t="shared" si="124"/>
        <v>0</v>
      </c>
      <c r="BZ611" s="315">
        <f t="shared" si="125"/>
        <v>0</v>
      </c>
      <c r="CA611" s="315">
        <f t="shared" si="125"/>
        <v>0</v>
      </c>
    </row>
    <row r="612" spans="7:79" hidden="1" x14ac:dyDescent="0.2">
      <c r="G612" s="315">
        <f t="shared" ref="G612:I613" si="129">G188-BY188</f>
        <v>0</v>
      </c>
      <c r="H612" s="315">
        <f t="shared" si="129"/>
        <v>0</v>
      </c>
      <c r="I612" s="315">
        <f t="shared" si="129"/>
        <v>0</v>
      </c>
      <c r="J612" s="315">
        <f t="shared" si="128"/>
        <v>0</v>
      </c>
      <c r="K612" s="315">
        <f t="shared" si="128"/>
        <v>0</v>
      </c>
      <c r="L612" s="315">
        <f t="shared" si="128"/>
        <v>0</v>
      </c>
      <c r="M612" s="315">
        <f t="shared" si="128"/>
        <v>0</v>
      </c>
      <c r="N612" s="315">
        <f t="shared" si="128"/>
        <v>0</v>
      </c>
      <c r="O612" s="315">
        <f t="shared" si="128"/>
        <v>0</v>
      </c>
      <c r="P612" s="315">
        <f t="shared" si="128"/>
        <v>0</v>
      </c>
      <c r="Q612" s="315">
        <f t="shared" si="128"/>
        <v>0</v>
      </c>
      <c r="R612" s="315">
        <f t="shared" si="128"/>
        <v>0</v>
      </c>
      <c r="S612" s="315">
        <f t="shared" si="128"/>
        <v>0</v>
      </c>
      <c r="T612" s="315">
        <f t="shared" si="128"/>
        <v>0</v>
      </c>
      <c r="U612" s="315">
        <f t="shared" si="128"/>
        <v>0</v>
      </c>
      <c r="V612" s="315">
        <f t="shared" si="128"/>
        <v>0</v>
      </c>
      <c r="W612" s="315">
        <f t="shared" si="128"/>
        <v>0</v>
      </c>
      <c r="X612" s="315">
        <f t="shared" si="128"/>
        <v>0</v>
      </c>
      <c r="Y612" s="315">
        <f t="shared" si="128"/>
        <v>0</v>
      </c>
      <c r="Z612" s="315">
        <f t="shared" si="128"/>
        <v>0</v>
      </c>
      <c r="AA612" s="315">
        <f t="shared" si="128"/>
        <v>0</v>
      </c>
      <c r="AB612" s="315">
        <f t="shared" si="128"/>
        <v>0</v>
      </c>
      <c r="AC612" s="315">
        <f t="shared" si="128"/>
        <v>0</v>
      </c>
      <c r="AD612" s="315">
        <f t="shared" si="128"/>
        <v>0</v>
      </c>
      <c r="AE612" s="315">
        <f t="shared" si="128"/>
        <v>0</v>
      </c>
      <c r="AF612" s="315">
        <f t="shared" si="128"/>
        <v>0</v>
      </c>
      <c r="AG612" s="315">
        <f t="shared" si="128"/>
        <v>0</v>
      </c>
      <c r="AH612" s="315">
        <f t="shared" si="128"/>
        <v>0</v>
      </c>
      <c r="AI612" s="315">
        <f t="shared" si="128"/>
        <v>0</v>
      </c>
      <c r="AJ612" s="315">
        <f t="shared" si="128"/>
        <v>0</v>
      </c>
      <c r="AK612" s="315">
        <f t="shared" si="128"/>
        <v>0</v>
      </c>
      <c r="AL612" s="315">
        <f t="shared" si="128"/>
        <v>0</v>
      </c>
      <c r="AM612" s="315">
        <f t="shared" si="128"/>
        <v>0</v>
      </c>
      <c r="AN612" s="315">
        <f t="shared" si="128"/>
        <v>0</v>
      </c>
      <c r="AO612" s="315">
        <f t="shared" si="128"/>
        <v>0</v>
      </c>
      <c r="AP612" s="315">
        <f t="shared" si="128"/>
        <v>0</v>
      </c>
      <c r="AQ612" s="315">
        <f t="shared" si="128"/>
        <v>0</v>
      </c>
      <c r="AR612" s="315">
        <f t="shared" si="128"/>
        <v>0</v>
      </c>
      <c r="AS612" s="315">
        <f t="shared" si="128"/>
        <v>0</v>
      </c>
      <c r="AT612" s="315">
        <f t="shared" si="128"/>
        <v>0</v>
      </c>
      <c r="AU612" s="315">
        <f t="shared" si="128"/>
        <v>0</v>
      </c>
      <c r="AV612" s="315">
        <f t="shared" si="128"/>
        <v>0</v>
      </c>
      <c r="AW612" s="315">
        <f t="shared" si="128"/>
        <v>0</v>
      </c>
      <c r="AX612" s="315">
        <f t="shared" si="128"/>
        <v>0</v>
      </c>
      <c r="AY612" s="315">
        <f t="shared" si="128"/>
        <v>0</v>
      </c>
      <c r="AZ612" s="315">
        <f t="shared" si="128"/>
        <v>0</v>
      </c>
      <c r="BA612" s="315">
        <f t="shared" si="128"/>
        <v>0</v>
      </c>
      <c r="BB612" s="315">
        <f t="shared" si="128"/>
        <v>0</v>
      </c>
      <c r="BC612" s="315">
        <f t="shared" si="128"/>
        <v>0</v>
      </c>
      <c r="BD612" s="315">
        <f t="shared" si="128"/>
        <v>0</v>
      </c>
      <c r="BE612" s="315">
        <f t="shared" si="128"/>
        <v>0</v>
      </c>
      <c r="BF612" s="315">
        <f t="shared" si="128"/>
        <v>0</v>
      </c>
      <c r="BG612" s="315">
        <f t="shared" si="128"/>
        <v>0</v>
      </c>
      <c r="BH612" s="315">
        <f t="shared" si="128"/>
        <v>0</v>
      </c>
      <c r="BI612" s="315">
        <f t="shared" si="128"/>
        <v>0</v>
      </c>
      <c r="BJ612" s="315">
        <f t="shared" si="128"/>
        <v>0</v>
      </c>
      <c r="BK612" s="315">
        <f t="shared" si="128"/>
        <v>0</v>
      </c>
      <c r="BL612" s="315">
        <f t="shared" si="128"/>
        <v>0</v>
      </c>
      <c r="BM612" s="315">
        <f t="shared" si="128"/>
        <v>0</v>
      </c>
      <c r="BN612" s="315">
        <f t="shared" si="128"/>
        <v>0</v>
      </c>
      <c r="BO612" s="315">
        <f t="shared" si="128"/>
        <v>0</v>
      </c>
      <c r="BP612" s="315">
        <f t="shared" si="128"/>
        <v>0</v>
      </c>
      <c r="BQ612" s="315">
        <f t="shared" si="128"/>
        <v>0</v>
      </c>
      <c r="BR612" s="315">
        <f t="shared" si="126"/>
        <v>0</v>
      </c>
      <c r="BS612" s="315">
        <f t="shared" si="124"/>
        <v>0</v>
      </c>
      <c r="BT612" s="315">
        <f t="shared" si="124"/>
        <v>0</v>
      </c>
      <c r="BU612" s="315">
        <f t="shared" si="124"/>
        <v>0</v>
      </c>
      <c r="BV612" s="315">
        <f t="shared" si="124"/>
        <v>0</v>
      </c>
      <c r="BW612" s="315">
        <f t="shared" si="124"/>
        <v>0</v>
      </c>
      <c r="BX612" s="315">
        <f t="shared" si="124"/>
        <v>0</v>
      </c>
      <c r="BZ612" s="315">
        <f t="shared" si="125"/>
        <v>0</v>
      </c>
      <c r="CA612" s="315">
        <f t="shared" si="125"/>
        <v>0</v>
      </c>
    </row>
    <row r="613" spans="7:79" hidden="1" x14ac:dyDescent="0.2">
      <c r="G613" s="315">
        <f t="shared" si="129"/>
        <v>0</v>
      </c>
      <c r="H613" s="315">
        <f t="shared" si="129"/>
        <v>0</v>
      </c>
      <c r="I613" s="315">
        <f t="shared" si="129"/>
        <v>0</v>
      </c>
      <c r="J613" s="315">
        <f t="shared" si="128"/>
        <v>0</v>
      </c>
      <c r="K613" s="315">
        <f t="shared" si="128"/>
        <v>0</v>
      </c>
      <c r="L613" s="315">
        <f t="shared" si="128"/>
        <v>0</v>
      </c>
      <c r="M613" s="315">
        <f t="shared" si="128"/>
        <v>0</v>
      </c>
      <c r="N613" s="315">
        <f t="shared" si="128"/>
        <v>0</v>
      </c>
      <c r="O613" s="315">
        <f t="shared" si="128"/>
        <v>0</v>
      </c>
      <c r="P613" s="315">
        <f t="shared" si="128"/>
        <v>0</v>
      </c>
      <c r="Q613" s="315">
        <f t="shared" si="128"/>
        <v>0</v>
      </c>
      <c r="R613" s="315">
        <f t="shared" si="128"/>
        <v>0</v>
      </c>
      <c r="S613" s="315">
        <f t="shared" si="128"/>
        <v>0</v>
      </c>
      <c r="T613" s="315">
        <f t="shared" si="128"/>
        <v>0</v>
      </c>
      <c r="U613" s="315">
        <f t="shared" si="128"/>
        <v>0</v>
      </c>
      <c r="V613" s="315">
        <f t="shared" si="128"/>
        <v>0</v>
      </c>
      <c r="W613" s="315">
        <f t="shared" si="128"/>
        <v>0</v>
      </c>
      <c r="X613" s="315">
        <f t="shared" si="128"/>
        <v>0</v>
      </c>
      <c r="Y613" s="315">
        <f t="shared" si="128"/>
        <v>0</v>
      </c>
      <c r="Z613" s="315">
        <f t="shared" si="128"/>
        <v>0</v>
      </c>
      <c r="AA613" s="315">
        <f t="shared" si="128"/>
        <v>0</v>
      </c>
      <c r="AB613" s="315">
        <f t="shared" si="128"/>
        <v>0</v>
      </c>
      <c r="AC613" s="315">
        <f t="shared" si="128"/>
        <v>0</v>
      </c>
      <c r="AD613" s="315">
        <f t="shared" si="128"/>
        <v>0</v>
      </c>
      <c r="AE613" s="315">
        <f t="shared" si="128"/>
        <v>0</v>
      </c>
      <c r="AF613" s="315">
        <f t="shared" si="128"/>
        <v>0</v>
      </c>
      <c r="AG613" s="315">
        <f t="shared" si="128"/>
        <v>0</v>
      </c>
      <c r="AH613" s="315">
        <f t="shared" si="128"/>
        <v>0</v>
      </c>
      <c r="AI613" s="315">
        <f t="shared" si="128"/>
        <v>0</v>
      </c>
      <c r="AJ613" s="315">
        <f t="shared" si="128"/>
        <v>0</v>
      </c>
      <c r="AK613" s="315">
        <f t="shared" si="128"/>
        <v>0</v>
      </c>
      <c r="AL613" s="315">
        <f t="shared" si="128"/>
        <v>0</v>
      </c>
      <c r="AM613" s="315">
        <f t="shared" si="128"/>
        <v>0</v>
      </c>
      <c r="AN613" s="315">
        <f t="shared" si="128"/>
        <v>0</v>
      </c>
      <c r="AO613" s="315">
        <f t="shared" si="128"/>
        <v>0</v>
      </c>
      <c r="AP613" s="315">
        <f t="shared" si="128"/>
        <v>0</v>
      </c>
      <c r="AQ613" s="315">
        <f t="shared" si="128"/>
        <v>0</v>
      </c>
      <c r="AR613" s="315">
        <f t="shared" si="128"/>
        <v>0</v>
      </c>
      <c r="AS613" s="315">
        <f t="shared" si="128"/>
        <v>0</v>
      </c>
      <c r="AT613" s="315">
        <f t="shared" si="128"/>
        <v>0</v>
      </c>
      <c r="AU613" s="315">
        <f t="shared" si="128"/>
        <v>0</v>
      </c>
      <c r="AV613" s="315">
        <f t="shared" si="128"/>
        <v>0</v>
      </c>
      <c r="AW613" s="315">
        <f t="shared" si="128"/>
        <v>0</v>
      </c>
      <c r="AX613" s="315">
        <f t="shared" si="128"/>
        <v>0</v>
      </c>
      <c r="AY613" s="315">
        <f t="shared" si="128"/>
        <v>0</v>
      </c>
      <c r="AZ613" s="315">
        <f t="shared" si="128"/>
        <v>0</v>
      </c>
      <c r="BA613" s="315">
        <f t="shared" si="128"/>
        <v>0</v>
      </c>
      <c r="BB613" s="315">
        <f t="shared" si="128"/>
        <v>0</v>
      </c>
      <c r="BC613" s="315">
        <f t="shared" si="128"/>
        <v>0</v>
      </c>
      <c r="BD613" s="315">
        <f t="shared" si="128"/>
        <v>0</v>
      </c>
      <c r="BE613" s="315">
        <f t="shared" si="128"/>
        <v>0</v>
      </c>
      <c r="BF613" s="315">
        <f t="shared" si="128"/>
        <v>0</v>
      </c>
      <c r="BG613" s="315">
        <f t="shared" si="128"/>
        <v>0</v>
      </c>
      <c r="BH613" s="315">
        <f t="shared" si="128"/>
        <v>0</v>
      </c>
      <c r="BI613" s="315">
        <f t="shared" si="128"/>
        <v>0</v>
      </c>
      <c r="BJ613" s="315">
        <f t="shared" si="128"/>
        <v>0</v>
      </c>
      <c r="BK613" s="315">
        <f t="shared" si="128"/>
        <v>0</v>
      </c>
      <c r="BL613" s="315">
        <f t="shared" si="128"/>
        <v>0</v>
      </c>
      <c r="BM613" s="315">
        <f t="shared" si="128"/>
        <v>0</v>
      </c>
      <c r="BN613" s="315">
        <f t="shared" si="128"/>
        <v>0</v>
      </c>
      <c r="BO613" s="315">
        <f t="shared" si="128"/>
        <v>0</v>
      </c>
      <c r="BP613" s="315">
        <f t="shared" si="128"/>
        <v>0</v>
      </c>
      <c r="BQ613" s="315">
        <f t="shared" si="128"/>
        <v>0</v>
      </c>
      <c r="BR613" s="315">
        <f t="shared" si="126"/>
        <v>0</v>
      </c>
      <c r="BS613" s="315">
        <f t="shared" si="124"/>
        <v>0</v>
      </c>
      <c r="BT613" s="315">
        <f t="shared" si="124"/>
        <v>0</v>
      </c>
      <c r="BU613" s="315">
        <f t="shared" si="124"/>
        <v>0</v>
      </c>
      <c r="BV613" s="315">
        <f t="shared" si="124"/>
        <v>0</v>
      </c>
      <c r="BW613" s="315">
        <f t="shared" si="124"/>
        <v>0</v>
      </c>
      <c r="BX613" s="315">
        <f t="shared" si="124"/>
        <v>0</v>
      </c>
      <c r="BZ613" s="315">
        <f t="shared" si="125"/>
        <v>0</v>
      </c>
      <c r="CA613" s="315">
        <f t="shared" si="125"/>
        <v>0</v>
      </c>
    </row>
    <row r="614" spans="7:79" hidden="1" x14ac:dyDescent="0.2">
      <c r="G614" s="315">
        <f t="shared" ref="G614:BR618" si="130">G191-BY191</f>
        <v>0</v>
      </c>
      <c r="H614" s="315">
        <f t="shared" si="130"/>
        <v>0</v>
      </c>
      <c r="I614" s="315">
        <f t="shared" si="130"/>
        <v>0</v>
      </c>
      <c r="J614" s="315">
        <f t="shared" si="130"/>
        <v>0</v>
      </c>
      <c r="K614" s="315">
        <f t="shared" si="130"/>
        <v>0</v>
      </c>
      <c r="L614" s="315">
        <f t="shared" si="130"/>
        <v>0</v>
      </c>
      <c r="M614" s="315">
        <f t="shared" si="130"/>
        <v>0</v>
      </c>
      <c r="N614" s="315">
        <f t="shared" si="130"/>
        <v>0</v>
      </c>
      <c r="O614" s="315">
        <f t="shared" si="130"/>
        <v>0</v>
      </c>
      <c r="P614" s="315">
        <f t="shared" si="130"/>
        <v>0</v>
      </c>
      <c r="Q614" s="315">
        <f t="shared" si="130"/>
        <v>0</v>
      </c>
      <c r="R614" s="315">
        <f t="shared" si="130"/>
        <v>0</v>
      </c>
      <c r="S614" s="315">
        <f t="shared" si="130"/>
        <v>0</v>
      </c>
      <c r="T614" s="315">
        <f t="shared" si="130"/>
        <v>0</v>
      </c>
      <c r="U614" s="315">
        <f t="shared" si="130"/>
        <v>0</v>
      </c>
      <c r="V614" s="315">
        <f t="shared" si="130"/>
        <v>0</v>
      </c>
      <c r="W614" s="315">
        <f t="shared" si="130"/>
        <v>0</v>
      </c>
      <c r="X614" s="315">
        <f t="shared" si="130"/>
        <v>0</v>
      </c>
      <c r="Y614" s="315">
        <f t="shared" si="130"/>
        <v>0</v>
      </c>
      <c r="Z614" s="315">
        <f t="shared" si="130"/>
        <v>0</v>
      </c>
      <c r="AA614" s="315">
        <f t="shared" si="130"/>
        <v>0</v>
      </c>
      <c r="AB614" s="315">
        <f t="shared" si="130"/>
        <v>0</v>
      </c>
      <c r="AC614" s="315">
        <f t="shared" si="130"/>
        <v>0</v>
      </c>
      <c r="AD614" s="315">
        <f t="shared" si="130"/>
        <v>0</v>
      </c>
      <c r="AE614" s="315">
        <f t="shared" si="130"/>
        <v>0</v>
      </c>
      <c r="AF614" s="315">
        <f t="shared" si="130"/>
        <v>0</v>
      </c>
      <c r="AG614" s="315">
        <f t="shared" si="130"/>
        <v>0</v>
      </c>
      <c r="AH614" s="315">
        <f t="shared" si="130"/>
        <v>0</v>
      </c>
      <c r="AI614" s="315">
        <f t="shared" si="130"/>
        <v>0</v>
      </c>
      <c r="AJ614" s="315">
        <f t="shared" si="130"/>
        <v>0</v>
      </c>
      <c r="AK614" s="315">
        <f t="shared" si="130"/>
        <v>0</v>
      </c>
      <c r="AL614" s="315">
        <f t="shared" si="130"/>
        <v>0</v>
      </c>
      <c r="AM614" s="315">
        <f t="shared" si="130"/>
        <v>0</v>
      </c>
      <c r="AN614" s="315">
        <f t="shared" si="130"/>
        <v>0</v>
      </c>
      <c r="AO614" s="315">
        <f t="shared" si="130"/>
        <v>0</v>
      </c>
      <c r="AP614" s="315">
        <f t="shared" si="130"/>
        <v>0</v>
      </c>
      <c r="AQ614" s="315">
        <f t="shared" si="130"/>
        <v>0</v>
      </c>
      <c r="AR614" s="315">
        <f t="shared" si="130"/>
        <v>0</v>
      </c>
      <c r="AS614" s="315">
        <f t="shared" si="130"/>
        <v>0</v>
      </c>
      <c r="AT614" s="315">
        <f t="shared" si="130"/>
        <v>0</v>
      </c>
      <c r="AU614" s="315">
        <f t="shared" si="130"/>
        <v>0</v>
      </c>
      <c r="AV614" s="315">
        <f t="shared" si="130"/>
        <v>0</v>
      </c>
      <c r="AW614" s="315">
        <f t="shared" si="130"/>
        <v>0</v>
      </c>
      <c r="AX614" s="315">
        <f t="shared" si="130"/>
        <v>0</v>
      </c>
      <c r="AY614" s="315">
        <f t="shared" si="130"/>
        <v>0</v>
      </c>
      <c r="AZ614" s="315">
        <f t="shared" si="130"/>
        <v>0</v>
      </c>
      <c r="BA614" s="315">
        <f t="shared" si="130"/>
        <v>0</v>
      </c>
      <c r="BB614" s="315">
        <f t="shared" si="130"/>
        <v>0</v>
      </c>
      <c r="BC614" s="315">
        <f t="shared" si="130"/>
        <v>0</v>
      </c>
      <c r="BD614" s="315">
        <f t="shared" si="130"/>
        <v>0</v>
      </c>
      <c r="BE614" s="315">
        <f t="shared" si="130"/>
        <v>0</v>
      </c>
      <c r="BF614" s="315">
        <f t="shared" si="130"/>
        <v>0</v>
      </c>
      <c r="BG614" s="315">
        <f t="shared" si="130"/>
        <v>0</v>
      </c>
      <c r="BH614" s="315">
        <f t="shared" si="130"/>
        <v>0</v>
      </c>
      <c r="BI614" s="315">
        <f t="shared" si="130"/>
        <v>0</v>
      </c>
      <c r="BJ614" s="315">
        <f t="shared" si="130"/>
        <v>0</v>
      </c>
      <c r="BK614" s="315">
        <f t="shared" si="130"/>
        <v>0</v>
      </c>
      <c r="BL614" s="315">
        <f t="shared" si="130"/>
        <v>0</v>
      </c>
      <c r="BM614" s="315">
        <f t="shared" si="130"/>
        <v>0</v>
      </c>
      <c r="BN614" s="315">
        <f t="shared" si="130"/>
        <v>0</v>
      </c>
      <c r="BO614" s="315">
        <f t="shared" si="130"/>
        <v>0</v>
      </c>
      <c r="BP614" s="315">
        <f t="shared" si="130"/>
        <v>0</v>
      </c>
      <c r="BQ614" s="315">
        <f t="shared" si="130"/>
        <v>0</v>
      </c>
      <c r="BR614" s="315">
        <f t="shared" si="130"/>
        <v>0</v>
      </c>
      <c r="BS614" s="315">
        <f t="shared" ref="BO614:BX618" si="131">BS191-EK191</f>
        <v>0</v>
      </c>
      <c r="BT614" s="315">
        <f t="shared" si="131"/>
        <v>0</v>
      </c>
      <c r="BU614" s="315">
        <f t="shared" si="131"/>
        <v>0</v>
      </c>
      <c r="BV614" s="315">
        <f t="shared" si="131"/>
        <v>0</v>
      </c>
      <c r="BW614" s="315">
        <f t="shared" si="131"/>
        <v>0</v>
      </c>
      <c r="BX614" s="315">
        <f t="shared" si="131"/>
        <v>0</v>
      </c>
      <c r="BZ614" s="315">
        <f t="shared" ref="BZ614:CA618" si="132">BZ191-ER191</f>
        <v>0</v>
      </c>
      <c r="CA614" s="315">
        <f t="shared" si="132"/>
        <v>0</v>
      </c>
    </row>
    <row r="615" spans="7:79" hidden="1" x14ac:dyDescent="0.2">
      <c r="G615" s="315">
        <f t="shared" si="130"/>
        <v>0</v>
      </c>
      <c r="H615" s="315">
        <f t="shared" si="130"/>
        <v>0</v>
      </c>
      <c r="I615" s="315">
        <f t="shared" si="130"/>
        <v>0</v>
      </c>
      <c r="J615" s="315">
        <f t="shared" si="130"/>
        <v>0</v>
      </c>
      <c r="K615" s="315">
        <f t="shared" si="130"/>
        <v>0</v>
      </c>
      <c r="L615" s="315">
        <f t="shared" si="130"/>
        <v>0</v>
      </c>
      <c r="M615" s="315">
        <f t="shared" si="130"/>
        <v>0</v>
      </c>
      <c r="N615" s="315">
        <f t="shared" si="130"/>
        <v>0</v>
      </c>
      <c r="O615" s="315">
        <f t="shared" si="130"/>
        <v>0</v>
      </c>
      <c r="P615" s="315">
        <f t="shared" si="130"/>
        <v>0</v>
      </c>
      <c r="Q615" s="315">
        <f t="shared" si="130"/>
        <v>0</v>
      </c>
      <c r="R615" s="315">
        <f t="shared" si="130"/>
        <v>0</v>
      </c>
      <c r="S615" s="315">
        <f t="shared" si="130"/>
        <v>0</v>
      </c>
      <c r="T615" s="315">
        <f t="shared" si="130"/>
        <v>0</v>
      </c>
      <c r="U615" s="315">
        <f t="shared" si="130"/>
        <v>0</v>
      </c>
      <c r="V615" s="315">
        <f t="shared" si="130"/>
        <v>0</v>
      </c>
      <c r="W615" s="315">
        <f t="shared" si="130"/>
        <v>0</v>
      </c>
      <c r="X615" s="315">
        <f t="shared" si="130"/>
        <v>0</v>
      </c>
      <c r="Y615" s="315">
        <f t="shared" si="130"/>
        <v>0</v>
      </c>
      <c r="Z615" s="315">
        <f t="shared" si="130"/>
        <v>0</v>
      </c>
      <c r="AA615" s="315">
        <f t="shared" si="130"/>
        <v>0</v>
      </c>
      <c r="AB615" s="315">
        <f t="shared" si="130"/>
        <v>0</v>
      </c>
      <c r="AC615" s="315">
        <f t="shared" si="130"/>
        <v>0</v>
      </c>
      <c r="AD615" s="315">
        <f t="shared" si="130"/>
        <v>0</v>
      </c>
      <c r="AE615" s="315">
        <f t="shared" si="130"/>
        <v>0</v>
      </c>
      <c r="AF615" s="315">
        <f t="shared" si="130"/>
        <v>0</v>
      </c>
      <c r="AG615" s="315">
        <f t="shared" si="130"/>
        <v>0</v>
      </c>
      <c r="AH615" s="315">
        <f t="shared" si="130"/>
        <v>0</v>
      </c>
      <c r="AI615" s="315">
        <f t="shared" si="130"/>
        <v>0</v>
      </c>
      <c r="AJ615" s="315">
        <f t="shared" si="130"/>
        <v>0</v>
      </c>
      <c r="AK615" s="315">
        <f t="shared" si="130"/>
        <v>0</v>
      </c>
      <c r="AL615" s="315">
        <f t="shared" si="130"/>
        <v>0</v>
      </c>
      <c r="AM615" s="315">
        <f t="shared" si="130"/>
        <v>0</v>
      </c>
      <c r="AN615" s="315">
        <f t="shared" si="130"/>
        <v>0</v>
      </c>
      <c r="AO615" s="315">
        <f t="shared" si="130"/>
        <v>0</v>
      </c>
      <c r="AP615" s="315">
        <f t="shared" si="130"/>
        <v>0</v>
      </c>
      <c r="AQ615" s="315">
        <f t="shared" si="130"/>
        <v>0</v>
      </c>
      <c r="AR615" s="315">
        <f t="shared" si="130"/>
        <v>0</v>
      </c>
      <c r="AS615" s="315">
        <f t="shared" si="130"/>
        <v>0</v>
      </c>
      <c r="AT615" s="315">
        <f t="shared" si="130"/>
        <v>0</v>
      </c>
      <c r="AU615" s="315">
        <f t="shared" si="130"/>
        <v>0</v>
      </c>
      <c r="AV615" s="315">
        <f t="shared" si="130"/>
        <v>0</v>
      </c>
      <c r="AW615" s="315">
        <f t="shared" si="130"/>
        <v>0</v>
      </c>
      <c r="AX615" s="315">
        <f t="shared" si="130"/>
        <v>0</v>
      </c>
      <c r="AY615" s="315">
        <f t="shared" si="130"/>
        <v>0</v>
      </c>
      <c r="AZ615" s="315">
        <f t="shared" si="130"/>
        <v>0</v>
      </c>
      <c r="BA615" s="315">
        <f t="shared" si="130"/>
        <v>0</v>
      </c>
      <c r="BB615" s="315">
        <f t="shared" si="130"/>
        <v>0</v>
      </c>
      <c r="BC615" s="315">
        <f t="shared" si="130"/>
        <v>0</v>
      </c>
      <c r="BD615" s="315">
        <f t="shared" si="130"/>
        <v>0</v>
      </c>
      <c r="BE615" s="315">
        <f t="shared" si="130"/>
        <v>0</v>
      </c>
      <c r="BF615" s="315">
        <f t="shared" si="130"/>
        <v>0</v>
      </c>
      <c r="BG615" s="315">
        <f t="shared" si="130"/>
        <v>0</v>
      </c>
      <c r="BH615" s="315">
        <f t="shared" si="130"/>
        <v>0</v>
      </c>
      <c r="BI615" s="315">
        <f t="shared" si="130"/>
        <v>0</v>
      </c>
      <c r="BJ615" s="315">
        <f t="shared" si="130"/>
        <v>0</v>
      </c>
      <c r="BK615" s="315">
        <f t="shared" si="130"/>
        <v>0</v>
      </c>
      <c r="BL615" s="315">
        <f t="shared" si="130"/>
        <v>0</v>
      </c>
      <c r="BM615" s="315">
        <f t="shared" si="130"/>
        <v>0</v>
      </c>
      <c r="BN615" s="315">
        <f t="shared" si="130"/>
        <v>0</v>
      </c>
      <c r="BO615" s="315">
        <f t="shared" si="131"/>
        <v>0</v>
      </c>
      <c r="BP615" s="315">
        <f t="shared" si="131"/>
        <v>0</v>
      </c>
      <c r="BQ615" s="315">
        <f t="shared" si="131"/>
        <v>0</v>
      </c>
      <c r="BR615" s="315">
        <f t="shared" si="131"/>
        <v>0</v>
      </c>
      <c r="BS615" s="315">
        <f t="shared" si="131"/>
        <v>0</v>
      </c>
      <c r="BT615" s="315">
        <f t="shared" si="131"/>
        <v>0</v>
      </c>
      <c r="BU615" s="315">
        <f t="shared" si="131"/>
        <v>0</v>
      </c>
      <c r="BV615" s="315">
        <f t="shared" si="131"/>
        <v>0</v>
      </c>
      <c r="BW615" s="315">
        <f t="shared" si="131"/>
        <v>0</v>
      </c>
      <c r="BX615" s="315">
        <f t="shared" si="131"/>
        <v>0</v>
      </c>
      <c r="BZ615" s="315">
        <f t="shared" si="132"/>
        <v>0</v>
      </c>
      <c r="CA615" s="315">
        <f t="shared" si="132"/>
        <v>0</v>
      </c>
    </row>
    <row r="616" spans="7:79" hidden="1" x14ac:dyDescent="0.2">
      <c r="G616" s="315">
        <f t="shared" si="130"/>
        <v>0</v>
      </c>
      <c r="H616" s="315">
        <f t="shared" si="130"/>
        <v>0</v>
      </c>
      <c r="I616" s="315">
        <f t="shared" si="130"/>
        <v>0</v>
      </c>
      <c r="J616" s="315">
        <f t="shared" si="130"/>
        <v>0</v>
      </c>
      <c r="K616" s="315">
        <f t="shared" si="130"/>
        <v>0</v>
      </c>
      <c r="L616" s="315">
        <f t="shared" si="130"/>
        <v>0</v>
      </c>
      <c r="M616" s="315">
        <f t="shared" si="130"/>
        <v>0</v>
      </c>
      <c r="N616" s="315">
        <f t="shared" si="130"/>
        <v>0</v>
      </c>
      <c r="O616" s="315">
        <f t="shared" si="130"/>
        <v>0</v>
      </c>
      <c r="P616" s="315">
        <f t="shared" si="130"/>
        <v>0</v>
      </c>
      <c r="Q616" s="315">
        <f t="shared" si="130"/>
        <v>0</v>
      </c>
      <c r="R616" s="315">
        <f t="shared" si="130"/>
        <v>0</v>
      </c>
      <c r="S616" s="315">
        <f t="shared" si="130"/>
        <v>0</v>
      </c>
      <c r="T616" s="315">
        <f t="shared" si="130"/>
        <v>0</v>
      </c>
      <c r="U616" s="315">
        <f t="shared" si="130"/>
        <v>0</v>
      </c>
      <c r="V616" s="315">
        <f t="shared" si="130"/>
        <v>0</v>
      </c>
      <c r="W616" s="315">
        <f t="shared" si="130"/>
        <v>0</v>
      </c>
      <c r="X616" s="315">
        <f t="shared" si="130"/>
        <v>0</v>
      </c>
      <c r="Y616" s="315">
        <f t="shared" si="130"/>
        <v>0</v>
      </c>
      <c r="Z616" s="315">
        <f t="shared" si="130"/>
        <v>0</v>
      </c>
      <c r="AA616" s="315">
        <f t="shared" si="130"/>
        <v>0</v>
      </c>
      <c r="AB616" s="315">
        <f t="shared" si="130"/>
        <v>0</v>
      </c>
      <c r="AC616" s="315">
        <f t="shared" si="130"/>
        <v>0</v>
      </c>
      <c r="AD616" s="315">
        <f t="shared" si="130"/>
        <v>0</v>
      </c>
      <c r="AE616" s="315">
        <f t="shared" si="130"/>
        <v>0</v>
      </c>
      <c r="AF616" s="315">
        <f t="shared" si="130"/>
        <v>0</v>
      </c>
      <c r="AG616" s="315">
        <f t="shared" si="130"/>
        <v>0</v>
      </c>
      <c r="AH616" s="315">
        <f t="shared" si="130"/>
        <v>0</v>
      </c>
      <c r="AI616" s="315">
        <f t="shared" si="130"/>
        <v>0</v>
      </c>
      <c r="AJ616" s="315">
        <f t="shared" si="130"/>
        <v>0</v>
      </c>
      <c r="AK616" s="315">
        <f t="shared" si="130"/>
        <v>0</v>
      </c>
      <c r="AL616" s="315">
        <f t="shared" si="130"/>
        <v>0</v>
      </c>
      <c r="AM616" s="315">
        <f t="shared" si="130"/>
        <v>0</v>
      </c>
      <c r="AN616" s="315">
        <f t="shared" si="130"/>
        <v>0</v>
      </c>
      <c r="AO616" s="315">
        <f t="shared" si="130"/>
        <v>0</v>
      </c>
      <c r="AP616" s="315">
        <f t="shared" si="130"/>
        <v>0</v>
      </c>
      <c r="AQ616" s="315">
        <f t="shared" si="130"/>
        <v>0</v>
      </c>
      <c r="AR616" s="315">
        <f t="shared" si="130"/>
        <v>0</v>
      </c>
      <c r="AS616" s="315">
        <f t="shared" si="130"/>
        <v>0</v>
      </c>
      <c r="AT616" s="315">
        <f t="shared" si="130"/>
        <v>0</v>
      </c>
      <c r="AU616" s="315">
        <f t="shared" si="130"/>
        <v>0</v>
      </c>
      <c r="AV616" s="315">
        <f t="shared" si="130"/>
        <v>0</v>
      </c>
      <c r="AW616" s="315">
        <f t="shared" si="130"/>
        <v>0</v>
      </c>
      <c r="AX616" s="315">
        <f t="shared" si="130"/>
        <v>0</v>
      </c>
      <c r="AY616" s="315">
        <f t="shared" si="130"/>
        <v>0</v>
      </c>
      <c r="AZ616" s="315">
        <f t="shared" si="130"/>
        <v>0</v>
      </c>
      <c r="BA616" s="315">
        <f t="shared" si="130"/>
        <v>0</v>
      </c>
      <c r="BB616" s="315">
        <f t="shared" si="130"/>
        <v>0</v>
      </c>
      <c r="BC616" s="315">
        <f t="shared" si="130"/>
        <v>0</v>
      </c>
      <c r="BD616" s="315">
        <f t="shared" si="130"/>
        <v>0</v>
      </c>
      <c r="BE616" s="315">
        <f t="shared" si="130"/>
        <v>0</v>
      </c>
      <c r="BF616" s="315">
        <f t="shared" si="130"/>
        <v>0</v>
      </c>
      <c r="BG616" s="315">
        <f t="shared" si="130"/>
        <v>0</v>
      </c>
      <c r="BH616" s="315">
        <f t="shared" si="130"/>
        <v>0</v>
      </c>
      <c r="BI616" s="315">
        <f t="shared" si="130"/>
        <v>0</v>
      </c>
      <c r="BJ616" s="315">
        <f t="shared" si="130"/>
        <v>0</v>
      </c>
      <c r="BK616" s="315">
        <f t="shared" si="130"/>
        <v>0</v>
      </c>
      <c r="BL616" s="315">
        <f t="shared" si="130"/>
        <v>0</v>
      </c>
      <c r="BM616" s="315">
        <f t="shared" si="130"/>
        <v>0</v>
      </c>
      <c r="BN616" s="315">
        <f t="shared" si="130"/>
        <v>0</v>
      </c>
      <c r="BO616" s="315">
        <f t="shared" si="131"/>
        <v>0</v>
      </c>
      <c r="BP616" s="315">
        <f t="shared" si="131"/>
        <v>0</v>
      </c>
      <c r="BQ616" s="315">
        <f t="shared" si="131"/>
        <v>0</v>
      </c>
      <c r="BR616" s="315">
        <f t="shared" si="131"/>
        <v>0</v>
      </c>
      <c r="BS616" s="315">
        <f t="shared" si="131"/>
        <v>0</v>
      </c>
      <c r="BT616" s="315">
        <f t="shared" si="131"/>
        <v>0</v>
      </c>
      <c r="BU616" s="315">
        <f t="shared" si="131"/>
        <v>0</v>
      </c>
      <c r="BV616" s="315">
        <f t="shared" si="131"/>
        <v>0</v>
      </c>
      <c r="BW616" s="315">
        <f t="shared" si="131"/>
        <v>0</v>
      </c>
      <c r="BX616" s="315">
        <f t="shared" si="131"/>
        <v>0</v>
      </c>
      <c r="BZ616" s="315">
        <f t="shared" si="132"/>
        <v>0</v>
      </c>
      <c r="CA616" s="315">
        <f t="shared" si="132"/>
        <v>0</v>
      </c>
    </row>
    <row r="617" spans="7:79" hidden="1" x14ac:dyDescent="0.2">
      <c r="G617" s="315">
        <f t="shared" si="130"/>
        <v>0</v>
      </c>
      <c r="H617" s="315">
        <f t="shared" si="130"/>
        <v>0</v>
      </c>
      <c r="I617" s="315">
        <f t="shared" si="130"/>
        <v>0</v>
      </c>
      <c r="J617" s="315">
        <f t="shared" si="130"/>
        <v>0</v>
      </c>
      <c r="K617" s="315">
        <f t="shared" si="130"/>
        <v>0</v>
      </c>
      <c r="L617" s="315">
        <f t="shared" si="130"/>
        <v>0</v>
      </c>
      <c r="M617" s="315">
        <f t="shared" si="130"/>
        <v>0</v>
      </c>
      <c r="N617" s="315">
        <f t="shared" si="130"/>
        <v>0</v>
      </c>
      <c r="O617" s="315">
        <f t="shared" si="130"/>
        <v>0</v>
      </c>
      <c r="P617" s="315">
        <f t="shared" si="130"/>
        <v>0</v>
      </c>
      <c r="Q617" s="315">
        <f t="shared" si="130"/>
        <v>0</v>
      </c>
      <c r="R617" s="315">
        <f t="shared" si="130"/>
        <v>0</v>
      </c>
      <c r="S617" s="315">
        <f t="shared" si="130"/>
        <v>0</v>
      </c>
      <c r="T617" s="315">
        <f t="shared" si="130"/>
        <v>0</v>
      </c>
      <c r="U617" s="315">
        <f t="shared" si="130"/>
        <v>0</v>
      </c>
      <c r="V617" s="315">
        <f t="shared" si="130"/>
        <v>0</v>
      </c>
      <c r="W617" s="315">
        <f t="shared" si="130"/>
        <v>0</v>
      </c>
      <c r="X617" s="315">
        <f t="shared" si="130"/>
        <v>0</v>
      </c>
      <c r="Y617" s="315">
        <f t="shared" si="130"/>
        <v>0</v>
      </c>
      <c r="Z617" s="315">
        <f t="shared" si="130"/>
        <v>0</v>
      </c>
      <c r="AA617" s="315">
        <f t="shared" si="130"/>
        <v>0</v>
      </c>
      <c r="AB617" s="315">
        <f t="shared" si="130"/>
        <v>0</v>
      </c>
      <c r="AC617" s="315">
        <f t="shared" si="130"/>
        <v>0</v>
      </c>
      <c r="AD617" s="315">
        <f t="shared" si="130"/>
        <v>0</v>
      </c>
      <c r="AE617" s="315">
        <f t="shared" si="130"/>
        <v>0</v>
      </c>
      <c r="AF617" s="315">
        <f t="shared" si="130"/>
        <v>0</v>
      </c>
      <c r="AG617" s="315">
        <f t="shared" si="130"/>
        <v>0</v>
      </c>
      <c r="AH617" s="315">
        <f t="shared" si="130"/>
        <v>0</v>
      </c>
      <c r="AI617" s="315">
        <f t="shared" si="130"/>
        <v>0</v>
      </c>
      <c r="AJ617" s="315">
        <f t="shared" si="130"/>
        <v>0</v>
      </c>
      <c r="AK617" s="315">
        <f t="shared" si="130"/>
        <v>0</v>
      </c>
      <c r="AL617" s="315">
        <f t="shared" si="130"/>
        <v>0</v>
      </c>
      <c r="AM617" s="315">
        <f t="shared" si="130"/>
        <v>0</v>
      </c>
      <c r="AN617" s="315">
        <f t="shared" si="130"/>
        <v>0</v>
      </c>
      <c r="AO617" s="315">
        <f t="shared" si="130"/>
        <v>0</v>
      </c>
      <c r="AP617" s="315">
        <f t="shared" si="130"/>
        <v>0</v>
      </c>
      <c r="AQ617" s="315">
        <f t="shared" si="130"/>
        <v>0</v>
      </c>
      <c r="AR617" s="315">
        <f t="shared" si="130"/>
        <v>0</v>
      </c>
      <c r="AS617" s="315">
        <f t="shared" si="130"/>
        <v>0</v>
      </c>
      <c r="AT617" s="315">
        <f t="shared" si="130"/>
        <v>0</v>
      </c>
      <c r="AU617" s="315">
        <f t="shared" si="130"/>
        <v>0</v>
      </c>
      <c r="AV617" s="315">
        <f t="shared" si="130"/>
        <v>0</v>
      </c>
      <c r="AW617" s="315">
        <f t="shared" si="130"/>
        <v>0</v>
      </c>
      <c r="AX617" s="315">
        <f t="shared" si="130"/>
        <v>0</v>
      </c>
      <c r="AY617" s="315">
        <f t="shared" si="130"/>
        <v>0</v>
      </c>
      <c r="AZ617" s="315">
        <f t="shared" si="130"/>
        <v>0</v>
      </c>
      <c r="BA617" s="315">
        <f t="shared" si="130"/>
        <v>0</v>
      </c>
      <c r="BB617" s="315">
        <f t="shared" si="130"/>
        <v>0</v>
      </c>
      <c r="BC617" s="315">
        <f t="shared" si="130"/>
        <v>0</v>
      </c>
      <c r="BD617" s="315">
        <f t="shared" si="130"/>
        <v>0</v>
      </c>
      <c r="BE617" s="315">
        <f t="shared" si="130"/>
        <v>0</v>
      </c>
      <c r="BF617" s="315">
        <f t="shared" si="130"/>
        <v>0</v>
      </c>
      <c r="BG617" s="315">
        <f t="shared" si="130"/>
        <v>0</v>
      </c>
      <c r="BH617" s="315">
        <f t="shared" si="130"/>
        <v>0</v>
      </c>
      <c r="BI617" s="315">
        <f t="shared" si="130"/>
        <v>0</v>
      </c>
      <c r="BJ617" s="315">
        <f t="shared" si="130"/>
        <v>0</v>
      </c>
      <c r="BK617" s="315">
        <f t="shared" si="130"/>
        <v>0</v>
      </c>
      <c r="BL617" s="315">
        <f t="shared" si="130"/>
        <v>0</v>
      </c>
      <c r="BM617" s="315">
        <f t="shared" si="130"/>
        <v>0</v>
      </c>
      <c r="BN617" s="315">
        <f t="shared" si="130"/>
        <v>0</v>
      </c>
      <c r="BO617" s="315">
        <f t="shared" si="131"/>
        <v>0</v>
      </c>
      <c r="BP617" s="315">
        <f t="shared" si="131"/>
        <v>0</v>
      </c>
      <c r="BQ617" s="315">
        <f t="shared" si="131"/>
        <v>0</v>
      </c>
      <c r="BR617" s="315">
        <f t="shared" si="131"/>
        <v>0</v>
      </c>
      <c r="BS617" s="315">
        <f t="shared" si="131"/>
        <v>0</v>
      </c>
      <c r="BT617" s="315">
        <f t="shared" si="131"/>
        <v>0</v>
      </c>
      <c r="BU617" s="315">
        <f t="shared" si="131"/>
        <v>0</v>
      </c>
      <c r="BV617" s="315">
        <f t="shared" si="131"/>
        <v>0</v>
      </c>
      <c r="BW617" s="315">
        <f t="shared" si="131"/>
        <v>0</v>
      </c>
      <c r="BX617" s="315">
        <f t="shared" si="131"/>
        <v>0</v>
      </c>
      <c r="BZ617" s="315">
        <f t="shared" si="132"/>
        <v>0</v>
      </c>
      <c r="CA617" s="315">
        <f t="shared" si="132"/>
        <v>0</v>
      </c>
    </row>
    <row r="618" spans="7:79" hidden="1" x14ac:dyDescent="0.2">
      <c r="G618" s="315">
        <f t="shared" si="130"/>
        <v>0</v>
      </c>
      <c r="H618" s="315">
        <f t="shared" si="130"/>
        <v>0</v>
      </c>
      <c r="I618" s="315">
        <f t="shared" si="130"/>
        <v>0</v>
      </c>
      <c r="J618" s="315">
        <f t="shared" si="130"/>
        <v>0</v>
      </c>
      <c r="K618" s="315">
        <f t="shared" si="130"/>
        <v>0</v>
      </c>
      <c r="L618" s="315">
        <f t="shared" si="130"/>
        <v>0</v>
      </c>
      <c r="M618" s="315">
        <f t="shared" si="130"/>
        <v>0</v>
      </c>
      <c r="N618" s="315">
        <f t="shared" si="130"/>
        <v>0</v>
      </c>
      <c r="O618" s="315">
        <f t="shared" si="130"/>
        <v>0</v>
      </c>
      <c r="P618" s="315">
        <f t="shared" si="130"/>
        <v>0</v>
      </c>
      <c r="Q618" s="315">
        <f t="shared" si="130"/>
        <v>0</v>
      </c>
      <c r="R618" s="315">
        <f t="shared" ref="R618:BN618" si="133">R195-CJ195</f>
        <v>0</v>
      </c>
      <c r="S618" s="315">
        <f t="shared" si="133"/>
        <v>0</v>
      </c>
      <c r="T618" s="315">
        <f t="shared" si="133"/>
        <v>0</v>
      </c>
      <c r="U618" s="315">
        <f t="shared" si="133"/>
        <v>0</v>
      </c>
      <c r="V618" s="315">
        <f t="shared" si="133"/>
        <v>0</v>
      </c>
      <c r="W618" s="315">
        <f t="shared" si="133"/>
        <v>0</v>
      </c>
      <c r="X618" s="315">
        <f t="shared" si="133"/>
        <v>0</v>
      </c>
      <c r="Y618" s="315">
        <f t="shared" si="133"/>
        <v>0</v>
      </c>
      <c r="Z618" s="315">
        <f t="shared" si="133"/>
        <v>0</v>
      </c>
      <c r="AA618" s="315">
        <f t="shared" si="133"/>
        <v>0</v>
      </c>
      <c r="AB618" s="315">
        <f t="shared" si="133"/>
        <v>0</v>
      </c>
      <c r="AC618" s="315">
        <f t="shared" si="133"/>
        <v>0</v>
      </c>
      <c r="AD618" s="315">
        <f t="shared" si="133"/>
        <v>0</v>
      </c>
      <c r="AE618" s="315">
        <f t="shared" si="133"/>
        <v>0</v>
      </c>
      <c r="AF618" s="315">
        <f t="shared" si="133"/>
        <v>0</v>
      </c>
      <c r="AG618" s="315">
        <f t="shared" si="133"/>
        <v>0</v>
      </c>
      <c r="AH618" s="315">
        <f t="shared" si="133"/>
        <v>0</v>
      </c>
      <c r="AI618" s="315">
        <f t="shared" si="133"/>
        <v>0</v>
      </c>
      <c r="AJ618" s="315">
        <f t="shared" si="133"/>
        <v>0</v>
      </c>
      <c r="AK618" s="315">
        <f t="shared" si="133"/>
        <v>0</v>
      </c>
      <c r="AL618" s="315">
        <f t="shared" si="133"/>
        <v>0</v>
      </c>
      <c r="AM618" s="315">
        <f t="shared" si="133"/>
        <v>0</v>
      </c>
      <c r="AN618" s="315">
        <f t="shared" si="133"/>
        <v>0</v>
      </c>
      <c r="AO618" s="315">
        <f t="shared" si="133"/>
        <v>0</v>
      </c>
      <c r="AP618" s="315">
        <f t="shared" si="133"/>
        <v>0</v>
      </c>
      <c r="AQ618" s="315">
        <f t="shared" si="133"/>
        <v>0</v>
      </c>
      <c r="AR618" s="315">
        <f t="shared" si="133"/>
        <v>0</v>
      </c>
      <c r="AS618" s="315">
        <f t="shared" si="133"/>
        <v>0</v>
      </c>
      <c r="AT618" s="315">
        <f t="shared" si="133"/>
        <v>0</v>
      </c>
      <c r="AU618" s="315">
        <f t="shared" si="133"/>
        <v>0</v>
      </c>
      <c r="AV618" s="315">
        <f t="shared" si="133"/>
        <v>0</v>
      </c>
      <c r="AW618" s="315">
        <f t="shared" si="133"/>
        <v>0</v>
      </c>
      <c r="AX618" s="315">
        <f t="shared" si="133"/>
        <v>0</v>
      </c>
      <c r="AY618" s="315">
        <f t="shared" si="133"/>
        <v>0</v>
      </c>
      <c r="AZ618" s="315">
        <f t="shared" si="133"/>
        <v>0</v>
      </c>
      <c r="BA618" s="315">
        <f t="shared" si="133"/>
        <v>0</v>
      </c>
      <c r="BB618" s="315">
        <f t="shared" si="133"/>
        <v>0</v>
      </c>
      <c r="BC618" s="315">
        <f t="shared" si="133"/>
        <v>0</v>
      </c>
      <c r="BD618" s="315">
        <f t="shared" si="133"/>
        <v>0</v>
      </c>
      <c r="BE618" s="315">
        <f t="shared" si="133"/>
        <v>0</v>
      </c>
      <c r="BF618" s="315">
        <f t="shared" si="133"/>
        <v>0</v>
      </c>
      <c r="BG618" s="315">
        <f t="shared" si="133"/>
        <v>0</v>
      </c>
      <c r="BH618" s="315">
        <f t="shared" si="133"/>
        <v>0</v>
      </c>
      <c r="BI618" s="315">
        <f t="shared" si="133"/>
        <v>0</v>
      </c>
      <c r="BJ618" s="315">
        <f t="shared" si="133"/>
        <v>0</v>
      </c>
      <c r="BK618" s="315">
        <f t="shared" si="133"/>
        <v>0</v>
      </c>
      <c r="BL618" s="315">
        <f t="shared" si="133"/>
        <v>0</v>
      </c>
      <c r="BM618" s="315">
        <f t="shared" si="133"/>
        <v>0</v>
      </c>
      <c r="BN618" s="315">
        <f t="shared" si="133"/>
        <v>0</v>
      </c>
      <c r="BO618" s="315">
        <f t="shared" si="131"/>
        <v>0</v>
      </c>
      <c r="BP618" s="315">
        <f t="shared" si="131"/>
        <v>0</v>
      </c>
      <c r="BQ618" s="315">
        <f t="shared" si="131"/>
        <v>0</v>
      </c>
      <c r="BR618" s="315">
        <f t="shared" si="131"/>
        <v>0</v>
      </c>
      <c r="BS618" s="315">
        <f t="shared" si="131"/>
        <v>0</v>
      </c>
      <c r="BT618" s="315">
        <f t="shared" si="131"/>
        <v>0</v>
      </c>
      <c r="BU618" s="315">
        <f t="shared" si="131"/>
        <v>0</v>
      </c>
      <c r="BV618" s="315">
        <f t="shared" si="131"/>
        <v>0</v>
      </c>
      <c r="BW618" s="315">
        <f t="shared" si="131"/>
        <v>0</v>
      </c>
      <c r="BX618" s="315">
        <f t="shared" si="131"/>
        <v>0</v>
      </c>
      <c r="BZ618" s="315">
        <f t="shared" si="132"/>
        <v>0</v>
      </c>
      <c r="CA618" s="315">
        <f t="shared" si="132"/>
        <v>0</v>
      </c>
    </row>
    <row r="619" spans="7:79" hidden="1" x14ac:dyDescent="0.2">
      <c r="G619" s="315">
        <f t="shared" ref="G619:BR622" si="134">G197-BY197</f>
        <v>0</v>
      </c>
      <c r="H619" s="315">
        <f t="shared" si="134"/>
        <v>0</v>
      </c>
      <c r="I619" s="315">
        <f t="shared" si="134"/>
        <v>0</v>
      </c>
      <c r="J619" s="315">
        <f t="shared" si="134"/>
        <v>0</v>
      </c>
      <c r="K619" s="315">
        <f t="shared" si="134"/>
        <v>0</v>
      </c>
      <c r="L619" s="315">
        <f t="shared" si="134"/>
        <v>0</v>
      </c>
      <c r="M619" s="315">
        <f t="shared" si="134"/>
        <v>0</v>
      </c>
      <c r="N619" s="315">
        <f t="shared" si="134"/>
        <v>0</v>
      </c>
      <c r="O619" s="315">
        <f t="shared" si="134"/>
        <v>0</v>
      </c>
      <c r="P619" s="315">
        <f t="shared" si="134"/>
        <v>0</v>
      </c>
      <c r="Q619" s="315">
        <f t="shared" si="134"/>
        <v>0</v>
      </c>
      <c r="R619" s="315">
        <f t="shared" si="134"/>
        <v>0</v>
      </c>
      <c r="S619" s="315">
        <f t="shared" si="134"/>
        <v>0</v>
      </c>
      <c r="T619" s="315">
        <f t="shared" si="134"/>
        <v>0</v>
      </c>
      <c r="U619" s="315">
        <f t="shared" si="134"/>
        <v>0</v>
      </c>
      <c r="V619" s="315">
        <f t="shared" si="134"/>
        <v>0</v>
      </c>
      <c r="W619" s="315">
        <f t="shared" si="134"/>
        <v>0</v>
      </c>
      <c r="X619" s="315">
        <f t="shared" si="134"/>
        <v>0</v>
      </c>
      <c r="Y619" s="315">
        <f t="shared" si="134"/>
        <v>0</v>
      </c>
      <c r="Z619" s="315">
        <f t="shared" si="134"/>
        <v>0</v>
      </c>
      <c r="AA619" s="315">
        <f t="shared" si="134"/>
        <v>0</v>
      </c>
      <c r="AB619" s="315">
        <f t="shared" si="134"/>
        <v>0</v>
      </c>
      <c r="AC619" s="315">
        <f t="shared" si="134"/>
        <v>0</v>
      </c>
      <c r="AD619" s="315">
        <f t="shared" si="134"/>
        <v>0</v>
      </c>
      <c r="AE619" s="315">
        <f t="shared" si="134"/>
        <v>0</v>
      </c>
      <c r="AF619" s="315">
        <f t="shared" si="134"/>
        <v>0</v>
      </c>
      <c r="AG619" s="315">
        <f t="shared" si="134"/>
        <v>0</v>
      </c>
      <c r="AH619" s="315">
        <f t="shared" si="134"/>
        <v>0</v>
      </c>
      <c r="AI619" s="315">
        <f t="shared" si="134"/>
        <v>0</v>
      </c>
      <c r="AJ619" s="315">
        <f t="shared" si="134"/>
        <v>0</v>
      </c>
      <c r="AK619" s="315">
        <f t="shared" si="134"/>
        <v>0</v>
      </c>
      <c r="AL619" s="315">
        <f t="shared" si="134"/>
        <v>0</v>
      </c>
      <c r="AM619" s="315">
        <f t="shared" si="134"/>
        <v>0</v>
      </c>
      <c r="AN619" s="315">
        <f t="shared" si="134"/>
        <v>0</v>
      </c>
      <c r="AO619" s="315">
        <f t="shared" si="134"/>
        <v>0</v>
      </c>
      <c r="AP619" s="315">
        <f t="shared" si="134"/>
        <v>0</v>
      </c>
      <c r="AQ619" s="315">
        <f t="shared" si="134"/>
        <v>0</v>
      </c>
      <c r="AR619" s="315">
        <f t="shared" si="134"/>
        <v>0</v>
      </c>
      <c r="AS619" s="315">
        <f t="shared" si="134"/>
        <v>0</v>
      </c>
      <c r="AT619" s="315">
        <f t="shared" si="134"/>
        <v>0</v>
      </c>
      <c r="AU619" s="315">
        <f t="shared" si="134"/>
        <v>0</v>
      </c>
      <c r="AV619" s="315">
        <f t="shared" si="134"/>
        <v>0</v>
      </c>
      <c r="AW619" s="315">
        <f t="shared" si="134"/>
        <v>0</v>
      </c>
      <c r="AX619" s="315">
        <f t="shared" si="134"/>
        <v>0</v>
      </c>
      <c r="AY619" s="315">
        <f t="shared" si="134"/>
        <v>0</v>
      </c>
      <c r="AZ619" s="315">
        <f t="shared" si="134"/>
        <v>0</v>
      </c>
      <c r="BA619" s="315">
        <f t="shared" si="134"/>
        <v>0</v>
      </c>
      <c r="BB619" s="315">
        <f t="shared" si="134"/>
        <v>0</v>
      </c>
      <c r="BC619" s="315">
        <f t="shared" si="134"/>
        <v>0</v>
      </c>
      <c r="BD619" s="315">
        <f t="shared" si="134"/>
        <v>0</v>
      </c>
      <c r="BE619" s="315">
        <f t="shared" si="134"/>
        <v>0</v>
      </c>
      <c r="BF619" s="315">
        <f t="shared" si="134"/>
        <v>0</v>
      </c>
      <c r="BG619" s="315">
        <f t="shared" si="134"/>
        <v>0</v>
      </c>
      <c r="BH619" s="315">
        <f t="shared" si="134"/>
        <v>0</v>
      </c>
      <c r="BI619" s="315">
        <f t="shared" si="134"/>
        <v>0</v>
      </c>
      <c r="BJ619" s="315">
        <f t="shared" si="134"/>
        <v>0</v>
      </c>
      <c r="BK619" s="315">
        <f t="shared" si="134"/>
        <v>0</v>
      </c>
      <c r="BL619" s="315">
        <f t="shared" si="134"/>
        <v>0</v>
      </c>
      <c r="BM619" s="315">
        <f t="shared" si="134"/>
        <v>0</v>
      </c>
      <c r="BN619" s="315">
        <f t="shared" si="134"/>
        <v>0</v>
      </c>
      <c r="BO619" s="315">
        <f t="shared" si="134"/>
        <v>0</v>
      </c>
      <c r="BP619" s="315">
        <f t="shared" si="134"/>
        <v>0</v>
      </c>
      <c r="BQ619" s="315">
        <f t="shared" si="134"/>
        <v>0</v>
      </c>
      <c r="BR619" s="315">
        <f t="shared" si="134"/>
        <v>0</v>
      </c>
      <c r="BS619" s="315">
        <f t="shared" ref="BS619:BX629" si="135">BS197-EK197</f>
        <v>0</v>
      </c>
      <c r="BT619" s="315">
        <f t="shared" si="135"/>
        <v>0</v>
      </c>
      <c r="BU619" s="315">
        <f t="shared" si="135"/>
        <v>0</v>
      </c>
      <c r="BV619" s="315">
        <f t="shared" si="135"/>
        <v>0</v>
      </c>
      <c r="BW619" s="315">
        <f t="shared" si="135"/>
        <v>0</v>
      </c>
      <c r="BX619" s="315">
        <f t="shared" si="135"/>
        <v>0</v>
      </c>
      <c r="BZ619" s="315">
        <f t="shared" ref="BZ619:CA629" si="136">BZ197-ER197</f>
        <v>0</v>
      </c>
      <c r="CA619" s="315">
        <f t="shared" si="136"/>
        <v>0</v>
      </c>
    </row>
    <row r="620" spans="7:79" hidden="1" x14ac:dyDescent="0.2">
      <c r="G620" s="315">
        <f t="shared" si="134"/>
        <v>0</v>
      </c>
      <c r="H620" s="315">
        <f t="shared" si="134"/>
        <v>0</v>
      </c>
      <c r="I620" s="315">
        <f t="shared" si="134"/>
        <v>0</v>
      </c>
      <c r="J620" s="315">
        <f t="shared" si="134"/>
        <v>0</v>
      </c>
      <c r="K620" s="315">
        <f t="shared" si="134"/>
        <v>0</v>
      </c>
      <c r="L620" s="315">
        <f t="shared" si="134"/>
        <v>0</v>
      </c>
      <c r="M620" s="315">
        <f t="shared" si="134"/>
        <v>0</v>
      </c>
      <c r="N620" s="315">
        <f t="shared" si="134"/>
        <v>0</v>
      </c>
      <c r="O620" s="315">
        <f t="shared" si="134"/>
        <v>0</v>
      </c>
      <c r="P620" s="315">
        <f t="shared" si="134"/>
        <v>0</v>
      </c>
      <c r="Q620" s="315">
        <f t="shared" si="134"/>
        <v>0</v>
      </c>
      <c r="R620" s="315">
        <f t="shared" si="134"/>
        <v>0</v>
      </c>
      <c r="S620" s="315">
        <f t="shared" si="134"/>
        <v>0</v>
      </c>
      <c r="T620" s="315">
        <f t="shared" si="134"/>
        <v>0</v>
      </c>
      <c r="U620" s="315">
        <f t="shared" si="134"/>
        <v>0</v>
      </c>
      <c r="V620" s="315">
        <f t="shared" si="134"/>
        <v>0</v>
      </c>
      <c r="W620" s="315">
        <f t="shared" si="134"/>
        <v>0</v>
      </c>
      <c r="X620" s="315">
        <f t="shared" si="134"/>
        <v>0</v>
      </c>
      <c r="Y620" s="315">
        <f t="shared" si="134"/>
        <v>0</v>
      </c>
      <c r="Z620" s="315">
        <f t="shared" si="134"/>
        <v>0</v>
      </c>
      <c r="AA620" s="315">
        <f t="shared" si="134"/>
        <v>0</v>
      </c>
      <c r="AB620" s="315">
        <f t="shared" si="134"/>
        <v>0</v>
      </c>
      <c r="AC620" s="315">
        <f t="shared" si="134"/>
        <v>0</v>
      </c>
      <c r="AD620" s="315">
        <f t="shared" si="134"/>
        <v>0</v>
      </c>
      <c r="AE620" s="315">
        <f t="shared" si="134"/>
        <v>0</v>
      </c>
      <c r="AF620" s="315">
        <f t="shared" si="134"/>
        <v>0</v>
      </c>
      <c r="AG620" s="315">
        <f t="shared" si="134"/>
        <v>0</v>
      </c>
      <c r="AH620" s="315">
        <f t="shared" si="134"/>
        <v>0</v>
      </c>
      <c r="AI620" s="315">
        <f t="shared" si="134"/>
        <v>0</v>
      </c>
      <c r="AJ620" s="315">
        <f t="shared" si="134"/>
        <v>0</v>
      </c>
      <c r="AK620" s="315">
        <f t="shared" si="134"/>
        <v>0</v>
      </c>
      <c r="AL620" s="315">
        <f t="shared" si="134"/>
        <v>0</v>
      </c>
      <c r="AM620" s="315">
        <f t="shared" si="134"/>
        <v>0</v>
      </c>
      <c r="AN620" s="315">
        <f t="shared" si="134"/>
        <v>0</v>
      </c>
      <c r="AO620" s="315">
        <f t="shared" si="134"/>
        <v>0</v>
      </c>
      <c r="AP620" s="315">
        <f t="shared" si="134"/>
        <v>0</v>
      </c>
      <c r="AQ620" s="315">
        <f t="shared" si="134"/>
        <v>0</v>
      </c>
      <c r="AR620" s="315">
        <f t="shared" si="134"/>
        <v>0</v>
      </c>
      <c r="AS620" s="315">
        <f t="shared" si="134"/>
        <v>0</v>
      </c>
      <c r="AT620" s="315">
        <f t="shared" si="134"/>
        <v>0</v>
      </c>
      <c r="AU620" s="315">
        <f t="shared" si="134"/>
        <v>0</v>
      </c>
      <c r="AV620" s="315">
        <f t="shared" si="134"/>
        <v>0</v>
      </c>
      <c r="AW620" s="315">
        <f t="shared" si="134"/>
        <v>0</v>
      </c>
      <c r="AX620" s="315">
        <f t="shared" si="134"/>
        <v>0</v>
      </c>
      <c r="AY620" s="315">
        <f t="shared" si="134"/>
        <v>0</v>
      </c>
      <c r="AZ620" s="315">
        <f t="shared" si="134"/>
        <v>0</v>
      </c>
      <c r="BA620" s="315">
        <f t="shared" si="134"/>
        <v>0</v>
      </c>
      <c r="BB620" s="315">
        <f t="shared" si="134"/>
        <v>0</v>
      </c>
      <c r="BC620" s="315">
        <f t="shared" si="134"/>
        <v>0</v>
      </c>
      <c r="BD620" s="315">
        <f t="shared" si="134"/>
        <v>0</v>
      </c>
      <c r="BE620" s="315">
        <f t="shared" si="134"/>
        <v>0</v>
      </c>
      <c r="BF620" s="315">
        <f t="shared" si="134"/>
        <v>0</v>
      </c>
      <c r="BG620" s="315">
        <f t="shared" si="134"/>
        <v>0</v>
      </c>
      <c r="BH620" s="315">
        <f t="shared" si="134"/>
        <v>0</v>
      </c>
      <c r="BI620" s="315">
        <f t="shared" si="134"/>
        <v>0</v>
      </c>
      <c r="BJ620" s="315">
        <f t="shared" si="134"/>
        <v>0</v>
      </c>
      <c r="BK620" s="315">
        <f t="shared" si="134"/>
        <v>0</v>
      </c>
      <c r="BL620" s="315">
        <f t="shared" si="134"/>
        <v>0</v>
      </c>
      <c r="BM620" s="315">
        <f t="shared" si="134"/>
        <v>0</v>
      </c>
      <c r="BN620" s="315">
        <f t="shared" si="134"/>
        <v>0</v>
      </c>
      <c r="BO620" s="315">
        <f t="shared" si="134"/>
        <v>0</v>
      </c>
      <c r="BP620" s="315">
        <f t="shared" si="134"/>
        <v>0</v>
      </c>
      <c r="BQ620" s="315">
        <f t="shared" si="134"/>
        <v>0</v>
      </c>
      <c r="BR620" s="315">
        <f t="shared" si="134"/>
        <v>0</v>
      </c>
      <c r="BS620" s="315">
        <f t="shared" si="135"/>
        <v>0</v>
      </c>
      <c r="BT620" s="315">
        <f t="shared" si="135"/>
        <v>0</v>
      </c>
      <c r="BU620" s="315">
        <f t="shared" si="135"/>
        <v>0</v>
      </c>
      <c r="BV620" s="315">
        <f t="shared" si="135"/>
        <v>0</v>
      </c>
      <c r="BW620" s="315">
        <f t="shared" si="135"/>
        <v>0</v>
      </c>
      <c r="BX620" s="315">
        <f t="shared" si="135"/>
        <v>0</v>
      </c>
      <c r="BZ620" s="315">
        <f t="shared" si="136"/>
        <v>0</v>
      </c>
      <c r="CA620" s="315">
        <f t="shared" si="136"/>
        <v>0</v>
      </c>
    </row>
    <row r="621" spans="7:79" hidden="1" x14ac:dyDescent="0.2">
      <c r="G621" s="315">
        <f t="shared" si="134"/>
        <v>0</v>
      </c>
      <c r="H621" s="315">
        <f t="shared" si="134"/>
        <v>0</v>
      </c>
      <c r="I621" s="315">
        <f t="shared" si="134"/>
        <v>0</v>
      </c>
      <c r="J621" s="315">
        <f t="shared" si="134"/>
        <v>0</v>
      </c>
      <c r="K621" s="315">
        <f t="shared" si="134"/>
        <v>0</v>
      </c>
      <c r="L621" s="315">
        <f t="shared" si="134"/>
        <v>0</v>
      </c>
      <c r="M621" s="315">
        <f t="shared" si="134"/>
        <v>0</v>
      </c>
      <c r="N621" s="315">
        <f t="shared" si="134"/>
        <v>0</v>
      </c>
      <c r="O621" s="315">
        <f t="shared" si="134"/>
        <v>0</v>
      </c>
      <c r="P621" s="315">
        <f t="shared" si="134"/>
        <v>0</v>
      </c>
      <c r="Q621" s="315">
        <f t="shared" si="134"/>
        <v>0</v>
      </c>
      <c r="R621" s="315">
        <f t="shared" si="134"/>
        <v>0</v>
      </c>
      <c r="S621" s="315">
        <f t="shared" si="134"/>
        <v>0</v>
      </c>
      <c r="T621" s="315">
        <f t="shared" si="134"/>
        <v>0</v>
      </c>
      <c r="U621" s="315">
        <f t="shared" si="134"/>
        <v>0</v>
      </c>
      <c r="V621" s="315">
        <f t="shared" si="134"/>
        <v>0</v>
      </c>
      <c r="W621" s="315">
        <f t="shared" si="134"/>
        <v>0</v>
      </c>
      <c r="X621" s="315">
        <f t="shared" si="134"/>
        <v>0</v>
      </c>
      <c r="Y621" s="315">
        <f t="shared" si="134"/>
        <v>0</v>
      </c>
      <c r="Z621" s="315">
        <f t="shared" si="134"/>
        <v>0</v>
      </c>
      <c r="AA621" s="315">
        <f t="shared" si="134"/>
        <v>0</v>
      </c>
      <c r="AB621" s="315">
        <f t="shared" si="134"/>
        <v>0</v>
      </c>
      <c r="AC621" s="315">
        <f t="shared" si="134"/>
        <v>0</v>
      </c>
      <c r="AD621" s="315">
        <f t="shared" si="134"/>
        <v>0</v>
      </c>
      <c r="AE621" s="315">
        <f t="shared" si="134"/>
        <v>0</v>
      </c>
      <c r="AF621" s="315">
        <f t="shared" si="134"/>
        <v>0</v>
      </c>
      <c r="AG621" s="315">
        <f t="shared" si="134"/>
        <v>0</v>
      </c>
      <c r="AH621" s="315">
        <f t="shared" si="134"/>
        <v>0</v>
      </c>
      <c r="AI621" s="315">
        <f t="shared" si="134"/>
        <v>0</v>
      </c>
      <c r="AJ621" s="315">
        <f t="shared" si="134"/>
        <v>0</v>
      </c>
      <c r="AK621" s="315">
        <f t="shared" si="134"/>
        <v>0</v>
      </c>
      <c r="AL621" s="315">
        <f t="shared" si="134"/>
        <v>0</v>
      </c>
      <c r="AM621" s="315">
        <f t="shared" si="134"/>
        <v>0</v>
      </c>
      <c r="AN621" s="315">
        <f t="shared" si="134"/>
        <v>0</v>
      </c>
      <c r="AO621" s="315">
        <f t="shared" si="134"/>
        <v>0</v>
      </c>
      <c r="AP621" s="315">
        <f t="shared" si="134"/>
        <v>0</v>
      </c>
      <c r="AQ621" s="315">
        <f t="shared" si="134"/>
        <v>0</v>
      </c>
      <c r="AR621" s="315">
        <f t="shared" si="134"/>
        <v>0</v>
      </c>
      <c r="AS621" s="315">
        <f t="shared" si="134"/>
        <v>0</v>
      </c>
      <c r="AT621" s="315">
        <f t="shared" si="134"/>
        <v>0</v>
      </c>
      <c r="AU621" s="315">
        <f t="shared" si="134"/>
        <v>0</v>
      </c>
      <c r="AV621" s="315">
        <f t="shared" si="134"/>
        <v>0</v>
      </c>
      <c r="AW621" s="315">
        <f t="shared" si="134"/>
        <v>0</v>
      </c>
      <c r="AX621" s="315">
        <f t="shared" si="134"/>
        <v>0</v>
      </c>
      <c r="AY621" s="315">
        <f t="shared" si="134"/>
        <v>0</v>
      </c>
      <c r="AZ621" s="315">
        <f t="shared" si="134"/>
        <v>0</v>
      </c>
      <c r="BA621" s="315">
        <f t="shared" si="134"/>
        <v>0</v>
      </c>
      <c r="BB621" s="315">
        <f t="shared" si="134"/>
        <v>0</v>
      </c>
      <c r="BC621" s="315">
        <f t="shared" si="134"/>
        <v>0</v>
      </c>
      <c r="BD621" s="315">
        <f t="shared" si="134"/>
        <v>0</v>
      </c>
      <c r="BE621" s="315">
        <f t="shared" si="134"/>
        <v>0</v>
      </c>
      <c r="BF621" s="315">
        <f t="shared" si="134"/>
        <v>0</v>
      </c>
      <c r="BG621" s="315">
        <f t="shared" si="134"/>
        <v>0</v>
      </c>
      <c r="BH621" s="315">
        <f t="shared" si="134"/>
        <v>0</v>
      </c>
      <c r="BI621" s="315">
        <f t="shared" si="134"/>
        <v>0</v>
      </c>
      <c r="BJ621" s="315">
        <f t="shared" si="134"/>
        <v>0</v>
      </c>
      <c r="BK621" s="315">
        <f t="shared" si="134"/>
        <v>0</v>
      </c>
      <c r="BL621" s="315">
        <f t="shared" si="134"/>
        <v>0</v>
      </c>
      <c r="BM621" s="315">
        <f t="shared" si="134"/>
        <v>0</v>
      </c>
      <c r="BN621" s="315">
        <f t="shared" si="134"/>
        <v>0</v>
      </c>
      <c r="BO621" s="315">
        <f t="shared" si="134"/>
        <v>0</v>
      </c>
      <c r="BP621" s="315">
        <f t="shared" si="134"/>
        <v>0</v>
      </c>
      <c r="BQ621" s="315">
        <f t="shared" si="134"/>
        <v>0</v>
      </c>
      <c r="BR621" s="315">
        <f t="shared" si="134"/>
        <v>0</v>
      </c>
      <c r="BS621" s="315">
        <f t="shared" si="135"/>
        <v>0</v>
      </c>
      <c r="BT621" s="315">
        <f t="shared" si="135"/>
        <v>0</v>
      </c>
      <c r="BU621" s="315">
        <f t="shared" si="135"/>
        <v>0</v>
      </c>
      <c r="BV621" s="315">
        <f t="shared" si="135"/>
        <v>0</v>
      </c>
      <c r="BW621" s="315">
        <f t="shared" si="135"/>
        <v>0</v>
      </c>
      <c r="BX621" s="315">
        <f t="shared" si="135"/>
        <v>0</v>
      </c>
      <c r="BZ621" s="315">
        <f t="shared" si="136"/>
        <v>0</v>
      </c>
      <c r="CA621" s="315">
        <f t="shared" si="136"/>
        <v>0</v>
      </c>
    </row>
    <row r="622" spans="7:79" hidden="1" x14ac:dyDescent="0.2">
      <c r="G622" s="315">
        <f t="shared" si="134"/>
        <v>0</v>
      </c>
      <c r="H622" s="315">
        <f t="shared" si="134"/>
        <v>0</v>
      </c>
      <c r="I622" s="315">
        <f t="shared" si="134"/>
        <v>0</v>
      </c>
      <c r="J622" s="315">
        <f t="shared" si="134"/>
        <v>0</v>
      </c>
      <c r="K622" s="315">
        <f t="shared" si="134"/>
        <v>0</v>
      </c>
      <c r="L622" s="315">
        <f t="shared" si="134"/>
        <v>0</v>
      </c>
      <c r="M622" s="315">
        <f t="shared" si="134"/>
        <v>0</v>
      </c>
      <c r="N622" s="315">
        <f t="shared" si="134"/>
        <v>0</v>
      </c>
      <c r="O622" s="315">
        <f t="shared" si="134"/>
        <v>0</v>
      </c>
      <c r="P622" s="315">
        <f t="shared" si="134"/>
        <v>0</v>
      </c>
      <c r="Q622" s="315">
        <f t="shared" si="134"/>
        <v>0</v>
      </c>
      <c r="R622" s="315">
        <f t="shared" si="134"/>
        <v>0</v>
      </c>
      <c r="S622" s="315">
        <f t="shared" si="134"/>
        <v>0</v>
      </c>
      <c r="T622" s="315">
        <f t="shared" si="134"/>
        <v>0</v>
      </c>
      <c r="U622" s="315">
        <f t="shared" si="134"/>
        <v>0</v>
      </c>
      <c r="V622" s="315">
        <f t="shared" si="134"/>
        <v>0</v>
      </c>
      <c r="W622" s="315">
        <f t="shared" si="134"/>
        <v>0</v>
      </c>
      <c r="X622" s="315">
        <f t="shared" si="134"/>
        <v>0</v>
      </c>
      <c r="Y622" s="315">
        <f t="shared" si="134"/>
        <v>0</v>
      </c>
      <c r="Z622" s="315">
        <f t="shared" si="134"/>
        <v>0</v>
      </c>
      <c r="AA622" s="315">
        <f t="shared" si="134"/>
        <v>0</v>
      </c>
      <c r="AB622" s="315">
        <f t="shared" si="134"/>
        <v>0</v>
      </c>
      <c r="AC622" s="315">
        <f t="shared" si="134"/>
        <v>0</v>
      </c>
      <c r="AD622" s="315">
        <f t="shared" si="134"/>
        <v>0</v>
      </c>
      <c r="AE622" s="315">
        <f t="shared" si="134"/>
        <v>0</v>
      </c>
      <c r="AF622" s="315">
        <f t="shared" si="134"/>
        <v>0</v>
      </c>
      <c r="AG622" s="315">
        <f t="shared" si="134"/>
        <v>0</v>
      </c>
      <c r="AH622" s="315">
        <f t="shared" si="134"/>
        <v>0</v>
      </c>
      <c r="AI622" s="315">
        <f t="shared" si="134"/>
        <v>0</v>
      </c>
      <c r="AJ622" s="315">
        <f t="shared" si="134"/>
        <v>0</v>
      </c>
      <c r="AK622" s="315">
        <f t="shared" si="134"/>
        <v>0</v>
      </c>
      <c r="AL622" s="315">
        <f t="shared" si="134"/>
        <v>0</v>
      </c>
      <c r="AM622" s="315">
        <f t="shared" si="134"/>
        <v>0</v>
      </c>
      <c r="AN622" s="315">
        <f t="shared" si="134"/>
        <v>0</v>
      </c>
      <c r="AO622" s="315">
        <f t="shared" si="134"/>
        <v>0</v>
      </c>
      <c r="AP622" s="315">
        <f t="shared" si="134"/>
        <v>0</v>
      </c>
      <c r="AQ622" s="315">
        <f t="shared" si="134"/>
        <v>0</v>
      </c>
      <c r="AR622" s="315">
        <f t="shared" si="134"/>
        <v>0</v>
      </c>
      <c r="AS622" s="315">
        <f t="shared" si="134"/>
        <v>0</v>
      </c>
      <c r="AT622" s="315">
        <f t="shared" si="134"/>
        <v>0</v>
      </c>
      <c r="AU622" s="315">
        <f t="shared" si="134"/>
        <v>0</v>
      </c>
      <c r="AV622" s="315">
        <f t="shared" si="134"/>
        <v>0</v>
      </c>
      <c r="AW622" s="315">
        <f t="shared" si="134"/>
        <v>0</v>
      </c>
      <c r="AX622" s="315">
        <f t="shared" si="134"/>
        <v>0</v>
      </c>
      <c r="AY622" s="315">
        <f t="shared" si="134"/>
        <v>0</v>
      </c>
      <c r="AZ622" s="315">
        <f t="shared" si="134"/>
        <v>0</v>
      </c>
      <c r="BA622" s="315">
        <f t="shared" si="134"/>
        <v>0</v>
      </c>
      <c r="BB622" s="315">
        <f t="shared" si="134"/>
        <v>0</v>
      </c>
      <c r="BC622" s="315">
        <f t="shared" si="134"/>
        <v>0</v>
      </c>
      <c r="BD622" s="315">
        <f t="shared" si="134"/>
        <v>0</v>
      </c>
      <c r="BE622" s="315">
        <f t="shared" si="134"/>
        <v>0</v>
      </c>
      <c r="BF622" s="315">
        <f t="shared" si="134"/>
        <v>0</v>
      </c>
      <c r="BG622" s="315">
        <f t="shared" si="134"/>
        <v>0</v>
      </c>
      <c r="BH622" s="315">
        <f t="shared" si="134"/>
        <v>0</v>
      </c>
      <c r="BI622" s="315">
        <f t="shared" si="134"/>
        <v>0</v>
      </c>
      <c r="BJ622" s="315">
        <f t="shared" si="134"/>
        <v>0</v>
      </c>
      <c r="BK622" s="315">
        <f t="shared" si="134"/>
        <v>0</v>
      </c>
      <c r="BL622" s="315">
        <f t="shared" si="134"/>
        <v>0</v>
      </c>
      <c r="BM622" s="315">
        <f t="shared" si="134"/>
        <v>0</v>
      </c>
      <c r="BN622" s="315">
        <f t="shared" si="134"/>
        <v>0</v>
      </c>
      <c r="BO622" s="315">
        <f t="shared" si="134"/>
        <v>0</v>
      </c>
      <c r="BP622" s="315">
        <f t="shared" si="134"/>
        <v>0</v>
      </c>
      <c r="BQ622" s="315">
        <f t="shared" si="134"/>
        <v>0</v>
      </c>
      <c r="BR622" s="315">
        <f t="shared" ref="BR622:BR629" si="137">BR200-EJ200</f>
        <v>0</v>
      </c>
      <c r="BS622" s="315">
        <f t="shared" si="135"/>
        <v>0</v>
      </c>
      <c r="BT622" s="315">
        <f t="shared" si="135"/>
        <v>0</v>
      </c>
      <c r="BU622" s="315">
        <f t="shared" si="135"/>
        <v>0</v>
      </c>
      <c r="BV622" s="315">
        <f t="shared" si="135"/>
        <v>0</v>
      </c>
      <c r="BW622" s="315">
        <f t="shared" si="135"/>
        <v>0</v>
      </c>
      <c r="BX622" s="315">
        <f t="shared" si="135"/>
        <v>0</v>
      </c>
      <c r="BZ622" s="315">
        <f t="shared" si="136"/>
        <v>0</v>
      </c>
      <c r="CA622" s="315">
        <f t="shared" si="136"/>
        <v>0</v>
      </c>
    </row>
    <row r="623" spans="7:79" hidden="1" x14ac:dyDescent="0.2">
      <c r="G623" s="315">
        <f t="shared" ref="G623:BQ627" si="138">G201-BY201</f>
        <v>0</v>
      </c>
      <c r="H623" s="315">
        <f t="shared" si="138"/>
        <v>0</v>
      </c>
      <c r="I623" s="315">
        <f t="shared" si="138"/>
        <v>0</v>
      </c>
      <c r="J623" s="315">
        <f t="shared" si="138"/>
        <v>0</v>
      </c>
      <c r="K623" s="315">
        <f t="shared" si="138"/>
        <v>0</v>
      </c>
      <c r="L623" s="315">
        <f t="shared" si="138"/>
        <v>0</v>
      </c>
      <c r="M623" s="315">
        <f t="shared" si="138"/>
        <v>0</v>
      </c>
      <c r="N623" s="315">
        <f t="shared" si="138"/>
        <v>0</v>
      </c>
      <c r="O623" s="315">
        <f t="shared" si="138"/>
        <v>0</v>
      </c>
      <c r="P623" s="315">
        <f t="shared" si="138"/>
        <v>0</v>
      </c>
      <c r="Q623" s="315">
        <f t="shared" si="138"/>
        <v>0</v>
      </c>
      <c r="R623" s="315">
        <f t="shared" si="138"/>
        <v>0</v>
      </c>
      <c r="S623" s="315">
        <f t="shared" si="138"/>
        <v>0</v>
      </c>
      <c r="T623" s="315">
        <f t="shared" si="138"/>
        <v>0</v>
      </c>
      <c r="U623" s="315">
        <f t="shared" si="138"/>
        <v>0</v>
      </c>
      <c r="V623" s="315">
        <f t="shared" si="138"/>
        <v>0</v>
      </c>
      <c r="W623" s="315">
        <f t="shared" si="138"/>
        <v>0</v>
      </c>
      <c r="X623" s="315">
        <f t="shared" si="138"/>
        <v>0</v>
      </c>
      <c r="Y623" s="315">
        <f t="shared" si="138"/>
        <v>0</v>
      </c>
      <c r="Z623" s="315">
        <f t="shared" si="138"/>
        <v>0</v>
      </c>
      <c r="AA623" s="315">
        <f t="shared" si="138"/>
        <v>0</v>
      </c>
      <c r="AB623" s="315">
        <f t="shared" si="138"/>
        <v>0</v>
      </c>
      <c r="AC623" s="315">
        <f t="shared" si="138"/>
        <v>0</v>
      </c>
      <c r="AD623" s="315">
        <f t="shared" si="138"/>
        <v>0</v>
      </c>
      <c r="AE623" s="315">
        <f t="shared" si="138"/>
        <v>0</v>
      </c>
      <c r="AF623" s="315">
        <f t="shared" si="138"/>
        <v>0</v>
      </c>
      <c r="AG623" s="315">
        <f t="shared" si="138"/>
        <v>0</v>
      </c>
      <c r="AH623" s="315">
        <f t="shared" si="138"/>
        <v>0</v>
      </c>
      <c r="AI623" s="315">
        <f t="shared" si="138"/>
        <v>0</v>
      </c>
      <c r="AJ623" s="315">
        <f t="shared" si="138"/>
        <v>0</v>
      </c>
      <c r="AK623" s="315">
        <f t="shared" si="138"/>
        <v>0</v>
      </c>
      <c r="AL623" s="315">
        <f t="shared" si="138"/>
        <v>0</v>
      </c>
      <c r="AM623" s="315">
        <f t="shared" si="138"/>
        <v>0</v>
      </c>
      <c r="AN623" s="315">
        <f t="shared" si="138"/>
        <v>0</v>
      </c>
      <c r="AO623" s="315">
        <f t="shared" si="138"/>
        <v>0</v>
      </c>
      <c r="AP623" s="315">
        <f t="shared" si="138"/>
        <v>0</v>
      </c>
      <c r="AQ623" s="315">
        <f t="shared" si="138"/>
        <v>0</v>
      </c>
      <c r="AR623" s="315">
        <f t="shared" si="138"/>
        <v>0</v>
      </c>
      <c r="AS623" s="315">
        <f t="shared" si="138"/>
        <v>0</v>
      </c>
      <c r="AT623" s="315">
        <f t="shared" si="138"/>
        <v>0</v>
      </c>
      <c r="AU623" s="315">
        <f t="shared" si="138"/>
        <v>0</v>
      </c>
      <c r="AV623" s="315">
        <f t="shared" si="138"/>
        <v>0</v>
      </c>
      <c r="AW623" s="315">
        <f t="shared" si="138"/>
        <v>0</v>
      </c>
      <c r="AX623" s="315">
        <f t="shared" si="138"/>
        <v>0</v>
      </c>
      <c r="AY623" s="315">
        <f t="shared" si="138"/>
        <v>0</v>
      </c>
      <c r="AZ623" s="315">
        <f t="shared" si="138"/>
        <v>0</v>
      </c>
      <c r="BA623" s="315">
        <f t="shared" si="138"/>
        <v>0</v>
      </c>
      <c r="BB623" s="315">
        <f t="shared" si="138"/>
        <v>0</v>
      </c>
      <c r="BC623" s="315">
        <f t="shared" si="138"/>
        <v>0</v>
      </c>
      <c r="BD623" s="315">
        <f t="shared" si="138"/>
        <v>0</v>
      </c>
      <c r="BE623" s="315">
        <f t="shared" si="138"/>
        <v>0</v>
      </c>
      <c r="BF623" s="315">
        <f t="shared" si="138"/>
        <v>0</v>
      </c>
      <c r="BG623" s="315">
        <f t="shared" si="138"/>
        <v>0</v>
      </c>
      <c r="BH623" s="315">
        <f t="shared" si="138"/>
        <v>0</v>
      </c>
      <c r="BI623" s="315">
        <f t="shared" si="138"/>
        <v>0</v>
      </c>
      <c r="BJ623" s="315">
        <f t="shared" si="138"/>
        <v>0</v>
      </c>
      <c r="BK623" s="315">
        <f t="shared" si="138"/>
        <v>0</v>
      </c>
      <c r="BL623" s="315">
        <f t="shared" si="138"/>
        <v>0</v>
      </c>
      <c r="BM623" s="315">
        <f t="shared" si="138"/>
        <v>0</v>
      </c>
      <c r="BN623" s="315">
        <f t="shared" si="138"/>
        <v>0</v>
      </c>
      <c r="BO623" s="315">
        <f t="shared" si="138"/>
        <v>0</v>
      </c>
      <c r="BP623" s="315">
        <f t="shared" si="138"/>
        <v>0</v>
      </c>
      <c r="BQ623" s="315">
        <f t="shared" si="138"/>
        <v>0</v>
      </c>
      <c r="BR623" s="315">
        <f t="shared" si="137"/>
        <v>0</v>
      </c>
      <c r="BS623" s="315">
        <f t="shared" si="135"/>
        <v>0</v>
      </c>
      <c r="BT623" s="315">
        <f t="shared" si="135"/>
        <v>0</v>
      </c>
      <c r="BU623" s="315">
        <f t="shared" si="135"/>
        <v>0</v>
      </c>
      <c r="BV623" s="315">
        <f t="shared" si="135"/>
        <v>0</v>
      </c>
      <c r="BW623" s="315">
        <f t="shared" si="135"/>
        <v>0</v>
      </c>
      <c r="BX623" s="315">
        <f t="shared" si="135"/>
        <v>0</v>
      </c>
      <c r="BZ623" s="315">
        <f t="shared" si="136"/>
        <v>0</v>
      </c>
      <c r="CA623" s="315">
        <f t="shared" si="136"/>
        <v>0</v>
      </c>
    </row>
    <row r="624" spans="7:79" hidden="1" x14ac:dyDescent="0.2">
      <c r="G624" s="315">
        <f t="shared" si="138"/>
        <v>0</v>
      </c>
      <c r="H624" s="315">
        <f t="shared" si="138"/>
        <v>0</v>
      </c>
      <c r="I624" s="315">
        <f t="shared" si="138"/>
        <v>0</v>
      </c>
      <c r="J624" s="315">
        <f t="shared" si="138"/>
        <v>0</v>
      </c>
      <c r="K624" s="315">
        <f t="shared" si="138"/>
        <v>0</v>
      </c>
      <c r="L624" s="315">
        <f t="shared" si="138"/>
        <v>0</v>
      </c>
      <c r="M624" s="315">
        <f t="shared" si="138"/>
        <v>0</v>
      </c>
      <c r="N624" s="315">
        <f t="shared" si="138"/>
        <v>0</v>
      </c>
      <c r="O624" s="315">
        <f t="shared" si="138"/>
        <v>0</v>
      </c>
      <c r="P624" s="315">
        <f t="shared" si="138"/>
        <v>0</v>
      </c>
      <c r="Q624" s="315">
        <f t="shared" si="138"/>
        <v>0</v>
      </c>
      <c r="R624" s="315">
        <f t="shared" si="138"/>
        <v>0</v>
      </c>
      <c r="S624" s="315">
        <f t="shared" si="138"/>
        <v>0</v>
      </c>
      <c r="T624" s="315">
        <f t="shared" si="138"/>
        <v>0</v>
      </c>
      <c r="U624" s="315">
        <f t="shared" si="138"/>
        <v>0</v>
      </c>
      <c r="V624" s="315">
        <f t="shared" si="138"/>
        <v>0</v>
      </c>
      <c r="W624" s="315">
        <f t="shared" si="138"/>
        <v>0</v>
      </c>
      <c r="X624" s="315">
        <f t="shared" si="138"/>
        <v>0</v>
      </c>
      <c r="Y624" s="315">
        <f t="shared" si="138"/>
        <v>0</v>
      </c>
      <c r="Z624" s="315">
        <f t="shared" si="138"/>
        <v>0</v>
      </c>
      <c r="AA624" s="315">
        <f t="shared" si="138"/>
        <v>0</v>
      </c>
      <c r="AB624" s="315">
        <f t="shared" si="138"/>
        <v>0</v>
      </c>
      <c r="AC624" s="315">
        <f t="shared" si="138"/>
        <v>0</v>
      </c>
      <c r="AD624" s="315">
        <f t="shared" si="138"/>
        <v>0</v>
      </c>
      <c r="AE624" s="315">
        <f t="shared" si="138"/>
        <v>0</v>
      </c>
      <c r="AF624" s="315">
        <f t="shared" si="138"/>
        <v>0</v>
      </c>
      <c r="AG624" s="315">
        <f t="shared" si="138"/>
        <v>0</v>
      </c>
      <c r="AH624" s="315">
        <f t="shared" si="138"/>
        <v>0</v>
      </c>
      <c r="AI624" s="315">
        <f t="shared" si="138"/>
        <v>0</v>
      </c>
      <c r="AJ624" s="315">
        <f t="shared" si="138"/>
        <v>0</v>
      </c>
      <c r="AK624" s="315">
        <f t="shared" si="138"/>
        <v>0</v>
      </c>
      <c r="AL624" s="315">
        <f t="shared" si="138"/>
        <v>0</v>
      </c>
      <c r="AM624" s="315">
        <f t="shared" si="138"/>
        <v>0</v>
      </c>
      <c r="AN624" s="315">
        <f t="shared" si="138"/>
        <v>0</v>
      </c>
      <c r="AO624" s="315">
        <f t="shared" si="138"/>
        <v>0</v>
      </c>
      <c r="AP624" s="315">
        <f t="shared" si="138"/>
        <v>0</v>
      </c>
      <c r="AQ624" s="315">
        <f t="shared" si="138"/>
        <v>0</v>
      </c>
      <c r="AR624" s="315">
        <f t="shared" si="138"/>
        <v>0</v>
      </c>
      <c r="AS624" s="315">
        <f t="shared" si="138"/>
        <v>0</v>
      </c>
      <c r="AT624" s="315">
        <f t="shared" si="138"/>
        <v>0</v>
      </c>
      <c r="AU624" s="315">
        <f t="shared" si="138"/>
        <v>0</v>
      </c>
      <c r="AV624" s="315">
        <f t="shared" si="138"/>
        <v>0</v>
      </c>
      <c r="AW624" s="315">
        <f t="shared" si="138"/>
        <v>0</v>
      </c>
      <c r="AX624" s="315">
        <f t="shared" si="138"/>
        <v>0</v>
      </c>
      <c r="AY624" s="315">
        <f t="shared" si="138"/>
        <v>0</v>
      </c>
      <c r="AZ624" s="315">
        <f t="shared" si="138"/>
        <v>0</v>
      </c>
      <c r="BA624" s="315">
        <f t="shared" si="138"/>
        <v>0</v>
      </c>
      <c r="BB624" s="315">
        <f t="shared" si="138"/>
        <v>0</v>
      </c>
      <c r="BC624" s="315">
        <f t="shared" si="138"/>
        <v>0</v>
      </c>
      <c r="BD624" s="315">
        <f t="shared" si="138"/>
        <v>0</v>
      </c>
      <c r="BE624" s="315">
        <f t="shared" si="138"/>
        <v>0</v>
      </c>
      <c r="BF624" s="315">
        <f t="shared" si="138"/>
        <v>0</v>
      </c>
      <c r="BG624" s="315">
        <f t="shared" si="138"/>
        <v>0</v>
      </c>
      <c r="BH624" s="315">
        <f t="shared" si="138"/>
        <v>0</v>
      </c>
      <c r="BI624" s="315">
        <f t="shared" si="138"/>
        <v>0</v>
      </c>
      <c r="BJ624" s="315">
        <f t="shared" si="138"/>
        <v>0</v>
      </c>
      <c r="BK624" s="315">
        <f t="shared" si="138"/>
        <v>0</v>
      </c>
      <c r="BL624" s="315">
        <f t="shared" si="138"/>
        <v>0</v>
      </c>
      <c r="BM624" s="315">
        <f t="shared" si="138"/>
        <v>0</v>
      </c>
      <c r="BN624" s="315">
        <f t="shared" si="138"/>
        <v>0</v>
      </c>
      <c r="BO624" s="315">
        <f t="shared" si="138"/>
        <v>0</v>
      </c>
      <c r="BP624" s="315">
        <f t="shared" si="138"/>
        <v>0</v>
      </c>
      <c r="BQ624" s="315">
        <f t="shared" si="138"/>
        <v>0</v>
      </c>
      <c r="BR624" s="315">
        <f t="shared" si="137"/>
        <v>0</v>
      </c>
      <c r="BS624" s="315">
        <f t="shared" si="135"/>
        <v>0</v>
      </c>
      <c r="BT624" s="315">
        <f t="shared" si="135"/>
        <v>0</v>
      </c>
      <c r="BU624" s="315">
        <f t="shared" si="135"/>
        <v>0</v>
      </c>
      <c r="BV624" s="315">
        <f t="shared" si="135"/>
        <v>0</v>
      </c>
      <c r="BW624" s="315">
        <f t="shared" si="135"/>
        <v>0</v>
      </c>
      <c r="BX624" s="315">
        <f t="shared" si="135"/>
        <v>0</v>
      </c>
      <c r="BZ624" s="315">
        <f t="shared" si="136"/>
        <v>0</v>
      </c>
      <c r="CA624" s="315">
        <f t="shared" si="136"/>
        <v>0</v>
      </c>
    </row>
    <row r="625" spans="7:79" hidden="1" x14ac:dyDescent="0.2">
      <c r="G625" s="315">
        <f t="shared" si="138"/>
        <v>0</v>
      </c>
      <c r="H625" s="315">
        <f t="shared" si="138"/>
        <v>0</v>
      </c>
      <c r="I625" s="315">
        <f t="shared" si="138"/>
        <v>0</v>
      </c>
      <c r="J625" s="315">
        <f t="shared" si="138"/>
        <v>0</v>
      </c>
      <c r="K625" s="315">
        <f t="shared" si="138"/>
        <v>0</v>
      </c>
      <c r="L625" s="315">
        <f t="shared" si="138"/>
        <v>0</v>
      </c>
      <c r="M625" s="315">
        <f t="shared" si="138"/>
        <v>0</v>
      </c>
      <c r="N625" s="315">
        <f t="shared" si="138"/>
        <v>0</v>
      </c>
      <c r="O625" s="315">
        <f t="shared" si="138"/>
        <v>0</v>
      </c>
      <c r="P625" s="315">
        <f t="shared" si="138"/>
        <v>0</v>
      </c>
      <c r="Q625" s="315">
        <f t="shared" si="138"/>
        <v>0</v>
      </c>
      <c r="R625" s="315">
        <f t="shared" si="138"/>
        <v>0</v>
      </c>
      <c r="S625" s="315">
        <f t="shared" si="138"/>
        <v>0</v>
      </c>
      <c r="T625" s="315">
        <f t="shared" si="138"/>
        <v>0</v>
      </c>
      <c r="U625" s="315">
        <f t="shared" si="138"/>
        <v>0</v>
      </c>
      <c r="V625" s="315">
        <f t="shared" si="138"/>
        <v>0</v>
      </c>
      <c r="W625" s="315">
        <f t="shared" si="138"/>
        <v>0</v>
      </c>
      <c r="X625" s="315">
        <f t="shared" si="138"/>
        <v>0</v>
      </c>
      <c r="Y625" s="315">
        <f t="shared" si="138"/>
        <v>0</v>
      </c>
      <c r="Z625" s="315">
        <f t="shared" si="138"/>
        <v>0</v>
      </c>
      <c r="AA625" s="315">
        <f t="shared" si="138"/>
        <v>0</v>
      </c>
      <c r="AB625" s="315">
        <f t="shared" si="138"/>
        <v>0</v>
      </c>
      <c r="AC625" s="315">
        <f t="shared" si="138"/>
        <v>0</v>
      </c>
      <c r="AD625" s="315">
        <f t="shared" si="138"/>
        <v>0</v>
      </c>
      <c r="AE625" s="315">
        <f t="shared" si="138"/>
        <v>0</v>
      </c>
      <c r="AF625" s="315">
        <f t="shared" si="138"/>
        <v>0</v>
      </c>
      <c r="AG625" s="315">
        <f t="shared" si="138"/>
        <v>0</v>
      </c>
      <c r="AH625" s="315">
        <f t="shared" si="138"/>
        <v>0</v>
      </c>
      <c r="AI625" s="315">
        <f t="shared" si="138"/>
        <v>0</v>
      </c>
      <c r="AJ625" s="315">
        <f t="shared" si="138"/>
        <v>0</v>
      </c>
      <c r="AK625" s="315">
        <f t="shared" si="138"/>
        <v>0</v>
      </c>
      <c r="AL625" s="315">
        <f t="shared" si="138"/>
        <v>0</v>
      </c>
      <c r="AM625" s="315">
        <f t="shared" si="138"/>
        <v>0</v>
      </c>
      <c r="AN625" s="315">
        <f t="shared" si="138"/>
        <v>0</v>
      </c>
      <c r="AO625" s="315">
        <f t="shared" si="138"/>
        <v>0</v>
      </c>
      <c r="AP625" s="315">
        <f t="shared" si="138"/>
        <v>0</v>
      </c>
      <c r="AQ625" s="315">
        <f t="shared" si="138"/>
        <v>0</v>
      </c>
      <c r="AR625" s="315">
        <f t="shared" si="138"/>
        <v>0</v>
      </c>
      <c r="AS625" s="315">
        <f t="shared" si="138"/>
        <v>0</v>
      </c>
      <c r="AT625" s="315">
        <f t="shared" si="138"/>
        <v>0</v>
      </c>
      <c r="AU625" s="315">
        <f t="shared" si="138"/>
        <v>0</v>
      </c>
      <c r="AV625" s="315">
        <f t="shared" si="138"/>
        <v>0</v>
      </c>
      <c r="AW625" s="315">
        <f t="shared" si="138"/>
        <v>0</v>
      </c>
      <c r="AX625" s="315">
        <f t="shared" si="138"/>
        <v>0</v>
      </c>
      <c r="AY625" s="315">
        <f t="shared" si="138"/>
        <v>0</v>
      </c>
      <c r="AZ625" s="315">
        <f t="shared" si="138"/>
        <v>0</v>
      </c>
      <c r="BA625" s="315">
        <f t="shared" si="138"/>
        <v>0</v>
      </c>
      <c r="BB625" s="315">
        <f t="shared" si="138"/>
        <v>0</v>
      </c>
      <c r="BC625" s="315">
        <f t="shared" si="138"/>
        <v>0</v>
      </c>
      <c r="BD625" s="315">
        <f t="shared" si="138"/>
        <v>0</v>
      </c>
      <c r="BE625" s="315">
        <f t="shared" si="138"/>
        <v>0</v>
      </c>
      <c r="BF625" s="315">
        <f t="shared" si="138"/>
        <v>0</v>
      </c>
      <c r="BG625" s="315">
        <f t="shared" si="138"/>
        <v>0</v>
      </c>
      <c r="BH625" s="315">
        <f t="shared" si="138"/>
        <v>0</v>
      </c>
      <c r="BI625" s="315">
        <f t="shared" si="138"/>
        <v>0</v>
      </c>
      <c r="BJ625" s="315">
        <f t="shared" si="138"/>
        <v>0</v>
      </c>
      <c r="BK625" s="315">
        <f t="shared" si="138"/>
        <v>0</v>
      </c>
      <c r="BL625" s="315">
        <f t="shared" si="138"/>
        <v>0</v>
      </c>
      <c r="BM625" s="315">
        <f t="shared" si="138"/>
        <v>0</v>
      </c>
      <c r="BN625" s="315">
        <f t="shared" si="138"/>
        <v>0</v>
      </c>
      <c r="BO625" s="315">
        <f t="shared" si="138"/>
        <v>0</v>
      </c>
      <c r="BP625" s="315">
        <f t="shared" si="138"/>
        <v>0</v>
      </c>
      <c r="BQ625" s="315">
        <f t="shared" si="138"/>
        <v>0</v>
      </c>
      <c r="BR625" s="315">
        <f t="shared" si="137"/>
        <v>0</v>
      </c>
      <c r="BS625" s="315">
        <f t="shared" si="135"/>
        <v>0</v>
      </c>
      <c r="BT625" s="315">
        <f t="shared" si="135"/>
        <v>0</v>
      </c>
      <c r="BU625" s="315">
        <f t="shared" si="135"/>
        <v>0</v>
      </c>
      <c r="BV625" s="315">
        <f t="shared" si="135"/>
        <v>0</v>
      </c>
      <c r="BW625" s="315">
        <f t="shared" si="135"/>
        <v>0</v>
      </c>
      <c r="BX625" s="315">
        <f t="shared" si="135"/>
        <v>0</v>
      </c>
      <c r="BZ625" s="315">
        <f t="shared" si="136"/>
        <v>0</v>
      </c>
      <c r="CA625" s="315">
        <f t="shared" si="136"/>
        <v>0</v>
      </c>
    </row>
    <row r="626" spans="7:79" hidden="1" x14ac:dyDescent="0.2">
      <c r="G626" s="315">
        <f t="shared" si="138"/>
        <v>0</v>
      </c>
      <c r="H626" s="315">
        <f t="shared" si="138"/>
        <v>0</v>
      </c>
      <c r="I626" s="315">
        <f t="shared" si="138"/>
        <v>0</v>
      </c>
      <c r="J626" s="315">
        <f t="shared" si="138"/>
        <v>0</v>
      </c>
      <c r="K626" s="315">
        <f t="shared" si="138"/>
        <v>0</v>
      </c>
      <c r="L626" s="315">
        <f t="shared" si="138"/>
        <v>0</v>
      </c>
      <c r="M626" s="315">
        <f t="shared" si="138"/>
        <v>0</v>
      </c>
      <c r="N626" s="315">
        <f t="shared" si="138"/>
        <v>0</v>
      </c>
      <c r="O626" s="315">
        <f t="shared" si="138"/>
        <v>0</v>
      </c>
      <c r="P626" s="315">
        <f t="shared" si="138"/>
        <v>0</v>
      </c>
      <c r="Q626" s="315">
        <f t="shared" si="138"/>
        <v>0</v>
      </c>
      <c r="R626" s="315">
        <f t="shared" si="138"/>
        <v>0</v>
      </c>
      <c r="S626" s="315">
        <f t="shared" si="138"/>
        <v>0</v>
      </c>
      <c r="T626" s="315">
        <f t="shared" si="138"/>
        <v>0</v>
      </c>
      <c r="U626" s="315">
        <f t="shared" si="138"/>
        <v>0</v>
      </c>
      <c r="V626" s="315">
        <f t="shared" si="138"/>
        <v>0</v>
      </c>
      <c r="W626" s="315">
        <f t="shared" si="138"/>
        <v>0</v>
      </c>
      <c r="X626" s="315">
        <f t="shared" si="138"/>
        <v>0</v>
      </c>
      <c r="Y626" s="315">
        <f t="shared" si="138"/>
        <v>0</v>
      </c>
      <c r="Z626" s="315">
        <f t="shared" si="138"/>
        <v>0</v>
      </c>
      <c r="AA626" s="315">
        <f t="shared" si="138"/>
        <v>0</v>
      </c>
      <c r="AB626" s="315">
        <f t="shared" si="138"/>
        <v>0</v>
      </c>
      <c r="AC626" s="315">
        <f t="shared" si="138"/>
        <v>0</v>
      </c>
      <c r="AD626" s="315">
        <f t="shared" si="138"/>
        <v>0</v>
      </c>
      <c r="AE626" s="315">
        <f t="shared" si="138"/>
        <v>0</v>
      </c>
      <c r="AF626" s="315">
        <f t="shared" si="138"/>
        <v>0</v>
      </c>
      <c r="AG626" s="315">
        <f t="shared" si="138"/>
        <v>0</v>
      </c>
      <c r="AH626" s="315">
        <f t="shared" si="138"/>
        <v>0</v>
      </c>
      <c r="AI626" s="315">
        <f t="shared" si="138"/>
        <v>0</v>
      </c>
      <c r="AJ626" s="315">
        <f t="shared" si="138"/>
        <v>0</v>
      </c>
      <c r="AK626" s="315">
        <f t="shared" si="138"/>
        <v>0</v>
      </c>
      <c r="AL626" s="315">
        <f t="shared" si="138"/>
        <v>0</v>
      </c>
      <c r="AM626" s="315">
        <f t="shared" si="138"/>
        <v>0</v>
      </c>
      <c r="AN626" s="315">
        <f t="shared" si="138"/>
        <v>0</v>
      </c>
      <c r="AO626" s="315">
        <f t="shared" si="138"/>
        <v>0</v>
      </c>
      <c r="AP626" s="315">
        <f t="shared" si="138"/>
        <v>0</v>
      </c>
      <c r="AQ626" s="315">
        <f t="shared" si="138"/>
        <v>0</v>
      </c>
      <c r="AR626" s="315">
        <f t="shared" si="138"/>
        <v>0</v>
      </c>
      <c r="AS626" s="315">
        <f t="shared" si="138"/>
        <v>0</v>
      </c>
      <c r="AT626" s="315">
        <f t="shared" si="138"/>
        <v>0</v>
      </c>
      <c r="AU626" s="315">
        <f t="shared" si="138"/>
        <v>0</v>
      </c>
      <c r="AV626" s="315">
        <f t="shared" si="138"/>
        <v>0</v>
      </c>
      <c r="AW626" s="315">
        <f t="shared" si="138"/>
        <v>0</v>
      </c>
      <c r="AX626" s="315">
        <f t="shared" si="138"/>
        <v>0</v>
      </c>
      <c r="AY626" s="315">
        <f t="shared" si="138"/>
        <v>0</v>
      </c>
      <c r="AZ626" s="315">
        <f t="shared" si="138"/>
        <v>0</v>
      </c>
      <c r="BA626" s="315">
        <f t="shared" si="138"/>
        <v>0</v>
      </c>
      <c r="BB626" s="315">
        <f t="shared" si="138"/>
        <v>0</v>
      </c>
      <c r="BC626" s="315">
        <f t="shared" si="138"/>
        <v>0</v>
      </c>
      <c r="BD626" s="315">
        <f t="shared" si="138"/>
        <v>0</v>
      </c>
      <c r="BE626" s="315">
        <f t="shared" si="138"/>
        <v>0</v>
      </c>
      <c r="BF626" s="315">
        <f t="shared" si="138"/>
        <v>0</v>
      </c>
      <c r="BG626" s="315">
        <f t="shared" si="138"/>
        <v>0</v>
      </c>
      <c r="BH626" s="315">
        <f t="shared" si="138"/>
        <v>0</v>
      </c>
      <c r="BI626" s="315">
        <f t="shared" si="138"/>
        <v>0</v>
      </c>
      <c r="BJ626" s="315">
        <f t="shared" si="138"/>
        <v>0</v>
      </c>
      <c r="BK626" s="315">
        <f t="shared" si="138"/>
        <v>0</v>
      </c>
      <c r="BL626" s="315">
        <f t="shared" si="138"/>
        <v>0</v>
      </c>
      <c r="BM626" s="315">
        <f t="shared" si="138"/>
        <v>0</v>
      </c>
      <c r="BN626" s="315">
        <f t="shared" si="138"/>
        <v>0</v>
      </c>
      <c r="BO626" s="315">
        <f t="shared" si="138"/>
        <v>0</v>
      </c>
      <c r="BP626" s="315">
        <f t="shared" si="138"/>
        <v>0</v>
      </c>
      <c r="BQ626" s="315">
        <f t="shared" si="138"/>
        <v>0</v>
      </c>
      <c r="BR626" s="315">
        <f t="shared" si="137"/>
        <v>0</v>
      </c>
      <c r="BS626" s="315">
        <f t="shared" si="135"/>
        <v>0</v>
      </c>
      <c r="BT626" s="315">
        <f t="shared" si="135"/>
        <v>0</v>
      </c>
      <c r="BU626" s="315">
        <f t="shared" si="135"/>
        <v>0</v>
      </c>
      <c r="BV626" s="315">
        <f t="shared" si="135"/>
        <v>0</v>
      </c>
      <c r="BW626" s="315">
        <f t="shared" si="135"/>
        <v>0</v>
      </c>
      <c r="BX626" s="315">
        <f t="shared" si="135"/>
        <v>0</v>
      </c>
      <c r="BZ626" s="315">
        <f t="shared" si="136"/>
        <v>0</v>
      </c>
      <c r="CA626" s="315">
        <f t="shared" si="136"/>
        <v>0</v>
      </c>
    </row>
    <row r="627" spans="7:79" hidden="1" x14ac:dyDescent="0.2">
      <c r="G627" s="315">
        <f t="shared" si="138"/>
        <v>0</v>
      </c>
      <c r="H627" s="315">
        <f t="shared" si="138"/>
        <v>0</v>
      </c>
      <c r="I627" s="315">
        <f t="shared" si="138"/>
        <v>0</v>
      </c>
      <c r="J627" s="315">
        <f t="shared" ref="J627:BQ629" si="139">J205-CB205</f>
        <v>0</v>
      </c>
      <c r="K627" s="315">
        <f t="shared" si="139"/>
        <v>0</v>
      </c>
      <c r="L627" s="315">
        <f t="shared" si="139"/>
        <v>0</v>
      </c>
      <c r="M627" s="315">
        <f t="shared" si="139"/>
        <v>0</v>
      </c>
      <c r="N627" s="315">
        <f t="shared" si="139"/>
        <v>0</v>
      </c>
      <c r="O627" s="315">
        <f t="shared" si="139"/>
        <v>0</v>
      </c>
      <c r="P627" s="315">
        <f t="shared" si="139"/>
        <v>0</v>
      </c>
      <c r="Q627" s="315">
        <f t="shared" si="139"/>
        <v>0</v>
      </c>
      <c r="R627" s="315">
        <f t="shared" si="139"/>
        <v>0</v>
      </c>
      <c r="S627" s="315">
        <f t="shared" si="139"/>
        <v>0</v>
      </c>
      <c r="T627" s="315">
        <f t="shared" si="139"/>
        <v>0</v>
      </c>
      <c r="U627" s="315">
        <f t="shared" si="139"/>
        <v>0</v>
      </c>
      <c r="V627" s="315">
        <f t="shared" si="139"/>
        <v>0</v>
      </c>
      <c r="W627" s="315">
        <f t="shared" si="139"/>
        <v>0</v>
      </c>
      <c r="X627" s="315">
        <f t="shared" si="139"/>
        <v>0</v>
      </c>
      <c r="Y627" s="315">
        <f t="shared" si="139"/>
        <v>0</v>
      </c>
      <c r="Z627" s="315">
        <f t="shared" si="139"/>
        <v>0</v>
      </c>
      <c r="AA627" s="315">
        <f t="shared" si="139"/>
        <v>0</v>
      </c>
      <c r="AB627" s="315">
        <f t="shared" si="139"/>
        <v>0</v>
      </c>
      <c r="AC627" s="315">
        <f t="shared" si="139"/>
        <v>0</v>
      </c>
      <c r="AD627" s="315">
        <f t="shared" si="139"/>
        <v>0</v>
      </c>
      <c r="AE627" s="315">
        <f t="shared" si="139"/>
        <v>0</v>
      </c>
      <c r="AF627" s="315">
        <f t="shared" si="139"/>
        <v>0</v>
      </c>
      <c r="AG627" s="315">
        <f t="shared" si="139"/>
        <v>0</v>
      </c>
      <c r="AH627" s="315">
        <f t="shared" si="139"/>
        <v>0</v>
      </c>
      <c r="AI627" s="315">
        <f t="shared" si="139"/>
        <v>0</v>
      </c>
      <c r="AJ627" s="315">
        <f t="shared" si="139"/>
        <v>0</v>
      </c>
      <c r="AK627" s="315">
        <f t="shared" si="139"/>
        <v>0</v>
      </c>
      <c r="AL627" s="315">
        <f t="shared" si="139"/>
        <v>0</v>
      </c>
      <c r="AM627" s="315">
        <f t="shared" si="139"/>
        <v>0</v>
      </c>
      <c r="AN627" s="315">
        <f t="shared" si="139"/>
        <v>0</v>
      </c>
      <c r="AO627" s="315">
        <f t="shared" si="139"/>
        <v>0</v>
      </c>
      <c r="AP627" s="315">
        <f t="shared" si="139"/>
        <v>0</v>
      </c>
      <c r="AQ627" s="315">
        <f t="shared" si="139"/>
        <v>0</v>
      </c>
      <c r="AR627" s="315">
        <f t="shared" si="139"/>
        <v>0</v>
      </c>
      <c r="AS627" s="315">
        <f t="shared" si="139"/>
        <v>0</v>
      </c>
      <c r="AT627" s="315">
        <f t="shared" si="139"/>
        <v>0</v>
      </c>
      <c r="AU627" s="315">
        <f t="shared" si="139"/>
        <v>0</v>
      </c>
      <c r="AV627" s="315">
        <f t="shared" si="139"/>
        <v>0</v>
      </c>
      <c r="AW627" s="315">
        <f t="shared" si="139"/>
        <v>0</v>
      </c>
      <c r="AX627" s="315">
        <f t="shared" si="139"/>
        <v>0</v>
      </c>
      <c r="AY627" s="315">
        <f t="shared" si="139"/>
        <v>0</v>
      </c>
      <c r="AZ627" s="315">
        <f t="shared" si="139"/>
        <v>0</v>
      </c>
      <c r="BA627" s="315">
        <f t="shared" si="139"/>
        <v>0</v>
      </c>
      <c r="BB627" s="315">
        <f t="shared" si="139"/>
        <v>0</v>
      </c>
      <c r="BC627" s="315">
        <f t="shared" si="139"/>
        <v>0</v>
      </c>
      <c r="BD627" s="315">
        <f t="shared" si="139"/>
        <v>0</v>
      </c>
      <c r="BE627" s="315">
        <f t="shared" si="139"/>
        <v>0</v>
      </c>
      <c r="BF627" s="315">
        <f t="shared" si="139"/>
        <v>0</v>
      </c>
      <c r="BG627" s="315">
        <f t="shared" si="139"/>
        <v>0</v>
      </c>
      <c r="BH627" s="315">
        <f t="shared" si="139"/>
        <v>0</v>
      </c>
      <c r="BI627" s="315">
        <f t="shared" si="139"/>
        <v>0</v>
      </c>
      <c r="BJ627" s="315">
        <f t="shared" si="139"/>
        <v>0</v>
      </c>
      <c r="BK627" s="315">
        <f t="shared" si="139"/>
        <v>0</v>
      </c>
      <c r="BL627" s="315">
        <f t="shared" si="139"/>
        <v>0</v>
      </c>
      <c r="BM627" s="315">
        <f t="shared" si="139"/>
        <v>0</v>
      </c>
      <c r="BN627" s="315">
        <f t="shared" si="139"/>
        <v>0</v>
      </c>
      <c r="BO627" s="315">
        <f t="shared" si="139"/>
        <v>0</v>
      </c>
      <c r="BP627" s="315">
        <f t="shared" si="139"/>
        <v>0</v>
      </c>
      <c r="BQ627" s="315">
        <f t="shared" si="139"/>
        <v>0</v>
      </c>
      <c r="BR627" s="315">
        <f t="shared" si="137"/>
        <v>0</v>
      </c>
      <c r="BS627" s="315">
        <f t="shared" si="135"/>
        <v>0</v>
      </c>
      <c r="BT627" s="315">
        <f t="shared" si="135"/>
        <v>0</v>
      </c>
      <c r="BU627" s="315">
        <f t="shared" si="135"/>
        <v>0</v>
      </c>
      <c r="BV627" s="315">
        <f t="shared" si="135"/>
        <v>0</v>
      </c>
      <c r="BW627" s="315">
        <f t="shared" si="135"/>
        <v>0</v>
      </c>
      <c r="BX627" s="315">
        <f t="shared" si="135"/>
        <v>0</v>
      </c>
      <c r="BZ627" s="315">
        <f t="shared" si="136"/>
        <v>0</v>
      </c>
      <c r="CA627" s="315">
        <f t="shared" si="136"/>
        <v>0</v>
      </c>
    </row>
    <row r="628" spans="7:79" hidden="1" x14ac:dyDescent="0.2">
      <c r="G628" s="315">
        <f t="shared" ref="G628:I629" si="140">G206-BY206</f>
        <v>0</v>
      </c>
      <c r="H628" s="315">
        <f t="shared" si="140"/>
        <v>0</v>
      </c>
      <c r="I628" s="315">
        <f t="shared" si="140"/>
        <v>0</v>
      </c>
      <c r="J628" s="315">
        <f t="shared" si="139"/>
        <v>0</v>
      </c>
      <c r="K628" s="315">
        <f t="shared" si="139"/>
        <v>0</v>
      </c>
      <c r="L628" s="315">
        <f t="shared" si="139"/>
        <v>0</v>
      </c>
      <c r="M628" s="315">
        <f t="shared" si="139"/>
        <v>0</v>
      </c>
      <c r="N628" s="315">
        <f t="shared" si="139"/>
        <v>0</v>
      </c>
      <c r="O628" s="315">
        <f t="shared" si="139"/>
        <v>0</v>
      </c>
      <c r="P628" s="315">
        <f t="shared" si="139"/>
        <v>0</v>
      </c>
      <c r="Q628" s="315">
        <f t="shared" si="139"/>
        <v>0</v>
      </c>
      <c r="R628" s="315">
        <f t="shared" si="139"/>
        <v>0</v>
      </c>
      <c r="S628" s="315">
        <f t="shared" si="139"/>
        <v>0</v>
      </c>
      <c r="T628" s="315">
        <f t="shared" si="139"/>
        <v>0</v>
      </c>
      <c r="U628" s="315">
        <f t="shared" si="139"/>
        <v>0</v>
      </c>
      <c r="V628" s="315">
        <f t="shared" si="139"/>
        <v>0</v>
      </c>
      <c r="W628" s="315">
        <f t="shared" si="139"/>
        <v>0</v>
      </c>
      <c r="X628" s="315">
        <f t="shared" si="139"/>
        <v>0</v>
      </c>
      <c r="Y628" s="315">
        <f t="shared" si="139"/>
        <v>0</v>
      </c>
      <c r="Z628" s="315">
        <f t="shared" si="139"/>
        <v>0</v>
      </c>
      <c r="AA628" s="315">
        <f t="shared" si="139"/>
        <v>0</v>
      </c>
      <c r="AB628" s="315">
        <f t="shared" si="139"/>
        <v>0</v>
      </c>
      <c r="AC628" s="315">
        <f t="shared" si="139"/>
        <v>0</v>
      </c>
      <c r="AD628" s="315">
        <f t="shared" si="139"/>
        <v>0</v>
      </c>
      <c r="AE628" s="315">
        <f t="shared" si="139"/>
        <v>0</v>
      </c>
      <c r="AF628" s="315">
        <f t="shared" si="139"/>
        <v>0</v>
      </c>
      <c r="AG628" s="315">
        <f t="shared" si="139"/>
        <v>0</v>
      </c>
      <c r="AH628" s="315">
        <f t="shared" si="139"/>
        <v>0</v>
      </c>
      <c r="AI628" s="315">
        <f t="shared" si="139"/>
        <v>0</v>
      </c>
      <c r="AJ628" s="315">
        <f t="shared" si="139"/>
        <v>0</v>
      </c>
      <c r="AK628" s="315">
        <f t="shared" si="139"/>
        <v>0</v>
      </c>
      <c r="AL628" s="315">
        <f t="shared" si="139"/>
        <v>0</v>
      </c>
      <c r="AM628" s="315">
        <f t="shared" si="139"/>
        <v>0</v>
      </c>
      <c r="AN628" s="315">
        <f t="shared" si="139"/>
        <v>0</v>
      </c>
      <c r="AO628" s="315">
        <f t="shared" si="139"/>
        <v>0</v>
      </c>
      <c r="AP628" s="315">
        <f t="shared" si="139"/>
        <v>0</v>
      </c>
      <c r="AQ628" s="315">
        <f t="shared" si="139"/>
        <v>0</v>
      </c>
      <c r="AR628" s="315">
        <f t="shared" si="139"/>
        <v>0</v>
      </c>
      <c r="AS628" s="315">
        <f t="shared" si="139"/>
        <v>0</v>
      </c>
      <c r="AT628" s="315">
        <f t="shared" si="139"/>
        <v>0</v>
      </c>
      <c r="AU628" s="315">
        <f t="shared" si="139"/>
        <v>0</v>
      </c>
      <c r="AV628" s="315">
        <f t="shared" si="139"/>
        <v>0</v>
      </c>
      <c r="AW628" s="315">
        <f t="shared" si="139"/>
        <v>0</v>
      </c>
      <c r="AX628" s="315">
        <f t="shared" si="139"/>
        <v>0</v>
      </c>
      <c r="AY628" s="315">
        <f t="shared" si="139"/>
        <v>0</v>
      </c>
      <c r="AZ628" s="315">
        <f t="shared" si="139"/>
        <v>0</v>
      </c>
      <c r="BA628" s="315">
        <f t="shared" si="139"/>
        <v>0</v>
      </c>
      <c r="BB628" s="315">
        <f t="shared" si="139"/>
        <v>0</v>
      </c>
      <c r="BC628" s="315">
        <f t="shared" si="139"/>
        <v>0</v>
      </c>
      <c r="BD628" s="315">
        <f t="shared" si="139"/>
        <v>0</v>
      </c>
      <c r="BE628" s="315">
        <f t="shared" si="139"/>
        <v>0</v>
      </c>
      <c r="BF628" s="315">
        <f t="shared" si="139"/>
        <v>0</v>
      </c>
      <c r="BG628" s="315">
        <f t="shared" si="139"/>
        <v>0</v>
      </c>
      <c r="BH628" s="315">
        <f t="shared" si="139"/>
        <v>0</v>
      </c>
      <c r="BI628" s="315">
        <f t="shared" si="139"/>
        <v>0</v>
      </c>
      <c r="BJ628" s="315">
        <f t="shared" si="139"/>
        <v>0</v>
      </c>
      <c r="BK628" s="315">
        <f t="shared" si="139"/>
        <v>0</v>
      </c>
      <c r="BL628" s="315">
        <f t="shared" si="139"/>
        <v>0</v>
      </c>
      <c r="BM628" s="315">
        <f t="shared" si="139"/>
        <v>0</v>
      </c>
      <c r="BN628" s="315">
        <f t="shared" si="139"/>
        <v>0</v>
      </c>
      <c r="BO628" s="315">
        <f t="shared" si="139"/>
        <v>0</v>
      </c>
      <c r="BP628" s="315">
        <f t="shared" si="139"/>
        <v>0</v>
      </c>
      <c r="BQ628" s="315">
        <f t="shared" si="139"/>
        <v>0</v>
      </c>
      <c r="BR628" s="315">
        <f t="shared" si="137"/>
        <v>0</v>
      </c>
      <c r="BS628" s="315">
        <f t="shared" si="135"/>
        <v>0</v>
      </c>
      <c r="BT628" s="315">
        <f t="shared" si="135"/>
        <v>0</v>
      </c>
      <c r="BU628" s="315">
        <f t="shared" si="135"/>
        <v>0</v>
      </c>
      <c r="BV628" s="315">
        <f t="shared" si="135"/>
        <v>0</v>
      </c>
      <c r="BW628" s="315">
        <f t="shared" si="135"/>
        <v>0</v>
      </c>
      <c r="BX628" s="315">
        <f t="shared" si="135"/>
        <v>0</v>
      </c>
      <c r="BZ628" s="315">
        <f t="shared" si="136"/>
        <v>0</v>
      </c>
      <c r="CA628" s="315">
        <f t="shared" si="136"/>
        <v>0</v>
      </c>
    </row>
    <row r="629" spans="7:79" hidden="1" x14ac:dyDescent="0.2">
      <c r="G629" s="315">
        <f t="shared" si="140"/>
        <v>0</v>
      </c>
      <c r="H629" s="315">
        <f t="shared" si="140"/>
        <v>0</v>
      </c>
      <c r="I629" s="315">
        <f t="shared" si="140"/>
        <v>0</v>
      </c>
      <c r="J629" s="315">
        <f t="shared" si="139"/>
        <v>0</v>
      </c>
      <c r="K629" s="315">
        <f t="shared" si="139"/>
        <v>0</v>
      </c>
      <c r="L629" s="315">
        <f t="shared" si="139"/>
        <v>0</v>
      </c>
      <c r="M629" s="315">
        <f t="shared" si="139"/>
        <v>0</v>
      </c>
      <c r="N629" s="315">
        <f t="shared" si="139"/>
        <v>0</v>
      </c>
      <c r="O629" s="315">
        <f t="shared" si="139"/>
        <v>0</v>
      </c>
      <c r="P629" s="315">
        <f t="shared" si="139"/>
        <v>0</v>
      </c>
      <c r="Q629" s="315">
        <f t="shared" si="139"/>
        <v>0</v>
      </c>
      <c r="R629" s="315">
        <f t="shared" si="139"/>
        <v>0</v>
      </c>
      <c r="S629" s="315">
        <f t="shared" si="139"/>
        <v>0</v>
      </c>
      <c r="T629" s="315">
        <f t="shared" si="139"/>
        <v>0</v>
      </c>
      <c r="U629" s="315">
        <f t="shared" si="139"/>
        <v>0</v>
      </c>
      <c r="V629" s="315">
        <f t="shared" si="139"/>
        <v>0</v>
      </c>
      <c r="W629" s="315">
        <f t="shared" si="139"/>
        <v>0</v>
      </c>
      <c r="X629" s="315">
        <f t="shared" si="139"/>
        <v>0</v>
      </c>
      <c r="Y629" s="315">
        <f t="shared" si="139"/>
        <v>0</v>
      </c>
      <c r="Z629" s="315">
        <f t="shared" si="139"/>
        <v>0</v>
      </c>
      <c r="AA629" s="315">
        <f t="shared" si="139"/>
        <v>0</v>
      </c>
      <c r="AB629" s="315">
        <f t="shared" si="139"/>
        <v>0</v>
      </c>
      <c r="AC629" s="315">
        <f t="shared" si="139"/>
        <v>0</v>
      </c>
      <c r="AD629" s="315">
        <f t="shared" si="139"/>
        <v>0</v>
      </c>
      <c r="AE629" s="315">
        <f t="shared" si="139"/>
        <v>0</v>
      </c>
      <c r="AF629" s="315">
        <f t="shared" si="139"/>
        <v>0</v>
      </c>
      <c r="AG629" s="315">
        <f t="shared" si="139"/>
        <v>0</v>
      </c>
      <c r="AH629" s="315">
        <f t="shared" si="139"/>
        <v>0</v>
      </c>
      <c r="AI629" s="315">
        <f t="shared" si="139"/>
        <v>0</v>
      </c>
      <c r="AJ629" s="315">
        <f t="shared" si="139"/>
        <v>0</v>
      </c>
      <c r="AK629" s="315">
        <f t="shared" si="139"/>
        <v>0</v>
      </c>
      <c r="AL629" s="315">
        <f t="shared" si="139"/>
        <v>0</v>
      </c>
      <c r="AM629" s="315">
        <f t="shared" si="139"/>
        <v>0</v>
      </c>
      <c r="AN629" s="315">
        <f t="shared" si="139"/>
        <v>0</v>
      </c>
      <c r="AO629" s="315">
        <f t="shared" si="139"/>
        <v>0</v>
      </c>
      <c r="AP629" s="315">
        <f t="shared" si="139"/>
        <v>0</v>
      </c>
      <c r="AQ629" s="315">
        <f t="shared" si="139"/>
        <v>0</v>
      </c>
      <c r="AR629" s="315">
        <f t="shared" si="139"/>
        <v>0</v>
      </c>
      <c r="AS629" s="315">
        <f t="shared" si="139"/>
        <v>0</v>
      </c>
      <c r="AT629" s="315">
        <f t="shared" si="139"/>
        <v>0</v>
      </c>
      <c r="AU629" s="315">
        <f t="shared" si="139"/>
        <v>0</v>
      </c>
      <c r="AV629" s="315">
        <f t="shared" si="139"/>
        <v>0</v>
      </c>
      <c r="AW629" s="315">
        <f t="shared" si="139"/>
        <v>0</v>
      </c>
      <c r="AX629" s="315">
        <f t="shared" si="139"/>
        <v>0</v>
      </c>
      <c r="AY629" s="315">
        <f t="shared" si="139"/>
        <v>0</v>
      </c>
      <c r="AZ629" s="315">
        <f t="shared" si="139"/>
        <v>0</v>
      </c>
      <c r="BA629" s="315">
        <f t="shared" si="139"/>
        <v>0</v>
      </c>
      <c r="BB629" s="315">
        <f t="shared" si="139"/>
        <v>0</v>
      </c>
      <c r="BC629" s="315">
        <f t="shared" si="139"/>
        <v>0</v>
      </c>
      <c r="BD629" s="315">
        <f t="shared" si="139"/>
        <v>0</v>
      </c>
      <c r="BE629" s="315">
        <f t="shared" si="139"/>
        <v>0</v>
      </c>
      <c r="BF629" s="315">
        <f t="shared" si="139"/>
        <v>0</v>
      </c>
      <c r="BG629" s="315">
        <f t="shared" si="139"/>
        <v>0</v>
      </c>
      <c r="BH629" s="315">
        <f t="shared" si="139"/>
        <v>0</v>
      </c>
      <c r="BI629" s="315">
        <f t="shared" si="139"/>
        <v>0</v>
      </c>
      <c r="BJ629" s="315">
        <f t="shared" si="139"/>
        <v>0</v>
      </c>
      <c r="BK629" s="315">
        <f t="shared" si="139"/>
        <v>0</v>
      </c>
      <c r="BL629" s="315">
        <f t="shared" si="139"/>
        <v>0</v>
      </c>
      <c r="BM629" s="315">
        <f t="shared" si="139"/>
        <v>0</v>
      </c>
      <c r="BN629" s="315">
        <f t="shared" si="139"/>
        <v>0</v>
      </c>
      <c r="BO629" s="315">
        <f t="shared" si="139"/>
        <v>0</v>
      </c>
      <c r="BP629" s="315">
        <f t="shared" si="139"/>
        <v>0</v>
      </c>
      <c r="BQ629" s="315">
        <f t="shared" si="139"/>
        <v>0</v>
      </c>
      <c r="BR629" s="315">
        <f t="shared" si="137"/>
        <v>0</v>
      </c>
      <c r="BS629" s="315">
        <f t="shared" si="135"/>
        <v>0</v>
      </c>
      <c r="BT629" s="315">
        <f t="shared" si="135"/>
        <v>0</v>
      </c>
      <c r="BU629" s="315">
        <f t="shared" si="135"/>
        <v>0</v>
      </c>
      <c r="BV629" s="315">
        <f t="shared" si="135"/>
        <v>0</v>
      </c>
      <c r="BW629" s="315">
        <f t="shared" si="135"/>
        <v>0</v>
      </c>
      <c r="BX629" s="315">
        <f t="shared" si="135"/>
        <v>0</v>
      </c>
      <c r="BZ629" s="315">
        <f t="shared" si="136"/>
        <v>0</v>
      </c>
      <c r="CA629" s="315">
        <f t="shared" si="136"/>
        <v>0</v>
      </c>
    </row>
    <row r="630" spans="7:79" hidden="1" x14ac:dyDescent="0.2">
      <c r="G630" s="315">
        <f t="shared" ref="G630:BR634" si="141">G209-BY209</f>
        <v>0</v>
      </c>
      <c r="H630" s="315">
        <f t="shared" si="141"/>
        <v>0</v>
      </c>
      <c r="I630" s="315">
        <f t="shared" si="141"/>
        <v>0</v>
      </c>
      <c r="J630" s="315">
        <f t="shared" si="141"/>
        <v>0</v>
      </c>
      <c r="K630" s="315">
        <f t="shared" si="141"/>
        <v>0</v>
      </c>
      <c r="L630" s="315">
        <f t="shared" si="141"/>
        <v>0</v>
      </c>
      <c r="M630" s="315">
        <f t="shared" si="141"/>
        <v>0</v>
      </c>
      <c r="N630" s="315">
        <f t="shared" si="141"/>
        <v>0</v>
      </c>
      <c r="O630" s="315">
        <f t="shared" si="141"/>
        <v>0</v>
      </c>
      <c r="P630" s="315">
        <f t="shared" si="141"/>
        <v>0</v>
      </c>
      <c r="Q630" s="315">
        <f t="shared" si="141"/>
        <v>0</v>
      </c>
      <c r="R630" s="315">
        <f t="shared" si="141"/>
        <v>0</v>
      </c>
      <c r="S630" s="315">
        <f t="shared" si="141"/>
        <v>0</v>
      </c>
      <c r="T630" s="315">
        <f t="shared" si="141"/>
        <v>0</v>
      </c>
      <c r="U630" s="315">
        <f t="shared" si="141"/>
        <v>0</v>
      </c>
      <c r="V630" s="315">
        <f t="shared" si="141"/>
        <v>0</v>
      </c>
      <c r="W630" s="315">
        <f t="shared" si="141"/>
        <v>0</v>
      </c>
      <c r="X630" s="315">
        <f t="shared" si="141"/>
        <v>0</v>
      </c>
      <c r="Y630" s="315">
        <f t="shared" si="141"/>
        <v>0</v>
      </c>
      <c r="Z630" s="315">
        <f t="shared" si="141"/>
        <v>0</v>
      </c>
      <c r="AA630" s="315">
        <f t="shared" si="141"/>
        <v>0</v>
      </c>
      <c r="AB630" s="315">
        <f t="shared" si="141"/>
        <v>0</v>
      </c>
      <c r="AC630" s="315">
        <f t="shared" si="141"/>
        <v>0</v>
      </c>
      <c r="AD630" s="315">
        <f t="shared" si="141"/>
        <v>0</v>
      </c>
      <c r="AE630" s="315">
        <f t="shared" si="141"/>
        <v>0</v>
      </c>
      <c r="AF630" s="315">
        <f t="shared" si="141"/>
        <v>0</v>
      </c>
      <c r="AG630" s="315">
        <f t="shared" si="141"/>
        <v>0</v>
      </c>
      <c r="AH630" s="315">
        <f t="shared" si="141"/>
        <v>0</v>
      </c>
      <c r="AI630" s="315">
        <f t="shared" si="141"/>
        <v>0</v>
      </c>
      <c r="AJ630" s="315">
        <f t="shared" si="141"/>
        <v>0</v>
      </c>
      <c r="AK630" s="315">
        <f t="shared" si="141"/>
        <v>0</v>
      </c>
      <c r="AL630" s="315">
        <f t="shared" si="141"/>
        <v>0</v>
      </c>
      <c r="AM630" s="315">
        <f t="shared" si="141"/>
        <v>0</v>
      </c>
      <c r="AN630" s="315">
        <f t="shared" si="141"/>
        <v>0</v>
      </c>
      <c r="AO630" s="315">
        <f t="shared" si="141"/>
        <v>0</v>
      </c>
      <c r="AP630" s="315">
        <f t="shared" si="141"/>
        <v>0</v>
      </c>
      <c r="AQ630" s="315">
        <f t="shared" si="141"/>
        <v>0</v>
      </c>
      <c r="AR630" s="315">
        <f t="shared" si="141"/>
        <v>0</v>
      </c>
      <c r="AS630" s="315">
        <f t="shared" si="141"/>
        <v>0</v>
      </c>
      <c r="AT630" s="315">
        <f t="shared" si="141"/>
        <v>0</v>
      </c>
      <c r="AU630" s="315">
        <f t="shared" si="141"/>
        <v>0</v>
      </c>
      <c r="AV630" s="315">
        <f t="shared" si="141"/>
        <v>0</v>
      </c>
      <c r="AW630" s="315">
        <f t="shared" si="141"/>
        <v>0</v>
      </c>
      <c r="AX630" s="315">
        <f t="shared" si="141"/>
        <v>0</v>
      </c>
      <c r="AY630" s="315">
        <f t="shared" si="141"/>
        <v>0</v>
      </c>
      <c r="AZ630" s="315">
        <f t="shared" si="141"/>
        <v>0</v>
      </c>
      <c r="BA630" s="315">
        <f t="shared" si="141"/>
        <v>0</v>
      </c>
      <c r="BB630" s="315">
        <f t="shared" si="141"/>
        <v>0</v>
      </c>
      <c r="BC630" s="315">
        <f t="shared" si="141"/>
        <v>0</v>
      </c>
      <c r="BD630" s="315">
        <f t="shared" si="141"/>
        <v>0</v>
      </c>
      <c r="BE630" s="315">
        <f t="shared" si="141"/>
        <v>0</v>
      </c>
      <c r="BF630" s="315">
        <f t="shared" si="141"/>
        <v>0</v>
      </c>
      <c r="BG630" s="315">
        <f t="shared" si="141"/>
        <v>0</v>
      </c>
      <c r="BH630" s="315">
        <f t="shared" si="141"/>
        <v>0</v>
      </c>
      <c r="BI630" s="315">
        <f t="shared" si="141"/>
        <v>0</v>
      </c>
      <c r="BJ630" s="315">
        <f t="shared" si="141"/>
        <v>0</v>
      </c>
      <c r="BK630" s="315">
        <f t="shared" si="141"/>
        <v>0</v>
      </c>
      <c r="BL630" s="315">
        <f t="shared" si="141"/>
        <v>0</v>
      </c>
      <c r="BM630" s="315">
        <f t="shared" si="141"/>
        <v>0</v>
      </c>
      <c r="BN630" s="315">
        <f t="shared" si="141"/>
        <v>0</v>
      </c>
      <c r="BO630" s="315">
        <f t="shared" si="141"/>
        <v>0</v>
      </c>
      <c r="BP630" s="315">
        <f t="shared" si="141"/>
        <v>0</v>
      </c>
      <c r="BQ630" s="315">
        <f t="shared" si="141"/>
        <v>0</v>
      </c>
      <c r="BR630" s="315">
        <f t="shared" si="141"/>
        <v>0</v>
      </c>
      <c r="BS630" s="315">
        <f t="shared" ref="BO630:BX634" si="142">BS209-EK209</f>
        <v>0</v>
      </c>
      <c r="BT630" s="315">
        <f t="shared" si="142"/>
        <v>0</v>
      </c>
      <c r="BU630" s="315">
        <f t="shared" si="142"/>
        <v>0</v>
      </c>
      <c r="BV630" s="315">
        <f t="shared" si="142"/>
        <v>0</v>
      </c>
      <c r="BW630" s="315">
        <f t="shared" si="142"/>
        <v>0</v>
      </c>
      <c r="BX630" s="315">
        <f t="shared" si="142"/>
        <v>0</v>
      </c>
      <c r="BZ630" s="315">
        <f t="shared" ref="BZ630:CA634" si="143">BZ209-ER209</f>
        <v>0</v>
      </c>
      <c r="CA630" s="315">
        <f t="shared" si="143"/>
        <v>0</v>
      </c>
    </row>
    <row r="631" spans="7:79" hidden="1" x14ac:dyDescent="0.2">
      <c r="G631" s="315">
        <f t="shared" si="141"/>
        <v>0</v>
      </c>
      <c r="H631" s="315">
        <f t="shared" si="141"/>
        <v>0</v>
      </c>
      <c r="I631" s="315">
        <f t="shared" si="141"/>
        <v>0</v>
      </c>
      <c r="J631" s="315">
        <f t="shared" si="141"/>
        <v>0</v>
      </c>
      <c r="K631" s="315">
        <f t="shared" si="141"/>
        <v>0</v>
      </c>
      <c r="L631" s="315">
        <f t="shared" si="141"/>
        <v>0</v>
      </c>
      <c r="M631" s="315">
        <f t="shared" si="141"/>
        <v>0</v>
      </c>
      <c r="N631" s="315">
        <f t="shared" si="141"/>
        <v>0</v>
      </c>
      <c r="O631" s="315">
        <f t="shared" si="141"/>
        <v>0</v>
      </c>
      <c r="P631" s="315">
        <f t="shared" si="141"/>
        <v>0</v>
      </c>
      <c r="Q631" s="315">
        <f t="shared" si="141"/>
        <v>0</v>
      </c>
      <c r="R631" s="315">
        <f t="shared" si="141"/>
        <v>0</v>
      </c>
      <c r="S631" s="315">
        <f t="shared" si="141"/>
        <v>0</v>
      </c>
      <c r="T631" s="315">
        <f t="shared" si="141"/>
        <v>0</v>
      </c>
      <c r="U631" s="315">
        <f t="shared" si="141"/>
        <v>0</v>
      </c>
      <c r="V631" s="315">
        <f t="shared" si="141"/>
        <v>0</v>
      </c>
      <c r="W631" s="315">
        <f t="shared" si="141"/>
        <v>0</v>
      </c>
      <c r="X631" s="315">
        <f t="shared" si="141"/>
        <v>0</v>
      </c>
      <c r="Y631" s="315">
        <f t="shared" si="141"/>
        <v>0</v>
      </c>
      <c r="Z631" s="315">
        <f t="shared" si="141"/>
        <v>0</v>
      </c>
      <c r="AA631" s="315">
        <f t="shared" si="141"/>
        <v>0</v>
      </c>
      <c r="AB631" s="315">
        <f t="shared" si="141"/>
        <v>0</v>
      </c>
      <c r="AC631" s="315">
        <f t="shared" si="141"/>
        <v>0</v>
      </c>
      <c r="AD631" s="315">
        <f t="shared" si="141"/>
        <v>0</v>
      </c>
      <c r="AE631" s="315">
        <f t="shared" si="141"/>
        <v>0</v>
      </c>
      <c r="AF631" s="315">
        <f t="shared" si="141"/>
        <v>0</v>
      </c>
      <c r="AG631" s="315">
        <f t="shared" si="141"/>
        <v>0</v>
      </c>
      <c r="AH631" s="315">
        <f t="shared" si="141"/>
        <v>0</v>
      </c>
      <c r="AI631" s="315">
        <f t="shared" si="141"/>
        <v>0</v>
      </c>
      <c r="AJ631" s="315">
        <f t="shared" si="141"/>
        <v>0</v>
      </c>
      <c r="AK631" s="315">
        <f t="shared" si="141"/>
        <v>0</v>
      </c>
      <c r="AL631" s="315">
        <f t="shared" si="141"/>
        <v>0</v>
      </c>
      <c r="AM631" s="315">
        <f t="shared" si="141"/>
        <v>0</v>
      </c>
      <c r="AN631" s="315">
        <f t="shared" si="141"/>
        <v>0</v>
      </c>
      <c r="AO631" s="315">
        <f t="shared" si="141"/>
        <v>0</v>
      </c>
      <c r="AP631" s="315">
        <f t="shared" si="141"/>
        <v>0</v>
      </c>
      <c r="AQ631" s="315">
        <f t="shared" si="141"/>
        <v>0</v>
      </c>
      <c r="AR631" s="315">
        <f t="shared" si="141"/>
        <v>0</v>
      </c>
      <c r="AS631" s="315">
        <f t="shared" si="141"/>
        <v>0</v>
      </c>
      <c r="AT631" s="315">
        <f t="shared" si="141"/>
        <v>0</v>
      </c>
      <c r="AU631" s="315">
        <f t="shared" si="141"/>
        <v>0</v>
      </c>
      <c r="AV631" s="315">
        <f t="shared" si="141"/>
        <v>0</v>
      </c>
      <c r="AW631" s="315">
        <f t="shared" si="141"/>
        <v>0</v>
      </c>
      <c r="AX631" s="315">
        <f t="shared" si="141"/>
        <v>0</v>
      </c>
      <c r="AY631" s="315">
        <f t="shared" si="141"/>
        <v>0</v>
      </c>
      <c r="AZ631" s="315">
        <f t="shared" si="141"/>
        <v>0</v>
      </c>
      <c r="BA631" s="315">
        <f t="shared" si="141"/>
        <v>0</v>
      </c>
      <c r="BB631" s="315">
        <f t="shared" si="141"/>
        <v>0</v>
      </c>
      <c r="BC631" s="315">
        <f t="shared" si="141"/>
        <v>0</v>
      </c>
      <c r="BD631" s="315">
        <f t="shared" si="141"/>
        <v>0</v>
      </c>
      <c r="BE631" s="315">
        <f t="shared" si="141"/>
        <v>0</v>
      </c>
      <c r="BF631" s="315">
        <f t="shared" si="141"/>
        <v>0</v>
      </c>
      <c r="BG631" s="315">
        <f t="shared" si="141"/>
        <v>0</v>
      </c>
      <c r="BH631" s="315">
        <f t="shared" si="141"/>
        <v>0</v>
      </c>
      <c r="BI631" s="315">
        <f t="shared" si="141"/>
        <v>0</v>
      </c>
      <c r="BJ631" s="315">
        <f t="shared" si="141"/>
        <v>0</v>
      </c>
      <c r="BK631" s="315">
        <f t="shared" si="141"/>
        <v>0</v>
      </c>
      <c r="BL631" s="315">
        <f t="shared" si="141"/>
        <v>0</v>
      </c>
      <c r="BM631" s="315">
        <f t="shared" si="141"/>
        <v>0</v>
      </c>
      <c r="BN631" s="315">
        <f t="shared" si="141"/>
        <v>0</v>
      </c>
      <c r="BO631" s="315">
        <f t="shared" si="142"/>
        <v>0</v>
      </c>
      <c r="BP631" s="315">
        <f t="shared" si="142"/>
        <v>0</v>
      </c>
      <c r="BQ631" s="315">
        <f t="shared" si="142"/>
        <v>0</v>
      </c>
      <c r="BR631" s="315">
        <f t="shared" si="142"/>
        <v>0</v>
      </c>
      <c r="BS631" s="315">
        <f t="shared" si="142"/>
        <v>0</v>
      </c>
      <c r="BT631" s="315">
        <f t="shared" si="142"/>
        <v>0</v>
      </c>
      <c r="BU631" s="315">
        <f t="shared" si="142"/>
        <v>0</v>
      </c>
      <c r="BV631" s="315">
        <f t="shared" si="142"/>
        <v>0</v>
      </c>
      <c r="BW631" s="315">
        <f t="shared" si="142"/>
        <v>0</v>
      </c>
      <c r="BX631" s="315">
        <f t="shared" si="142"/>
        <v>0</v>
      </c>
      <c r="BZ631" s="315">
        <f t="shared" si="143"/>
        <v>0</v>
      </c>
      <c r="CA631" s="315">
        <f t="shared" si="143"/>
        <v>0</v>
      </c>
    </row>
    <row r="632" spans="7:79" hidden="1" x14ac:dyDescent="0.2">
      <c r="G632" s="315">
        <f t="shared" si="141"/>
        <v>0</v>
      </c>
      <c r="H632" s="315">
        <f t="shared" si="141"/>
        <v>0</v>
      </c>
      <c r="I632" s="315">
        <f t="shared" si="141"/>
        <v>0</v>
      </c>
      <c r="J632" s="315">
        <f t="shared" si="141"/>
        <v>0</v>
      </c>
      <c r="K632" s="315">
        <f t="shared" si="141"/>
        <v>0</v>
      </c>
      <c r="L632" s="315">
        <f t="shared" si="141"/>
        <v>0</v>
      </c>
      <c r="M632" s="315">
        <f t="shared" si="141"/>
        <v>0</v>
      </c>
      <c r="N632" s="315">
        <f t="shared" si="141"/>
        <v>0</v>
      </c>
      <c r="O632" s="315">
        <f t="shared" si="141"/>
        <v>0</v>
      </c>
      <c r="P632" s="315">
        <f t="shared" si="141"/>
        <v>0</v>
      </c>
      <c r="Q632" s="315">
        <f t="shared" si="141"/>
        <v>0</v>
      </c>
      <c r="R632" s="315">
        <f t="shared" si="141"/>
        <v>0</v>
      </c>
      <c r="S632" s="315">
        <f t="shared" si="141"/>
        <v>0</v>
      </c>
      <c r="T632" s="315">
        <f t="shared" si="141"/>
        <v>0</v>
      </c>
      <c r="U632" s="315">
        <f t="shared" si="141"/>
        <v>0</v>
      </c>
      <c r="V632" s="315">
        <f t="shared" si="141"/>
        <v>0</v>
      </c>
      <c r="W632" s="315">
        <f t="shared" si="141"/>
        <v>0</v>
      </c>
      <c r="X632" s="315">
        <f t="shared" si="141"/>
        <v>0</v>
      </c>
      <c r="Y632" s="315">
        <f t="shared" si="141"/>
        <v>0</v>
      </c>
      <c r="Z632" s="315">
        <f t="shared" si="141"/>
        <v>0</v>
      </c>
      <c r="AA632" s="315">
        <f t="shared" si="141"/>
        <v>0</v>
      </c>
      <c r="AB632" s="315">
        <f t="shared" si="141"/>
        <v>0</v>
      </c>
      <c r="AC632" s="315">
        <f t="shared" si="141"/>
        <v>0</v>
      </c>
      <c r="AD632" s="315">
        <f t="shared" si="141"/>
        <v>0</v>
      </c>
      <c r="AE632" s="315">
        <f t="shared" si="141"/>
        <v>0</v>
      </c>
      <c r="AF632" s="315">
        <f t="shared" si="141"/>
        <v>0</v>
      </c>
      <c r="AG632" s="315">
        <f t="shared" si="141"/>
        <v>0</v>
      </c>
      <c r="AH632" s="315">
        <f t="shared" si="141"/>
        <v>0</v>
      </c>
      <c r="AI632" s="315">
        <f t="shared" si="141"/>
        <v>0</v>
      </c>
      <c r="AJ632" s="315">
        <f t="shared" si="141"/>
        <v>0</v>
      </c>
      <c r="AK632" s="315">
        <f t="shared" si="141"/>
        <v>0</v>
      </c>
      <c r="AL632" s="315">
        <f t="shared" si="141"/>
        <v>0</v>
      </c>
      <c r="AM632" s="315">
        <f t="shared" si="141"/>
        <v>0</v>
      </c>
      <c r="AN632" s="315">
        <f t="shared" si="141"/>
        <v>0</v>
      </c>
      <c r="AO632" s="315">
        <f t="shared" si="141"/>
        <v>0</v>
      </c>
      <c r="AP632" s="315">
        <f t="shared" si="141"/>
        <v>0</v>
      </c>
      <c r="AQ632" s="315">
        <f t="shared" si="141"/>
        <v>0</v>
      </c>
      <c r="AR632" s="315">
        <f t="shared" si="141"/>
        <v>0</v>
      </c>
      <c r="AS632" s="315">
        <f t="shared" si="141"/>
        <v>0</v>
      </c>
      <c r="AT632" s="315">
        <f t="shared" si="141"/>
        <v>0</v>
      </c>
      <c r="AU632" s="315">
        <f t="shared" si="141"/>
        <v>0</v>
      </c>
      <c r="AV632" s="315">
        <f t="shared" si="141"/>
        <v>0</v>
      </c>
      <c r="AW632" s="315">
        <f t="shared" si="141"/>
        <v>0</v>
      </c>
      <c r="AX632" s="315">
        <f t="shared" si="141"/>
        <v>0</v>
      </c>
      <c r="AY632" s="315">
        <f t="shared" si="141"/>
        <v>0</v>
      </c>
      <c r="AZ632" s="315">
        <f t="shared" si="141"/>
        <v>0</v>
      </c>
      <c r="BA632" s="315">
        <f t="shared" si="141"/>
        <v>0</v>
      </c>
      <c r="BB632" s="315">
        <f t="shared" si="141"/>
        <v>0</v>
      </c>
      <c r="BC632" s="315">
        <f t="shared" si="141"/>
        <v>0</v>
      </c>
      <c r="BD632" s="315">
        <f t="shared" si="141"/>
        <v>0</v>
      </c>
      <c r="BE632" s="315">
        <f t="shared" si="141"/>
        <v>0</v>
      </c>
      <c r="BF632" s="315">
        <f t="shared" si="141"/>
        <v>0</v>
      </c>
      <c r="BG632" s="315">
        <f t="shared" si="141"/>
        <v>0</v>
      </c>
      <c r="BH632" s="315">
        <f t="shared" si="141"/>
        <v>0</v>
      </c>
      <c r="BI632" s="315">
        <f t="shared" si="141"/>
        <v>0</v>
      </c>
      <c r="BJ632" s="315">
        <f t="shared" si="141"/>
        <v>0</v>
      </c>
      <c r="BK632" s="315">
        <f t="shared" si="141"/>
        <v>0</v>
      </c>
      <c r="BL632" s="315">
        <f t="shared" si="141"/>
        <v>0</v>
      </c>
      <c r="BM632" s="315">
        <f t="shared" si="141"/>
        <v>0</v>
      </c>
      <c r="BN632" s="315">
        <f t="shared" si="141"/>
        <v>0</v>
      </c>
      <c r="BO632" s="315">
        <f t="shared" si="142"/>
        <v>0</v>
      </c>
      <c r="BP632" s="315">
        <f t="shared" si="142"/>
        <v>0</v>
      </c>
      <c r="BQ632" s="315">
        <f t="shared" si="142"/>
        <v>0</v>
      </c>
      <c r="BR632" s="315">
        <f t="shared" si="142"/>
        <v>0</v>
      </c>
      <c r="BS632" s="315">
        <f t="shared" si="142"/>
        <v>0</v>
      </c>
      <c r="BT632" s="315">
        <f t="shared" si="142"/>
        <v>0</v>
      </c>
      <c r="BU632" s="315">
        <f t="shared" si="142"/>
        <v>0</v>
      </c>
      <c r="BV632" s="315">
        <f t="shared" si="142"/>
        <v>0</v>
      </c>
      <c r="BW632" s="315">
        <f t="shared" si="142"/>
        <v>0</v>
      </c>
      <c r="BX632" s="315">
        <f t="shared" si="142"/>
        <v>0</v>
      </c>
      <c r="BZ632" s="315">
        <f t="shared" si="143"/>
        <v>0</v>
      </c>
      <c r="CA632" s="315">
        <f t="shared" si="143"/>
        <v>0</v>
      </c>
    </row>
    <row r="633" spans="7:79" hidden="1" x14ac:dyDescent="0.2">
      <c r="G633" s="315">
        <f t="shared" si="141"/>
        <v>0</v>
      </c>
      <c r="H633" s="315">
        <f t="shared" si="141"/>
        <v>0</v>
      </c>
      <c r="I633" s="315">
        <f t="shared" si="141"/>
        <v>0</v>
      </c>
      <c r="J633" s="315">
        <f t="shared" si="141"/>
        <v>0</v>
      </c>
      <c r="K633" s="315">
        <f t="shared" si="141"/>
        <v>0</v>
      </c>
      <c r="L633" s="315">
        <f t="shared" si="141"/>
        <v>0</v>
      </c>
      <c r="M633" s="315">
        <f t="shared" si="141"/>
        <v>0</v>
      </c>
      <c r="N633" s="315">
        <f t="shared" si="141"/>
        <v>0</v>
      </c>
      <c r="O633" s="315">
        <f t="shared" si="141"/>
        <v>0</v>
      </c>
      <c r="P633" s="315">
        <f t="shared" si="141"/>
        <v>0</v>
      </c>
      <c r="Q633" s="315">
        <f t="shared" si="141"/>
        <v>0</v>
      </c>
      <c r="R633" s="315">
        <f t="shared" si="141"/>
        <v>0</v>
      </c>
      <c r="S633" s="315">
        <f t="shared" si="141"/>
        <v>0</v>
      </c>
      <c r="T633" s="315">
        <f t="shared" si="141"/>
        <v>0</v>
      </c>
      <c r="U633" s="315">
        <f t="shared" si="141"/>
        <v>0</v>
      </c>
      <c r="V633" s="315">
        <f t="shared" si="141"/>
        <v>0</v>
      </c>
      <c r="W633" s="315">
        <f t="shared" si="141"/>
        <v>0</v>
      </c>
      <c r="X633" s="315">
        <f t="shared" si="141"/>
        <v>0</v>
      </c>
      <c r="Y633" s="315">
        <f t="shared" si="141"/>
        <v>0</v>
      </c>
      <c r="Z633" s="315">
        <f t="shared" si="141"/>
        <v>0</v>
      </c>
      <c r="AA633" s="315">
        <f t="shared" si="141"/>
        <v>0</v>
      </c>
      <c r="AB633" s="315">
        <f t="shared" si="141"/>
        <v>0</v>
      </c>
      <c r="AC633" s="315">
        <f t="shared" si="141"/>
        <v>0</v>
      </c>
      <c r="AD633" s="315">
        <f t="shared" si="141"/>
        <v>0</v>
      </c>
      <c r="AE633" s="315">
        <f t="shared" si="141"/>
        <v>0</v>
      </c>
      <c r="AF633" s="315">
        <f t="shared" si="141"/>
        <v>0</v>
      </c>
      <c r="AG633" s="315">
        <f t="shared" si="141"/>
        <v>0</v>
      </c>
      <c r="AH633" s="315">
        <f t="shared" si="141"/>
        <v>0</v>
      </c>
      <c r="AI633" s="315">
        <f t="shared" si="141"/>
        <v>0</v>
      </c>
      <c r="AJ633" s="315">
        <f t="shared" si="141"/>
        <v>0</v>
      </c>
      <c r="AK633" s="315">
        <f t="shared" si="141"/>
        <v>0</v>
      </c>
      <c r="AL633" s="315">
        <f t="shared" si="141"/>
        <v>0</v>
      </c>
      <c r="AM633" s="315">
        <f t="shared" si="141"/>
        <v>0</v>
      </c>
      <c r="AN633" s="315">
        <f t="shared" si="141"/>
        <v>0</v>
      </c>
      <c r="AO633" s="315">
        <f t="shared" si="141"/>
        <v>0</v>
      </c>
      <c r="AP633" s="315">
        <f t="shared" si="141"/>
        <v>0</v>
      </c>
      <c r="AQ633" s="315">
        <f t="shared" si="141"/>
        <v>0</v>
      </c>
      <c r="AR633" s="315">
        <f t="shared" si="141"/>
        <v>0</v>
      </c>
      <c r="AS633" s="315">
        <f t="shared" si="141"/>
        <v>0</v>
      </c>
      <c r="AT633" s="315">
        <f t="shared" si="141"/>
        <v>0</v>
      </c>
      <c r="AU633" s="315">
        <f t="shared" si="141"/>
        <v>0</v>
      </c>
      <c r="AV633" s="315">
        <f t="shared" si="141"/>
        <v>0</v>
      </c>
      <c r="AW633" s="315">
        <f t="shared" si="141"/>
        <v>0</v>
      </c>
      <c r="AX633" s="315">
        <f t="shared" si="141"/>
        <v>0</v>
      </c>
      <c r="AY633" s="315">
        <f t="shared" si="141"/>
        <v>0</v>
      </c>
      <c r="AZ633" s="315">
        <f t="shared" si="141"/>
        <v>0</v>
      </c>
      <c r="BA633" s="315">
        <f t="shared" si="141"/>
        <v>0</v>
      </c>
      <c r="BB633" s="315">
        <f t="shared" si="141"/>
        <v>0</v>
      </c>
      <c r="BC633" s="315">
        <f t="shared" si="141"/>
        <v>0</v>
      </c>
      <c r="BD633" s="315">
        <f t="shared" si="141"/>
        <v>0</v>
      </c>
      <c r="BE633" s="315">
        <f t="shared" si="141"/>
        <v>0</v>
      </c>
      <c r="BF633" s="315">
        <f t="shared" si="141"/>
        <v>0</v>
      </c>
      <c r="BG633" s="315">
        <f t="shared" si="141"/>
        <v>0</v>
      </c>
      <c r="BH633" s="315">
        <f t="shared" si="141"/>
        <v>0</v>
      </c>
      <c r="BI633" s="315">
        <f t="shared" si="141"/>
        <v>0</v>
      </c>
      <c r="BJ633" s="315">
        <f t="shared" si="141"/>
        <v>0</v>
      </c>
      <c r="BK633" s="315">
        <f t="shared" si="141"/>
        <v>0</v>
      </c>
      <c r="BL633" s="315">
        <f t="shared" si="141"/>
        <v>0</v>
      </c>
      <c r="BM633" s="315">
        <f t="shared" si="141"/>
        <v>0</v>
      </c>
      <c r="BN633" s="315">
        <f t="shared" si="141"/>
        <v>0</v>
      </c>
      <c r="BO633" s="315">
        <f t="shared" si="142"/>
        <v>0</v>
      </c>
      <c r="BP633" s="315">
        <f t="shared" si="142"/>
        <v>0</v>
      </c>
      <c r="BQ633" s="315">
        <f t="shared" si="142"/>
        <v>0</v>
      </c>
      <c r="BR633" s="315">
        <f t="shared" si="142"/>
        <v>0</v>
      </c>
      <c r="BS633" s="315">
        <f t="shared" si="142"/>
        <v>0</v>
      </c>
      <c r="BT633" s="315">
        <f t="shared" si="142"/>
        <v>0</v>
      </c>
      <c r="BU633" s="315">
        <f t="shared" si="142"/>
        <v>0</v>
      </c>
      <c r="BV633" s="315">
        <f t="shared" si="142"/>
        <v>0</v>
      </c>
      <c r="BW633" s="315">
        <f t="shared" si="142"/>
        <v>0</v>
      </c>
      <c r="BX633" s="315">
        <f t="shared" si="142"/>
        <v>0</v>
      </c>
      <c r="BZ633" s="315">
        <f t="shared" si="143"/>
        <v>0</v>
      </c>
      <c r="CA633" s="315">
        <f t="shared" si="143"/>
        <v>0</v>
      </c>
    </row>
    <row r="634" spans="7:79" hidden="1" x14ac:dyDescent="0.2">
      <c r="G634" s="315">
        <f t="shared" si="141"/>
        <v>0</v>
      </c>
      <c r="H634" s="315">
        <f t="shared" si="141"/>
        <v>0</v>
      </c>
      <c r="I634" s="315">
        <f t="shared" si="141"/>
        <v>0</v>
      </c>
      <c r="J634" s="315">
        <f t="shared" si="141"/>
        <v>0</v>
      </c>
      <c r="K634" s="315">
        <f t="shared" si="141"/>
        <v>0</v>
      </c>
      <c r="L634" s="315">
        <f t="shared" si="141"/>
        <v>0</v>
      </c>
      <c r="M634" s="315">
        <f t="shared" si="141"/>
        <v>0</v>
      </c>
      <c r="N634" s="315">
        <f t="shared" si="141"/>
        <v>0</v>
      </c>
      <c r="O634" s="315">
        <f t="shared" si="141"/>
        <v>0</v>
      </c>
      <c r="P634" s="315">
        <f t="shared" si="141"/>
        <v>0</v>
      </c>
      <c r="Q634" s="315">
        <f t="shared" si="141"/>
        <v>0</v>
      </c>
      <c r="R634" s="315">
        <f t="shared" ref="R634:BN634" si="144">R213-CJ213</f>
        <v>0</v>
      </c>
      <c r="S634" s="315">
        <f t="shared" si="144"/>
        <v>0</v>
      </c>
      <c r="T634" s="315">
        <f t="shared" si="144"/>
        <v>0</v>
      </c>
      <c r="U634" s="315">
        <f t="shared" si="144"/>
        <v>0</v>
      </c>
      <c r="V634" s="315">
        <f t="shared" si="144"/>
        <v>0</v>
      </c>
      <c r="W634" s="315">
        <f t="shared" si="144"/>
        <v>0</v>
      </c>
      <c r="X634" s="315">
        <f t="shared" si="144"/>
        <v>0</v>
      </c>
      <c r="Y634" s="315">
        <f t="shared" si="144"/>
        <v>0</v>
      </c>
      <c r="Z634" s="315">
        <f t="shared" si="144"/>
        <v>0</v>
      </c>
      <c r="AA634" s="315">
        <f t="shared" si="144"/>
        <v>0</v>
      </c>
      <c r="AB634" s="315">
        <f t="shared" si="144"/>
        <v>0</v>
      </c>
      <c r="AC634" s="315">
        <f t="shared" si="144"/>
        <v>0</v>
      </c>
      <c r="AD634" s="315">
        <f t="shared" si="144"/>
        <v>0</v>
      </c>
      <c r="AE634" s="315">
        <f t="shared" si="144"/>
        <v>0</v>
      </c>
      <c r="AF634" s="315">
        <f t="shared" si="144"/>
        <v>0</v>
      </c>
      <c r="AG634" s="315">
        <f t="shared" si="144"/>
        <v>0</v>
      </c>
      <c r="AH634" s="315">
        <f t="shared" si="144"/>
        <v>0</v>
      </c>
      <c r="AI634" s="315">
        <f t="shared" si="144"/>
        <v>0</v>
      </c>
      <c r="AJ634" s="315">
        <f t="shared" si="144"/>
        <v>0</v>
      </c>
      <c r="AK634" s="315">
        <f t="shared" si="144"/>
        <v>0</v>
      </c>
      <c r="AL634" s="315">
        <f t="shared" si="144"/>
        <v>0</v>
      </c>
      <c r="AM634" s="315">
        <f t="shared" si="144"/>
        <v>0</v>
      </c>
      <c r="AN634" s="315">
        <f t="shared" si="144"/>
        <v>0</v>
      </c>
      <c r="AO634" s="315">
        <f t="shared" si="144"/>
        <v>0</v>
      </c>
      <c r="AP634" s="315">
        <f t="shared" si="144"/>
        <v>0</v>
      </c>
      <c r="AQ634" s="315">
        <f t="shared" si="144"/>
        <v>0</v>
      </c>
      <c r="AR634" s="315">
        <f t="shared" si="144"/>
        <v>0</v>
      </c>
      <c r="AS634" s="315">
        <f t="shared" si="144"/>
        <v>0</v>
      </c>
      <c r="AT634" s="315">
        <f t="shared" si="144"/>
        <v>0</v>
      </c>
      <c r="AU634" s="315">
        <f t="shared" si="144"/>
        <v>0</v>
      </c>
      <c r="AV634" s="315">
        <f t="shared" si="144"/>
        <v>0</v>
      </c>
      <c r="AW634" s="315">
        <f t="shared" si="144"/>
        <v>0</v>
      </c>
      <c r="AX634" s="315">
        <f t="shared" si="144"/>
        <v>0</v>
      </c>
      <c r="AY634" s="315">
        <f t="shared" si="144"/>
        <v>0</v>
      </c>
      <c r="AZ634" s="315">
        <f t="shared" si="144"/>
        <v>0</v>
      </c>
      <c r="BA634" s="315">
        <f t="shared" si="144"/>
        <v>0</v>
      </c>
      <c r="BB634" s="315">
        <f t="shared" si="144"/>
        <v>0</v>
      </c>
      <c r="BC634" s="315">
        <f t="shared" si="144"/>
        <v>0</v>
      </c>
      <c r="BD634" s="315">
        <f t="shared" si="144"/>
        <v>0</v>
      </c>
      <c r="BE634" s="315">
        <f t="shared" si="144"/>
        <v>0</v>
      </c>
      <c r="BF634" s="315">
        <f t="shared" si="144"/>
        <v>0</v>
      </c>
      <c r="BG634" s="315">
        <f t="shared" si="144"/>
        <v>0</v>
      </c>
      <c r="BH634" s="315">
        <f t="shared" si="144"/>
        <v>0</v>
      </c>
      <c r="BI634" s="315">
        <f t="shared" si="144"/>
        <v>0</v>
      </c>
      <c r="BJ634" s="315">
        <f t="shared" si="144"/>
        <v>0</v>
      </c>
      <c r="BK634" s="315">
        <f t="shared" si="144"/>
        <v>0</v>
      </c>
      <c r="BL634" s="315">
        <f t="shared" si="144"/>
        <v>0</v>
      </c>
      <c r="BM634" s="315">
        <f t="shared" si="144"/>
        <v>0</v>
      </c>
      <c r="BN634" s="315">
        <f t="shared" si="144"/>
        <v>0</v>
      </c>
      <c r="BO634" s="315">
        <f t="shared" si="142"/>
        <v>0</v>
      </c>
      <c r="BP634" s="315">
        <f t="shared" si="142"/>
        <v>0</v>
      </c>
      <c r="BQ634" s="315">
        <f t="shared" si="142"/>
        <v>0</v>
      </c>
      <c r="BR634" s="315">
        <f t="shared" si="142"/>
        <v>0</v>
      </c>
      <c r="BS634" s="315">
        <f t="shared" si="142"/>
        <v>0</v>
      </c>
      <c r="BT634" s="315">
        <f t="shared" si="142"/>
        <v>0</v>
      </c>
      <c r="BU634" s="315">
        <f t="shared" si="142"/>
        <v>0</v>
      </c>
      <c r="BV634" s="315">
        <f t="shared" si="142"/>
        <v>0</v>
      </c>
      <c r="BW634" s="315">
        <f t="shared" si="142"/>
        <v>0</v>
      </c>
      <c r="BX634" s="315">
        <f t="shared" si="142"/>
        <v>0</v>
      </c>
      <c r="BZ634" s="315">
        <f t="shared" si="143"/>
        <v>0</v>
      </c>
      <c r="CA634" s="315">
        <f t="shared" si="143"/>
        <v>0</v>
      </c>
    </row>
    <row r="635" spans="7:79" hidden="1" x14ac:dyDescent="0.2">
      <c r="G635" s="315">
        <f t="shared" ref="G635:BR639" si="145">G215-BY215</f>
        <v>0</v>
      </c>
      <c r="H635" s="315">
        <f t="shared" si="145"/>
        <v>0</v>
      </c>
      <c r="I635" s="315">
        <f t="shared" si="145"/>
        <v>0</v>
      </c>
      <c r="J635" s="315">
        <f t="shared" si="145"/>
        <v>0</v>
      </c>
      <c r="K635" s="315">
        <f t="shared" si="145"/>
        <v>0</v>
      </c>
      <c r="L635" s="315">
        <f t="shared" si="145"/>
        <v>0</v>
      </c>
      <c r="M635" s="315">
        <f t="shared" si="145"/>
        <v>0</v>
      </c>
      <c r="N635" s="315">
        <f t="shared" si="145"/>
        <v>0</v>
      </c>
      <c r="O635" s="315">
        <f t="shared" si="145"/>
        <v>0</v>
      </c>
      <c r="P635" s="315">
        <f t="shared" si="145"/>
        <v>0</v>
      </c>
      <c r="Q635" s="315">
        <f t="shared" si="145"/>
        <v>0</v>
      </c>
      <c r="R635" s="315">
        <f t="shared" si="145"/>
        <v>0</v>
      </c>
      <c r="S635" s="315">
        <f t="shared" si="145"/>
        <v>0</v>
      </c>
      <c r="T635" s="315">
        <f t="shared" si="145"/>
        <v>0</v>
      </c>
      <c r="U635" s="315">
        <f t="shared" si="145"/>
        <v>0</v>
      </c>
      <c r="V635" s="315">
        <f t="shared" si="145"/>
        <v>0</v>
      </c>
      <c r="W635" s="315">
        <f t="shared" si="145"/>
        <v>0</v>
      </c>
      <c r="X635" s="315">
        <f t="shared" si="145"/>
        <v>0</v>
      </c>
      <c r="Y635" s="315">
        <f t="shared" si="145"/>
        <v>0</v>
      </c>
      <c r="Z635" s="315">
        <f t="shared" si="145"/>
        <v>0</v>
      </c>
      <c r="AA635" s="315">
        <f t="shared" si="145"/>
        <v>0</v>
      </c>
      <c r="AB635" s="315">
        <f t="shared" si="145"/>
        <v>0</v>
      </c>
      <c r="AC635" s="315">
        <f t="shared" si="145"/>
        <v>0</v>
      </c>
      <c r="AD635" s="315">
        <f t="shared" si="145"/>
        <v>0</v>
      </c>
      <c r="AE635" s="315">
        <f t="shared" si="145"/>
        <v>0</v>
      </c>
      <c r="AF635" s="315">
        <f t="shared" si="145"/>
        <v>0</v>
      </c>
      <c r="AG635" s="315">
        <f t="shared" si="145"/>
        <v>0</v>
      </c>
      <c r="AH635" s="315">
        <f t="shared" si="145"/>
        <v>0</v>
      </c>
      <c r="AI635" s="315">
        <f t="shared" si="145"/>
        <v>0</v>
      </c>
      <c r="AJ635" s="315">
        <f t="shared" si="145"/>
        <v>0</v>
      </c>
      <c r="AK635" s="315">
        <f t="shared" si="145"/>
        <v>0</v>
      </c>
      <c r="AL635" s="315">
        <f t="shared" si="145"/>
        <v>0</v>
      </c>
      <c r="AM635" s="315">
        <f t="shared" si="145"/>
        <v>0</v>
      </c>
      <c r="AN635" s="315">
        <f t="shared" si="145"/>
        <v>0</v>
      </c>
      <c r="AO635" s="315">
        <f t="shared" si="145"/>
        <v>0</v>
      </c>
      <c r="AP635" s="315">
        <f t="shared" si="145"/>
        <v>0</v>
      </c>
      <c r="AQ635" s="315">
        <f t="shared" si="145"/>
        <v>0</v>
      </c>
      <c r="AR635" s="315">
        <f t="shared" si="145"/>
        <v>0</v>
      </c>
      <c r="AS635" s="315">
        <f t="shared" si="145"/>
        <v>0</v>
      </c>
      <c r="AT635" s="315">
        <f t="shared" si="145"/>
        <v>0</v>
      </c>
      <c r="AU635" s="315">
        <f t="shared" si="145"/>
        <v>0</v>
      </c>
      <c r="AV635" s="315">
        <f t="shared" si="145"/>
        <v>0</v>
      </c>
      <c r="AW635" s="315">
        <f t="shared" si="145"/>
        <v>0</v>
      </c>
      <c r="AX635" s="315">
        <f t="shared" si="145"/>
        <v>0</v>
      </c>
      <c r="AY635" s="315">
        <f t="shared" si="145"/>
        <v>0</v>
      </c>
      <c r="AZ635" s="315">
        <f t="shared" si="145"/>
        <v>0</v>
      </c>
      <c r="BA635" s="315">
        <f t="shared" si="145"/>
        <v>0</v>
      </c>
      <c r="BB635" s="315">
        <f t="shared" si="145"/>
        <v>0</v>
      </c>
      <c r="BC635" s="315">
        <f t="shared" si="145"/>
        <v>0</v>
      </c>
      <c r="BD635" s="315">
        <f t="shared" si="145"/>
        <v>0</v>
      </c>
      <c r="BE635" s="315">
        <f t="shared" si="145"/>
        <v>0</v>
      </c>
      <c r="BF635" s="315">
        <f t="shared" si="145"/>
        <v>0</v>
      </c>
      <c r="BG635" s="315">
        <f t="shared" si="145"/>
        <v>0</v>
      </c>
      <c r="BH635" s="315">
        <f t="shared" si="145"/>
        <v>0</v>
      </c>
      <c r="BI635" s="315">
        <f t="shared" si="145"/>
        <v>0</v>
      </c>
      <c r="BJ635" s="315">
        <f t="shared" si="145"/>
        <v>0</v>
      </c>
      <c r="BK635" s="315">
        <f t="shared" si="145"/>
        <v>0</v>
      </c>
      <c r="BL635" s="315">
        <f t="shared" si="145"/>
        <v>0</v>
      </c>
      <c r="BM635" s="315">
        <f t="shared" si="145"/>
        <v>0</v>
      </c>
      <c r="BN635" s="315">
        <f t="shared" si="145"/>
        <v>0</v>
      </c>
      <c r="BO635" s="315">
        <f t="shared" si="145"/>
        <v>0</v>
      </c>
      <c r="BP635" s="315">
        <f t="shared" si="145"/>
        <v>0</v>
      </c>
      <c r="BQ635" s="315">
        <f t="shared" si="145"/>
        <v>0</v>
      </c>
      <c r="BR635" s="315">
        <f t="shared" si="145"/>
        <v>0</v>
      </c>
      <c r="BS635" s="315">
        <f t="shared" ref="BO635:BX639" si="146">BS215-EK215</f>
        <v>0</v>
      </c>
      <c r="BT635" s="315">
        <f t="shared" si="146"/>
        <v>0</v>
      </c>
      <c r="BU635" s="315">
        <f t="shared" si="146"/>
        <v>0</v>
      </c>
      <c r="BV635" s="315">
        <f t="shared" si="146"/>
        <v>0</v>
      </c>
      <c r="BW635" s="315">
        <f t="shared" si="146"/>
        <v>0</v>
      </c>
      <c r="BX635" s="315">
        <f t="shared" si="146"/>
        <v>0</v>
      </c>
      <c r="BZ635" s="315">
        <f t="shared" ref="BZ635:CA639" si="147">BZ215-ER215</f>
        <v>0</v>
      </c>
      <c r="CA635" s="315">
        <f t="shared" si="147"/>
        <v>0</v>
      </c>
    </row>
    <row r="636" spans="7:79" hidden="1" x14ac:dyDescent="0.2">
      <c r="G636" s="315">
        <f t="shared" si="145"/>
        <v>0</v>
      </c>
      <c r="H636" s="315">
        <f t="shared" si="145"/>
        <v>0</v>
      </c>
      <c r="I636" s="315">
        <f t="shared" si="145"/>
        <v>0</v>
      </c>
      <c r="J636" s="315">
        <f t="shared" si="145"/>
        <v>0</v>
      </c>
      <c r="K636" s="315">
        <f t="shared" si="145"/>
        <v>0</v>
      </c>
      <c r="L636" s="315">
        <f t="shared" si="145"/>
        <v>0</v>
      </c>
      <c r="M636" s="315">
        <f t="shared" si="145"/>
        <v>0</v>
      </c>
      <c r="N636" s="315">
        <f t="shared" si="145"/>
        <v>0</v>
      </c>
      <c r="O636" s="315">
        <f t="shared" si="145"/>
        <v>0</v>
      </c>
      <c r="P636" s="315">
        <f t="shared" si="145"/>
        <v>0</v>
      </c>
      <c r="Q636" s="315">
        <f t="shared" si="145"/>
        <v>0</v>
      </c>
      <c r="R636" s="315">
        <f t="shared" si="145"/>
        <v>0</v>
      </c>
      <c r="S636" s="315">
        <f t="shared" si="145"/>
        <v>0</v>
      </c>
      <c r="T636" s="315">
        <f t="shared" si="145"/>
        <v>0</v>
      </c>
      <c r="U636" s="315">
        <f t="shared" si="145"/>
        <v>0</v>
      </c>
      <c r="V636" s="315">
        <f t="shared" si="145"/>
        <v>0</v>
      </c>
      <c r="W636" s="315">
        <f t="shared" si="145"/>
        <v>0</v>
      </c>
      <c r="X636" s="315">
        <f t="shared" si="145"/>
        <v>0</v>
      </c>
      <c r="Y636" s="315">
        <f t="shared" si="145"/>
        <v>0</v>
      </c>
      <c r="Z636" s="315">
        <f t="shared" si="145"/>
        <v>0</v>
      </c>
      <c r="AA636" s="315">
        <f t="shared" si="145"/>
        <v>0</v>
      </c>
      <c r="AB636" s="315">
        <f t="shared" si="145"/>
        <v>0</v>
      </c>
      <c r="AC636" s="315">
        <f t="shared" si="145"/>
        <v>0</v>
      </c>
      <c r="AD636" s="315">
        <f t="shared" si="145"/>
        <v>0</v>
      </c>
      <c r="AE636" s="315">
        <f t="shared" si="145"/>
        <v>0</v>
      </c>
      <c r="AF636" s="315">
        <f t="shared" si="145"/>
        <v>0</v>
      </c>
      <c r="AG636" s="315">
        <f t="shared" si="145"/>
        <v>0</v>
      </c>
      <c r="AH636" s="315">
        <f t="shared" si="145"/>
        <v>0</v>
      </c>
      <c r="AI636" s="315">
        <f t="shared" si="145"/>
        <v>0</v>
      </c>
      <c r="AJ636" s="315">
        <f t="shared" si="145"/>
        <v>0</v>
      </c>
      <c r="AK636" s="315">
        <f t="shared" si="145"/>
        <v>0</v>
      </c>
      <c r="AL636" s="315">
        <f t="shared" si="145"/>
        <v>0</v>
      </c>
      <c r="AM636" s="315">
        <f t="shared" si="145"/>
        <v>0</v>
      </c>
      <c r="AN636" s="315">
        <f t="shared" si="145"/>
        <v>0</v>
      </c>
      <c r="AO636" s="315">
        <f t="shared" si="145"/>
        <v>0</v>
      </c>
      <c r="AP636" s="315">
        <f t="shared" si="145"/>
        <v>0</v>
      </c>
      <c r="AQ636" s="315">
        <f t="shared" si="145"/>
        <v>0</v>
      </c>
      <c r="AR636" s="315">
        <f t="shared" si="145"/>
        <v>0</v>
      </c>
      <c r="AS636" s="315">
        <f t="shared" si="145"/>
        <v>0</v>
      </c>
      <c r="AT636" s="315">
        <f t="shared" si="145"/>
        <v>0</v>
      </c>
      <c r="AU636" s="315">
        <f t="shared" si="145"/>
        <v>0</v>
      </c>
      <c r="AV636" s="315">
        <f t="shared" si="145"/>
        <v>0</v>
      </c>
      <c r="AW636" s="315">
        <f t="shared" si="145"/>
        <v>0</v>
      </c>
      <c r="AX636" s="315">
        <f t="shared" si="145"/>
        <v>0</v>
      </c>
      <c r="AY636" s="315">
        <f t="shared" si="145"/>
        <v>0</v>
      </c>
      <c r="AZ636" s="315">
        <f t="shared" si="145"/>
        <v>0</v>
      </c>
      <c r="BA636" s="315">
        <f t="shared" si="145"/>
        <v>0</v>
      </c>
      <c r="BB636" s="315">
        <f t="shared" si="145"/>
        <v>0</v>
      </c>
      <c r="BC636" s="315">
        <f t="shared" si="145"/>
        <v>0</v>
      </c>
      <c r="BD636" s="315">
        <f t="shared" si="145"/>
        <v>0</v>
      </c>
      <c r="BE636" s="315">
        <f t="shared" si="145"/>
        <v>0</v>
      </c>
      <c r="BF636" s="315">
        <f t="shared" si="145"/>
        <v>0</v>
      </c>
      <c r="BG636" s="315">
        <f t="shared" si="145"/>
        <v>0</v>
      </c>
      <c r="BH636" s="315">
        <f t="shared" si="145"/>
        <v>0</v>
      </c>
      <c r="BI636" s="315">
        <f t="shared" si="145"/>
        <v>0</v>
      </c>
      <c r="BJ636" s="315">
        <f t="shared" si="145"/>
        <v>0</v>
      </c>
      <c r="BK636" s="315">
        <f t="shared" si="145"/>
        <v>0</v>
      </c>
      <c r="BL636" s="315">
        <f t="shared" si="145"/>
        <v>0</v>
      </c>
      <c r="BM636" s="315">
        <f t="shared" si="145"/>
        <v>0</v>
      </c>
      <c r="BN636" s="315">
        <f t="shared" si="145"/>
        <v>0</v>
      </c>
      <c r="BO636" s="315">
        <f t="shared" si="146"/>
        <v>0</v>
      </c>
      <c r="BP636" s="315">
        <f t="shared" si="146"/>
        <v>0</v>
      </c>
      <c r="BQ636" s="315">
        <f t="shared" si="146"/>
        <v>0</v>
      </c>
      <c r="BR636" s="315">
        <f t="shared" si="146"/>
        <v>0</v>
      </c>
      <c r="BS636" s="315">
        <f t="shared" si="146"/>
        <v>0</v>
      </c>
      <c r="BT636" s="315">
        <f t="shared" si="146"/>
        <v>0</v>
      </c>
      <c r="BU636" s="315">
        <f t="shared" si="146"/>
        <v>0</v>
      </c>
      <c r="BV636" s="315">
        <f t="shared" si="146"/>
        <v>0</v>
      </c>
      <c r="BW636" s="315">
        <f t="shared" si="146"/>
        <v>0</v>
      </c>
      <c r="BX636" s="315">
        <f t="shared" si="146"/>
        <v>0</v>
      </c>
      <c r="BZ636" s="315">
        <f t="shared" si="147"/>
        <v>0</v>
      </c>
      <c r="CA636" s="315">
        <f t="shared" si="147"/>
        <v>0</v>
      </c>
    </row>
    <row r="637" spans="7:79" hidden="1" x14ac:dyDescent="0.2">
      <c r="G637" s="315">
        <f t="shared" si="145"/>
        <v>0</v>
      </c>
      <c r="H637" s="315">
        <f t="shared" si="145"/>
        <v>0</v>
      </c>
      <c r="I637" s="315">
        <f t="shared" si="145"/>
        <v>0</v>
      </c>
      <c r="J637" s="315">
        <f t="shared" si="145"/>
        <v>0</v>
      </c>
      <c r="K637" s="315">
        <f t="shared" si="145"/>
        <v>0</v>
      </c>
      <c r="L637" s="315">
        <f t="shared" si="145"/>
        <v>0</v>
      </c>
      <c r="M637" s="315">
        <f t="shared" si="145"/>
        <v>0</v>
      </c>
      <c r="N637" s="315">
        <f t="shared" si="145"/>
        <v>0</v>
      </c>
      <c r="O637" s="315">
        <f t="shared" si="145"/>
        <v>0</v>
      </c>
      <c r="P637" s="315">
        <f t="shared" si="145"/>
        <v>0</v>
      </c>
      <c r="Q637" s="315">
        <f t="shared" si="145"/>
        <v>0</v>
      </c>
      <c r="R637" s="315">
        <f t="shared" si="145"/>
        <v>0</v>
      </c>
      <c r="S637" s="315">
        <f t="shared" si="145"/>
        <v>0</v>
      </c>
      <c r="T637" s="315">
        <f t="shared" si="145"/>
        <v>0</v>
      </c>
      <c r="U637" s="315">
        <f t="shared" si="145"/>
        <v>0</v>
      </c>
      <c r="V637" s="315">
        <f t="shared" si="145"/>
        <v>0</v>
      </c>
      <c r="W637" s="315">
        <f t="shared" si="145"/>
        <v>0</v>
      </c>
      <c r="X637" s="315">
        <f t="shared" si="145"/>
        <v>0</v>
      </c>
      <c r="Y637" s="315">
        <f t="shared" si="145"/>
        <v>0</v>
      </c>
      <c r="Z637" s="315">
        <f t="shared" si="145"/>
        <v>0</v>
      </c>
      <c r="AA637" s="315">
        <f t="shared" si="145"/>
        <v>0</v>
      </c>
      <c r="AB637" s="315">
        <f t="shared" si="145"/>
        <v>0</v>
      </c>
      <c r="AC637" s="315">
        <f t="shared" si="145"/>
        <v>0</v>
      </c>
      <c r="AD637" s="315">
        <f t="shared" si="145"/>
        <v>0</v>
      </c>
      <c r="AE637" s="315">
        <f t="shared" si="145"/>
        <v>0</v>
      </c>
      <c r="AF637" s="315">
        <f t="shared" si="145"/>
        <v>0</v>
      </c>
      <c r="AG637" s="315">
        <f t="shared" si="145"/>
        <v>0</v>
      </c>
      <c r="AH637" s="315">
        <f t="shared" si="145"/>
        <v>0</v>
      </c>
      <c r="AI637" s="315">
        <f t="shared" si="145"/>
        <v>0</v>
      </c>
      <c r="AJ637" s="315">
        <f t="shared" si="145"/>
        <v>0</v>
      </c>
      <c r="AK637" s="315">
        <f t="shared" si="145"/>
        <v>0</v>
      </c>
      <c r="AL637" s="315">
        <f t="shared" si="145"/>
        <v>0</v>
      </c>
      <c r="AM637" s="315">
        <f t="shared" si="145"/>
        <v>0</v>
      </c>
      <c r="AN637" s="315">
        <f t="shared" si="145"/>
        <v>0</v>
      </c>
      <c r="AO637" s="315">
        <f t="shared" si="145"/>
        <v>0</v>
      </c>
      <c r="AP637" s="315">
        <f t="shared" si="145"/>
        <v>0</v>
      </c>
      <c r="AQ637" s="315">
        <f t="shared" si="145"/>
        <v>0</v>
      </c>
      <c r="AR637" s="315">
        <f t="shared" si="145"/>
        <v>0</v>
      </c>
      <c r="AS637" s="315">
        <f t="shared" si="145"/>
        <v>0</v>
      </c>
      <c r="AT637" s="315">
        <f t="shared" si="145"/>
        <v>0</v>
      </c>
      <c r="AU637" s="315">
        <f t="shared" si="145"/>
        <v>0</v>
      </c>
      <c r="AV637" s="315">
        <f t="shared" si="145"/>
        <v>0</v>
      </c>
      <c r="AW637" s="315">
        <f t="shared" si="145"/>
        <v>0</v>
      </c>
      <c r="AX637" s="315">
        <f t="shared" si="145"/>
        <v>0</v>
      </c>
      <c r="AY637" s="315">
        <f t="shared" si="145"/>
        <v>0</v>
      </c>
      <c r="AZ637" s="315">
        <f t="shared" si="145"/>
        <v>0</v>
      </c>
      <c r="BA637" s="315">
        <f t="shared" si="145"/>
        <v>0</v>
      </c>
      <c r="BB637" s="315">
        <f t="shared" si="145"/>
        <v>0</v>
      </c>
      <c r="BC637" s="315">
        <f t="shared" si="145"/>
        <v>0</v>
      </c>
      <c r="BD637" s="315">
        <f t="shared" si="145"/>
        <v>0</v>
      </c>
      <c r="BE637" s="315">
        <f t="shared" si="145"/>
        <v>0</v>
      </c>
      <c r="BF637" s="315">
        <f t="shared" si="145"/>
        <v>0</v>
      </c>
      <c r="BG637" s="315">
        <f t="shared" si="145"/>
        <v>0</v>
      </c>
      <c r="BH637" s="315">
        <f t="shared" si="145"/>
        <v>0</v>
      </c>
      <c r="BI637" s="315">
        <f t="shared" si="145"/>
        <v>0</v>
      </c>
      <c r="BJ637" s="315">
        <f t="shared" si="145"/>
        <v>0</v>
      </c>
      <c r="BK637" s="315">
        <f t="shared" si="145"/>
        <v>0</v>
      </c>
      <c r="BL637" s="315">
        <f t="shared" si="145"/>
        <v>0</v>
      </c>
      <c r="BM637" s="315">
        <f t="shared" si="145"/>
        <v>0</v>
      </c>
      <c r="BN637" s="315">
        <f t="shared" si="145"/>
        <v>0</v>
      </c>
      <c r="BO637" s="315">
        <f t="shared" si="146"/>
        <v>0</v>
      </c>
      <c r="BP637" s="315">
        <f t="shared" si="146"/>
        <v>0</v>
      </c>
      <c r="BQ637" s="315">
        <f t="shared" si="146"/>
        <v>0</v>
      </c>
      <c r="BR637" s="315">
        <f t="shared" si="146"/>
        <v>0</v>
      </c>
      <c r="BS637" s="315">
        <f t="shared" si="146"/>
        <v>0</v>
      </c>
      <c r="BT637" s="315">
        <f t="shared" si="146"/>
        <v>0</v>
      </c>
      <c r="BU637" s="315">
        <f t="shared" si="146"/>
        <v>0</v>
      </c>
      <c r="BV637" s="315">
        <f t="shared" si="146"/>
        <v>0</v>
      </c>
      <c r="BW637" s="315">
        <f t="shared" si="146"/>
        <v>0</v>
      </c>
      <c r="BX637" s="315">
        <f t="shared" si="146"/>
        <v>0</v>
      </c>
      <c r="BZ637" s="315">
        <f t="shared" si="147"/>
        <v>0</v>
      </c>
      <c r="CA637" s="315">
        <f t="shared" si="147"/>
        <v>0</v>
      </c>
    </row>
    <row r="638" spans="7:79" hidden="1" x14ac:dyDescent="0.2">
      <c r="G638" s="315">
        <f t="shared" si="145"/>
        <v>0</v>
      </c>
      <c r="H638" s="315">
        <f t="shared" si="145"/>
        <v>0</v>
      </c>
      <c r="I638" s="315">
        <f t="shared" si="145"/>
        <v>0</v>
      </c>
      <c r="J638" s="315">
        <f t="shared" si="145"/>
        <v>0</v>
      </c>
      <c r="K638" s="315">
        <f t="shared" si="145"/>
        <v>0</v>
      </c>
      <c r="L638" s="315">
        <f t="shared" si="145"/>
        <v>0</v>
      </c>
      <c r="M638" s="315">
        <f t="shared" si="145"/>
        <v>0</v>
      </c>
      <c r="N638" s="315">
        <f t="shared" si="145"/>
        <v>0</v>
      </c>
      <c r="O638" s="315">
        <f t="shared" si="145"/>
        <v>0</v>
      </c>
      <c r="P638" s="315">
        <f t="shared" si="145"/>
        <v>0</v>
      </c>
      <c r="Q638" s="315">
        <f t="shared" si="145"/>
        <v>0</v>
      </c>
      <c r="R638" s="315">
        <f t="shared" si="145"/>
        <v>0</v>
      </c>
      <c r="S638" s="315">
        <f t="shared" si="145"/>
        <v>0</v>
      </c>
      <c r="T638" s="315">
        <f t="shared" si="145"/>
        <v>0</v>
      </c>
      <c r="U638" s="315">
        <f t="shared" si="145"/>
        <v>0</v>
      </c>
      <c r="V638" s="315">
        <f t="shared" si="145"/>
        <v>0</v>
      </c>
      <c r="W638" s="315">
        <f t="shared" si="145"/>
        <v>0</v>
      </c>
      <c r="X638" s="315">
        <f t="shared" si="145"/>
        <v>0</v>
      </c>
      <c r="Y638" s="315">
        <f t="shared" si="145"/>
        <v>0</v>
      </c>
      <c r="Z638" s="315">
        <f t="shared" si="145"/>
        <v>0</v>
      </c>
      <c r="AA638" s="315">
        <f t="shared" si="145"/>
        <v>0</v>
      </c>
      <c r="AB638" s="315">
        <f t="shared" si="145"/>
        <v>0</v>
      </c>
      <c r="AC638" s="315">
        <f t="shared" si="145"/>
        <v>0</v>
      </c>
      <c r="AD638" s="315">
        <f t="shared" si="145"/>
        <v>0</v>
      </c>
      <c r="AE638" s="315">
        <f t="shared" si="145"/>
        <v>0</v>
      </c>
      <c r="AF638" s="315">
        <f t="shared" si="145"/>
        <v>0</v>
      </c>
      <c r="AG638" s="315">
        <f t="shared" si="145"/>
        <v>0</v>
      </c>
      <c r="AH638" s="315">
        <f t="shared" si="145"/>
        <v>0</v>
      </c>
      <c r="AI638" s="315">
        <f t="shared" si="145"/>
        <v>0</v>
      </c>
      <c r="AJ638" s="315">
        <f t="shared" si="145"/>
        <v>0</v>
      </c>
      <c r="AK638" s="315">
        <f t="shared" si="145"/>
        <v>0</v>
      </c>
      <c r="AL638" s="315">
        <f t="shared" si="145"/>
        <v>0</v>
      </c>
      <c r="AM638" s="315">
        <f t="shared" si="145"/>
        <v>0</v>
      </c>
      <c r="AN638" s="315">
        <f t="shared" si="145"/>
        <v>0</v>
      </c>
      <c r="AO638" s="315">
        <f t="shared" si="145"/>
        <v>0</v>
      </c>
      <c r="AP638" s="315">
        <f t="shared" si="145"/>
        <v>0</v>
      </c>
      <c r="AQ638" s="315">
        <f t="shared" si="145"/>
        <v>0</v>
      </c>
      <c r="AR638" s="315">
        <f t="shared" si="145"/>
        <v>0</v>
      </c>
      <c r="AS638" s="315">
        <f t="shared" si="145"/>
        <v>0</v>
      </c>
      <c r="AT638" s="315">
        <f t="shared" si="145"/>
        <v>0</v>
      </c>
      <c r="AU638" s="315">
        <f t="shared" si="145"/>
        <v>0</v>
      </c>
      <c r="AV638" s="315">
        <f t="shared" si="145"/>
        <v>0</v>
      </c>
      <c r="AW638" s="315">
        <f t="shared" si="145"/>
        <v>0</v>
      </c>
      <c r="AX638" s="315">
        <f t="shared" si="145"/>
        <v>0</v>
      </c>
      <c r="AY638" s="315">
        <f t="shared" si="145"/>
        <v>0</v>
      </c>
      <c r="AZ638" s="315">
        <f t="shared" si="145"/>
        <v>0</v>
      </c>
      <c r="BA638" s="315">
        <f t="shared" si="145"/>
        <v>0</v>
      </c>
      <c r="BB638" s="315">
        <f t="shared" si="145"/>
        <v>0</v>
      </c>
      <c r="BC638" s="315">
        <f t="shared" si="145"/>
        <v>0</v>
      </c>
      <c r="BD638" s="315">
        <f t="shared" si="145"/>
        <v>0</v>
      </c>
      <c r="BE638" s="315">
        <f t="shared" si="145"/>
        <v>0</v>
      </c>
      <c r="BF638" s="315">
        <f t="shared" si="145"/>
        <v>0</v>
      </c>
      <c r="BG638" s="315">
        <f t="shared" si="145"/>
        <v>0</v>
      </c>
      <c r="BH638" s="315">
        <f t="shared" si="145"/>
        <v>0</v>
      </c>
      <c r="BI638" s="315">
        <f t="shared" si="145"/>
        <v>0</v>
      </c>
      <c r="BJ638" s="315">
        <f t="shared" si="145"/>
        <v>0</v>
      </c>
      <c r="BK638" s="315">
        <f t="shared" si="145"/>
        <v>0</v>
      </c>
      <c r="BL638" s="315">
        <f t="shared" si="145"/>
        <v>0</v>
      </c>
      <c r="BM638" s="315">
        <f t="shared" si="145"/>
        <v>0</v>
      </c>
      <c r="BN638" s="315">
        <f t="shared" si="145"/>
        <v>0</v>
      </c>
      <c r="BO638" s="315">
        <f t="shared" si="146"/>
        <v>0</v>
      </c>
      <c r="BP638" s="315">
        <f t="shared" si="146"/>
        <v>0</v>
      </c>
      <c r="BQ638" s="315">
        <f t="shared" si="146"/>
        <v>0</v>
      </c>
      <c r="BR638" s="315">
        <f t="shared" si="146"/>
        <v>0</v>
      </c>
      <c r="BS638" s="315">
        <f t="shared" si="146"/>
        <v>0</v>
      </c>
      <c r="BT638" s="315">
        <f t="shared" si="146"/>
        <v>0</v>
      </c>
      <c r="BU638" s="315">
        <f t="shared" si="146"/>
        <v>0</v>
      </c>
      <c r="BV638" s="315">
        <f t="shared" si="146"/>
        <v>0</v>
      </c>
      <c r="BW638" s="315">
        <f t="shared" si="146"/>
        <v>0</v>
      </c>
      <c r="BX638" s="315">
        <f t="shared" si="146"/>
        <v>0</v>
      </c>
      <c r="BZ638" s="315">
        <f t="shared" si="147"/>
        <v>0</v>
      </c>
      <c r="CA638" s="315">
        <f t="shared" si="147"/>
        <v>0</v>
      </c>
    </row>
    <row r="639" spans="7:79" hidden="1" x14ac:dyDescent="0.2">
      <c r="G639" s="315">
        <f t="shared" si="145"/>
        <v>0</v>
      </c>
      <c r="H639" s="315">
        <f t="shared" si="145"/>
        <v>0</v>
      </c>
      <c r="I639" s="315">
        <f t="shared" si="145"/>
        <v>0</v>
      </c>
      <c r="J639" s="315">
        <f t="shared" si="145"/>
        <v>0</v>
      </c>
      <c r="K639" s="315">
        <f t="shared" si="145"/>
        <v>0</v>
      </c>
      <c r="L639" s="315">
        <f t="shared" si="145"/>
        <v>0</v>
      </c>
      <c r="M639" s="315">
        <f t="shared" si="145"/>
        <v>0</v>
      </c>
      <c r="N639" s="315">
        <f t="shared" si="145"/>
        <v>0</v>
      </c>
      <c r="O639" s="315">
        <f t="shared" si="145"/>
        <v>0</v>
      </c>
      <c r="P639" s="315">
        <f t="shared" si="145"/>
        <v>0</v>
      </c>
      <c r="Q639" s="315">
        <f t="shared" si="145"/>
        <v>0</v>
      </c>
      <c r="R639" s="315">
        <f t="shared" ref="R639:BN639" si="148">R219-CJ219</f>
        <v>0</v>
      </c>
      <c r="S639" s="315">
        <f t="shared" si="148"/>
        <v>0</v>
      </c>
      <c r="T639" s="315">
        <f t="shared" si="148"/>
        <v>0</v>
      </c>
      <c r="U639" s="315">
        <f t="shared" si="148"/>
        <v>0</v>
      </c>
      <c r="V639" s="315">
        <f t="shared" si="148"/>
        <v>0</v>
      </c>
      <c r="W639" s="315">
        <f t="shared" si="148"/>
        <v>0</v>
      </c>
      <c r="X639" s="315">
        <f t="shared" si="148"/>
        <v>0</v>
      </c>
      <c r="Y639" s="315">
        <f t="shared" si="148"/>
        <v>0</v>
      </c>
      <c r="Z639" s="315">
        <f t="shared" si="148"/>
        <v>0</v>
      </c>
      <c r="AA639" s="315">
        <f t="shared" si="148"/>
        <v>0</v>
      </c>
      <c r="AB639" s="315">
        <f t="shared" si="148"/>
        <v>0</v>
      </c>
      <c r="AC639" s="315">
        <f t="shared" si="148"/>
        <v>0</v>
      </c>
      <c r="AD639" s="315">
        <f t="shared" si="148"/>
        <v>0</v>
      </c>
      <c r="AE639" s="315">
        <f t="shared" si="148"/>
        <v>0</v>
      </c>
      <c r="AF639" s="315">
        <f t="shared" si="148"/>
        <v>0</v>
      </c>
      <c r="AG639" s="315">
        <f t="shared" si="148"/>
        <v>0</v>
      </c>
      <c r="AH639" s="315">
        <f t="shared" si="148"/>
        <v>0</v>
      </c>
      <c r="AI639" s="315">
        <f t="shared" si="148"/>
        <v>0</v>
      </c>
      <c r="AJ639" s="315">
        <f t="shared" si="148"/>
        <v>0</v>
      </c>
      <c r="AK639" s="315">
        <f t="shared" si="148"/>
        <v>0</v>
      </c>
      <c r="AL639" s="315">
        <f t="shared" si="148"/>
        <v>0</v>
      </c>
      <c r="AM639" s="315">
        <f t="shared" si="148"/>
        <v>0</v>
      </c>
      <c r="AN639" s="315">
        <f t="shared" si="148"/>
        <v>0</v>
      </c>
      <c r="AO639" s="315">
        <f t="shared" si="148"/>
        <v>0</v>
      </c>
      <c r="AP639" s="315">
        <f t="shared" si="148"/>
        <v>0</v>
      </c>
      <c r="AQ639" s="315">
        <f t="shared" si="148"/>
        <v>0</v>
      </c>
      <c r="AR639" s="315">
        <f t="shared" si="148"/>
        <v>0</v>
      </c>
      <c r="AS639" s="315">
        <f t="shared" si="148"/>
        <v>0</v>
      </c>
      <c r="AT639" s="315">
        <f t="shared" si="148"/>
        <v>0</v>
      </c>
      <c r="AU639" s="315">
        <f t="shared" si="148"/>
        <v>0</v>
      </c>
      <c r="AV639" s="315">
        <f t="shared" si="148"/>
        <v>0</v>
      </c>
      <c r="AW639" s="315">
        <f t="shared" si="148"/>
        <v>0</v>
      </c>
      <c r="AX639" s="315">
        <f t="shared" si="148"/>
        <v>0</v>
      </c>
      <c r="AY639" s="315">
        <f t="shared" si="148"/>
        <v>0</v>
      </c>
      <c r="AZ639" s="315">
        <f t="shared" si="148"/>
        <v>0</v>
      </c>
      <c r="BA639" s="315">
        <f t="shared" si="148"/>
        <v>0</v>
      </c>
      <c r="BB639" s="315">
        <f t="shared" si="148"/>
        <v>0</v>
      </c>
      <c r="BC639" s="315">
        <f t="shared" si="148"/>
        <v>0</v>
      </c>
      <c r="BD639" s="315">
        <f t="shared" si="148"/>
        <v>0</v>
      </c>
      <c r="BE639" s="315">
        <f t="shared" si="148"/>
        <v>0</v>
      </c>
      <c r="BF639" s="315">
        <f t="shared" si="148"/>
        <v>0</v>
      </c>
      <c r="BG639" s="315">
        <f t="shared" si="148"/>
        <v>0</v>
      </c>
      <c r="BH639" s="315">
        <f t="shared" si="148"/>
        <v>0</v>
      </c>
      <c r="BI639" s="315">
        <f t="shared" si="148"/>
        <v>0</v>
      </c>
      <c r="BJ639" s="315">
        <f t="shared" si="148"/>
        <v>0</v>
      </c>
      <c r="BK639" s="315">
        <f t="shared" si="148"/>
        <v>0</v>
      </c>
      <c r="BL639" s="315">
        <f t="shared" si="148"/>
        <v>0</v>
      </c>
      <c r="BM639" s="315">
        <f t="shared" si="148"/>
        <v>0</v>
      </c>
      <c r="BN639" s="315">
        <f t="shared" si="148"/>
        <v>0</v>
      </c>
      <c r="BO639" s="315">
        <f t="shared" si="146"/>
        <v>0</v>
      </c>
      <c r="BP639" s="315">
        <f t="shared" si="146"/>
        <v>0</v>
      </c>
      <c r="BQ639" s="315">
        <f t="shared" si="146"/>
        <v>0</v>
      </c>
      <c r="BR639" s="315">
        <f t="shared" si="146"/>
        <v>0</v>
      </c>
      <c r="BS639" s="315">
        <f t="shared" si="146"/>
        <v>0</v>
      </c>
      <c r="BT639" s="315">
        <f t="shared" si="146"/>
        <v>0</v>
      </c>
      <c r="BU639" s="315">
        <f t="shared" si="146"/>
        <v>0</v>
      </c>
      <c r="BV639" s="315">
        <f t="shared" si="146"/>
        <v>0</v>
      </c>
      <c r="BW639" s="315">
        <f t="shared" si="146"/>
        <v>0</v>
      </c>
      <c r="BX639" s="315">
        <f t="shared" si="146"/>
        <v>0</v>
      </c>
      <c r="BZ639" s="315">
        <f t="shared" si="147"/>
        <v>0</v>
      </c>
      <c r="CA639" s="315">
        <f t="shared" si="147"/>
        <v>0</v>
      </c>
    </row>
    <row r="640" spans="7:79" hidden="1" x14ac:dyDescent="0.2">
      <c r="G640" s="315">
        <f t="shared" ref="G640:BR644" si="149">G221-BY221</f>
        <v>0</v>
      </c>
      <c r="H640" s="315">
        <f t="shared" si="149"/>
        <v>0</v>
      </c>
      <c r="I640" s="315">
        <f t="shared" si="149"/>
        <v>0</v>
      </c>
      <c r="J640" s="315">
        <f t="shared" si="149"/>
        <v>0</v>
      </c>
      <c r="K640" s="315">
        <f t="shared" si="149"/>
        <v>0</v>
      </c>
      <c r="L640" s="315">
        <f t="shared" si="149"/>
        <v>0</v>
      </c>
      <c r="M640" s="315">
        <f t="shared" si="149"/>
        <v>0</v>
      </c>
      <c r="N640" s="315">
        <f t="shared" si="149"/>
        <v>0</v>
      </c>
      <c r="O640" s="315">
        <f t="shared" si="149"/>
        <v>0</v>
      </c>
      <c r="P640" s="315">
        <f t="shared" si="149"/>
        <v>0</v>
      </c>
      <c r="Q640" s="315">
        <f t="shared" si="149"/>
        <v>0</v>
      </c>
      <c r="R640" s="315">
        <f t="shared" si="149"/>
        <v>0</v>
      </c>
      <c r="S640" s="315">
        <f t="shared" si="149"/>
        <v>0</v>
      </c>
      <c r="T640" s="315">
        <f t="shared" si="149"/>
        <v>0</v>
      </c>
      <c r="U640" s="315">
        <f t="shared" si="149"/>
        <v>0</v>
      </c>
      <c r="V640" s="315">
        <f t="shared" si="149"/>
        <v>0</v>
      </c>
      <c r="W640" s="315">
        <f t="shared" si="149"/>
        <v>0</v>
      </c>
      <c r="X640" s="315">
        <f t="shared" si="149"/>
        <v>0</v>
      </c>
      <c r="Y640" s="315">
        <f t="shared" si="149"/>
        <v>0</v>
      </c>
      <c r="Z640" s="315">
        <f t="shared" si="149"/>
        <v>0</v>
      </c>
      <c r="AA640" s="315">
        <f t="shared" si="149"/>
        <v>0</v>
      </c>
      <c r="AB640" s="315">
        <f t="shared" si="149"/>
        <v>0</v>
      </c>
      <c r="AC640" s="315">
        <f t="shared" si="149"/>
        <v>0</v>
      </c>
      <c r="AD640" s="315">
        <f t="shared" si="149"/>
        <v>0</v>
      </c>
      <c r="AE640" s="315">
        <f t="shared" si="149"/>
        <v>0</v>
      </c>
      <c r="AF640" s="315">
        <f t="shared" si="149"/>
        <v>0</v>
      </c>
      <c r="AG640" s="315">
        <f t="shared" si="149"/>
        <v>0</v>
      </c>
      <c r="AH640" s="315">
        <f t="shared" si="149"/>
        <v>0</v>
      </c>
      <c r="AI640" s="315">
        <f t="shared" si="149"/>
        <v>0</v>
      </c>
      <c r="AJ640" s="315">
        <f t="shared" si="149"/>
        <v>0</v>
      </c>
      <c r="AK640" s="315">
        <f t="shared" si="149"/>
        <v>0</v>
      </c>
      <c r="AL640" s="315">
        <f t="shared" si="149"/>
        <v>0</v>
      </c>
      <c r="AM640" s="315">
        <f t="shared" si="149"/>
        <v>0</v>
      </c>
      <c r="AN640" s="315">
        <f t="shared" si="149"/>
        <v>0</v>
      </c>
      <c r="AO640" s="315">
        <f t="shared" si="149"/>
        <v>0</v>
      </c>
      <c r="AP640" s="315">
        <f t="shared" si="149"/>
        <v>0</v>
      </c>
      <c r="AQ640" s="315">
        <f t="shared" si="149"/>
        <v>0</v>
      </c>
      <c r="AR640" s="315">
        <f t="shared" si="149"/>
        <v>0</v>
      </c>
      <c r="AS640" s="315">
        <f t="shared" si="149"/>
        <v>0</v>
      </c>
      <c r="AT640" s="315">
        <f t="shared" si="149"/>
        <v>0</v>
      </c>
      <c r="AU640" s="315">
        <f t="shared" si="149"/>
        <v>0</v>
      </c>
      <c r="AV640" s="315">
        <f t="shared" si="149"/>
        <v>0</v>
      </c>
      <c r="AW640" s="315">
        <f t="shared" si="149"/>
        <v>0</v>
      </c>
      <c r="AX640" s="315">
        <f t="shared" si="149"/>
        <v>0</v>
      </c>
      <c r="AY640" s="315">
        <f t="shared" si="149"/>
        <v>0</v>
      </c>
      <c r="AZ640" s="315">
        <f t="shared" si="149"/>
        <v>0</v>
      </c>
      <c r="BA640" s="315">
        <f t="shared" si="149"/>
        <v>0</v>
      </c>
      <c r="BB640" s="315">
        <f t="shared" si="149"/>
        <v>0</v>
      </c>
      <c r="BC640" s="315">
        <f t="shared" si="149"/>
        <v>0</v>
      </c>
      <c r="BD640" s="315">
        <f t="shared" si="149"/>
        <v>0</v>
      </c>
      <c r="BE640" s="315">
        <f t="shared" si="149"/>
        <v>0</v>
      </c>
      <c r="BF640" s="315">
        <f t="shared" si="149"/>
        <v>0</v>
      </c>
      <c r="BG640" s="315">
        <f t="shared" si="149"/>
        <v>0</v>
      </c>
      <c r="BH640" s="315">
        <f t="shared" si="149"/>
        <v>0</v>
      </c>
      <c r="BI640" s="315">
        <f t="shared" si="149"/>
        <v>0</v>
      </c>
      <c r="BJ640" s="315">
        <f t="shared" si="149"/>
        <v>0</v>
      </c>
      <c r="BK640" s="315">
        <f t="shared" si="149"/>
        <v>0</v>
      </c>
      <c r="BL640" s="315">
        <f t="shared" si="149"/>
        <v>0</v>
      </c>
      <c r="BM640" s="315">
        <f t="shared" si="149"/>
        <v>0</v>
      </c>
      <c r="BN640" s="315">
        <f t="shared" si="149"/>
        <v>0</v>
      </c>
      <c r="BO640" s="315">
        <f t="shared" si="149"/>
        <v>0</v>
      </c>
      <c r="BP640" s="315">
        <f t="shared" si="149"/>
        <v>0</v>
      </c>
      <c r="BQ640" s="315">
        <f t="shared" si="149"/>
        <v>0</v>
      </c>
      <c r="BR640" s="315">
        <f t="shared" si="149"/>
        <v>0</v>
      </c>
      <c r="BS640" s="315">
        <f t="shared" ref="BO640:BX644" si="150">BS221-EK221</f>
        <v>0</v>
      </c>
      <c r="BT640" s="315">
        <f t="shared" si="150"/>
        <v>0</v>
      </c>
      <c r="BU640" s="315">
        <f t="shared" si="150"/>
        <v>0</v>
      </c>
      <c r="BV640" s="315">
        <f t="shared" si="150"/>
        <v>0</v>
      </c>
      <c r="BW640" s="315">
        <f t="shared" si="150"/>
        <v>0</v>
      </c>
      <c r="BX640" s="315">
        <f t="shared" si="150"/>
        <v>0</v>
      </c>
      <c r="BZ640" s="315">
        <f t="shared" ref="BZ640:CA644" si="151">BZ221-ER221</f>
        <v>0</v>
      </c>
      <c r="CA640" s="315">
        <f t="shared" si="151"/>
        <v>0</v>
      </c>
    </row>
    <row r="641" spans="7:79" hidden="1" x14ac:dyDescent="0.2">
      <c r="G641" s="315">
        <f t="shared" si="149"/>
        <v>0</v>
      </c>
      <c r="H641" s="315">
        <f t="shared" si="149"/>
        <v>0</v>
      </c>
      <c r="I641" s="315">
        <f t="shared" si="149"/>
        <v>0</v>
      </c>
      <c r="J641" s="315">
        <f t="shared" si="149"/>
        <v>0</v>
      </c>
      <c r="K641" s="315">
        <f t="shared" si="149"/>
        <v>0</v>
      </c>
      <c r="L641" s="315">
        <f t="shared" si="149"/>
        <v>0</v>
      </c>
      <c r="M641" s="315">
        <f t="shared" si="149"/>
        <v>0</v>
      </c>
      <c r="N641" s="315">
        <f t="shared" si="149"/>
        <v>0</v>
      </c>
      <c r="O641" s="315">
        <f t="shared" si="149"/>
        <v>0</v>
      </c>
      <c r="P641" s="315">
        <f t="shared" si="149"/>
        <v>0</v>
      </c>
      <c r="Q641" s="315">
        <f t="shared" si="149"/>
        <v>0</v>
      </c>
      <c r="R641" s="315">
        <f t="shared" si="149"/>
        <v>0</v>
      </c>
      <c r="S641" s="315">
        <f t="shared" si="149"/>
        <v>0</v>
      </c>
      <c r="T641" s="315">
        <f t="shared" si="149"/>
        <v>0</v>
      </c>
      <c r="U641" s="315">
        <f t="shared" si="149"/>
        <v>0</v>
      </c>
      <c r="V641" s="315">
        <f t="shared" si="149"/>
        <v>0</v>
      </c>
      <c r="W641" s="315">
        <f t="shared" si="149"/>
        <v>0</v>
      </c>
      <c r="X641" s="315">
        <f t="shared" si="149"/>
        <v>0</v>
      </c>
      <c r="Y641" s="315">
        <f t="shared" si="149"/>
        <v>0</v>
      </c>
      <c r="Z641" s="315">
        <f t="shared" si="149"/>
        <v>0</v>
      </c>
      <c r="AA641" s="315">
        <f t="shared" si="149"/>
        <v>0</v>
      </c>
      <c r="AB641" s="315">
        <f t="shared" si="149"/>
        <v>0</v>
      </c>
      <c r="AC641" s="315">
        <f t="shared" si="149"/>
        <v>0</v>
      </c>
      <c r="AD641" s="315">
        <f t="shared" si="149"/>
        <v>0</v>
      </c>
      <c r="AE641" s="315">
        <f t="shared" si="149"/>
        <v>0</v>
      </c>
      <c r="AF641" s="315">
        <f t="shared" si="149"/>
        <v>0</v>
      </c>
      <c r="AG641" s="315">
        <f t="shared" si="149"/>
        <v>0</v>
      </c>
      <c r="AH641" s="315">
        <f t="shared" si="149"/>
        <v>0</v>
      </c>
      <c r="AI641" s="315">
        <f t="shared" si="149"/>
        <v>0</v>
      </c>
      <c r="AJ641" s="315">
        <f t="shared" si="149"/>
        <v>0</v>
      </c>
      <c r="AK641" s="315">
        <f t="shared" si="149"/>
        <v>0</v>
      </c>
      <c r="AL641" s="315">
        <f t="shared" si="149"/>
        <v>0</v>
      </c>
      <c r="AM641" s="315">
        <f t="shared" si="149"/>
        <v>0</v>
      </c>
      <c r="AN641" s="315">
        <f t="shared" si="149"/>
        <v>0</v>
      </c>
      <c r="AO641" s="315">
        <f t="shared" si="149"/>
        <v>0</v>
      </c>
      <c r="AP641" s="315">
        <f t="shared" si="149"/>
        <v>0</v>
      </c>
      <c r="AQ641" s="315">
        <f t="shared" si="149"/>
        <v>0</v>
      </c>
      <c r="AR641" s="315">
        <f t="shared" si="149"/>
        <v>0</v>
      </c>
      <c r="AS641" s="315">
        <f t="shared" si="149"/>
        <v>0</v>
      </c>
      <c r="AT641" s="315">
        <f t="shared" si="149"/>
        <v>0</v>
      </c>
      <c r="AU641" s="315">
        <f t="shared" si="149"/>
        <v>0</v>
      </c>
      <c r="AV641" s="315">
        <f t="shared" si="149"/>
        <v>0</v>
      </c>
      <c r="AW641" s="315">
        <f t="shared" si="149"/>
        <v>0</v>
      </c>
      <c r="AX641" s="315">
        <f t="shared" si="149"/>
        <v>0</v>
      </c>
      <c r="AY641" s="315">
        <f t="shared" si="149"/>
        <v>0</v>
      </c>
      <c r="AZ641" s="315">
        <f t="shared" si="149"/>
        <v>0</v>
      </c>
      <c r="BA641" s="315">
        <f t="shared" si="149"/>
        <v>0</v>
      </c>
      <c r="BB641" s="315">
        <f t="shared" si="149"/>
        <v>0</v>
      </c>
      <c r="BC641" s="315">
        <f t="shared" si="149"/>
        <v>0</v>
      </c>
      <c r="BD641" s="315">
        <f t="shared" si="149"/>
        <v>0</v>
      </c>
      <c r="BE641" s="315">
        <f t="shared" si="149"/>
        <v>0</v>
      </c>
      <c r="BF641" s="315">
        <f t="shared" si="149"/>
        <v>0</v>
      </c>
      <c r="BG641" s="315">
        <f t="shared" si="149"/>
        <v>0</v>
      </c>
      <c r="BH641" s="315">
        <f t="shared" si="149"/>
        <v>0</v>
      </c>
      <c r="BI641" s="315">
        <f t="shared" si="149"/>
        <v>0</v>
      </c>
      <c r="BJ641" s="315">
        <f t="shared" si="149"/>
        <v>0</v>
      </c>
      <c r="BK641" s="315">
        <f t="shared" si="149"/>
        <v>0</v>
      </c>
      <c r="BL641" s="315">
        <f t="shared" si="149"/>
        <v>0</v>
      </c>
      <c r="BM641" s="315">
        <f t="shared" si="149"/>
        <v>0</v>
      </c>
      <c r="BN641" s="315">
        <f t="shared" si="149"/>
        <v>0</v>
      </c>
      <c r="BO641" s="315">
        <f t="shared" si="150"/>
        <v>0</v>
      </c>
      <c r="BP641" s="315">
        <f t="shared" si="150"/>
        <v>0</v>
      </c>
      <c r="BQ641" s="315">
        <f t="shared" si="150"/>
        <v>0</v>
      </c>
      <c r="BR641" s="315">
        <f t="shared" si="150"/>
        <v>0</v>
      </c>
      <c r="BS641" s="315">
        <f t="shared" si="150"/>
        <v>0</v>
      </c>
      <c r="BT641" s="315">
        <f t="shared" si="150"/>
        <v>0</v>
      </c>
      <c r="BU641" s="315">
        <f t="shared" si="150"/>
        <v>0</v>
      </c>
      <c r="BV641" s="315">
        <f t="shared" si="150"/>
        <v>0</v>
      </c>
      <c r="BW641" s="315">
        <f t="shared" si="150"/>
        <v>0</v>
      </c>
      <c r="BX641" s="315">
        <f t="shared" si="150"/>
        <v>0</v>
      </c>
      <c r="BZ641" s="315">
        <f t="shared" si="151"/>
        <v>0</v>
      </c>
      <c r="CA641" s="315">
        <f t="shared" si="151"/>
        <v>0</v>
      </c>
    </row>
    <row r="642" spans="7:79" hidden="1" x14ac:dyDescent="0.2">
      <c r="G642" s="315">
        <f t="shared" si="149"/>
        <v>0</v>
      </c>
      <c r="H642" s="315">
        <f t="shared" si="149"/>
        <v>0</v>
      </c>
      <c r="I642" s="315">
        <f t="shared" si="149"/>
        <v>0</v>
      </c>
      <c r="J642" s="315">
        <f t="shared" si="149"/>
        <v>0</v>
      </c>
      <c r="K642" s="315">
        <f t="shared" si="149"/>
        <v>0</v>
      </c>
      <c r="L642" s="315">
        <f t="shared" si="149"/>
        <v>0</v>
      </c>
      <c r="M642" s="315">
        <f t="shared" si="149"/>
        <v>0</v>
      </c>
      <c r="N642" s="315">
        <f t="shared" si="149"/>
        <v>0</v>
      </c>
      <c r="O642" s="315">
        <f t="shared" si="149"/>
        <v>0</v>
      </c>
      <c r="P642" s="315">
        <f t="shared" si="149"/>
        <v>0</v>
      </c>
      <c r="Q642" s="315">
        <f t="shared" si="149"/>
        <v>0</v>
      </c>
      <c r="R642" s="315">
        <f t="shared" si="149"/>
        <v>0</v>
      </c>
      <c r="S642" s="315">
        <f t="shared" si="149"/>
        <v>0</v>
      </c>
      <c r="T642" s="315">
        <f t="shared" si="149"/>
        <v>0</v>
      </c>
      <c r="U642" s="315">
        <f t="shared" si="149"/>
        <v>0</v>
      </c>
      <c r="V642" s="315">
        <f t="shared" si="149"/>
        <v>0</v>
      </c>
      <c r="W642" s="315">
        <f t="shared" si="149"/>
        <v>0</v>
      </c>
      <c r="X642" s="315">
        <f t="shared" si="149"/>
        <v>0</v>
      </c>
      <c r="Y642" s="315">
        <f t="shared" si="149"/>
        <v>0</v>
      </c>
      <c r="Z642" s="315">
        <f t="shared" si="149"/>
        <v>0</v>
      </c>
      <c r="AA642" s="315">
        <f t="shared" si="149"/>
        <v>0</v>
      </c>
      <c r="AB642" s="315">
        <f t="shared" si="149"/>
        <v>0</v>
      </c>
      <c r="AC642" s="315">
        <f t="shared" si="149"/>
        <v>0</v>
      </c>
      <c r="AD642" s="315">
        <f t="shared" si="149"/>
        <v>0</v>
      </c>
      <c r="AE642" s="315">
        <f t="shared" si="149"/>
        <v>0</v>
      </c>
      <c r="AF642" s="315">
        <f t="shared" si="149"/>
        <v>0</v>
      </c>
      <c r="AG642" s="315">
        <f t="shared" si="149"/>
        <v>0</v>
      </c>
      <c r="AH642" s="315">
        <f t="shared" si="149"/>
        <v>0</v>
      </c>
      <c r="AI642" s="315">
        <f t="shared" si="149"/>
        <v>0</v>
      </c>
      <c r="AJ642" s="315">
        <f t="shared" si="149"/>
        <v>0</v>
      </c>
      <c r="AK642" s="315">
        <f t="shared" si="149"/>
        <v>0</v>
      </c>
      <c r="AL642" s="315">
        <f t="shared" si="149"/>
        <v>0</v>
      </c>
      <c r="AM642" s="315">
        <f t="shared" si="149"/>
        <v>0</v>
      </c>
      <c r="AN642" s="315">
        <f t="shared" si="149"/>
        <v>0</v>
      </c>
      <c r="AO642" s="315">
        <f t="shared" si="149"/>
        <v>0</v>
      </c>
      <c r="AP642" s="315">
        <f t="shared" si="149"/>
        <v>0</v>
      </c>
      <c r="AQ642" s="315">
        <f t="shared" si="149"/>
        <v>0</v>
      </c>
      <c r="AR642" s="315">
        <f t="shared" si="149"/>
        <v>0</v>
      </c>
      <c r="AS642" s="315">
        <f t="shared" si="149"/>
        <v>0</v>
      </c>
      <c r="AT642" s="315">
        <f t="shared" si="149"/>
        <v>0</v>
      </c>
      <c r="AU642" s="315">
        <f t="shared" si="149"/>
        <v>0</v>
      </c>
      <c r="AV642" s="315">
        <f t="shared" si="149"/>
        <v>0</v>
      </c>
      <c r="AW642" s="315">
        <f t="shared" si="149"/>
        <v>0</v>
      </c>
      <c r="AX642" s="315">
        <f t="shared" si="149"/>
        <v>0</v>
      </c>
      <c r="AY642" s="315">
        <f t="shared" si="149"/>
        <v>0</v>
      </c>
      <c r="AZ642" s="315">
        <f t="shared" si="149"/>
        <v>0</v>
      </c>
      <c r="BA642" s="315">
        <f t="shared" si="149"/>
        <v>0</v>
      </c>
      <c r="BB642" s="315">
        <f t="shared" si="149"/>
        <v>0</v>
      </c>
      <c r="BC642" s="315">
        <f t="shared" si="149"/>
        <v>0</v>
      </c>
      <c r="BD642" s="315">
        <f t="shared" si="149"/>
        <v>0</v>
      </c>
      <c r="BE642" s="315">
        <f t="shared" si="149"/>
        <v>0</v>
      </c>
      <c r="BF642" s="315">
        <f t="shared" si="149"/>
        <v>0</v>
      </c>
      <c r="BG642" s="315">
        <f t="shared" si="149"/>
        <v>0</v>
      </c>
      <c r="BH642" s="315">
        <f t="shared" si="149"/>
        <v>0</v>
      </c>
      <c r="BI642" s="315">
        <f t="shared" si="149"/>
        <v>0</v>
      </c>
      <c r="BJ642" s="315">
        <f t="shared" si="149"/>
        <v>0</v>
      </c>
      <c r="BK642" s="315">
        <f t="shared" si="149"/>
        <v>0</v>
      </c>
      <c r="BL642" s="315">
        <f t="shared" si="149"/>
        <v>0</v>
      </c>
      <c r="BM642" s="315">
        <f t="shared" si="149"/>
        <v>0</v>
      </c>
      <c r="BN642" s="315">
        <f t="shared" si="149"/>
        <v>0</v>
      </c>
      <c r="BO642" s="315">
        <f t="shared" si="150"/>
        <v>0</v>
      </c>
      <c r="BP642" s="315">
        <f t="shared" si="150"/>
        <v>0</v>
      </c>
      <c r="BQ642" s="315">
        <f t="shared" si="150"/>
        <v>0</v>
      </c>
      <c r="BR642" s="315">
        <f t="shared" si="150"/>
        <v>0</v>
      </c>
      <c r="BS642" s="315">
        <f t="shared" si="150"/>
        <v>0</v>
      </c>
      <c r="BT642" s="315">
        <f t="shared" si="150"/>
        <v>0</v>
      </c>
      <c r="BU642" s="315">
        <f t="shared" si="150"/>
        <v>0</v>
      </c>
      <c r="BV642" s="315">
        <f t="shared" si="150"/>
        <v>0</v>
      </c>
      <c r="BW642" s="315">
        <f t="shared" si="150"/>
        <v>0</v>
      </c>
      <c r="BX642" s="315">
        <f t="shared" si="150"/>
        <v>0</v>
      </c>
      <c r="BZ642" s="315">
        <f t="shared" si="151"/>
        <v>0</v>
      </c>
      <c r="CA642" s="315">
        <f t="shared" si="151"/>
        <v>0</v>
      </c>
    </row>
    <row r="643" spans="7:79" hidden="1" x14ac:dyDescent="0.2">
      <c r="G643" s="315">
        <f t="shared" si="149"/>
        <v>0</v>
      </c>
      <c r="H643" s="315">
        <f t="shared" si="149"/>
        <v>0</v>
      </c>
      <c r="I643" s="315">
        <f t="shared" si="149"/>
        <v>0</v>
      </c>
      <c r="J643" s="315">
        <f t="shared" si="149"/>
        <v>0</v>
      </c>
      <c r="K643" s="315">
        <f t="shared" si="149"/>
        <v>0</v>
      </c>
      <c r="L643" s="315">
        <f t="shared" si="149"/>
        <v>0</v>
      </c>
      <c r="M643" s="315">
        <f t="shared" si="149"/>
        <v>0</v>
      </c>
      <c r="N643" s="315">
        <f t="shared" si="149"/>
        <v>0</v>
      </c>
      <c r="O643" s="315">
        <f t="shared" si="149"/>
        <v>0</v>
      </c>
      <c r="P643" s="315">
        <f t="shared" si="149"/>
        <v>0</v>
      </c>
      <c r="Q643" s="315">
        <f t="shared" si="149"/>
        <v>0</v>
      </c>
      <c r="R643" s="315">
        <f t="shared" si="149"/>
        <v>0</v>
      </c>
      <c r="S643" s="315">
        <f t="shared" si="149"/>
        <v>0</v>
      </c>
      <c r="T643" s="315">
        <f t="shared" si="149"/>
        <v>0</v>
      </c>
      <c r="U643" s="315">
        <f t="shared" si="149"/>
        <v>0</v>
      </c>
      <c r="V643" s="315">
        <f t="shared" si="149"/>
        <v>0</v>
      </c>
      <c r="W643" s="315">
        <f t="shared" si="149"/>
        <v>0</v>
      </c>
      <c r="X643" s="315">
        <f t="shared" si="149"/>
        <v>0</v>
      </c>
      <c r="Y643" s="315">
        <f t="shared" si="149"/>
        <v>0</v>
      </c>
      <c r="Z643" s="315">
        <f t="shared" si="149"/>
        <v>0</v>
      </c>
      <c r="AA643" s="315">
        <f t="shared" si="149"/>
        <v>0</v>
      </c>
      <c r="AB643" s="315">
        <f t="shared" si="149"/>
        <v>0</v>
      </c>
      <c r="AC643" s="315">
        <f t="shared" si="149"/>
        <v>0</v>
      </c>
      <c r="AD643" s="315">
        <f t="shared" si="149"/>
        <v>0</v>
      </c>
      <c r="AE643" s="315">
        <f t="shared" si="149"/>
        <v>0</v>
      </c>
      <c r="AF643" s="315">
        <f t="shared" si="149"/>
        <v>0</v>
      </c>
      <c r="AG643" s="315">
        <f t="shared" si="149"/>
        <v>0</v>
      </c>
      <c r="AH643" s="315">
        <f t="shared" si="149"/>
        <v>0</v>
      </c>
      <c r="AI643" s="315">
        <f t="shared" si="149"/>
        <v>0</v>
      </c>
      <c r="AJ643" s="315">
        <f t="shared" si="149"/>
        <v>0</v>
      </c>
      <c r="AK643" s="315">
        <f t="shared" si="149"/>
        <v>0</v>
      </c>
      <c r="AL643" s="315">
        <f t="shared" si="149"/>
        <v>0</v>
      </c>
      <c r="AM643" s="315">
        <f t="shared" si="149"/>
        <v>0</v>
      </c>
      <c r="AN643" s="315">
        <f t="shared" si="149"/>
        <v>0</v>
      </c>
      <c r="AO643" s="315">
        <f t="shared" si="149"/>
        <v>0</v>
      </c>
      <c r="AP643" s="315">
        <f t="shared" si="149"/>
        <v>0</v>
      </c>
      <c r="AQ643" s="315">
        <f t="shared" si="149"/>
        <v>0</v>
      </c>
      <c r="AR643" s="315">
        <f t="shared" si="149"/>
        <v>0</v>
      </c>
      <c r="AS643" s="315">
        <f t="shared" si="149"/>
        <v>0</v>
      </c>
      <c r="AT643" s="315">
        <f t="shared" si="149"/>
        <v>0</v>
      </c>
      <c r="AU643" s="315">
        <f t="shared" si="149"/>
        <v>0</v>
      </c>
      <c r="AV643" s="315">
        <f t="shared" si="149"/>
        <v>0</v>
      </c>
      <c r="AW643" s="315">
        <f t="shared" si="149"/>
        <v>0</v>
      </c>
      <c r="AX643" s="315">
        <f t="shared" si="149"/>
        <v>0</v>
      </c>
      <c r="AY643" s="315">
        <f t="shared" si="149"/>
        <v>0</v>
      </c>
      <c r="AZ643" s="315">
        <f t="shared" si="149"/>
        <v>0</v>
      </c>
      <c r="BA643" s="315">
        <f t="shared" si="149"/>
        <v>0</v>
      </c>
      <c r="BB643" s="315">
        <f t="shared" si="149"/>
        <v>0</v>
      </c>
      <c r="BC643" s="315">
        <f t="shared" si="149"/>
        <v>0</v>
      </c>
      <c r="BD643" s="315">
        <f t="shared" si="149"/>
        <v>0</v>
      </c>
      <c r="BE643" s="315">
        <f t="shared" si="149"/>
        <v>0</v>
      </c>
      <c r="BF643" s="315">
        <f t="shared" si="149"/>
        <v>0</v>
      </c>
      <c r="BG643" s="315">
        <f t="shared" si="149"/>
        <v>0</v>
      </c>
      <c r="BH643" s="315">
        <f t="shared" si="149"/>
        <v>0</v>
      </c>
      <c r="BI643" s="315">
        <f t="shared" si="149"/>
        <v>0</v>
      </c>
      <c r="BJ643" s="315">
        <f t="shared" si="149"/>
        <v>0</v>
      </c>
      <c r="BK643" s="315">
        <f t="shared" si="149"/>
        <v>0</v>
      </c>
      <c r="BL643" s="315">
        <f t="shared" si="149"/>
        <v>0</v>
      </c>
      <c r="BM643" s="315">
        <f t="shared" si="149"/>
        <v>0</v>
      </c>
      <c r="BN643" s="315">
        <f t="shared" si="149"/>
        <v>0</v>
      </c>
      <c r="BO643" s="315">
        <f t="shared" si="150"/>
        <v>0</v>
      </c>
      <c r="BP643" s="315">
        <f t="shared" si="150"/>
        <v>0</v>
      </c>
      <c r="BQ643" s="315">
        <f t="shared" si="150"/>
        <v>0</v>
      </c>
      <c r="BR643" s="315">
        <f t="shared" si="150"/>
        <v>0</v>
      </c>
      <c r="BS643" s="315">
        <f t="shared" si="150"/>
        <v>0</v>
      </c>
      <c r="BT643" s="315">
        <f t="shared" si="150"/>
        <v>0</v>
      </c>
      <c r="BU643" s="315">
        <f t="shared" si="150"/>
        <v>0</v>
      </c>
      <c r="BV643" s="315">
        <f t="shared" si="150"/>
        <v>0</v>
      </c>
      <c r="BW643" s="315">
        <f t="shared" si="150"/>
        <v>0</v>
      </c>
      <c r="BX643" s="315">
        <f t="shared" si="150"/>
        <v>0</v>
      </c>
      <c r="BZ643" s="315">
        <f t="shared" si="151"/>
        <v>0</v>
      </c>
      <c r="CA643" s="315">
        <f t="shared" si="151"/>
        <v>0</v>
      </c>
    </row>
    <row r="644" spans="7:79" hidden="1" x14ac:dyDescent="0.2">
      <c r="G644" s="315">
        <f t="shared" si="149"/>
        <v>0</v>
      </c>
      <c r="H644" s="315">
        <f t="shared" si="149"/>
        <v>0</v>
      </c>
      <c r="I644" s="315">
        <f t="shared" si="149"/>
        <v>0</v>
      </c>
      <c r="J644" s="315">
        <f t="shared" si="149"/>
        <v>0</v>
      </c>
      <c r="K644" s="315">
        <f t="shared" si="149"/>
        <v>0</v>
      </c>
      <c r="L644" s="315">
        <f t="shared" si="149"/>
        <v>0</v>
      </c>
      <c r="M644" s="315">
        <f t="shared" si="149"/>
        <v>0</v>
      </c>
      <c r="N644" s="315">
        <f t="shared" si="149"/>
        <v>0</v>
      </c>
      <c r="O644" s="315">
        <f t="shared" si="149"/>
        <v>0</v>
      </c>
      <c r="P644" s="315">
        <f t="shared" si="149"/>
        <v>0</v>
      </c>
      <c r="Q644" s="315">
        <f t="shared" si="149"/>
        <v>0</v>
      </c>
      <c r="R644" s="315">
        <f t="shared" ref="R644:BN644" si="152">R225-CJ225</f>
        <v>0</v>
      </c>
      <c r="S644" s="315">
        <f t="shared" si="152"/>
        <v>0</v>
      </c>
      <c r="T644" s="315">
        <f t="shared" si="152"/>
        <v>0</v>
      </c>
      <c r="U644" s="315">
        <f t="shared" si="152"/>
        <v>0</v>
      </c>
      <c r="V644" s="315">
        <f t="shared" si="152"/>
        <v>0</v>
      </c>
      <c r="W644" s="315">
        <f t="shared" si="152"/>
        <v>0</v>
      </c>
      <c r="X644" s="315">
        <f t="shared" si="152"/>
        <v>0</v>
      </c>
      <c r="Y644" s="315">
        <f t="shared" si="152"/>
        <v>0</v>
      </c>
      <c r="Z644" s="315">
        <f t="shared" si="152"/>
        <v>0</v>
      </c>
      <c r="AA644" s="315">
        <f t="shared" si="152"/>
        <v>0</v>
      </c>
      <c r="AB644" s="315">
        <f t="shared" si="152"/>
        <v>0</v>
      </c>
      <c r="AC644" s="315">
        <f t="shared" si="152"/>
        <v>0</v>
      </c>
      <c r="AD644" s="315">
        <f t="shared" si="152"/>
        <v>0</v>
      </c>
      <c r="AE644" s="315">
        <f t="shared" si="152"/>
        <v>0</v>
      </c>
      <c r="AF644" s="315">
        <f t="shared" si="152"/>
        <v>0</v>
      </c>
      <c r="AG644" s="315">
        <f t="shared" si="152"/>
        <v>0</v>
      </c>
      <c r="AH644" s="315">
        <f t="shared" si="152"/>
        <v>0</v>
      </c>
      <c r="AI644" s="315">
        <f t="shared" si="152"/>
        <v>0</v>
      </c>
      <c r="AJ644" s="315">
        <f t="shared" si="152"/>
        <v>0</v>
      </c>
      <c r="AK644" s="315">
        <f t="shared" si="152"/>
        <v>0</v>
      </c>
      <c r="AL644" s="315">
        <f t="shared" si="152"/>
        <v>0</v>
      </c>
      <c r="AM644" s="315">
        <f t="shared" si="152"/>
        <v>0</v>
      </c>
      <c r="AN644" s="315">
        <f t="shared" si="152"/>
        <v>0</v>
      </c>
      <c r="AO644" s="315">
        <f t="shared" si="152"/>
        <v>0</v>
      </c>
      <c r="AP644" s="315">
        <f t="shared" si="152"/>
        <v>0</v>
      </c>
      <c r="AQ644" s="315">
        <f t="shared" si="152"/>
        <v>0</v>
      </c>
      <c r="AR644" s="315">
        <f t="shared" si="152"/>
        <v>0</v>
      </c>
      <c r="AS644" s="315">
        <f t="shared" si="152"/>
        <v>0</v>
      </c>
      <c r="AT644" s="315">
        <f t="shared" si="152"/>
        <v>0</v>
      </c>
      <c r="AU644" s="315">
        <f t="shared" si="152"/>
        <v>0</v>
      </c>
      <c r="AV644" s="315">
        <f t="shared" si="152"/>
        <v>0</v>
      </c>
      <c r="AW644" s="315">
        <f t="shared" si="152"/>
        <v>0</v>
      </c>
      <c r="AX644" s="315">
        <f t="shared" si="152"/>
        <v>0</v>
      </c>
      <c r="AY644" s="315">
        <f t="shared" si="152"/>
        <v>0</v>
      </c>
      <c r="AZ644" s="315">
        <f t="shared" si="152"/>
        <v>0</v>
      </c>
      <c r="BA644" s="315">
        <f t="shared" si="152"/>
        <v>0</v>
      </c>
      <c r="BB644" s="315">
        <f t="shared" si="152"/>
        <v>0</v>
      </c>
      <c r="BC644" s="315">
        <f t="shared" si="152"/>
        <v>0</v>
      </c>
      <c r="BD644" s="315">
        <f t="shared" si="152"/>
        <v>0</v>
      </c>
      <c r="BE644" s="315">
        <f t="shared" si="152"/>
        <v>0</v>
      </c>
      <c r="BF644" s="315">
        <f t="shared" si="152"/>
        <v>0</v>
      </c>
      <c r="BG644" s="315">
        <f t="shared" si="152"/>
        <v>0</v>
      </c>
      <c r="BH644" s="315">
        <f t="shared" si="152"/>
        <v>0</v>
      </c>
      <c r="BI644" s="315">
        <f t="shared" si="152"/>
        <v>0</v>
      </c>
      <c r="BJ644" s="315">
        <f t="shared" si="152"/>
        <v>0</v>
      </c>
      <c r="BK644" s="315">
        <f t="shared" si="152"/>
        <v>0</v>
      </c>
      <c r="BL644" s="315">
        <f t="shared" si="152"/>
        <v>0</v>
      </c>
      <c r="BM644" s="315">
        <f t="shared" si="152"/>
        <v>0</v>
      </c>
      <c r="BN644" s="315">
        <f t="shared" si="152"/>
        <v>0</v>
      </c>
      <c r="BO644" s="315">
        <f t="shared" si="150"/>
        <v>0</v>
      </c>
      <c r="BP644" s="315">
        <f t="shared" si="150"/>
        <v>0</v>
      </c>
      <c r="BQ644" s="315">
        <f t="shared" si="150"/>
        <v>0</v>
      </c>
      <c r="BR644" s="315">
        <f t="shared" si="150"/>
        <v>0</v>
      </c>
      <c r="BS644" s="315">
        <f t="shared" si="150"/>
        <v>0</v>
      </c>
      <c r="BT644" s="315">
        <f t="shared" si="150"/>
        <v>0</v>
      </c>
      <c r="BU644" s="315">
        <f t="shared" si="150"/>
        <v>0</v>
      </c>
      <c r="BV644" s="315">
        <f t="shared" si="150"/>
        <v>0</v>
      </c>
      <c r="BW644" s="315">
        <f t="shared" si="150"/>
        <v>0</v>
      </c>
      <c r="BX644" s="315">
        <f t="shared" si="150"/>
        <v>0</v>
      </c>
      <c r="BZ644" s="315">
        <f t="shared" si="151"/>
        <v>0</v>
      </c>
      <c r="CA644" s="315">
        <f t="shared" si="151"/>
        <v>0</v>
      </c>
    </row>
    <row r="645" spans="7:79" hidden="1" x14ac:dyDescent="0.2">
      <c r="G645" s="315">
        <f t="shared" ref="G645:BR645" si="153">G227-BY227</f>
        <v>0</v>
      </c>
      <c r="H645" s="315">
        <f t="shared" si="153"/>
        <v>0</v>
      </c>
      <c r="I645" s="315">
        <f t="shared" si="153"/>
        <v>0</v>
      </c>
      <c r="J645" s="315">
        <f t="shared" si="153"/>
        <v>0</v>
      </c>
      <c r="K645" s="315">
        <f t="shared" si="153"/>
        <v>0</v>
      </c>
      <c r="L645" s="315">
        <f t="shared" si="153"/>
        <v>0</v>
      </c>
      <c r="M645" s="315">
        <f t="shared" si="153"/>
        <v>0</v>
      </c>
      <c r="N645" s="315">
        <f t="shared" si="153"/>
        <v>0</v>
      </c>
      <c r="O645" s="315">
        <f t="shared" si="153"/>
        <v>0</v>
      </c>
      <c r="P645" s="315">
        <f t="shared" si="153"/>
        <v>0</v>
      </c>
      <c r="Q645" s="315">
        <f t="shared" si="153"/>
        <v>0</v>
      </c>
      <c r="R645" s="315">
        <f t="shared" si="153"/>
        <v>0</v>
      </c>
      <c r="S645" s="315">
        <f t="shared" si="153"/>
        <v>0</v>
      </c>
      <c r="T645" s="315">
        <f t="shared" si="153"/>
        <v>0</v>
      </c>
      <c r="U645" s="315">
        <f t="shared" si="153"/>
        <v>0</v>
      </c>
      <c r="V645" s="315">
        <f t="shared" si="153"/>
        <v>0</v>
      </c>
      <c r="W645" s="315">
        <f t="shared" si="153"/>
        <v>0</v>
      </c>
      <c r="X645" s="315">
        <f t="shared" si="153"/>
        <v>0</v>
      </c>
      <c r="Y645" s="315">
        <f t="shared" si="153"/>
        <v>0</v>
      </c>
      <c r="Z645" s="315">
        <f t="shared" si="153"/>
        <v>0</v>
      </c>
      <c r="AA645" s="315">
        <f t="shared" si="153"/>
        <v>0</v>
      </c>
      <c r="AB645" s="315">
        <f t="shared" si="153"/>
        <v>0</v>
      </c>
      <c r="AC645" s="315">
        <f t="shared" si="153"/>
        <v>0</v>
      </c>
      <c r="AD645" s="315">
        <f t="shared" si="153"/>
        <v>0</v>
      </c>
      <c r="AE645" s="315">
        <f t="shared" si="153"/>
        <v>0</v>
      </c>
      <c r="AF645" s="315">
        <f t="shared" si="153"/>
        <v>0</v>
      </c>
      <c r="AG645" s="315">
        <f t="shared" si="153"/>
        <v>0</v>
      </c>
      <c r="AH645" s="315">
        <f t="shared" si="153"/>
        <v>0</v>
      </c>
      <c r="AI645" s="315">
        <f t="shared" si="153"/>
        <v>0</v>
      </c>
      <c r="AJ645" s="315">
        <f t="shared" si="153"/>
        <v>0</v>
      </c>
      <c r="AK645" s="315">
        <f t="shared" si="153"/>
        <v>0</v>
      </c>
      <c r="AL645" s="315">
        <f t="shared" si="153"/>
        <v>0</v>
      </c>
      <c r="AM645" s="315">
        <f t="shared" si="153"/>
        <v>0</v>
      </c>
      <c r="AN645" s="315">
        <f t="shared" si="153"/>
        <v>0</v>
      </c>
      <c r="AO645" s="315">
        <f t="shared" si="153"/>
        <v>0</v>
      </c>
      <c r="AP645" s="315">
        <f t="shared" si="153"/>
        <v>0</v>
      </c>
      <c r="AQ645" s="315">
        <f t="shared" si="153"/>
        <v>0</v>
      </c>
      <c r="AR645" s="315">
        <f t="shared" si="153"/>
        <v>0</v>
      </c>
      <c r="AS645" s="315">
        <f t="shared" si="153"/>
        <v>0</v>
      </c>
      <c r="AT645" s="315">
        <f t="shared" si="153"/>
        <v>0</v>
      </c>
      <c r="AU645" s="315">
        <f t="shared" si="153"/>
        <v>0</v>
      </c>
      <c r="AV645" s="315">
        <f t="shared" si="153"/>
        <v>0</v>
      </c>
      <c r="AW645" s="315">
        <f t="shared" si="153"/>
        <v>0</v>
      </c>
      <c r="AX645" s="315">
        <f t="shared" si="153"/>
        <v>0</v>
      </c>
      <c r="AY645" s="315">
        <f t="shared" si="153"/>
        <v>0</v>
      </c>
      <c r="AZ645" s="315">
        <f t="shared" si="153"/>
        <v>0</v>
      </c>
      <c r="BA645" s="315">
        <f t="shared" si="153"/>
        <v>0</v>
      </c>
      <c r="BB645" s="315">
        <f t="shared" si="153"/>
        <v>0</v>
      </c>
      <c r="BC645" s="315">
        <f t="shared" si="153"/>
        <v>0</v>
      </c>
      <c r="BD645" s="315">
        <f t="shared" si="153"/>
        <v>0</v>
      </c>
      <c r="BE645" s="315">
        <f t="shared" si="153"/>
        <v>0</v>
      </c>
      <c r="BF645" s="315">
        <f t="shared" si="153"/>
        <v>0</v>
      </c>
      <c r="BG645" s="315">
        <f t="shared" si="153"/>
        <v>0</v>
      </c>
      <c r="BH645" s="315">
        <f t="shared" si="153"/>
        <v>0</v>
      </c>
      <c r="BI645" s="315">
        <f t="shared" si="153"/>
        <v>0</v>
      </c>
      <c r="BJ645" s="315">
        <f t="shared" si="153"/>
        <v>0</v>
      </c>
      <c r="BK645" s="315">
        <f t="shared" si="153"/>
        <v>0</v>
      </c>
      <c r="BL645" s="315">
        <f t="shared" si="153"/>
        <v>0</v>
      </c>
      <c r="BM645" s="315">
        <f t="shared" si="153"/>
        <v>0</v>
      </c>
      <c r="BN645" s="315">
        <f t="shared" si="153"/>
        <v>0</v>
      </c>
      <c r="BO645" s="315">
        <f t="shared" si="153"/>
        <v>0</v>
      </c>
      <c r="BP645" s="315">
        <f t="shared" si="153"/>
        <v>0</v>
      </c>
      <c r="BQ645" s="315">
        <f t="shared" si="153"/>
        <v>0</v>
      </c>
      <c r="BR645" s="315">
        <f t="shared" si="153"/>
        <v>0</v>
      </c>
      <c r="BS645" s="315">
        <f t="shared" ref="BS645:BX645" si="154">BS227-EK227</f>
        <v>0</v>
      </c>
      <c r="BT645" s="315">
        <f t="shared" si="154"/>
        <v>0</v>
      </c>
      <c r="BU645" s="315">
        <f t="shared" si="154"/>
        <v>0</v>
      </c>
      <c r="BV645" s="315">
        <f t="shared" si="154"/>
        <v>0</v>
      </c>
      <c r="BW645" s="315">
        <f t="shared" si="154"/>
        <v>0</v>
      </c>
      <c r="BX645" s="315">
        <f t="shared" si="154"/>
        <v>0</v>
      </c>
      <c r="BZ645" s="315">
        <f>BZ227-ER227</f>
        <v>0</v>
      </c>
      <c r="CA645" s="315">
        <f>CA227-ES227</f>
        <v>0</v>
      </c>
    </row>
    <row r="646" spans="7:79" hidden="1" x14ac:dyDescent="0.2">
      <c r="G646" s="315" t="e">
        <f>#REF!-#REF!</f>
        <v>#REF!</v>
      </c>
      <c r="H646" s="315" t="e">
        <f>#REF!-#REF!</f>
        <v>#REF!</v>
      </c>
      <c r="I646" s="315" t="e">
        <f>#REF!-#REF!</f>
        <v>#REF!</v>
      </c>
      <c r="J646" s="315" t="e">
        <f>#REF!-#REF!</f>
        <v>#REF!</v>
      </c>
      <c r="K646" s="315" t="e">
        <f>#REF!-#REF!</f>
        <v>#REF!</v>
      </c>
      <c r="L646" s="315" t="e">
        <f>#REF!-#REF!</f>
        <v>#REF!</v>
      </c>
      <c r="M646" s="315" t="e">
        <f>#REF!-#REF!</f>
        <v>#REF!</v>
      </c>
      <c r="N646" s="315" t="e">
        <f>#REF!-#REF!</f>
        <v>#REF!</v>
      </c>
      <c r="O646" s="315" t="e">
        <f>#REF!-#REF!</f>
        <v>#REF!</v>
      </c>
      <c r="P646" s="315" t="e">
        <f>#REF!-#REF!</f>
        <v>#REF!</v>
      </c>
      <c r="Q646" s="315" t="e">
        <f>#REF!-#REF!</f>
        <v>#REF!</v>
      </c>
      <c r="R646" s="315" t="e">
        <f>#REF!-#REF!</f>
        <v>#REF!</v>
      </c>
      <c r="S646" s="315" t="e">
        <f>#REF!-#REF!</f>
        <v>#REF!</v>
      </c>
      <c r="T646" s="315" t="e">
        <f>#REF!-#REF!</f>
        <v>#REF!</v>
      </c>
      <c r="U646" s="315" t="e">
        <f>#REF!-#REF!</f>
        <v>#REF!</v>
      </c>
      <c r="V646" s="315" t="e">
        <f>#REF!-#REF!</f>
        <v>#REF!</v>
      </c>
      <c r="W646" s="315" t="e">
        <f>#REF!-#REF!</f>
        <v>#REF!</v>
      </c>
      <c r="X646" s="315" t="e">
        <f>#REF!-#REF!</f>
        <v>#REF!</v>
      </c>
      <c r="Y646" s="315" t="e">
        <f>#REF!-#REF!</f>
        <v>#REF!</v>
      </c>
      <c r="Z646" s="315" t="e">
        <f>#REF!-#REF!</f>
        <v>#REF!</v>
      </c>
      <c r="AA646" s="315" t="e">
        <f>#REF!-#REF!</f>
        <v>#REF!</v>
      </c>
      <c r="AB646" s="315" t="e">
        <f>#REF!-#REF!</f>
        <v>#REF!</v>
      </c>
      <c r="AC646" s="315" t="e">
        <f>#REF!-#REF!</f>
        <v>#REF!</v>
      </c>
      <c r="AD646" s="315" t="e">
        <f>#REF!-#REF!</f>
        <v>#REF!</v>
      </c>
      <c r="AE646" s="315" t="e">
        <f>#REF!-#REF!</f>
        <v>#REF!</v>
      </c>
      <c r="AF646" s="315" t="e">
        <f>#REF!-#REF!</f>
        <v>#REF!</v>
      </c>
      <c r="AG646" s="315" t="e">
        <f>#REF!-#REF!</f>
        <v>#REF!</v>
      </c>
      <c r="AH646" s="315" t="e">
        <f>#REF!-#REF!</f>
        <v>#REF!</v>
      </c>
      <c r="AI646" s="315" t="e">
        <f>#REF!-#REF!</f>
        <v>#REF!</v>
      </c>
      <c r="AJ646" s="315" t="e">
        <f>#REF!-#REF!</f>
        <v>#REF!</v>
      </c>
      <c r="AK646" s="315" t="e">
        <f>#REF!-#REF!</f>
        <v>#REF!</v>
      </c>
      <c r="AL646" s="315" t="e">
        <f>#REF!-#REF!</f>
        <v>#REF!</v>
      </c>
      <c r="AM646" s="315" t="e">
        <f>#REF!-#REF!</f>
        <v>#REF!</v>
      </c>
      <c r="AN646" s="315" t="e">
        <f>#REF!-#REF!</f>
        <v>#REF!</v>
      </c>
      <c r="AO646" s="315" t="e">
        <f>#REF!-#REF!</f>
        <v>#REF!</v>
      </c>
      <c r="AP646" s="315" t="e">
        <f>#REF!-#REF!</f>
        <v>#REF!</v>
      </c>
      <c r="AQ646" s="315" t="e">
        <f>#REF!-#REF!</f>
        <v>#REF!</v>
      </c>
      <c r="AR646" s="315" t="e">
        <f>#REF!-#REF!</f>
        <v>#REF!</v>
      </c>
      <c r="AS646" s="315" t="e">
        <f>#REF!-#REF!</f>
        <v>#REF!</v>
      </c>
      <c r="AT646" s="315" t="e">
        <f>#REF!-#REF!</f>
        <v>#REF!</v>
      </c>
      <c r="AU646" s="315" t="e">
        <f>#REF!-#REF!</f>
        <v>#REF!</v>
      </c>
      <c r="AV646" s="315" t="e">
        <f>#REF!-#REF!</f>
        <v>#REF!</v>
      </c>
      <c r="AW646" s="315" t="e">
        <f>#REF!-#REF!</f>
        <v>#REF!</v>
      </c>
      <c r="AX646" s="315" t="e">
        <f>#REF!-#REF!</f>
        <v>#REF!</v>
      </c>
      <c r="AY646" s="315" t="e">
        <f>#REF!-#REF!</f>
        <v>#REF!</v>
      </c>
      <c r="AZ646" s="315" t="e">
        <f>#REF!-#REF!</f>
        <v>#REF!</v>
      </c>
      <c r="BA646" s="315" t="e">
        <f>#REF!-#REF!</f>
        <v>#REF!</v>
      </c>
      <c r="BB646" s="315" t="e">
        <f>#REF!-#REF!</f>
        <v>#REF!</v>
      </c>
      <c r="BC646" s="315" t="e">
        <f>#REF!-#REF!</f>
        <v>#REF!</v>
      </c>
      <c r="BD646" s="315" t="e">
        <f>#REF!-#REF!</f>
        <v>#REF!</v>
      </c>
      <c r="BE646" s="315" t="e">
        <f>#REF!-#REF!</f>
        <v>#REF!</v>
      </c>
      <c r="BF646" s="315" t="e">
        <f>#REF!-#REF!</f>
        <v>#REF!</v>
      </c>
      <c r="BG646" s="315" t="e">
        <f>#REF!-#REF!</f>
        <v>#REF!</v>
      </c>
      <c r="BH646" s="315" t="e">
        <f>#REF!-#REF!</f>
        <v>#REF!</v>
      </c>
      <c r="BI646" s="315" t="e">
        <f>#REF!-#REF!</f>
        <v>#REF!</v>
      </c>
      <c r="BJ646" s="315" t="e">
        <f>#REF!-#REF!</f>
        <v>#REF!</v>
      </c>
      <c r="BK646" s="315" t="e">
        <f>#REF!-#REF!</f>
        <v>#REF!</v>
      </c>
      <c r="BL646" s="315" t="e">
        <f>#REF!-#REF!</f>
        <v>#REF!</v>
      </c>
      <c r="BM646" s="315" t="e">
        <f>#REF!-#REF!</f>
        <v>#REF!</v>
      </c>
      <c r="BN646" s="315" t="e">
        <f>#REF!-#REF!</f>
        <v>#REF!</v>
      </c>
      <c r="BO646" s="315" t="e">
        <f>#REF!-#REF!</f>
        <v>#REF!</v>
      </c>
      <c r="BP646" s="315" t="e">
        <f>#REF!-#REF!</f>
        <v>#REF!</v>
      </c>
      <c r="BQ646" s="315" t="e">
        <f>#REF!-#REF!</f>
        <v>#REF!</v>
      </c>
      <c r="BR646" s="315" t="e">
        <f>#REF!-#REF!</f>
        <v>#REF!</v>
      </c>
      <c r="BS646" s="315" t="e">
        <f>#REF!-#REF!</f>
        <v>#REF!</v>
      </c>
      <c r="BT646" s="315" t="e">
        <f>#REF!-#REF!</f>
        <v>#REF!</v>
      </c>
      <c r="BU646" s="315" t="e">
        <f>#REF!-#REF!</f>
        <v>#REF!</v>
      </c>
      <c r="BV646" s="315" t="e">
        <f>#REF!-#REF!</f>
        <v>#REF!</v>
      </c>
      <c r="BW646" s="315" t="e">
        <f>#REF!-#REF!</f>
        <v>#REF!</v>
      </c>
      <c r="BX646" s="315" t="e">
        <f>#REF!-#REF!</f>
        <v>#REF!</v>
      </c>
      <c r="BZ646" s="315" t="e">
        <f>#REF!-#REF!</f>
        <v>#REF!</v>
      </c>
      <c r="CA646" s="315" t="e">
        <f>#REF!-#REF!</f>
        <v>#REF!</v>
      </c>
    </row>
    <row r="647" spans="7:79" hidden="1" x14ac:dyDescent="0.2">
      <c r="G647" s="315">
        <f t="shared" ref="G647:BR650" si="155">G228-BY228</f>
        <v>0</v>
      </c>
      <c r="H647" s="315">
        <f t="shared" si="155"/>
        <v>0</v>
      </c>
      <c r="I647" s="315">
        <f t="shared" si="155"/>
        <v>0</v>
      </c>
      <c r="J647" s="315">
        <f t="shared" si="155"/>
        <v>0</v>
      </c>
      <c r="K647" s="315">
        <f t="shared" si="155"/>
        <v>0</v>
      </c>
      <c r="L647" s="315">
        <f t="shared" si="155"/>
        <v>0</v>
      </c>
      <c r="M647" s="315">
        <f t="shared" si="155"/>
        <v>0</v>
      </c>
      <c r="N647" s="315">
        <f t="shared" si="155"/>
        <v>0</v>
      </c>
      <c r="O647" s="315">
        <f t="shared" si="155"/>
        <v>0</v>
      </c>
      <c r="P647" s="315">
        <f t="shared" si="155"/>
        <v>0</v>
      </c>
      <c r="Q647" s="315">
        <f t="shared" si="155"/>
        <v>0</v>
      </c>
      <c r="R647" s="315">
        <f t="shared" si="155"/>
        <v>0</v>
      </c>
      <c r="S647" s="315">
        <f t="shared" si="155"/>
        <v>0</v>
      </c>
      <c r="T647" s="315">
        <f t="shared" si="155"/>
        <v>0</v>
      </c>
      <c r="U647" s="315">
        <f t="shared" si="155"/>
        <v>0</v>
      </c>
      <c r="V647" s="315">
        <f t="shared" si="155"/>
        <v>0</v>
      </c>
      <c r="W647" s="315">
        <f t="shared" si="155"/>
        <v>0</v>
      </c>
      <c r="X647" s="315">
        <f t="shared" si="155"/>
        <v>0</v>
      </c>
      <c r="Y647" s="315">
        <f t="shared" si="155"/>
        <v>0</v>
      </c>
      <c r="Z647" s="315">
        <f t="shared" si="155"/>
        <v>0</v>
      </c>
      <c r="AA647" s="315">
        <f t="shared" si="155"/>
        <v>0</v>
      </c>
      <c r="AB647" s="315">
        <f t="shared" si="155"/>
        <v>0</v>
      </c>
      <c r="AC647" s="315">
        <f t="shared" si="155"/>
        <v>0</v>
      </c>
      <c r="AD647" s="315">
        <f t="shared" si="155"/>
        <v>0</v>
      </c>
      <c r="AE647" s="315">
        <f t="shared" si="155"/>
        <v>0</v>
      </c>
      <c r="AF647" s="315">
        <f t="shared" si="155"/>
        <v>0</v>
      </c>
      <c r="AG647" s="315">
        <f t="shared" si="155"/>
        <v>0</v>
      </c>
      <c r="AH647" s="315">
        <f t="shared" si="155"/>
        <v>0</v>
      </c>
      <c r="AI647" s="315">
        <f t="shared" si="155"/>
        <v>0</v>
      </c>
      <c r="AJ647" s="315">
        <f t="shared" si="155"/>
        <v>0</v>
      </c>
      <c r="AK647" s="315">
        <f t="shared" si="155"/>
        <v>0</v>
      </c>
      <c r="AL647" s="315">
        <f t="shared" si="155"/>
        <v>0</v>
      </c>
      <c r="AM647" s="315">
        <f t="shared" si="155"/>
        <v>0</v>
      </c>
      <c r="AN647" s="315">
        <f t="shared" si="155"/>
        <v>0</v>
      </c>
      <c r="AO647" s="315">
        <f t="shared" si="155"/>
        <v>0</v>
      </c>
      <c r="AP647" s="315">
        <f t="shared" si="155"/>
        <v>0</v>
      </c>
      <c r="AQ647" s="315">
        <f t="shared" si="155"/>
        <v>0</v>
      </c>
      <c r="AR647" s="315">
        <f t="shared" si="155"/>
        <v>0</v>
      </c>
      <c r="AS647" s="315">
        <f t="shared" si="155"/>
        <v>0</v>
      </c>
      <c r="AT647" s="315">
        <f t="shared" si="155"/>
        <v>0</v>
      </c>
      <c r="AU647" s="315">
        <f t="shared" si="155"/>
        <v>0</v>
      </c>
      <c r="AV647" s="315">
        <f t="shared" si="155"/>
        <v>0</v>
      </c>
      <c r="AW647" s="315">
        <f t="shared" si="155"/>
        <v>0</v>
      </c>
      <c r="AX647" s="315">
        <f t="shared" si="155"/>
        <v>0</v>
      </c>
      <c r="AY647" s="315">
        <f t="shared" si="155"/>
        <v>0</v>
      </c>
      <c r="AZ647" s="315">
        <f t="shared" si="155"/>
        <v>0</v>
      </c>
      <c r="BA647" s="315">
        <f t="shared" si="155"/>
        <v>0</v>
      </c>
      <c r="BB647" s="315">
        <f t="shared" si="155"/>
        <v>0</v>
      </c>
      <c r="BC647" s="315">
        <f t="shared" si="155"/>
        <v>0</v>
      </c>
      <c r="BD647" s="315">
        <f t="shared" si="155"/>
        <v>0</v>
      </c>
      <c r="BE647" s="315">
        <f t="shared" si="155"/>
        <v>0</v>
      </c>
      <c r="BF647" s="315">
        <f t="shared" si="155"/>
        <v>0</v>
      </c>
      <c r="BG647" s="315">
        <f t="shared" si="155"/>
        <v>0</v>
      </c>
      <c r="BH647" s="315">
        <f t="shared" si="155"/>
        <v>0</v>
      </c>
      <c r="BI647" s="315">
        <f t="shared" si="155"/>
        <v>0</v>
      </c>
      <c r="BJ647" s="315">
        <f t="shared" si="155"/>
        <v>0</v>
      </c>
      <c r="BK647" s="315">
        <f t="shared" si="155"/>
        <v>0</v>
      </c>
      <c r="BL647" s="315">
        <f t="shared" si="155"/>
        <v>0</v>
      </c>
      <c r="BM647" s="315">
        <f t="shared" si="155"/>
        <v>0</v>
      </c>
      <c r="BN647" s="315">
        <f t="shared" si="155"/>
        <v>0</v>
      </c>
      <c r="BO647" s="315">
        <f t="shared" si="155"/>
        <v>0</v>
      </c>
      <c r="BP647" s="315">
        <f t="shared" si="155"/>
        <v>0</v>
      </c>
      <c r="BQ647" s="315">
        <f t="shared" si="155"/>
        <v>0</v>
      </c>
      <c r="BR647" s="315">
        <f t="shared" si="155"/>
        <v>0</v>
      </c>
      <c r="BS647" s="315">
        <f t="shared" ref="BS647:BX656" si="156">BS228-EK228</f>
        <v>0</v>
      </c>
      <c r="BT647" s="315">
        <f t="shared" si="156"/>
        <v>0</v>
      </c>
      <c r="BU647" s="315">
        <f t="shared" si="156"/>
        <v>0</v>
      </c>
      <c r="BV647" s="315">
        <f t="shared" si="156"/>
        <v>0</v>
      </c>
      <c r="BW647" s="315">
        <f t="shared" si="156"/>
        <v>0</v>
      </c>
      <c r="BX647" s="315">
        <f t="shared" si="156"/>
        <v>0</v>
      </c>
      <c r="BZ647" s="315">
        <f t="shared" ref="BZ647:CA656" si="157">BZ228-ER228</f>
        <v>0</v>
      </c>
      <c r="CA647" s="315">
        <f t="shared" si="157"/>
        <v>0</v>
      </c>
    </row>
    <row r="648" spans="7:79" hidden="1" x14ac:dyDescent="0.2">
      <c r="G648" s="315">
        <f t="shared" si="155"/>
        <v>0</v>
      </c>
      <c r="H648" s="315">
        <f t="shared" si="155"/>
        <v>0</v>
      </c>
      <c r="I648" s="315">
        <f t="shared" si="155"/>
        <v>0</v>
      </c>
      <c r="J648" s="315">
        <f t="shared" si="155"/>
        <v>0</v>
      </c>
      <c r="K648" s="315">
        <f t="shared" si="155"/>
        <v>0</v>
      </c>
      <c r="L648" s="315">
        <f t="shared" si="155"/>
        <v>0</v>
      </c>
      <c r="M648" s="315">
        <f t="shared" si="155"/>
        <v>0</v>
      </c>
      <c r="N648" s="315">
        <f t="shared" si="155"/>
        <v>0</v>
      </c>
      <c r="O648" s="315">
        <f t="shared" si="155"/>
        <v>0</v>
      </c>
      <c r="P648" s="315">
        <f t="shared" si="155"/>
        <v>0</v>
      </c>
      <c r="Q648" s="315">
        <f t="shared" si="155"/>
        <v>0</v>
      </c>
      <c r="R648" s="315">
        <f t="shared" si="155"/>
        <v>0</v>
      </c>
      <c r="S648" s="315">
        <f t="shared" si="155"/>
        <v>0</v>
      </c>
      <c r="T648" s="315">
        <f t="shared" si="155"/>
        <v>0</v>
      </c>
      <c r="U648" s="315">
        <f t="shared" si="155"/>
        <v>0</v>
      </c>
      <c r="V648" s="315">
        <f t="shared" si="155"/>
        <v>0</v>
      </c>
      <c r="W648" s="315">
        <f t="shared" si="155"/>
        <v>0</v>
      </c>
      <c r="X648" s="315">
        <f t="shared" si="155"/>
        <v>0</v>
      </c>
      <c r="Y648" s="315">
        <f t="shared" si="155"/>
        <v>0</v>
      </c>
      <c r="Z648" s="315">
        <f t="shared" si="155"/>
        <v>0</v>
      </c>
      <c r="AA648" s="315">
        <f t="shared" si="155"/>
        <v>0</v>
      </c>
      <c r="AB648" s="315">
        <f t="shared" si="155"/>
        <v>0</v>
      </c>
      <c r="AC648" s="315">
        <f t="shared" si="155"/>
        <v>0</v>
      </c>
      <c r="AD648" s="315">
        <f t="shared" si="155"/>
        <v>0</v>
      </c>
      <c r="AE648" s="315">
        <f t="shared" si="155"/>
        <v>0</v>
      </c>
      <c r="AF648" s="315">
        <f t="shared" si="155"/>
        <v>0</v>
      </c>
      <c r="AG648" s="315">
        <f t="shared" si="155"/>
        <v>0</v>
      </c>
      <c r="AH648" s="315">
        <f t="shared" si="155"/>
        <v>0</v>
      </c>
      <c r="AI648" s="315">
        <f t="shared" si="155"/>
        <v>0</v>
      </c>
      <c r="AJ648" s="315">
        <f t="shared" si="155"/>
        <v>0</v>
      </c>
      <c r="AK648" s="315">
        <f t="shared" si="155"/>
        <v>0</v>
      </c>
      <c r="AL648" s="315">
        <f t="shared" si="155"/>
        <v>0</v>
      </c>
      <c r="AM648" s="315">
        <f t="shared" si="155"/>
        <v>0</v>
      </c>
      <c r="AN648" s="315">
        <f t="shared" si="155"/>
        <v>0</v>
      </c>
      <c r="AO648" s="315">
        <f t="shared" si="155"/>
        <v>0</v>
      </c>
      <c r="AP648" s="315">
        <f t="shared" si="155"/>
        <v>0</v>
      </c>
      <c r="AQ648" s="315">
        <f t="shared" si="155"/>
        <v>0</v>
      </c>
      <c r="AR648" s="315">
        <f t="shared" si="155"/>
        <v>0</v>
      </c>
      <c r="AS648" s="315">
        <f t="shared" si="155"/>
        <v>0</v>
      </c>
      <c r="AT648" s="315">
        <f t="shared" si="155"/>
        <v>0</v>
      </c>
      <c r="AU648" s="315">
        <f t="shared" si="155"/>
        <v>0</v>
      </c>
      <c r="AV648" s="315">
        <f t="shared" si="155"/>
        <v>0</v>
      </c>
      <c r="AW648" s="315">
        <f t="shared" si="155"/>
        <v>0</v>
      </c>
      <c r="AX648" s="315">
        <f t="shared" si="155"/>
        <v>0</v>
      </c>
      <c r="AY648" s="315">
        <f t="shared" si="155"/>
        <v>0</v>
      </c>
      <c r="AZ648" s="315">
        <f t="shared" si="155"/>
        <v>0</v>
      </c>
      <c r="BA648" s="315">
        <f t="shared" si="155"/>
        <v>0</v>
      </c>
      <c r="BB648" s="315">
        <f t="shared" si="155"/>
        <v>0</v>
      </c>
      <c r="BC648" s="315">
        <f t="shared" si="155"/>
        <v>0</v>
      </c>
      <c r="BD648" s="315">
        <f t="shared" si="155"/>
        <v>0</v>
      </c>
      <c r="BE648" s="315">
        <f t="shared" si="155"/>
        <v>0</v>
      </c>
      <c r="BF648" s="315">
        <f t="shared" si="155"/>
        <v>0</v>
      </c>
      <c r="BG648" s="315">
        <f t="shared" si="155"/>
        <v>0</v>
      </c>
      <c r="BH648" s="315">
        <f t="shared" si="155"/>
        <v>0</v>
      </c>
      <c r="BI648" s="315">
        <f t="shared" si="155"/>
        <v>0</v>
      </c>
      <c r="BJ648" s="315">
        <f t="shared" si="155"/>
        <v>0</v>
      </c>
      <c r="BK648" s="315">
        <f t="shared" si="155"/>
        <v>0</v>
      </c>
      <c r="BL648" s="315">
        <f t="shared" si="155"/>
        <v>0</v>
      </c>
      <c r="BM648" s="315">
        <f t="shared" si="155"/>
        <v>0</v>
      </c>
      <c r="BN648" s="315">
        <f t="shared" si="155"/>
        <v>0</v>
      </c>
      <c r="BO648" s="315">
        <f t="shared" si="155"/>
        <v>0</v>
      </c>
      <c r="BP648" s="315">
        <f t="shared" si="155"/>
        <v>0</v>
      </c>
      <c r="BQ648" s="315">
        <f t="shared" si="155"/>
        <v>0</v>
      </c>
      <c r="BR648" s="315">
        <f t="shared" si="155"/>
        <v>0</v>
      </c>
      <c r="BS648" s="315">
        <f t="shared" si="156"/>
        <v>0</v>
      </c>
      <c r="BT648" s="315">
        <f t="shared" si="156"/>
        <v>0</v>
      </c>
      <c r="BU648" s="315">
        <f t="shared" si="156"/>
        <v>0</v>
      </c>
      <c r="BV648" s="315">
        <f t="shared" si="156"/>
        <v>0</v>
      </c>
      <c r="BW648" s="315">
        <f t="shared" si="156"/>
        <v>0</v>
      </c>
      <c r="BX648" s="315">
        <f t="shared" si="156"/>
        <v>0</v>
      </c>
      <c r="BZ648" s="315">
        <f t="shared" si="157"/>
        <v>0</v>
      </c>
      <c r="CA648" s="315">
        <f t="shared" si="157"/>
        <v>0</v>
      </c>
    </row>
    <row r="649" spans="7:79" hidden="1" x14ac:dyDescent="0.2">
      <c r="G649" s="315">
        <f t="shared" si="155"/>
        <v>0</v>
      </c>
      <c r="H649" s="315">
        <f t="shared" si="155"/>
        <v>0</v>
      </c>
      <c r="I649" s="315">
        <f t="shared" si="155"/>
        <v>0</v>
      </c>
      <c r="J649" s="315">
        <f t="shared" si="155"/>
        <v>0</v>
      </c>
      <c r="K649" s="315">
        <f t="shared" si="155"/>
        <v>0</v>
      </c>
      <c r="L649" s="315">
        <f t="shared" si="155"/>
        <v>0</v>
      </c>
      <c r="M649" s="315">
        <f t="shared" si="155"/>
        <v>0</v>
      </c>
      <c r="N649" s="315">
        <f t="shared" si="155"/>
        <v>0</v>
      </c>
      <c r="O649" s="315">
        <f t="shared" si="155"/>
        <v>0</v>
      </c>
      <c r="P649" s="315">
        <f t="shared" si="155"/>
        <v>0</v>
      </c>
      <c r="Q649" s="315">
        <f t="shared" si="155"/>
        <v>0</v>
      </c>
      <c r="R649" s="315">
        <f t="shared" si="155"/>
        <v>0</v>
      </c>
      <c r="S649" s="315">
        <f t="shared" si="155"/>
        <v>0</v>
      </c>
      <c r="T649" s="315">
        <f t="shared" si="155"/>
        <v>0</v>
      </c>
      <c r="U649" s="315">
        <f t="shared" si="155"/>
        <v>0</v>
      </c>
      <c r="V649" s="315">
        <f t="shared" si="155"/>
        <v>0</v>
      </c>
      <c r="W649" s="315">
        <f t="shared" si="155"/>
        <v>0</v>
      </c>
      <c r="X649" s="315">
        <f t="shared" si="155"/>
        <v>0</v>
      </c>
      <c r="Y649" s="315">
        <f t="shared" si="155"/>
        <v>0</v>
      </c>
      <c r="Z649" s="315">
        <f t="shared" si="155"/>
        <v>0</v>
      </c>
      <c r="AA649" s="315">
        <f t="shared" si="155"/>
        <v>0</v>
      </c>
      <c r="AB649" s="315">
        <f t="shared" si="155"/>
        <v>0</v>
      </c>
      <c r="AC649" s="315">
        <f t="shared" si="155"/>
        <v>0</v>
      </c>
      <c r="AD649" s="315">
        <f t="shared" si="155"/>
        <v>0</v>
      </c>
      <c r="AE649" s="315">
        <f t="shared" si="155"/>
        <v>0</v>
      </c>
      <c r="AF649" s="315">
        <f t="shared" si="155"/>
        <v>0</v>
      </c>
      <c r="AG649" s="315">
        <f t="shared" si="155"/>
        <v>0</v>
      </c>
      <c r="AH649" s="315">
        <f t="shared" si="155"/>
        <v>0</v>
      </c>
      <c r="AI649" s="315">
        <f t="shared" si="155"/>
        <v>0</v>
      </c>
      <c r="AJ649" s="315">
        <f t="shared" si="155"/>
        <v>0</v>
      </c>
      <c r="AK649" s="315">
        <f t="shared" si="155"/>
        <v>0</v>
      </c>
      <c r="AL649" s="315">
        <f t="shared" si="155"/>
        <v>0</v>
      </c>
      <c r="AM649" s="315">
        <f t="shared" si="155"/>
        <v>0</v>
      </c>
      <c r="AN649" s="315">
        <f t="shared" si="155"/>
        <v>0</v>
      </c>
      <c r="AO649" s="315">
        <f t="shared" si="155"/>
        <v>0</v>
      </c>
      <c r="AP649" s="315">
        <f t="shared" si="155"/>
        <v>0</v>
      </c>
      <c r="AQ649" s="315">
        <f t="shared" si="155"/>
        <v>0</v>
      </c>
      <c r="AR649" s="315">
        <f t="shared" si="155"/>
        <v>0</v>
      </c>
      <c r="AS649" s="315">
        <f t="shared" si="155"/>
        <v>0</v>
      </c>
      <c r="AT649" s="315">
        <f t="shared" si="155"/>
        <v>0</v>
      </c>
      <c r="AU649" s="315">
        <f t="shared" si="155"/>
        <v>0</v>
      </c>
      <c r="AV649" s="315">
        <f t="shared" si="155"/>
        <v>0</v>
      </c>
      <c r="AW649" s="315">
        <f t="shared" si="155"/>
        <v>0</v>
      </c>
      <c r="AX649" s="315">
        <f t="shared" si="155"/>
        <v>0</v>
      </c>
      <c r="AY649" s="315">
        <f t="shared" si="155"/>
        <v>0</v>
      </c>
      <c r="AZ649" s="315">
        <f t="shared" si="155"/>
        <v>0</v>
      </c>
      <c r="BA649" s="315">
        <f t="shared" si="155"/>
        <v>0</v>
      </c>
      <c r="BB649" s="315">
        <f t="shared" si="155"/>
        <v>0</v>
      </c>
      <c r="BC649" s="315">
        <f t="shared" si="155"/>
        <v>0</v>
      </c>
      <c r="BD649" s="315">
        <f t="shared" si="155"/>
        <v>0</v>
      </c>
      <c r="BE649" s="315">
        <f t="shared" si="155"/>
        <v>0</v>
      </c>
      <c r="BF649" s="315">
        <f t="shared" si="155"/>
        <v>0</v>
      </c>
      <c r="BG649" s="315">
        <f t="shared" si="155"/>
        <v>0</v>
      </c>
      <c r="BH649" s="315">
        <f t="shared" si="155"/>
        <v>0</v>
      </c>
      <c r="BI649" s="315">
        <f t="shared" si="155"/>
        <v>0</v>
      </c>
      <c r="BJ649" s="315">
        <f t="shared" si="155"/>
        <v>0</v>
      </c>
      <c r="BK649" s="315">
        <f t="shared" si="155"/>
        <v>0</v>
      </c>
      <c r="BL649" s="315">
        <f t="shared" si="155"/>
        <v>0</v>
      </c>
      <c r="BM649" s="315">
        <f t="shared" si="155"/>
        <v>0</v>
      </c>
      <c r="BN649" s="315">
        <f t="shared" si="155"/>
        <v>0</v>
      </c>
      <c r="BO649" s="315">
        <f t="shared" si="155"/>
        <v>0</v>
      </c>
      <c r="BP649" s="315">
        <f t="shared" si="155"/>
        <v>0</v>
      </c>
      <c r="BQ649" s="315">
        <f t="shared" si="155"/>
        <v>0</v>
      </c>
      <c r="BR649" s="315">
        <f t="shared" si="155"/>
        <v>0</v>
      </c>
      <c r="BS649" s="315">
        <f t="shared" si="156"/>
        <v>0</v>
      </c>
      <c r="BT649" s="315">
        <f t="shared" si="156"/>
        <v>0</v>
      </c>
      <c r="BU649" s="315">
        <f t="shared" si="156"/>
        <v>0</v>
      </c>
      <c r="BV649" s="315">
        <f t="shared" si="156"/>
        <v>0</v>
      </c>
      <c r="BW649" s="315">
        <f t="shared" si="156"/>
        <v>0</v>
      </c>
      <c r="BX649" s="315">
        <f t="shared" si="156"/>
        <v>0</v>
      </c>
      <c r="BZ649" s="315">
        <f t="shared" si="157"/>
        <v>0</v>
      </c>
      <c r="CA649" s="315">
        <f t="shared" si="157"/>
        <v>0</v>
      </c>
    </row>
    <row r="650" spans="7:79" hidden="1" x14ac:dyDescent="0.2">
      <c r="G650" s="315">
        <f t="shared" si="155"/>
        <v>0</v>
      </c>
      <c r="H650" s="315">
        <f t="shared" si="155"/>
        <v>0</v>
      </c>
      <c r="I650" s="315">
        <f t="shared" si="155"/>
        <v>0</v>
      </c>
      <c r="J650" s="315">
        <f t="shared" si="155"/>
        <v>0</v>
      </c>
      <c r="K650" s="315">
        <f t="shared" si="155"/>
        <v>0</v>
      </c>
      <c r="L650" s="315">
        <f t="shared" si="155"/>
        <v>0</v>
      </c>
      <c r="M650" s="315">
        <f t="shared" si="155"/>
        <v>0</v>
      </c>
      <c r="N650" s="315">
        <f t="shared" si="155"/>
        <v>0</v>
      </c>
      <c r="O650" s="315">
        <f t="shared" si="155"/>
        <v>0</v>
      </c>
      <c r="P650" s="315">
        <f t="shared" si="155"/>
        <v>0</v>
      </c>
      <c r="Q650" s="315">
        <f t="shared" si="155"/>
        <v>0</v>
      </c>
      <c r="R650" s="315">
        <f t="shared" si="155"/>
        <v>0</v>
      </c>
      <c r="S650" s="315">
        <f t="shared" si="155"/>
        <v>0</v>
      </c>
      <c r="T650" s="315">
        <f t="shared" si="155"/>
        <v>0</v>
      </c>
      <c r="U650" s="315">
        <f t="shared" si="155"/>
        <v>0</v>
      </c>
      <c r="V650" s="315">
        <f t="shared" si="155"/>
        <v>0</v>
      </c>
      <c r="W650" s="315">
        <f t="shared" si="155"/>
        <v>0</v>
      </c>
      <c r="X650" s="315">
        <f t="shared" si="155"/>
        <v>0</v>
      </c>
      <c r="Y650" s="315">
        <f t="shared" si="155"/>
        <v>0</v>
      </c>
      <c r="Z650" s="315">
        <f t="shared" si="155"/>
        <v>0</v>
      </c>
      <c r="AA650" s="315">
        <f t="shared" si="155"/>
        <v>0</v>
      </c>
      <c r="AB650" s="315">
        <f t="shared" si="155"/>
        <v>0</v>
      </c>
      <c r="AC650" s="315">
        <f t="shared" si="155"/>
        <v>0</v>
      </c>
      <c r="AD650" s="315">
        <f t="shared" si="155"/>
        <v>0</v>
      </c>
      <c r="AE650" s="315">
        <f t="shared" si="155"/>
        <v>0</v>
      </c>
      <c r="AF650" s="315">
        <f t="shared" si="155"/>
        <v>0</v>
      </c>
      <c r="AG650" s="315">
        <f t="shared" si="155"/>
        <v>0</v>
      </c>
      <c r="AH650" s="315">
        <f t="shared" si="155"/>
        <v>0</v>
      </c>
      <c r="AI650" s="315">
        <f t="shared" si="155"/>
        <v>0</v>
      </c>
      <c r="AJ650" s="315">
        <f t="shared" si="155"/>
        <v>0</v>
      </c>
      <c r="AK650" s="315">
        <f t="shared" si="155"/>
        <v>0</v>
      </c>
      <c r="AL650" s="315">
        <f t="shared" si="155"/>
        <v>0</v>
      </c>
      <c r="AM650" s="315">
        <f t="shared" si="155"/>
        <v>0</v>
      </c>
      <c r="AN650" s="315">
        <f t="shared" si="155"/>
        <v>0</v>
      </c>
      <c r="AO650" s="315">
        <f t="shared" si="155"/>
        <v>0</v>
      </c>
      <c r="AP650" s="315">
        <f t="shared" si="155"/>
        <v>0</v>
      </c>
      <c r="AQ650" s="315">
        <f t="shared" si="155"/>
        <v>0</v>
      </c>
      <c r="AR650" s="315">
        <f t="shared" si="155"/>
        <v>0</v>
      </c>
      <c r="AS650" s="315">
        <f t="shared" si="155"/>
        <v>0</v>
      </c>
      <c r="AT650" s="315">
        <f t="shared" si="155"/>
        <v>0</v>
      </c>
      <c r="AU650" s="315">
        <f t="shared" si="155"/>
        <v>0</v>
      </c>
      <c r="AV650" s="315">
        <f t="shared" si="155"/>
        <v>0</v>
      </c>
      <c r="AW650" s="315">
        <f t="shared" si="155"/>
        <v>0</v>
      </c>
      <c r="AX650" s="315">
        <f t="shared" si="155"/>
        <v>0</v>
      </c>
      <c r="AY650" s="315">
        <f t="shared" si="155"/>
        <v>0</v>
      </c>
      <c r="AZ650" s="315">
        <f t="shared" si="155"/>
        <v>0</v>
      </c>
      <c r="BA650" s="315">
        <f t="shared" si="155"/>
        <v>0</v>
      </c>
      <c r="BB650" s="315">
        <f t="shared" si="155"/>
        <v>0</v>
      </c>
      <c r="BC650" s="315">
        <f t="shared" si="155"/>
        <v>0</v>
      </c>
      <c r="BD650" s="315">
        <f t="shared" si="155"/>
        <v>0</v>
      </c>
      <c r="BE650" s="315">
        <f t="shared" si="155"/>
        <v>0</v>
      </c>
      <c r="BF650" s="315">
        <f t="shared" si="155"/>
        <v>0</v>
      </c>
      <c r="BG650" s="315">
        <f t="shared" si="155"/>
        <v>0</v>
      </c>
      <c r="BH650" s="315">
        <f t="shared" si="155"/>
        <v>0</v>
      </c>
      <c r="BI650" s="315">
        <f t="shared" si="155"/>
        <v>0</v>
      </c>
      <c r="BJ650" s="315">
        <f t="shared" si="155"/>
        <v>0</v>
      </c>
      <c r="BK650" s="315">
        <f t="shared" si="155"/>
        <v>0</v>
      </c>
      <c r="BL650" s="315">
        <f t="shared" si="155"/>
        <v>0</v>
      </c>
      <c r="BM650" s="315">
        <f t="shared" si="155"/>
        <v>0</v>
      </c>
      <c r="BN650" s="315">
        <f t="shared" si="155"/>
        <v>0</v>
      </c>
      <c r="BO650" s="315">
        <f t="shared" si="155"/>
        <v>0</v>
      </c>
      <c r="BP650" s="315">
        <f t="shared" si="155"/>
        <v>0</v>
      </c>
      <c r="BQ650" s="315">
        <f t="shared" si="155"/>
        <v>0</v>
      </c>
      <c r="BR650" s="315">
        <f t="shared" ref="BR650:BR656" si="158">BR231-EJ231</f>
        <v>0</v>
      </c>
      <c r="BS650" s="315">
        <f t="shared" si="156"/>
        <v>0</v>
      </c>
      <c r="BT650" s="315">
        <f t="shared" si="156"/>
        <v>0</v>
      </c>
      <c r="BU650" s="315">
        <f t="shared" si="156"/>
        <v>0</v>
      </c>
      <c r="BV650" s="315">
        <f t="shared" si="156"/>
        <v>0</v>
      </c>
      <c r="BW650" s="315">
        <f t="shared" si="156"/>
        <v>0</v>
      </c>
      <c r="BX650" s="315">
        <f t="shared" si="156"/>
        <v>0</v>
      </c>
      <c r="BZ650" s="315">
        <f t="shared" si="157"/>
        <v>0</v>
      </c>
      <c r="CA650" s="315">
        <f t="shared" si="157"/>
        <v>0</v>
      </c>
    </row>
    <row r="651" spans="7:79" hidden="1" x14ac:dyDescent="0.2">
      <c r="G651" s="315">
        <f t="shared" ref="G651:BQ655" si="159">G232-BY232</f>
        <v>0</v>
      </c>
      <c r="H651" s="315">
        <f t="shared" si="159"/>
        <v>0</v>
      </c>
      <c r="I651" s="315">
        <f t="shared" si="159"/>
        <v>0</v>
      </c>
      <c r="J651" s="315">
        <f t="shared" si="159"/>
        <v>0</v>
      </c>
      <c r="K651" s="315">
        <f t="shared" si="159"/>
        <v>0</v>
      </c>
      <c r="L651" s="315">
        <f t="shared" si="159"/>
        <v>0</v>
      </c>
      <c r="M651" s="315">
        <f t="shared" si="159"/>
        <v>0</v>
      </c>
      <c r="N651" s="315">
        <f t="shared" si="159"/>
        <v>0</v>
      </c>
      <c r="O651" s="315">
        <f t="shared" si="159"/>
        <v>0</v>
      </c>
      <c r="P651" s="315">
        <f t="shared" si="159"/>
        <v>0</v>
      </c>
      <c r="Q651" s="315">
        <f t="shared" si="159"/>
        <v>0</v>
      </c>
      <c r="R651" s="315">
        <f t="shared" si="159"/>
        <v>0</v>
      </c>
      <c r="S651" s="315">
        <f t="shared" si="159"/>
        <v>0</v>
      </c>
      <c r="T651" s="315">
        <f t="shared" si="159"/>
        <v>0</v>
      </c>
      <c r="U651" s="315">
        <f t="shared" si="159"/>
        <v>0</v>
      </c>
      <c r="V651" s="315">
        <f t="shared" si="159"/>
        <v>0</v>
      </c>
      <c r="W651" s="315">
        <f t="shared" si="159"/>
        <v>0</v>
      </c>
      <c r="X651" s="315">
        <f t="shared" si="159"/>
        <v>0</v>
      </c>
      <c r="Y651" s="315">
        <f t="shared" si="159"/>
        <v>0</v>
      </c>
      <c r="Z651" s="315">
        <f t="shared" si="159"/>
        <v>0</v>
      </c>
      <c r="AA651" s="315">
        <f t="shared" si="159"/>
        <v>0</v>
      </c>
      <c r="AB651" s="315">
        <f t="shared" si="159"/>
        <v>0</v>
      </c>
      <c r="AC651" s="315">
        <f t="shared" si="159"/>
        <v>0</v>
      </c>
      <c r="AD651" s="315">
        <f t="shared" si="159"/>
        <v>0</v>
      </c>
      <c r="AE651" s="315">
        <f t="shared" si="159"/>
        <v>0</v>
      </c>
      <c r="AF651" s="315">
        <f t="shared" si="159"/>
        <v>0</v>
      </c>
      <c r="AG651" s="315">
        <f t="shared" si="159"/>
        <v>0</v>
      </c>
      <c r="AH651" s="315">
        <f t="shared" si="159"/>
        <v>0</v>
      </c>
      <c r="AI651" s="315">
        <f t="shared" si="159"/>
        <v>0</v>
      </c>
      <c r="AJ651" s="315">
        <f t="shared" si="159"/>
        <v>0</v>
      </c>
      <c r="AK651" s="315">
        <f t="shared" si="159"/>
        <v>0</v>
      </c>
      <c r="AL651" s="315">
        <f t="shared" si="159"/>
        <v>0</v>
      </c>
      <c r="AM651" s="315">
        <f t="shared" si="159"/>
        <v>0</v>
      </c>
      <c r="AN651" s="315">
        <f t="shared" si="159"/>
        <v>0</v>
      </c>
      <c r="AO651" s="315">
        <f t="shared" si="159"/>
        <v>0</v>
      </c>
      <c r="AP651" s="315">
        <f t="shared" si="159"/>
        <v>0</v>
      </c>
      <c r="AQ651" s="315">
        <f t="shared" si="159"/>
        <v>0</v>
      </c>
      <c r="AR651" s="315">
        <f t="shared" si="159"/>
        <v>0</v>
      </c>
      <c r="AS651" s="315">
        <f t="shared" si="159"/>
        <v>0</v>
      </c>
      <c r="AT651" s="315">
        <f t="shared" si="159"/>
        <v>0</v>
      </c>
      <c r="AU651" s="315">
        <f t="shared" si="159"/>
        <v>0</v>
      </c>
      <c r="AV651" s="315">
        <f t="shared" si="159"/>
        <v>0</v>
      </c>
      <c r="AW651" s="315">
        <f t="shared" si="159"/>
        <v>0</v>
      </c>
      <c r="AX651" s="315">
        <f t="shared" si="159"/>
        <v>0</v>
      </c>
      <c r="AY651" s="315">
        <f t="shared" si="159"/>
        <v>0</v>
      </c>
      <c r="AZ651" s="315">
        <f t="shared" si="159"/>
        <v>0</v>
      </c>
      <c r="BA651" s="315">
        <f t="shared" si="159"/>
        <v>0</v>
      </c>
      <c r="BB651" s="315">
        <f t="shared" si="159"/>
        <v>0</v>
      </c>
      <c r="BC651" s="315">
        <f t="shared" si="159"/>
        <v>0</v>
      </c>
      <c r="BD651" s="315">
        <f t="shared" si="159"/>
        <v>0</v>
      </c>
      <c r="BE651" s="315">
        <f t="shared" si="159"/>
        <v>0</v>
      </c>
      <c r="BF651" s="315">
        <f t="shared" si="159"/>
        <v>0</v>
      </c>
      <c r="BG651" s="315">
        <f t="shared" si="159"/>
        <v>0</v>
      </c>
      <c r="BH651" s="315">
        <f t="shared" si="159"/>
        <v>0</v>
      </c>
      <c r="BI651" s="315">
        <f t="shared" si="159"/>
        <v>0</v>
      </c>
      <c r="BJ651" s="315">
        <f t="shared" si="159"/>
        <v>0</v>
      </c>
      <c r="BK651" s="315">
        <f t="shared" si="159"/>
        <v>0</v>
      </c>
      <c r="BL651" s="315">
        <f t="shared" si="159"/>
        <v>0</v>
      </c>
      <c r="BM651" s="315">
        <f t="shared" si="159"/>
        <v>0</v>
      </c>
      <c r="BN651" s="315">
        <f t="shared" si="159"/>
        <v>0</v>
      </c>
      <c r="BO651" s="315">
        <f t="shared" si="159"/>
        <v>0</v>
      </c>
      <c r="BP651" s="315">
        <f t="shared" si="159"/>
        <v>0</v>
      </c>
      <c r="BQ651" s="315">
        <f t="shared" si="159"/>
        <v>0</v>
      </c>
      <c r="BR651" s="315">
        <f t="shared" si="158"/>
        <v>0</v>
      </c>
      <c r="BS651" s="315">
        <f t="shared" si="156"/>
        <v>0</v>
      </c>
      <c r="BT651" s="315">
        <f t="shared" si="156"/>
        <v>0</v>
      </c>
      <c r="BU651" s="315">
        <f t="shared" si="156"/>
        <v>0</v>
      </c>
      <c r="BV651" s="315">
        <f t="shared" si="156"/>
        <v>0</v>
      </c>
      <c r="BW651" s="315">
        <f t="shared" si="156"/>
        <v>0</v>
      </c>
      <c r="BX651" s="315">
        <f t="shared" si="156"/>
        <v>0</v>
      </c>
      <c r="BZ651" s="315">
        <f t="shared" si="157"/>
        <v>0</v>
      </c>
      <c r="CA651" s="315">
        <f t="shared" si="157"/>
        <v>0</v>
      </c>
    </row>
    <row r="652" spans="7:79" hidden="1" x14ac:dyDescent="0.2">
      <c r="G652" s="315">
        <f t="shared" si="159"/>
        <v>0</v>
      </c>
      <c r="H652" s="315">
        <f t="shared" si="159"/>
        <v>0</v>
      </c>
      <c r="I652" s="315">
        <f t="shared" si="159"/>
        <v>0</v>
      </c>
      <c r="J652" s="315">
        <f t="shared" si="159"/>
        <v>0</v>
      </c>
      <c r="K652" s="315">
        <f t="shared" si="159"/>
        <v>0</v>
      </c>
      <c r="L652" s="315">
        <f t="shared" si="159"/>
        <v>0</v>
      </c>
      <c r="M652" s="315">
        <f t="shared" si="159"/>
        <v>0</v>
      </c>
      <c r="N652" s="315">
        <f t="shared" si="159"/>
        <v>0</v>
      </c>
      <c r="O652" s="315">
        <f t="shared" si="159"/>
        <v>0</v>
      </c>
      <c r="P652" s="315">
        <f t="shared" si="159"/>
        <v>0</v>
      </c>
      <c r="Q652" s="315">
        <f t="shared" si="159"/>
        <v>0</v>
      </c>
      <c r="R652" s="315">
        <f t="shared" si="159"/>
        <v>0</v>
      </c>
      <c r="S652" s="315">
        <f t="shared" si="159"/>
        <v>0</v>
      </c>
      <c r="T652" s="315">
        <f t="shared" si="159"/>
        <v>0</v>
      </c>
      <c r="U652" s="315">
        <f t="shared" si="159"/>
        <v>0</v>
      </c>
      <c r="V652" s="315">
        <f t="shared" si="159"/>
        <v>0</v>
      </c>
      <c r="W652" s="315">
        <f t="shared" si="159"/>
        <v>0</v>
      </c>
      <c r="X652" s="315">
        <f t="shared" si="159"/>
        <v>0</v>
      </c>
      <c r="Y652" s="315">
        <f t="shared" si="159"/>
        <v>0</v>
      </c>
      <c r="Z652" s="315">
        <f t="shared" si="159"/>
        <v>0</v>
      </c>
      <c r="AA652" s="315">
        <f t="shared" si="159"/>
        <v>0</v>
      </c>
      <c r="AB652" s="315">
        <f t="shared" si="159"/>
        <v>0</v>
      </c>
      <c r="AC652" s="315">
        <f t="shared" si="159"/>
        <v>0</v>
      </c>
      <c r="AD652" s="315">
        <f t="shared" si="159"/>
        <v>0</v>
      </c>
      <c r="AE652" s="315">
        <f t="shared" si="159"/>
        <v>0</v>
      </c>
      <c r="AF652" s="315">
        <f t="shared" si="159"/>
        <v>0</v>
      </c>
      <c r="AG652" s="315">
        <f t="shared" si="159"/>
        <v>0</v>
      </c>
      <c r="AH652" s="315">
        <f t="shared" si="159"/>
        <v>0</v>
      </c>
      <c r="AI652" s="315">
        <f t="shared" si="159"/>
        <v>0</v>
      </c>
      <c r="AJ652" s="315">
        <f t="shared" si="159"/>
        <v>0</v>
      </c>
      <c r="AK652" s="315">
        <f t="shared" si="159"/>
        <v>0</v>
      </c>
      <c r="AL652" s="315">
        <f t="shared" si="159"/>
        <v>0</v>
      </c>
      <c r="AM652" s="315">
        <f t="shared" si="159"/>
        <v>0</v>
      </c>
      <c r="AN652" s="315">
        <f t="shared" si="159"/>
        <v>0</v>
      </c>
      <c r="AO652" s="315">
        <f t="shared" si="159"/>
        <v>0</v>
      </c>
      <c r="AP652" s="315">
        <f t="shared" si="159"/>
        <v>0</v>
      </c>
      <c r="AQ652" s="315">
        <f t="shared" si="159"/>
        <v>0</v>
      </c>
      <c r="AR652" s="315">
        <f t="shared" si="159"/>
        <v>0</v>
      </c>
      <c r="AS652" s="315">
        <f t="shared" si="159"/>
        <v>0</v>
      </c>
      <c r="AT652" s="315">
        <f t="shared" si="159"/>
        <v>0</v>
      </c>
      <c r="AU652" s="315">
        <f t="shared" si="159"/>
        <v>0</v>
      </c>
      <c r="AV652" s="315">
        <f t="shared" si="159"/>
        <v>0</v>
      </c>
      <c r="AW652" s="315">
        <f t="shared" si="159"/>
        <v>0</v>
      </c>
      <c r="AX652" s="315">
        <f t="shared" si="159"/>
        <v>0</v>
      </c>
      <c r="AY652" s="315">
        <f t="shared" si="159"/>
        <v>0</v>
      </c>
      <c r="AZ652" s="315">
        <f t="shared" si="159"/>
        <v>0</v>
      </c>
      <c r="BA652" s="315">
        <f t="shared" si="159"/>
        <v>0</v>
      </c>
      <c r="BB652" s="315">
        <f t="shared" si="159"/>
        <v>0</v>
      </c>
      <c r="BC652" s="315">
        <f t="shared" si="159"/>
        <v>0</v>
      </c>
      <c r="BD652" s="315">
        <f t="shared" si="159"/>
        <v>0</v>
      </c>
      <c r="BE652" s="315">
        <f t="shared" si="159"/>
        <v>0</v>
      </c>
      <c r="BF652" s="315">
        <f t="shared" si="159"/>
        <v>0</v>
      </c>
      <c r="BG652" s="315">
        <f t="shared" si="159"/>
        <v>0</v>
      </c>
      <c r="BH652" s="315">
        <f t="shared" si="159"/>
        <v>0</v>
      </c>
      <c r="BI652" s="315">
        <f t="shared" si="159"/>
        <v>0</v>
      </c>
      <c r="BJ652" s="315">
        <f t="shared" si="159"/>
        <v>0</v>
      </c>
      <c r="BK652" s="315">
        <f t="shared" si="159"/>
        <v>0</v>
      </c>
      <c r="BL652" s="315">
        <f t="shared" si="159"/>
        <v>0</v>
      </c>
      <c r="BM652" s="315">
        <f t="shared" si="159"/>
        <v>0</v>
      </c>
      <c r="BN652" s="315">
        <f t="shared" si="159"/>
        <v>0</v>
      </c>
      <c r="BO652" s="315">
        <f t="shared" si="159"/>
        <v>0</v>
      </c>
      <c r="BP652" s="315">
        <f t="shared" si="159"/>
        <v>0</v>
      </c>
      <c r="BQ652" s="315">
        <f t="shared" si="159"/>
        <v>0</v>
      </c>
      <c r="BR652" s="315">
        <f t="shared" si="158"/>
        <v>0</v>
      </c>
      <c r="BS652" s="315">
        <f t="shared" si="156"/>
        <v>0</v>
      </c>
      <c r="BT652" s="315">
        <f t="shared" si="156"/>
        <v>0</v>
      </c>
      <c r="BU652" s="315">
        <f t="shared" si="156"/>
        <v>0</v>
      </c>
      <c r="BV652" s="315">
        <f t="shared" si="156"/>
        <v>0</v>
      </c>
      <c r="BW652" s="315">
        <f t="shared" si="156"/>
        <v>0</v>
      </c>
      <c r="BX652" s="315">
        <f t="shared" si="156"/>
        <v>0</v>
      </c>
      <c r="BZ652" s="315">
        <f t="shared" si="157"/>
        <v>0</v>
      </c>
      <c r="CA652" s="315">
        <f t="shared" si="157"/>
        <v>0</v>
      </c>
    </row>
    <row r="653" spans="7:79" hidden="1" x14ac:dyDescent="0.2">
      <c r="G653" s="315">
        <f t="shared" si="159"/>
        <v>0</v>
      </c>
      <c r="H653" s="315">
        <f t="shared" si="159"/>
        <v>0</v>
      </c>
      <c r="I653" s="315">
        <f t="shared" si="159"/>
        <v>0</v>
      </c>
      <c r="J653" s="315">
        <f t="shared" si="159"/>
        <v>0</v>
      </c>
      <c r="K653" s="315">
        <f t="shared" si="159"/>
        <v>0</v>
      </c>
      <c r="L653" s="315">
        <f t="shared" si="159"/>
        <v>0</v>
      </c>
      <c r="M653" s="315">
        <f t="shared" si="159"/>
        <v>0</v>
      </c>
      <c r="N653" s="315">
        <f t="shared" si="159"/>
        <v>0</v>
      </c>
      <c r="O653" s="315">
        <f t="shared" si="159"/>
        <v>0</v>
      </c>
      <c r="P653" s="315">
        <f t="shared" si="159"/>
        <v>0</v>
      </c>
      <c r="Q653" s="315">
        <f t="shared" si="159"/>
        <v>0</v>
      </c>
      <c r="R653" s="315">
        <f t="shared" si="159"/>
        <v>0</v>
      </c>
      <c r="S653" s="315">
        <f t="shared" si="159"/>
        <v>0</v>
      </c>
      <c r="T653" s="315">
        <f t="shared" si="159"/>
        <v>0</v>
      </c>
      <c r="U653" s="315">
        <f t="shared" si="159"/>
        <v>0</v>
      </c>
      <c r="V653" s="315">
        <f t="shared" si="159"/>
        <v>0</v>
      </c>
      <c r="W653" s="315">
        <f t="shared" si="159"/>
        <v>0</v>
      </c>
      <c r="X653" s="315">
        <f t="shared" si="159"/>
        <v>0</v>
      </c>
      <c r="Y653" s="315">
        <f t="shared" si="159"/>
        <v>0</v>
      </c>
      <c r="Z653" s="315">
        <f t="shared" si="159"/>
        <v>0</v>
      </c>
      <c r="AA653" s="315">
        <f t="shared" si="159"/>
        <v>0</v>
      </c>
      <c r="AB653" s="315">
        <f t="shared" si="159"/>
        <v>0</v>
      </c>
      <c r="AC653" s="315">
        <f t="shared" si="159"/>
        <v>0</v>
      </c>
      <c r="AD653" s="315">
        <f t="shared" si="159"/>
        <v>0</v>
      </c>
      <c r="AE653" s="315">
        <f t="shared" si="159"/>
        <v>0</v>
      </c>
      <c r="AF653" s="315">
        <f t="shared" si="159"/>
        <v>0</v>
      </c>
      <c r="AG653" s="315">
        <f t="shared" si="159"/>
        <v>0</v>
      </c>
      <c r="AH653" s="315">
        <f t="shared" si="159"/>
        <v>0</v>
      </c>
      <c r="AI653" s="315">
        <f t="shared" si="159"/>
        <v>0</v>
      </c>
      <c r="AJ653" s="315">
        <f t="shared" si="159"/>
        <v>0</v>
      </c>
      <c r="AK653" s="315">
        <f t="shared" si="159"/>
        <v>0</v>
      </c>
      <c r="AL653" s="315">
        <f t="shared" si="159"/>
        <v>0</v>
      </c>
      <c r="AM653" s="315">
        <f t="shared" si="159"/>
        <v>0</v>
      </c>
      <c r="AN653" s="315">
        <f t="shared" si="159"/>
        <v>0</v>
      </c>
      <c r="AO653" s="315">
        <f t="shared" si="159"/>
        <v>0</v>
      </c>
      <c r="AP653" s="315">
        <f t="shared" si="159"/>
        <v>0</v>
      </c>
      <c r="AQ653" s="315">
        <f t="shared" si="159"/>
        <v>0</v>
      </c>
      <c r="AR653" s="315">
        <f t="shared" si="159"/>
        <v>0</v>
      </c>
      <c r="AS653" s="315">
        <f t="shared" si="159"/>
        <v>0</v>
      </c>
      <c r="AT653" s="315">
        <f t="shared" si="159"/>
        <v>0</v>
      </c>
      <c r="AU653" s="315">
        <f t="shared" si="159"/>
        <v>0</v>
      </c>
      <c r="AV653" s="315">
        <f t="shared" si="159"/>
        <v>0</v>
      </c>
      <c r="AW653" s="315">
        <f t="shared" si="159"/>
        <v>0</v>
      </c>
      <c r="AX653" s="315">
        <f t="shared" si="159"/>
        <v>0</v>
      </c>
      <c r="AY653" s="315">
        <f t="shared" si="159"/>
        <v>0</v>
      </c>
      <c r="AZ653" s="315">
        <f t="shared" si="159"/>
        <v>0</v>
      </c>
      <c r="BA653" s="315">
        <f t="shared" si="159"/>
        <v>0</v>
      </c>
      <c r="BB653" s="315">
        <f t="shared" si="159"/>
        <v>0</v>
      </c>
      <c r="BC653" s="315">
        <f t="shared" si="159"/>
        <v>0</v>
      </c>
      <c r="BD653" s="315">
        <f t="shared" si="159"/>
        <v>0</v>
      </c>
      <c r="BE653" s="315">
        <f t="shared" si="159"/>
        <v>0</v>
      </c>
      <c r="BF653" s="315">
        <f t="shared" si="159"/>
        <v>0</v>
      </c>
      <c r="BG653" s="315">
        <f t="shared" si="159"/>
        <v>0</v>
      </c>
      <c r="BH653" s="315">
        <f t="shared" si="159"/>
        <v>0</v>
      </c>
      <c r="BI653" s="315">
        <f t="shared" si="159"/>
        <v>0</v>
      </c>
      <c r="BJ653" s="315">
        <f t="shared" si="159"/>
        <v>0</v>
      </c>
      <c r="BK653" s="315">
        <f t="shared" si="159"/>
        <v>0</v>
      </c>
      <c r="BL653" s="315">
        <f t="shared" si="159"/>
        <v>0</v>
      </c>
      <c r="BM653" s="315">
        <f t="shared" si="159"/>
        <v>0</v>
      </c>
      <c r="BN653" s="315">
        <f t="shared" si="159"/>
        <v>0</v>
      </c>
      <c r="BO653" s="315">
        <f t="shared" si="159"/>
        <v>0</v>
      </c>
      <c r="BP653" s="315">
        <f t="shared" si="159"/>
        <v>0</v>
      </c>
      <c r="BQ653" s="315">
        <f t="shared" si="159"/>
        <v>0</v>
      </c>
      <c r="BR653" s="315">
        <f t="shared" si="158"/>
        <v>0</v>
      </c>
      <c r="BS653" s="315">
        <f t="shared" si="156"/>
        <v>0</v>
      </c>
      <c r="BT653" s="315">
        <f t="shared" si="156"/>
        <v>0</v>
      </c>
      <c r="BU653" s="315">
        <f t="shared" si="156"/>
        <v>0</v>
      </c>
      <c r="BV653" s="315">
        <f t="shared" si="156"/>
        <v>0</v>
      </c>
      <c r="BW653" s="315">
        <f t="shared" si="156"/>
        <v>0</v>
      </c>
      <c r="BX653" s="315">
        <f t="shared" si="156"/>
        <v>0</v>
      </c>
      <c r="BZ653" s="315">
        <f t="shared" si="157"/>
        <v>0</v>
      </c>
      <c r="CA653" s="315">
        <f t="shared" si="157"/>
        <v>0</v>
      </c>
    </row>
    <row r="654" spans="7:79" hidden="1" x14ac:dyDescent="0.2">
      <c r="G654" s="315">
        <f t="shared" si="159"/>
        <v>0</v>
      </c>
      <c r="H654" s="315">
        <f t="shared" si="159"/>
        <v>0</v>
      </c>
      <c r="I654" s="315">
        <f t="shared" si="159"/>
        <v>0</v>
      </c>
      <c r="J654" s="315">
        <f t="shared" si="159"/>
        <v>0</v>
      </c>
      <c r="K654" s="315">
        <f t="shared" si="159"/>
        <v>0</v>
      </c>
      <c r="L654" s="315">
        <f t="shared" si="159"/>
        <v>0</v>
      </c>
      <c r="M654" s="315">
        <f t="shared" si="159"/>
        <v>0</v>
      </c>
      <c r="N654" s="315">
        <f t="shared" si="159"/>
        <v>0</v>
      </c>
      <c r="O654" s="315">
        <f t="shared" si="159"/>
        <v>0</v>
      </c>
      <c r="P654" s="315">
        <f t="shared" si="159"/>
        <v>0</v>
      </c>
      <c r="Q654" s="315">
        <f t="shared" si="159"/>
        <v>0</v>
      </c>
      <c r="R654" s="315">
        <f t="shared" si="159"/>
        <v>0</v>
      </c>
      <c r="S654" s="315">
        <f t="shared" si="159"/>
        <v>0</v>
      </c>
      <c r="T654" s="315">
        <f t="shared" si="159"/>
        <v>0</v>
      </c>
      <c r="U654" s="315">
        <f t="shared" si="159"/>
        <v>0</v>
      </c>
      <c r="V654" s="315">
        <f t="shared" si="159"/>
        <v>0</v>
      </c>
      <c r="W654" s="315">
        <f t="shared" si="159"/>
        <v>0</v>
      </c>
      <c r="X654" s="315">
        <f t="shared" si="159"/>
        <v>0</v>
      </c>
      <c r="Y654" s="315">
        <f t="shared" si="159"/>
        <v>0</v>
      </c>
      <c r="Z654" s="315">
        <f t="shared" si="159"/>
        <v>0</v>
      </c>
      <c r="AA654" s="315">
        <f t="shared" si="159"/>
        <v>0</v>
      </c>
      <c r="AB654" s="315">
        <f t="shared" si="159"/>
        <v>0</v>
      </c>
      <c r="AC654" s="315">
        <f t="shared" si="159"/>
        <v>0</v>
      </c>
      <c r="AD654" s="315">
        <f t="shared" si="159"/>
        <v>0</v>
      </c>
      <c r="AE654" s="315">
        <f t="shared" si="159"/>
        <v>0</v>
      </c>
      <c r="AF654" s="315">
        <f t="shared" si="159"/>
        <v>0</v>
      </c>
      <c r="AG654" s="315">
        <f t="shared" si="159"/>
        <v>0</v>
      </c>
      <c r="AH654" s="315">
        <f t="shared" si="159"/>
        <v>0</v>
      </c>
      <c r="AI654" s="315">
        <f t="shared" si="159"/>
        <v>0</v>
      </c>
      <c r="AJ654" s="315">
        <f t="shared" si="159"/>
        <v>0</v>
      </c>
      <c r="AK654" s="315">
        <f t="shared" si="159"/>
        <v>0</v>
      </c>
      <c r="AL654" s="315">
        <f t="shared" si="159"/>
        <v>0</v>
      </c>
      <c r="AM654" s="315">
        <f t="shared" si="159"/>
        <v>0</v>
      </c>
      <c r="AN654" s="315">
        <f t="shared" si="159"/>
        <v>0</v>
      </c>
      <c r="AO654" s="315">
        <f t="shared" si="159"/>
        <v>0</v>
      </c>
      <c r="AP654" s="315">
        <f t="shared" si="159"/>
        <v>0</v>
      </c>
      <c r="AQ654" s="315">
        <f t="shared" si="159"/>
        <v>0</v>
      </c>
      <c r="AR654" s="315">
        <f t="shared" si="159"/>
        <v>0</v>
      </c>
      <c r="AS654" s="315">
        <f t="shared" si="159"/>
        <v>0</v>
      </c>
      <c r="AT654" s="315">
        <f t="shared" si="159"/>
        <v>0</v>
      </c>
      <c r="AU654" s="315">
        <f t="shared" si="159"/>
        <v>0</v>
      </c>
      <c r="AV654" s="315">
        <f t="shared" si="159"/>
        <v>0</v>
      </c>
      <c r="AW654" s="315">
        <f t="shared" si="159"/>
        <v>0</v>
      </c>
      <c r="AX654" s="315">
        <f t="shared" si="159"/>
        <v>0</v>
      </c>
      <c r="AY654" s="315">
        <f t="shared" si="159"/>
        <v>0</v>
      </c>
      <c r="AZ654" s="315">
        <f t="shared" si="159"/>
        <v>0</v>
      </c>
      <c r="BA654" s="315">
        <f t="shared" si="159"/>
        <v>0</v>
      </c>
      <c r="BB654" s="315">
        <f t="shared" si="159"/>
        <v>0</v>
      </c>
      <c r="BC654" s="315">
        <f t="shared" si="159"/>
        <v>0</v>
      </c>
      <c r="BD654" s="315">
        <f t="shared" si="159"/>
        <v>0</v>
      </c>
      <c r="BE654" s="315">
        <f t="shared" si="159"/>
        <v>0</v>
      </c>
      <c r="BF654" s="315">
        <f t="shared" si="159"/>
        <v>0</v>
      </c>
      <c r="BG654" s="315">
        <f t="shared" si="159"/>
        <v>0</v>
      </c>
      <c r="BH654" s="315">
        <f t="shared" si="159"/>
        <v>0</v>
      </c>
      <c r="BI654" s="315">
        <f t="shared" si="159"/>
        <v>0</v>
      </c>
      <c r="BJ654" s="315">
        <f t="shared" si="159"/>
        <v>0</v>
      </c>
      <c r="BK654" s="315">
        <f t="shared" si="159"/>
        <v>0</v>
      </c>
      <c r="BL654" s="315">
        <f t="shared" si="159"/>
        <v>0</v>
      </c>
      <c r="BM654" s="315">
        <f t="shared" si="159"/>
        <v>0</v>
      </c>
      <c r="BN654" s="315">
        <f t="shared" si="159"/>
        <v>0</v>
      </c>
      <c r="BO654" s="315">
        <f t="shared" si="159"/>
        <v>0</v>
      </c>
      <c r="BP654" s="315">
        <f t="shared" si="159"/>
        <v>0</v>
      </c>
      <c r="BQ654" s="315">
        <f t="shared" si="159"/>
        <v>0</v>
      </c>
      <c r="BR654" s="315">
        <f t="shared" si="158"/>
        <v>0</v>
      </c>
      <c r="BS654" s="315">
        <f t="shared" si="156"/>
        <v>0</v>
      </c>
      <c r="BT654" s="315">
        <f t="shared" si="156"/>
        <v>0</v>
      </c>
      <c r="BU654" s="315">
        <f t="shared" si="156"/>
        <v>0</v>
      </c>
      <c r="BV654" s="315">
        <f t="shared" si="156"/>
        <v>0</v>
      </c>
      <c r="BW654" s="315">
        <f t="shared" si="156"/>
        <v>0</v>
      </c>
      <c r="BX654" s="315">
        <f t="shared" si="156"/>
        <v>0</v>
      </c>
      <c r="BZ654" s="315">
        <f t="shared" si="157"/>
        <v>0</v>
      </c>
      <c r="CA654" s="315">
        <f t="shared" si="157"/>
        <v>0</v>
      </c>
    </row>
    <row r="655" spans="7:79" hidden="1" x14ac:dyDescent="0.2">
      <c r="G655" s="315">
        <f t="shared" si="159"/>
        <v>0</v>
      </c>
      <c r="H655" s="315">
        <f t="shared" si="159"/>
        <v>0</v>
      </c>
      <c r="I655" s="315">
        <f t="shared" si="159"/>
        <v>0</v>
      </c>
      <c r="J655" s="315">
        <f t="shared" ref="J655:BQ656" si="160">J236-CB236</f>
        <v>0</v>
      </c>
      <c r="K655" s="315">
        <f t="shared" si="160"/>
        <v>0</v>
      </c>
      <c r="L655" s="315">
        <f t="shared" si="160"/>
        <v>0</v>
      </c>
      <c r="M655" s="315">
        <f t="shared" si="160"/>
        <v>0</v>
      </c>
      <c r="N655" s="315">
        <f t="shared" si="160"/>
        <v>0</v>
      </c>
      <c r="O655" s="315">
        <f t="shared" si="160"/>
        <v>0</v>
      </c>
      <c r="P655" s="315">
        <f t="shared" si="160"/>
        <v>0</v>
      </c>
      <c r="Q655" s="315">
        <f t="shared" si="160"/>
        <v>0</v>
      </c>
      <c r="R655" s="315">
        <f t="shared" si="160"/>
        <v>0</v>
      </c>
      <c r="S655" s="315">
        <f t="shared" si="160"/>
        <v>0</v>
      </c>
      <c r="T655" s="315">
        <f t="shared" si="160"/>
        <v>0</v>
      </c>
      <c r="U655" s="315">
        <f t="shared" si="160"/>
        <v>0</v>
      </c>
      <c r="V655" s="315">
        <f t="shared" si="160"/>
        <v>0</v>
      </c>
      <c r="W655" s="315">
        <f t="shared" si="160"/>
        <v>0</v>
      </c>
      <c r="X655" s="315">
        <f t="shared" si="160"/>
        <v>0</v>
      </c>
      <c r="Y655" s="315">
        <f t="shared" si="160"/>
        <v>0</v>
      </c>
      <c r="Z655" s="315">
        <f t="shared" si="160"/>
        <v>0</v>
      </c>
      <c r="AA655" s="315">
        <f t="shared" si="160"/>
        <v>0</v>
      </c>
      <c r="AB655" s="315">
        <f t="shared" si="160"/>
        <v>0</v>
      </c>
      <c r="AC655" s="315">
        <f t="shared" si="160"/>
        <v>0</v>
      </c>
      <c r="AD655" s="315">
        <f t="shared" si="160"/>
        <v>0</v>
      </c>
      <c r="AE655" s="315">
        <f t="shared" si="160"/>
        <v>0</v>
      </c>
      <c r="AF655" s="315">
        <f t="shared" si="160"/>
        <v>0</v>
      </c>
      <c r="AG655" s="315">
        <f t="shared" si="160"/>
        <v>0</v>
      </c>
      <c r="AH655" s="315">
        <f t="shared" si="160"/>
        <v>0</v>
      </c>
      <c r="AI655" s="315">
        <f t="shared" si="160"/>
        <v>0</v>
      </c>
      <c r="AJ655" s="315">
        <f t="shared" si="160"/>
        <v>0</v>
      </c>
      <c r="AK655" s="315">
        <f t="shared" si="160"/>
        <v>0</v>
      </c>
      <c r="AL655" s="315">
        <f t="shared" si="160"/>
        <v>0</v>
      </c>
      <c r="AM655" s="315">
        <f t="shared" si="160"/>
        <v>0</v>
      </c>
      <c r="AN655" s="315">
        <f t="shared" si="160"/>
        <v>0</v>
      </c>
      <c r="AO655" s="315">
        <f t="shared" si="160"/>
        <v>0</v>
      </c>
      <c r="AP655" s="315">
        <f t="shared" si="160"/>
        <v>0</v>
      </c>
      <c r="AQ655" s="315">
        <f t="shared" si="160"/>
        <v>0</v>
      </c>
      <c r="AR655" s="315">
        <f t="shared" si="160"/>
        <v>0</v>
      </c>
      <c r="AS655" s="315">
        <f t="shared" si="160"/>
        <v>0</v>
      </c>
      <c r="AT655" s="315">
        <f t="shared" si="160"/>
        <v>0</v>
      </c>
      <c r="AU655" s="315">
        <f t="shared" si="160"/>
        <v>0</v>
      </c>
      <c r="AV655" s="315">
        <f t="shared" si="160"/>
        <v>0</v>
      </c>
      <c r="AW655" s="315">
        <f t="shared" si="160"/>
        <v>0</v>
      </c>
      <c r="AX655" s="315">
        <f t="shared" si="160"/>
        <v>0</v>
      </c>
      <c r="AY655" s="315">
        <f t="shared" si="160"/>
        <v>0</v>
      </c>
      <c r="AZ655" s="315">
        <f t="shared" si="160"/>
        <v>0</v>
      </c>
      <c r="BA655" s="315">
        <f t="shared" si="160"/>
        <v>0</v>
      </c>
      <c r="BB655" s="315">
        <f t="shared" si="160"/>
        <v>0</v>
      </c>
      <c r="BC655" s="315">
        <f t="shared" si="160"/>
        <v>0</v>
      </c>
      <c r="BD655" s="315">
        <f t="shared" si="160"/>
        <v>0</v>
      </c>
      <c r="BE655" s="315">
        <f t="shared" si="160"/>
        <v>0</v>
      </c>
      <c r="BF655" s="315">
        <f t="shared" si="160"/>
        <v>0</v>
      </c>
      <c r="BG655" s="315">
        <f t="shared" si="160"/>
        <v>0</v>
      </c>
      <c r="BH655" s="315">
        <f t="shared" si="160"/>
        <v>0</v>
      </c>
      <c r="BI655" s="315">
        <f t="shared" si="160"/>
        <v>0</v>
      </c>
      <c r="BJ655" s="315">
        <f t="shared" si="160"/>
        <v>0</v>
      </c>
      <c r="BK655" s="315">
        <f t="shared" si="160"/>
        <v>0</v>
      </c>
      <c r="BL655" s="315">
        <f t="shared" si="160"/>
        <v>0</v>
      </c>
      <c r="BM655" s="315">
        <f t="shared" si="160"/>
        <v>0</v>
      </c>
      <c r="BN655" s="315">
        <f t="shared" si="160"/>
        <v>0</v>
      </c>
      <c r="BO655" s="315">
        <f t="shared" si="160"/>
        <v>0</v>
      </c>
      <c r="BP655" s="315">
        <f t="shared" si="160"/>
        <v>0</v>
      </c>
      <c r="BQ655" s="315">
        <f t="shared" si="160"/>
        <v>0</v>
      </c>
      <c r="BR655" s="315">
        <f t="shared" si="158"/>
        <v>0</v>
      </c>
      <c r="BS655" s="315">
        <f t="shared" si="156"/>
        <v>0</v>
      </c>
      <c r="BT655" s="315">
        <f t="shared" si="156"/>
        <v>0</v>
      </c>
      <c r="BU655" s="315">
        <f t="shared" si="156"/>
        <v>0</v>
      </c>
      <c r="BV655" s="315">
        <f t="shared" si="156"/>
        <v>0</v>
      </c>
      <c r="BW655" s="315">
        <f t="shared" si="156"/>
        <v>0</v>
      </c>
      <c r="BX655" s="315">
        <f t="shared" si="156"/>
        <v>0</v>
      </c>
      <c r="BZ655" s="315">
        <f t="shared" si="157"/>
        <v>0</v>
      </c>
      <c r="CA655" s="315">
        <f t="shared" si="157"/>
        <v>0</v>
      </c>
    </row>
    <row r="656" spans="7:79" hidden="1" x14ac:dyDescent="0.2">
      <c r="G656" s="315">
        <f t="shared" ref="G656:I656" si="161">G237-BY237</f>
        <v>0</v>
      </c>
      <c r="H656" s="315">
        <f t="shared" si="161"/>
        <v>0</v>
      </c>
      <c r="I656" s="315">
        <f t="shared" si="161"/>
        <v>0</v>
      </c>
      <c r="J656" s="315">
        <f t="shared" si="160"/>
        <v>0</v>
      </c>
      <c r="K656" s="315">
        <f t="shared" si="160"/>
        <v>0</v>
      </c>
      <c r="L656" s="315">
        <f t="shared" si="160"/>
        <v>0</v>
      </c>
      <c r="M656" s="315">
        <f t="shared" si="160"/>
        <v>0</v>
      </c>
      <c r="N656" s="315">
        <f t="shared" si="160"/>
        <v>0</v>
      </c>
      <c r="O656" s="315">
        <f t="shared" si="160"/>
        <v>0</v>
      </c>
      <c r="P656" s="315">
        <f t="shared" si="160"/>
        <v>0</v>
      </c>
      <c r="Q656" s="315">
        <f t="shared" si="160"/>
        <v>0</v>
      </c>
      <c r="R656" s="315">
        <f t="shared" si="160"/>
        <v>0</v>
      </c>
      <c r="S656" s="315">
        <f t="shared" si="160"/>
        <v>0</v>
      </c>
      <c r="T656" s="315">
        <f t="shared" si="160"/>
        <v>0</v>
      </c>
      <c r="U656" s="315">
        <f t="shared" si="160"/>
        <v>0</v>
      </c>
      <c r="V656" s="315">
        <f t="shared" si="160"/>
        <v>0</v>
      </c>
      <c r="W656" s="315">
        <f t="shared" si="160"/>
        <v>0</v>
      </c>
      <c r="X656" s="315">
        <f t="shared" si="160"/>
        <v>0</v>
      </c>
      <c r="Y656" s="315">
        <f t="shared" si="160"/>
        <v>0</v>
      </c>
      <c r="Z656" s="315">
        <f t="shared" si="160"/>
        <v>0</v>
      </c>
      <c r="AA656" s="315">
        <f t="shared" si="160"/>
        <v>0</v>
      </c>
      <c r="AB656" s="315">
        <f t="shared" si="160"/>
        <v>0</v>
      </c>
      <c r="AC656" s="315">
        <f t="shared" si="160"/>
        <v>0</v>
      </c>
      <c r="AD656" s="315">
        <f t="shared" si="160"/>
        <v>0</v>
      </c>
      <c r="AE656" s="315">
        <f t="shared" si="160"/>
        <v>0</v>
      </c>
      <c r="AF656" s="315">
        <f t="shared" si="160"/>
        <v>0</v>
      </c>
      <c r="AG656" s="315">
        <f t="shared" si="160"/>
        <v>0</v>
      </c>
      <c r="AH656" s="315">
        <f t="shared" si="160"/>
        <v>0</v>
      </c>
      <c r="AI656" s="315">
        <f t="shared" si="160"/>
        <v>0</v>
      </c>
      <c r="AJ656" s="315">
        <f t="shared" si="160"/>
        <v>0</v>
      </c>
      <c r="AK656" s="315">
        <f t="shared" si="160"/>
        <v>0</v>
      </c>
      <c r="AL656" s="315">
        <f t="shared" si="160"/>
        <v>0</v>
      </c>
      <c r="AM656" s="315">
        <f t="shared" si="160"/>
        <v>0</v>
      </c>
      <c r="AN656" s="315">
        <f t="shared" si="160"/>
        <v>0</v>
      </c>
      <c r="AO656" s="315">
        <f t="shared" si="160"/>
        <v>0</v>
      </c>
      <c r="AP656" s="315">
        <f t="shared" si="160"/>
        <v>0</v>
      </c>
      <c r="AQ656" s="315">
        <f t="shared" si="160"/>
        <v>0</v>
      </c>
      <c r="AR656" s="315">
        <f t="shared" si="160"/>
        <v>0</v>
      </c>
      <c r="AS656" s="315">
        <f t="shared" si="160"/>
        <v>0</v>
      </c>
      <c r="AT656" s="315">
        <f t="shared" si="160"/>
        <v>0</v>
      </c>
      <c r="AU656" s="315">
        <f t="shared" si="160"/>
        <v>0</v>
      </c>
      <c r="AV656" s="315">
        <f t="shared" si="160"/>
        <v>0</v>
      </c>
      <c r="AW656" s="315">
        <f t="shared" si="160"/>
        <v>0</v>
      </c>
      <c r="AX656" s="315">
        <f t="shared" si="160"/>
        <v>0</v>
      </c>
      <c r="AY656" s="315">
        <f t="shared" si="160"/>
        <v>0</v>
      </c>
      <c r="AZ656" s="315">
        <f t="shared" si="160"/>
        <v>0</v>
      </c>
      <c r="BA656" s="315">
        <f t="shared" si="160"/>
        <v>0</v>
      </c>
      <c r="BB656" s="315">
        <f t="shared" si="160"/>
        <v>0</v>
      </c>
      <c r="BC656" s="315">
        <f t="shared" si="160"/>
        <v>0</v>
      </c>
      <c r="BD656" s="315">
        <f t="shared" si="160"/>
        <v>0</v>
      </c>
      <c r="BE656" s="315">
        <f t="shared" si="160"/>
        <v>0</v>
      </c>
      <c r="BF656" s="315">
        <f t="shared" si="160"/>
        <v>0</v>
      </c>
      <c r="BG656" s="315">
        <f t="shared" si="160"/>
        <v>0</v>
      </c>
      <c r="BH656" s="315">
        <f t="shared" si="160"/>
        <v>0</v>
      </c>
      <c r="BI656" s="315">
        <f t="shared" si="160"/>
        <v>0</v>
      </c>
      <c r="BJ656" s="315">
        <f t="shared" si="160"/>
        <v>0</v>
      </c>
      <c r="BK656" s="315">
        <f t="shared" si="160"/>
        <v>0</v>
      </c>
      <c r="BL656" s="315">
        <f t="shared" si="160"/>
        <v>0</v>
      </c>
      <c r="BM656" s="315">
        <f t="shared" si="160"/>
        <v>0</v>
      </c>
      <c r="BN656" s="315">
        <f t="shared" si="160"/>
        <v>0</v>
      </c>
      <c r="BO656" s="315">
        <f t="shared" si="160"/>
        <v>0</v>
      </c>
      <c r="BP656" s="315">
        <f t="shared" si="160"/>
        <v>0</v>
      </c>
      <c r="BQ656" s="315">
        <f t="shared" si="160"/>
        <v>0</v>
      </c>
      <c r="BR656" s="315">
        <f t="shared" si="158"/>
        <v>0</v>
      </c>
      <c r="BS656" s="315">
        <f t="shared" si="156"/>
        <v>0</v>
      </c>
      <c r="BT656" s="315">
        <f t="shared" si="156"/>
        <v>0</v>
      </c>
      <c r="BU656" s="315">
        <f t="shared" si="156"/>
        <v>0</v>
      </c>
      <c r="BV656" s="315">
        <f t="shared" si="156"/>
        <v>0</v>
      </c>
      <c r="BW656" s="315">
        <f t="shared" si="156"/>
        <v>0</v>
      </c>
      <c r="BX656" s="315">
        <f t="shared" si="156"/>
        <v>0</v>
      </c>
      <c r="BZ656" s="315">
        <f t="shared" si="157"/>
        <v>0</v>
      </c>
      <c r="CA656" s="315">
        <f t="shared" si="157"/>
        <v>0</v>
      </c>
    </row>
    <row r="657" spans="7:79" hidden="1" x14ac:dyDescent="0.2">
      <c r="G657" s="315">
        <f t="shared" ref="G657:BR657" si="162">G239-BY239</f>
        <v>0</v>
      </c>
      <c r="H657" s="315">
        <f t="shared" si="162"/>
        <v>0</v>
      </c>
      <c r="I657" s="315">
        <f t="shared" si="162"/>
        <v>0</v>
      </c>
      <c r="J657" s="315">
        <f t="shared" si="162"/>
        <v>0</v>
      </c>
      <c r="K657" s="315">
        <f t="shared" si="162"/>
        <v>0</v>
      </c>
      <c r="L657" s="315">
        <f t="shared" si="162"/>
        <v>0</v>
      </c>
      <c r="M657" s="315">
        <f t="shared" si="162"/>
        <v>0</v>
      </c>
      <c r="N657" s="315">
        <f t="shared" si="162"/>
        <v>0</v>
      </c>
      <c r="O657" s="315">
        <f t="shared" si="162"/>
        <v>0</v>
      </c>
      <c r="P657" s="315">
        <f t="shared" si="162"/>
        <v>0</v>
      </c>
      <c r="Q657" s="315">
        <f t="shared" si="162"/>
        <v>0</v>
      </c>
      <c r="R657" s="315">
        <f t="shared" si="162"/>
        <v>0</v>
      </c>
      <c r="S657" s="315">
        <f t="shared" si="162"/>
        <v>0</v>
      </c>
      <c r="T657" s="315">
        <f t="shared" si="162"/>
        <v>0</v>
      </c>
      <c r="U657" s="315">
        <f t="shared" si="162"/>
        <v>0</v>
      </c>
      <c r="V657" s="315">
        <f t="shared" si="162"/>
        <v>0</v>
      </c>
      <c r="W657" s="315">
        <f t="shared" si="162"/>
        <v>0</v>
      </c>
      <c r="X657" s="315">
        <f t="shared" si="162"/>
        <v>0</v>
      </c>
      <c r="Y657" s="315">
        <f t="shared" si="162"/>
        <v>0</v>
      </c>
      <c r="Z657" s="315">
        <f t="shared" si="162"/>
        <v>0</v>
      </c>
      <c r="AA657" s="315">
        <f t="shared" si="162"/>
        <v>0</v>
      </c>
      <c r="AB657" s="315">
        <f t="shared" si="162"/>
        <v>0</v>
      </c>
      <c r="AC657" s="315">
        <f t="shared" si="162"/>
        <v>0</v>
      </c>
      <c r="AD657" s="315">
        <f t="shared" si="162"/>
        <v>0</v>
      </c>
      <c r="AE657" s="315">
        <f t="shared" si="162"/>
        <v>0</v>
      </c>
      <c r="AF657" s="315">
        <f t="shared" si="162"/>
        <v>0</v>
      </c>
      <c r="AG657" s="315">
        <f t="shared" si="162"/>
        <v>0</v>
      </c>
      <c r="AH657" s="315">
        <f t="shared" si="162"/>
        <v>0</v>
      </c>
      <c r="AI657" s="315">
        <f t="shared" si="162"/>
        <v>0</v>
      </c>
      <c r="AJ657" s="315">
        <f t="shared" si="162"/>
        <v>0</v>
      </c>
      <c r="AK657" s="315">
        <f t="shared" si="162"/>
        <v>0</v>
      </c>
      <c r="AL657" s="315">
        <f t="shared" si="162"/>
        <v>0</v>
      </c>
      <c r="AM657" s="315">
        <f t="shared" si="162"/>
        <v>0</v>
      </c>
      <c r="AN657" s="315">
        <f t="shared" si="162"/>
        <v>0</v>
      </c>
      <c r="AO657" s="315">
        <f t="shared" si="162"/>
        <v>0</v>
      </c>
      <c r="AP657" s="315">
        <f t="shared" si="162"/>
        <v>0</v>
      </c>
      <c r="AQ657" s="315">
        <f t="shared" si="162"/>
        <v>0</v>
      </c>
      <c r="AR657" s="315">
        <f t="shared" si="162"/>
        <v>0</v>
      </c>
      <c r="AS657" s="315">
        <f t="shared" si="162"/>
        <v>0</v>
      </c>
      <c r="AT657" s="315">
        <f t="shared" si="162"/>
        <v>0</v>
      </c>
      <c r="AU657" s="315">
        <f t="shared" si="162"/>
        <v>0</v>
      </c>
      <c r="AV657" s="315">
        <f t="shared" si="162"/>
        <v>0</v>
      </c>
      <c r="AW657" s="315">
        <f t="shared" si="162"/>
        <v>0</v>
      </c>
      <c r="AX657" s="315">
        <f t="shared" si="162"/>
        <v>0</v>
      </c>
      <c r="AY657" s="315">
        <f t="shared" si="162"/>
        <v>0</v>
      </c>
      <c r="AZ657" s="315">
        <f t="shared" si="162"/>
        <v>0</v>
      </c>
      <c r="BA657" s="315">
        <f t="shared" si="162"/>
        <v>0</v>
      </c>
      <c r="BB657" s="315">
        <f t="shared" si="162"/>
        <v>0</v>
      </c>
      <c r="BC657" s="315">
        <f t="shared" si="162"/>
        <v>0</v>
      </c>
      <c r="BD657" s="315">
        <f t="shared" si="162"/>
        <v>0</v>
      </c>
      <c r="BE657" s="315">
        <f t="shared" si="162"/>
        <v>0</v>
      </c>
      <c r="BF657" s="315">
        <f t="shared" si="162"/>
        <v>0</v>
      </c>
      <c r="BG657" s="315">
        <f t="shared" si="162"/>
        <v>0</v>
      </c>
      <c r="BH657" s="315">
        <f t="shared" si="162"/>
        <v>0</v>
      </c>
      <c r="BI657" s="315">
        <f t="shared" si="162"/>
        <v>0</v>
      </c>
      <c r="BJ657" s="315">
        <f t="shared" si="162"/>
        <v>0</v>
      </c>
      <c r="BK657" s="315">
        <f t="shared" si="162"/>
        <v>0</v>
      </c>
      <c r="BL657" s="315">
        <f t="shared" si="162"/>
        <v>0</v>
      </c>
      <c r="BM657" s="315">
        <f t="shared" si="162"/>
        <v>0</v>
      </c>
      <c r="BN657" s="315">
        <f t="shared" si="162"/>
        <v>0</v>
      </c>
      <c r="BO657" s="315">
        <f t="shared" si="162"/>
        <v>0</v>
      </c>
      <c r="BP657" s="315">
        <f t="shared" si="162"/>
        <v>0</v>
      </c>
      <c r="BQ657" s="315">
        <f t="shared" si="162"/>
        <v>0</v>
      </c>
      <c r="BR657" s="315">
        <f t="shared" si="162"/>
        <v>0</v>
      </c>
      <c r="BS657" s="315">
        <f t="shared" ref="BS657:BX657" si="163">BS239-EK239</f>
        <v>0</v>
      </c>
      <c r="BT657" s="315">
        <f t="shared" si="163"/>
        <v>0</v>
      </c>
      <c r="BU657" s="315">
        <f t="shared" si="163"/>
        <v>0</v>
      </c>
      <c r="BV657" s="315">
        <f t="shared" si="163"/>
        <v>0</v>
      </c>
      <c r="BW657" s="315">
        <f t="shared" si="163"/>
        <v>0</v>
      </c>
      <c r="BX657" s="315">
        <f t="shared" si="163"/>
        <v>0</v>
      </c>
      <c r="BZ657" s="315">
        <f>BZ239-ER239</f>
        <v>0</v>
      </c>
      <c r="CA657" s="315">
        <f>CA239-ES239</f>
        <v>0</v>
      </c>
    </row>
    <row r="658" spans="7:79" hidden="1" x14ac:dyDescent="0.2">
      <c r="G658" s="315" t="e">
        <f>#REF!-#REF!</f>
        <v>#REF!</v>
      </c>
      <c r="H658" s="315" t="e">
        <f>#REF!-#REF!</f>
        <v>#REF!</v>
      </c>
      <c r="I658" s="315" t="e">
        <f>#REF!-#REF!</f>
        <v>#REF!</v>
      </c>
      <c r="J658" s="315" t="e">
        <f>#REF!-#REF!</f>
        <v>#REF!</v>
      </c>
      <c r="K658" s="315" t="e">
        <f>#REF!-#REF!</f>
        <v>#REF!</v>
      </c>
      <c r="L658" s="315" t="e">
        <f>#REF!-#REF!</f>
        <v>#REF!</v>
      </c>
      <c r="M658" s="315" t="e">
        <f>#REF!-#REF!</f>
        <v>#REF!</v>
      </c>
      <c r="N658" s="315" t="e">
        <f>#REF!-#REF!</f>
        <v>#REF!</v>
      </c>
      <c r="O658" s="315" t="e">
        <f>#REF!-#REF!</f>
        <v>#REF!</v>
      </c>
      <c r="P658" s="315" t="e">
        <f>#REF!-#REF!</f>
        <v>#REF!</v>
      </c>
      <c r="Q658" s="315" t="e">
        <f>#REF!-#REF!</f>
        <v>#REF!</v>
      </c>
      <c r="R658" s="315" t="e">
        <f>#REF!-#REF!</f>
        <v>#REF!</v>
      </c>
      <c r="S658" s="315" t="e">
        <f>#REF!-#REF!</f>
        <v>#REF!</v>
      </c>
      <c r="T658" s="315" t="e">
        <f>#REF!-#REF!</f>
        <v>#REF!</v>
      </c>
      <c r="U658" s="315" t="e">
        <f>#REF!-#REF!</f>
        <v>#REF!</v>
      </c>
      <c r="V658" s="315" t="e">
        <f>#REF!-#REF!</f>
        <v>#REF!</v>
      </c>
      <c r="W658" s="315" t="e">
        <f>#REF!-#REF!</f>
        <v>#REF!</v>
      </c>
      <c r="X658" s="315" t="e">
        <f>#REF!-#REF!</f>
        <v>#REF!</v>
      </c>
      <c r="Y658" s="315" t="e">
        <f>#REF!-#REF!</f>
        <v>#REF!</v>
      </c>
      <c r="Z658" s="315" t="e">
        <f>#REF!-#REF!</f>
        <v>#REF!</v>
      </c>
      <c r="AA658" s="315" t="e">
        <f>#REF!-#REF!</f>
        <v>#REF!</v>
      </c>
      <c r="AB658" s="315" t="e">
        <f>#REF!-#REF!</f>
        <v>#REF!</v>
      </c>
      <c r="AC658" s="315" t="e">
        <f>#REF!-#REF!</f>
        <v>#REF!</v>
      </c>
      <c r="AD658" s="315" t="e">
        <f>#REF!-#REF!</f>
        <v>#REF!</v>
      </c>
      <c r="AE658" s="315" t="e">
        <f>#REF!-#REF!</f>
        <v>#REF!</v>
      </c>
      <c r="AF658" s="315" t="e">
        <f>#REF!-#REF!</f>
        <v>#REF!</v>
      </c>
      <c r="AG658" s="315" t="e">
        <f>#REF!-#REF!</f>
        <v>#REF!</v>
      </c>
      <c r="AH658" s="315" t="e">
        <f>#REF!-#REF!</f>
        <v>#REF!</v>
      </c>
      <c r="AI658" s="315" t="e">
        <f>#REF!-#REF!</f>
        <v>#REF!</v>
      </c>
      <c r="AJ658" s="315" t="e">
        <f>#REF!-#REF!</f>
        <v>#REF!</v>
      </c>
      <c r="AK658" s="315" t="e">
        <f>#REF!-#REF!</f>
        <v>#REF!</v>
      </c>
      <c r="AL658" s="315" t="e">
        <f>#REF!-#REF!</f>
        <v>#REF!</v>
      </c>
      <c r="AM658" s="315" t="e">
        <f>#REF!-#REF!</f>
        <v>#REF!</v>
      </c>
      <c r="AN658" s="315" t="e">
        <f>#REF!-#REF!</f>
        <v>#REF!</v>
      </c>
      <c r="AO658" s="315" t="e">
        <f>#REF!-#REF!</f>
        <v>#REF!</v>
      </c>
      <c r="AP658" s="315" t="e">
        <f>#REF!-#REF!</f>
        <v>#REF!</v>
      </c>
      <c r="AQ658" s="315" t="e">
        <f>#REF!-#REF!</f>
        <v>#REF!</v>
      </c>
      <c r="AR658" s="315" t="e">
        <f>#REF!-#REF!</f>
        <v>#REF!</v>
      </c>
      <c r="AS658" s="315" t="e">
        <f>#REF!-#REF!</f>
        <v>#REF!</v>
      </c>
      <c r="AT658" s="315" t="e">
        <f>#REF!-#REF!</f>
        <v>#REF!</v>
      </c>
      <c r="AU658" s="315" t="e">
        <f>#REF!-#REF!</f>
        <v>#REF!</v>
      </c>
      <c r="AV658" s="315" t="e">
        <f>#REF!-#REF!</f>
        <v>#REF!</v>
      </c>
      <c r="AW658" s="315" t="e">
        <f>#REF!-#REF!</f>
        <v>#REF!</v>
      </c>
      <c r="AX658" s="315" t="e">
        <f>#REF!-#REF!</f>
        <v>#REF!</v>
      </c>
      <c r="AY658" s="315" t="e">
        <f>#REF!-#REF!</f>
        <v>#REF!</v>
      </c>
      <c r="AZ658" s="315" t="e">
        <f>#REF!-#REF!</f>
        <v>#REF!</v>
      </c>
      <c r="BA658" s="315" t="e">
        <f>#REF!-#REF!</f>
        <v>#REF!</v>
      </c>
      <c r="BB658" s="315" t="e">
        <f>#REF!-#REF!</f>
        <v>#REF!</v>
      </c>
      <c r="BC658" s="315" t="e">
        <f>#REF!-#REF!</f>
        <v>#REF!</v>
      </c>
      <c r="BD658" s="315" t="e">
        <f>#REF!-#REF!</f>
        <v>#REF!</v>
      </c>
      <c r="BE658" s="315" t="e">
        <f>#REF!-#REF!</f>
        <v>#REF!</v>
      </c>
      <c r="BF658" s="315" t="e">
        <f>#REF!-#REF!</f>
        <v>#REF!</v>
      </c>
      <c r="BG658" s="315" t="e">
        <f>#REF!-#REF!</f>
        <v>#REF!</v>
      </c>
      <c r="BH658" s="315" t="e">
        <f>#REF!-#REF!</f>
        <v>#REF!</v>
      </c>
      <c r="BI658" s="315" t="e">
        <f>#REF!-#REF!</f>
        <v>#REF!</v>
      </c>
      <c r="BJ658" s="315" t="e">
        <f>#REF!-#REF!</f>
        <v>#REF!</v>
      </c>
      <c r="BK658" s="315" t="e">
        <f>#REF!-#REF!</f>
        <v>#REF!</v>
      </c>
      <c r="BL658" s="315" t="e">
        <f>#REF!-#REF!</f>
        <v>#REF!</v>
      </c>
      <c r="BM658" s="315" t="e">
        <f>#REF!-#REF!</f>
        <v>#REF!</v>
      </c>
      <c r="BN658" s="315" t="e">
        <f>#REF!-#REF!</f>
        <v>#REF!</v>
      </c>
      <c r="BO658" s="315" t="e">
        <f>#REF!-#REF!</f>
        <v>#REF!</v>
      </c>
      <c r="BP658" s="315" t="e">
        <f>#REF!-#REF!</f>
        <v>#REF!</v>
      </c>
      <c r="BQ658" s="315" t="e">
        <f>#REF!-#REF!</f>
        <v>#REF!</v>
      </c>
      <c r="BR658" s="315" t="e">
        <f>#REF!-#REF!</f>
        <v>#REF!</v>
      </c>
      <c r="BS658" s="315" t="e">
        <f>#REF!-#REF!</f>
        <v>#REF!</v>
      </c>
      <c r="BT658" s="315" t="e">
        <f>#REF!-#REF!</f>
        <v>#REF!</v>
      </c>
      <c r="BU658" s="315" t="e">
        <f>#REF!-#REF!</f>
        <v>#REF!</v>
      </c>
      <c r="BV658" s="315" t="e">
        <f>#REF!-#REF!</f>
        <v>#REF!</v>
      </c>
      <c r="BW658" s="315" t="e">
        <f>#REF!-#REF!</f>
        <v>#REF!</v>
      </c>
      <c r="BX658" s="315" t="e">
        <f>#REF!-#REF!</f>
        <v>#REF!</v>
      </c>
      <c r="BZ658" s="315" t="e">
        <f>#REF!-#REF!</f>
        <v>#REF!</v>
      </c>
      <c r="CA658" s="315" t="e">
        <f>#REF!-#REF!</f>
        <v>#REF!</v>
      </c>
    </row>
    <row r="659" spans="7:79" hidden="1" x14ac:dyDescent="0.2">
      <c r="G659" s="315">
        <f t="shared" ref="G659:BR662" si="164">G240-BY240</f>
        <v>0</v>
      </c>
      <c r="H659" s="315">
        <f t="shared" si="164"/>
        <v>0</v>
      </c>
      <c r="I659" s="315">
        <f t="shared" si="164"/>
        <v>0</v>
      </c>
      <c r="J659" s="315">
        <f t="shared" si="164"/>
        <v>0</v>
      </c>
      <c r="K659" s="315">
        <f t="shared" si="164"/>
        <v>0</v>
      </c>
      <c r="L659" s="315">
        <f t="shared" si="164"/>
        <v>0</v>
      </c>
      <c r="M659" s="315">
        <f t="shared" si="164"/>
        <v>0</v>
      </c>
      <c r="N659" s="315">
        <f t="shared" si="164"/>
        <v>0</v>
      </c>
      <c r="O659" s="315">
        <f t="shared" si="164"/>
        <v>0</v>
      </c>
      <c r="P659" s="315">
        <f t="shared" si="164"/>
        <v>0</v>
      </c>
      <c r="Q659" s="315">
        <f t="shared" si="164"/>
        <v>0</v>
      </c>
      <c r="R659" s="315">
        <f t="shared" si="164"/>
        <v>0</v>
      </c>
      <c r="S659" s="315">
        <f t="shared" si="164"/>
        <v>0</v>
      </c>
      <c r="T659" s="315">
        <f t="shared" si="164"/>
        <v>0</v>
      </c>
      <c r="U659" s="315">
        <f t="shared" si="164"/>
        <v>0</v>
      </c>
      <c r="V659" s="315">
        <f t="shared" si="164"/>
        <v>0</v>
      </c>
      <c r="W659" s="315">
        <f t="shared" si="164"/>
        <v>0</v>
      </c>
      <c r="X659" s="315">
        <f t="shared" si="164"/>
        <v>0</v>
      </c>
      <c r="Y659" s="315">
        <f t="shared" si="164"/>
        <v>0</v>
      </c>
      <c r="Z659" s="315">
        <f t="shared" si="164"/>
        <v>0</v>
      </c>
      <c r="AA659" s="315">
        <f t="shared" si="164"/>
        <v>0</v>
      </c>
      <c r="AB659" s="315">
        <f t="shared" si="164"/>
        <v>0</v>
      </c>
      <c r="AC659" s="315">
        <f t="shared" si="164"/>
        <v>0</v>
      </c>
      <c r="AD659" s="315">
        <f t="shared" si="164"/>
        <v>0</v>
      </c>
      <c r="AE659" s="315">
        <f t="shared" si="164"/>
        <v>0</v>
      </c>
      <c r="AF659" s="315">
        <f t="shared" si="164"/>
        <v>0</v>
      </c>
      <c r="AG659" s="315">
        <f t="shared" si="164"/>
        <v>0</v>
      </c>
      <c r="AH659" s="315">
        <f t="shared" si="164"/>
        <v>0</v>
      </c>
      <c r="AI659" s="315">
        <f t="shared" si="164"/>
        <v>0</v>
      </c>
      <c r="AJ659" s="315">
        <f t="shared" si="164"/>
        <v>0</v>
      </c>
      <c r="AK659" s="315">
        <f t="shared" si="164"/>
        <v>0</v>
      </c>
      <c r="AL659" s="315">
        <f t="shared" si="164"/>
        <v>0</v>
      </c>
      <c r="AM659" s="315">
        <f t="shared" si="164"/>
        <v>0</v>
      </c>
      <c r="AN659" s="315">
        <f t="shared" si="164"/>
        <v>0</v>
      </c>
      <c r="AO659" s="315">
        <f t="shared" si="164"/>
        <v>0</v>
      </c>
      <c r="AP659" s="315">
        <f t="shared" si="164"/>
        <v>0</v>
      </c>
      <c r="AQ659" s="315">
        <f t="shared" si="164"/>
        <v>0</v>
      </c>
      <c r="AR659" s="315">
        <f t="shared" si="164"/>
        <v>0</v>
      </c>
      <c r="AS659" s="315">
        <f t="shared" si="164"/>
        <v>0</v>
      </c>
      <c r="AT659" s="315">
        <f t="shared" si="164"/>
        <v>0</v>
      </c>
      <c r="AU659" s="315">
        <f t="shared" si="164"/>
        <v>0</v>
      </c>
      <c r="AV659" s="315">
        <f t="shared" si="164"/>
        <v>0</v>
      </c>
      <c r="AW659" s="315">
        <f t="shared" si="164"/>
        <v>0</v>
      </c>
      <c r="AX659" s="315">
        <f t="shared" si="164"/>
        <v>0</v>
      </c>
      <c r="AY659" s="315">
        <f t="shared" si="164"/>
        <v>0</v>
      </c>
      <c r="AZ659" s="315">
        <f t="shared" si="164"/>
        <v>0</v>
      </c>
      <c r="BA659" s="315">
        <f t="shared" si="164"/>
        <v>0</v>
      </c>
      <c r="BB659" s="315">
        <f t="shared" si="164"/>
        <v>0</v>
      </c>
      <c r="BC659" s="315">
        <f t="shared" si="164"/>
        <v>0</v>
      </c>
      <c r="BD659" s="315">
        <f t="shared" si="164"/>
        <v>0</v>
      </c>
      <c r="BE659" s="315">
        <f t="shared" si="164"/>
        <v>0</v>
      </c>
      <c r="BF659" s="315">
        <f t="shared" si="164"/>
        <v>0</v>
      </c>
      <c r="BG659" s="315">
        <f t="shared" si="164"/>
        <v>0</v>
      </c>
      <c r="BH659" s="315">
        <f t="shared" si="164"/>
        <v>0</v>
      </c>
      <c r="BI659" s="315">
        <f t="shared" si="164"/>
        <v>0</v>
      </c>
      <c r="BJ659" s="315">
        <f t="shared" si="164"/>
        <v>0</v>
      </c>
      <c r="BK659" s="315">
        <f t="shared" si="164"/>
        <v>0</v>
      </c>
      <c r="BL659" s="315">
        <f t="shared" si="164"/>
        <v>0</v>
      </c>
      <c r="BM659" s="315">
        <f t="shared" si="164"/>
        <v>0</v>
      </c>
      <c r="BN659" s="315">
        <f t="shared" si="164"/>
        <v>0</v>
      </c>
      <c r="BO659" s="315">
        <f t="shared" si="164"/>
        <v>0</v>
      </c>
      <c r="BP659" s="315">
        <f t="shared" si="164"/>
        <v>0</v>
      </c>
      <c r="BQ659" s="315">
        <f t="shared" si="164"/>
        <v>0</v>
      </c>
      <c r="BR659" s="315">
        <f t="shared" si="164"/>
        <v>0</v>
      </c>
      <c r="BS659" s="315">
        <f t="shared" ref="BO659:BX662" si="165">BS240-EK240</f>
        <v>0</v>
      </c>
      <c r="BT659" s="315">
        <f t="shared" si="165"/>
        <v>0</v>
      </c>
      <c r="BU659" s="315">
        <f t="shared" si="165"/>
        <v>0</v>
      </c>
      <c r="BV659" s="315">
        <f t="shared" si="165"/>
        <v>0</v>
      </c>
      <c r="BW659" s="315">
        <f t="shared" si="165"/>
        <v>0</v>
      </c>
      <c r="BX659" s="315">
        <f t="shared" si="165"/>
        <v>0</v>
      </c>
      <c r="BZ659" s="315">
        <f t="shared" ref="BZ659:CA662" si="166">BZ240-ER240</f>
        <v>0</v>
      </c>
      <c r="CA659" s="315">
        <f t="shared" si="166"/>
        <v>0</v>
      </c>
    </row>
    <row r="660" spans="7:79" hidden="1" x14ac:dyDescent="0.2">
      <c r="G660" s="315">
        <f t="shared" si="164"/>
        <v>0</v>
      </c>
      <c r="H660" s="315">
        <f t="shared" si="164"/>
        <v>0</v>
      </c>
      <c r="I660" s="315">
        <f t="shared" si="164"/>
        <v>0</v>
      </c>
      <c r="J660" s="315">
        <f t="shared" si="164"/>
        <v>0</v>
      </c>
      <c r="K660" s="315">
        <f t="shared" si="164"/>
        <v>0</v>
      </c>
      <c r="L660" s="315">
        <f t="shared" si="164"/>
        <v>0</v>
      </c>
      <c r="M660" s="315">
        <f t="shared" si="164"/>
        <v>0</v>
      </c>
      <c r="N660" s="315">
        <f t="shared" si="164"/>
        <v>0</v>
      </c>
      <c r="O660" s="315">
        <f t="shared" si="164"/>
        <v>0</v>
      </c>
      <c r="P660" s="315">
        <f t="shared" si="164"/>
        <v>0</v>
      </c>
      <c r="Q660" s="315">
        <f t="shared" si="164"/>
        <v>0</v>
      </c>
      <c r="R660" s="315">
        <f t="shared" si="164"/>
        <v>0</v>
      </c>
      <c r="S660" s="315">
        <f t="shared" si="164"/>
        <v>0</v>
      </c>
      <c r="T660" s="315">
        <f t="shared" si="164"/>
        <v>0</v>
      </c>
      <c r="U660" s="315">
        <f t="shared" si="164"/>
        <v>0</v>
      </c>
      <c r="V660" s="315">
        <f t="shared" si="164"/>
        <v>0</v>
      </c>
      <c r="W660" s="315">
        <f t="shared" si="164"/>
        <v>0</v>
      </c>
      <c r="X660" s="315">
        <f t="shared" si="164"/>
        <v>0</v>
      </c>
      <c r="Y660" s="315">
        <f t="shared" si="164"/>
        <v>0</v>
      </c>
      <c r="Z660" s="315">
        <f t="shared" si="164"/>
        <v>0</v>
      </c>
      <c r="AA660" s="315">
        <f t="shared" si="164"/>
        <v>0</v>
      </c>
      <c r="AB660" s="315">
        <f t="shared" si="164"/>
        <v>0</v>
      </c>
      <c r="AC660" s="315">
        <f t="shared" si="164"/>
        <v>0</v>
      </c>
      <c r="AD660" s="315">
        <f t="shared" si="164"/>
        <v>0</v>
      </c>
      <c r="AE660" s="315">
        <f t="shared" si="164"/>
        <v>0</v>
      </c>
      <c r="AF660" s="315">
        <f t="shared" si="164"/>
        <v>0</v>
      </c>
      <c r="AG660" s="315">
        <f t="shared" si="164"/>
        <v>0</v>
      </c>
      <c r="AH660" s="315">
        <f t="shared" si="164"/>
        <v>0</v>
      </c>
      <c r="AI660" s="315">
        <f t="shared" si="164"/>
        <v>0</v>
      </c>
      <c r="AJ660" s="315">
        <f t="shared" si="164"/>
        <v>0</v>
      </c>
      <c r="AK660" s="315">
        <f t="shared" si="164"/>
        <v>0</v>
      </c>
      <c r="AL660" s="315">
        <f t="shared" si="164"/>
        <v>0</v>
      </c>
      <c r="AM660" s="315">
        <f t="shared" si="164"/>
        <v>0</v>
      </c>
      <c r="AN660" s="315">
        <f t="shared" si="164"/>
        <v>0</v>
      </c>
      <c r="AO660" s="315">
        <f t="shared" si="164"/>
        <v>0</v>
      </c>
      <c r="AP660" s="315">
        <f t="shared" si="164"/>
        <v>0</v>
      </c>
      <c r="AQ660" s="315">
        <f t="shared" si="164"/>
        <v>0</v>
      </c>
      <c r="AR660" s="315">
        <f t="shared" si="164"/>
        <v>0</v>
      </c>
      <c r="AS660" s="315">
        <f t="shared" si="164"/>
        <v>0</v>
      </c>
      <c r="AT660" s="315">
        <f t="shared" si="164"/>
        <v>0</v>
      </c>
      <c r="AU660" s="315">
        <f t="shared" si="164"/>
        <v>0</v>
      </c>
      <c r="AV660" s="315">
        <f t="shared" si="164"/>
        <v>0</v>
      </c>
      <c r="AW660" s="315">
        <f t="shared" si="164"/>
        <v>0</v>
      </c>
      <c r="AX660" s="315">
        <f t="shared" si="164"/>
        <v>0</v>
      </c>
      <c r="AY660" s="315">
        <f t="shared" si="164"/>
        <v>0</v>
      </c>
      <c r="AZ660" s="315">
        <f t="shared" si="164"/>
        <v>0</v>
      </c>
      <c r="BA660" s="315">
        <f t="shared" si="164"/>
        <v>0</v>
      </c>
      <c r="BB660" s="315">
        <f t="shared" si="164"/>
        <v>0</v>
      </c>
      <c r="BC660" s="315">
        <f t="shared" si="164"/>
        <v>0</v>
      </c>
      <c r="BD660" s="315">
        <f t="shared" si="164"/>
        <v>0</v>
      </c>
      <c r="BE660" s="315">
        <f t="shared" si="164"/>
        <v>0</v>
      </c>
      <c r="BF660" s="315">
        <f t="shared" si="164"/>
        <v>0</v>
      </c>
      <c r="BG660" s="315">
        <f t="shared" si="164"/>
        <v>0</v>
      </c>
      <c r="BH660" s="315">
        <f t="shared" si="164"/>
        <v>0</v>
      </c>
      <c r="BI660" s="315">
        <f t="shared" si="164"/>
        <v>0</v>
      </c>
      <c r="BJ660" s="315">
        <f t="shared" si="164"/>
        <v>0</v>
      </c>
      <c r="BK660" s="315">
        <f t="shared" si="164"/>
        <v>0</v>
      </c>
      <c r="BL660" s="315">
        <f t="shared" si="164"/>
        <v>0</v>
      </c>
      <c r="BM660" s="315">
        <f t="shared" si="164"/>
        <v>0</v>
      </c>
      <c r="BN660" s="315">
        <f t="shared" si="164"/>
        <v>0</v>
      </c>
      <c r="BO660" s="315">
        <f t="shared" si="165"/>
        <v>0</v>
      </c>
      <c r="BP660" s="315">
        <f t="shared" si="165"/>
        <v>0</v>
      </c>
      <c r="BQ660" s="315">
        <f t="shared" si="165"/>
        <v>0</v>
      </c>
      <c r="BR660" s="315">
        <f t="shared" si="165"/>
        <v>0</v>
      </c>
      <c r="BS660" s="315">
        <f t="shared" si="165"/>
        <v>0</v>
      </c>
      <c r="BT660" s="315">
        <f t="shared" si="165"/>
        <v>0</v>
      </c>
      <c r="BU660" s="315">
        <f t="shared" si="165"/>
        <v>0</v>
      </c>
      <c r="BV660" s="315">
        <f t="shared" si="165"/>
        <v>0</v>
      </c>
      <c r="BW660" s="315">
        <f t="shared" si="165"/>
        <v>0</v>
      </c>
      <c r="BX660" s="315">
        <f t="shared" si="165"/>
        <v>0</v>
      </c>
      <c r="BZ660" s="315">
        <f t="shared" si="166"/>
        <v>0</v>
      </c>
      <c r="CA660" s="315">
        <f t="shared" si="166"/>
        <v>0</v>
      </c>
    </row>
    <row r="661" spans="7:79" hidden="1" x14ac:dyDescent="0.2">
      <c r="G661" s="315">
        <f t="shared" si="164"/>
        <v>0</v>
      </c>
      <c r="H661" s="315">
        <f t="shared" si="164"/>
        <v>0</v>
      </c>
      <c r="I661" s="315">
        <f t="shared" si="164"/>
        <v>0</v>
      </c>
      <c r="J661" s="315">
        <f t="shared" si="164"/>
        <v>0</v>
      </c>
      <c r="K661" s="315">
        <f t="shared" si="164"/>
        <v>0</v>
      </c>
      <c r="L661" s="315">
        <f t="shared" si="164"/>
        <v>0</v>
      </c>
      <c r="M661" s="315">
        <f t="shared" si="164"/>
        <v>0</v>
      </c>
      <c r="N661" s="315">
        <f t="shared" si="164"/>
        <v>0</v>
      </c>
      <c r="O661" s="315">
        <f t="shared" si="164"/>
        <v>0</v>
      </c>
      <c r="P661" s="315">
        <f t="shared" si="164"/>
        <v>0</v>
      </c>
      <c r="Q661" s="315">
        <f t="shared" si="164"/>
        <v>0</v>
      </c>
      <c r="R661" s="315">
        <f t="shared" si="164"/>
        <v>0</v>
      </c>
      <c r="S661" s="315">
        <f t="shared" si="164"/>
        <v>0</v>
      </c>
      <c r="T661" s="315">
        <f t="shared" si="164"/>
        <v>0</v>
      </c>
      <c r="U661" s="315">
        <f t="shared" si="164"/>
        <v>0</v>
      </c>
      <c r="V661" s="315">
        <f t="shared" si="164"/>
        <v>0</v>
      </c>
      <c r="W661" s="315">
        <f t="shared" si="164"/>
        <v>0</v>
      </c>
      <c r="X661" s="315">
        <f t="shared" si="164"/>
        <v>0</v>
      </c>
      <c r="Y661" s="315">
        <f t="shared" si="164"/>
        <v>0</v>
      </c>
      <c r="Z661" s="315">
        <f t="shared" si="164"/>
        <v>0</v>
      </c>
      <c r="AA661" s="315">
        <f t="shared" si="164"/>
        <v>0</v>
      </c>
      <c r="AB661" s="315">
        <f t="shared" si="164"/>
        <v>0</v>
      </c>
      <c r="AC661" s="315">
        <f t="shared" si="164"/>
        <v>0</v>
      </c>
      <c r="AD661" s="315">
        <f t="shared" si="164"/>
        <v>0</v>
      </c>
      <c r="AE661" s="315">
        <f t="shared" si="164"/>
        <v>0</v>
      </c>
      <c r="AF661" s="315">
        <f t="shared" si="164"/>
        <v>0</v>
      </c>
      <c r="AG661" s="315">
        <f t="shared" si="164"/>
        <v>0</v>
      </c>
      <c r="AH661" s="315">
        <f t="shared" si="164"/>
        <v>0</v>
      </c>
      <c r="AI661" s="315">
        <f t="shared" si="164"/>
        <v>0</v>
      </c>
      <c r="AJ661" s="315">
        <f t="shared" si="164"/>
        <v>0</v>
      </c>
      <c r="AK661" s="315">
        <f t="shared" si="164"/>
        <v>0</v>
      </c>
      <c r="AL661" s="315">
        <f t="shared" si="164"/>
        <v>0</v>
      </c>
      <c r="AM661" s="315">
        <f t="shared" si="164"/>
        <v>0</v>
      </c>
      <c r="AN661" s="315">
        <f t="shared" si="164"/>
        <v>0</v>
      </c>
      <c r="AO661" s="315">
        <f t="shared" si="164"/>
        <v>0</v>
      </c>
      <c r="AP661" s="315">
        <f t="shared" si="164"/>
        <v>0</v>
      </c>
      <c r="AQ661" s="315">
        <f t="shared" si="164"/>
        <v>0</v>
      </c>
      <c r="AR661" s="315">
        <f t="shared" si="164"/>
        <v>0</v>
      </c>
      <c r="AS661" s="315">
        <f t="shared" si="164"/>
        <v>0</v>
      </c>
      <c r="AT661" s="315">
        <f t="shared" si="164"/>
        <v>0</v>
      </c>
      <c r="AU661" s="315">
        <f t="shared" si="164"/>
        <v>0</v>
      </c>
      <c r="AV661" s="315">
        <f t="shared" si="164"/>
        <v>0</v>
      </c>
      <c r="AW661" s="315">
        <f t="shared" si="164"/>
        <v>0</v>
      </c>
      <c r="AX661" s="315">
        <f t="shared" si="164"/>
        <v>0</v>
      </c>
      <c r="AY661" s="315">
        <f t="shared" si="164"/>
        <v>0</v>
      </c>
      <c r="AZ661" s="315">
        <f t="shared" si="164"/>
        <v>0</v>
      </c>
      <c r="BA661" s="315">
        <f t="shared" si="164"/>
        <v>0</v>
      </c>
      <c r="BB661" s="315">
        <f t="shared" si="164"/>
        <v>0</v>
      </c>
      <c r="BC661" s="315">
        <f t="shared" si="164"/>
        <v>0</v>
      </c>
      <c r="BD661" s="315">
        <f t="shared" si="164"/>
        <v>0</v>
      </c>
      <c r="BE661" s="315">
        <f t="shared" si="164"/>
        <v>0</v>
      </c>
      <c r="BF661" s="315">
        <f t="shared" si="164"/>
        <v>0</v>
      </c>
      <c r="BG661" s="315">
        <f t="shared" si="164"/>
        <v>0</v>
      </c>
      <c r="BH661" s="315">
        <f t="shared" si="164"/>
        <v>0</v>
      </c>
      <c r="BI661" s="315">
        <f t="shared" si="164"/>
        <v>0</v>
      </c>
      <c r="BJ661" s="315">
        <f t="shared" si="164"/>
        <v>0</v>
      </c>
      <c r="BK661" s="315">
        <f t="shared" si="164"/>
        <v>0</v>
      </c>
      <c r="BL661" s="315">
        <f t="shared" si="164"/>
        <v>0</v>
      </c>
      <c r="BM661" s="315">
        <f t="shared" si="164"/>
        <v>0</v>
      </c>
      <c r="BN661" s="315">
        <f t="shared" si="164"/>
        <v>0</v>
      </c>
      <c r="BO661" s="315">
        <f t="shared" si="165"/>
        <v>0</v>
      </c>
      <c r="BP661" s="315">
        <f t="shared" si="165"/>
        <v>0</v>
      </c>
      <c r="BQ661" s="315">
        <f t="shared" si="165"/>
        <v>0</v>
      </c>
      <c r="BR661" s="315">
        <f t="shared" si="165"/>
        <v>0</v>
      </c>
      <c r="BS661" s="315">
        <f t="shared" si="165"/>
        <v>0</v>
      </c>
      <c r="BT661" s="315">
        <f t="shared" si="165"/>
        <v>0</v>
      </c>
      <c r="BU661" s="315">
        <f t="shared" si="165"/>
        <v>0</v>
      </c>
      <c r="BV661" s="315">
        <f t="shared" si="165"/>
        <v>0</v>
      </c>
      <c r="BW661" s="315">
        <f t="shared" si="165"/>
        <v>0</v>
      </c>
      <c r="BX661" s="315">
        <f t="shared" si="165"/>
        <v>0</v>
      </c>
      <c r="BZ661" s="315">
        <f t="shared" si="166"/>
        <v>0</v>
      </c>
      <c r="CA661" s="315">
        <f t="shared" si="166"/>
        <v>0</v>
      </c>
    </row>
    <row r="662" spans="7:79" hidden="1" x14ac:dyDescent="0.2">
      <c r="G662" s="315">
        <f t="shared" si="164"/>
        <v>0</v>
      </c>
      <c r="H662" s="315">
        <f t="shared" si="164"/>
        <v>0</v>
      </c>
      <c r="I662" s="315">
        <f t="shared" si="164"/>
        <v>0</v>
      </c>
      <c r="J662" s="315">
        <f t="shared" si="164"/>
        <v>0</v>
      </c>
      <c r="K662" s="315">
        <f t="shared" si="164"/>
        <v>0</v>
      </c>
      <c r="L662" s="315">
        <f t="shared" si="164"/>
        <v>0</v>
      </c>
      <c r="M662" s="315">
        <f t="shared" si="164"/>
        <v>0</v>
      </c>
      <c r="N662" s="315">
        <f t="shared" si="164"/>
        <v>0</v>
      </c>
      <c r="O662" s="315">
        <f t="shared" si="164"/>
        <v>0</v>
      </c>
      <c r="P662" s="315">
        <f t="shared" si="164"/>
        <v>0</v>
      </c>
      <c r="Q662" s="315">
        <f t="shared" si="164"/>
        <v>0</v>
      </c>
      <c r="R662" s="315">
        <f t="shared" si="164"/>
        <v>0</v>
      </c>
      <c r="S662" s="315">
        <f t="shared" si="164"/>
        <v>0</v>
      </c>
      <c r="T662" s="315">
        <f t="shared" si="164"/>
        <v>0</v>
      </c>
      <c r="U662" s="315">
        <f t="shared" si="164"/>
        <v>0</v>
      </c>
      <c r="V662" s="315">
        <f t="shared" si="164"/>
        <v>0</v>
      </c>
      <c r="W662" s="315">
        <f t="shared" si="164"/>
        <v>0</v>
      </c>
      <c r="X662" s="315">
        <f t="shared" si="164"/>
        <v>0</v>
      </c>
      <c r="Y662" s="315">
        <f t="shared" si="164"/>
        <v>0</v>
      </c>
      <c r="Z662" s="315">
        <f t="shared" si="164"/>
        <v>0</v>
      </c>
      <c r="AA662" s="315">
        <f t="shared" si="164"/>
        <v>0</v>
      </c>
      <c r="AB662" s="315">
        <f t="shared" si="164"/>
        <v>0</v>
      </c>
      <c r="AC662" s="315">
        <f t="shared" si="164"/>
        <v>0</v>
      </c>
      <c r="AD662" s="315">
        <f t="shared" si="164"/>
        <v>0</v>
      </c>
      <c r="AE662" s="315">
        <f t="shared" si="164"/>
        <v>0</v>
      </c>
      <c r="AF662" s="315">
        <f t="shared" si="164"/>
        <v>0</v>
      </c>
      <c r="AG662" s="315">
        <f t="shared" si="164"/>
        <v>0</v>
      </c>
      <c r="AH662" s="315">
        <f t="shared" si="164"/>
        <v>0</v>
      </c>
      <c r="AI662" s="315">
        <f t="shared" si="164"/>
        <v>0</v>
      </c>
      <c r="AJ662" s="315">
        <f t="shared" si="164"/>
        <v>0</v>
      </c>
      <c r="AK662" s="315">
        <f t="shared" si="164"/>
        <v>0</v>
      </c>
      <c r="AL662" s="315">
        <f t="shared" si="164"/>
        <v>0</v>
      </c>
      <c r="AM662" s="315">
        <f t="shared" si="164"/>
        <v>0</v>
      </c>
      <c r="AN662" s="315">
        <f t="shared" si="164"/>
        <v>0</v>
      </c>
      <c r="AO662" s="315">
        <f t="shared" si="164"/>
        <v>0</v>
      </c>
      <c r="AP662" s="315">
        <f t="shared" si="164"/>
        <v>0</v>
      </c>
      <c r="AQ662" s="315">
        <f t="shared" si="164"/>
        <v>0</v>
      </c>
      <c r="AR662" s="315">
        <f t="shared" si="164"/>
        <v>0</v>
      </c>
      <c r="AS662" s="315">
        <f t="shared" si="164"/>
        <v>0</v>
      </c>
      <c r="AT662" s="315">
        <f t="shared" si="164"/>
        <v>0</v>
      </c>
      <c r="AU662" s="315">
        <f t="shared" si="164"/>
        <v>0</v>
      </c>
      <c r="AV662" s="315">
        <f t="shared" si="164"/>
        <v>0</v>
      </c>
      <c r="AW662" s="315">
        <f t="shared" si="164"/>
        <v>0</v>
      </c>
      <c r="AX662" s="315">
        <f t="shared" si="164"/>
        <v>0</v>
      </c>
      <c r="AY662" s="315">
        <f t="shared" si="164"/>
        <v>0</v>
      </c>
      <c r="AZ662" s="315">
        <f t="shared" si="164"/>
        <v>0</v>
      </c>
      <c r="BA662" s="315">
        <f t="shared" si="164"/>
        <v>0</v>
      </c>
      <c r="BB662" s="315">
        <f t="shared" si="164"/>
        <v>0</v>
      </c>
      <c r="BC662" s="315">
        <f t="shared" si="164"/>
        <v>0</v>
      </c>
      <c r="BD662" s="315">
        <f t="shared" si="164"/>
        <v>0</v>
      </c>
      <c r="BE662" s="315">
        <f t="shared" si="164"/>
        <v>0</v>
      </c>
      <c r="BF662" s="315">
        <f t="shared" si="164"/>
        <v>0</v>
      </c>
      <c r="BG662" s="315">
        <f t="shared" si="164"/>
        <v>0</v>
      </c>
      <c r="BH662" s="315">
        <f t="shared" si="164"/>
        <v>0</v>
      </c>
      <c r="BI662" s="315">
        <f t="shared" si="164"/>
        <v>0</v>
      </c>
      <c r="BJ662" s="315">
        <f t="shared" si="164"/>
        <v>0</v>
      </c>
      <c r="BK662" s="315">
        <f t="shared" si="164"/>
        <v>0</v>
      </c>
      <c r="BL662" s="315">
        <f t="shared" si="164"/>
        <v>0</v>
      </c>
      <c r="BM662" s="315">
        <f t="shared" si="164"/>
        <v>0</v>
      </c>
      <c r="BN662" s="315">
        <f t="shared" si="164"/>
        <v>0</v>
      </c>
      <c r="BO662" s="315">
        <f t="shared" si="165"/>
        <v>0</v>
      </c>
      <c r="BP662" s="315">
        <f t="shared" si="165"/>
        <v>0</v>
      </c>
      <c r="BQ662" s="315">
        <f t="shared" si="165"/>
        <v>0</v>
      </c>
      <c r="BR662" s="315">
        <f t="shared" si="165"/>
        <v>0</v>
      </c>
      <c r="BS662" s="315">
        <f t="shared" si="165"/>
        <v>0</v>
      </c>
      <c r="BT662" s="315">
        <f t="shared" si="165"/>
        <v>0</v>
      </c>
      <c r="BU662" s="315">
        <f t="shared" si="165"/>
        <v>0</v>
      </c>
      <c r="BV662" s="315">
        <f t="shared" si="165"/>
        <v>0</v>
      </c>
      <c r="BW662" s="315">
        <f t="shared" si="165"/>
        <v>0</v>
      </c>
      <c r="BX662" s="315">
        <f t="shared" si="165"/>
        <v>0</v>
      </c>
      <c r="BZ662" s="315">
        <f t="shared" si="166"/>
        <v>0</v>
      </c>
      <c r="CA662" s="315">
        <f t="shared" si="166"/>
        <v>0</v>
      </c>
    </row>
    <row r="663" spans="7:79" hidden="1" x14ac:dyDescent="0.2">
      <c r="G663" s="315">
        <f t="shared" ref="G663:BR663" si="167">G245-BY245</f>
        <v>0</v>
      </c>
      <c r="H663" s="315">
        <f t="shared" si="167"/>
        <v>0</v>
      </c>
      <c r="I663" s="315">
        <f t="shared" si="167"/>
        <v>0</v>
      </c>
      <c r="J663" s="315">
        <f t="shared" si="167"/>
        <v>0</v>
      </c>
      <c r="K663" s="315">
        <f t="shared" si="167"/>
        <v>0</v>
      </c>
      <c r="L663" s="315">
        <f t="shared" si="167"/>
        <v>0</v>
      </c>
      <c r="M663" s="315">
        <f t="shared" si="167"/>
        <v>0</v>
      </c>
      <c r="N663" s="315">
        <f t="shared" si="167"/>
        <v>0</v>
      </c>
      <c r="O663" s="315">
        <f t="shared" si="167"/>
        <v>0</v>
      </c>
      <c r="P663" s="315">
        <f t="shared" si="167"/>
        <v>0</v>
      </c>
      <c r="Q663" s="315">
        <f t="shared" si="167"/>
        <v>0</v>
      </c>
      <c r="R663" s="315">
        <f t="shared" si="167"/>
        <v>0</v>
      </c>
      <c r="S663" s="315">
        <f t="shared" si="167"/>
        <v>0</v>
      </c>
      <c r="T663" s="315">
        <f t="shared" si="167"/>
        <v>0</v>
      </c>
      <c r="U663" s="315">
        <f t="shared" si="167"/>
        <v>0</v>
      </c>
      <c r="V663" s="315">
        <f t="shared" si="167"/>
        <v>0</v>
      </c>
      <c r="W663" s="315">
        <f t="shared" si="167"/>
        <v>0</v>
      </c>
      <c r="X663" s="315">
        <f t="shared" si="167"/>
        <v>0</v>
      </c>
      <c r="Y663" s="315">
        <f t="shared" si="167"/>
        <v>0</v>
      </c>
      <c r="Z663" s="315">
        <f t="shared" si="167"/>
        <v>0</v>
      </c>
      <c r="AA663" s="315">
        <f t="shared" si="167"/>
        <v>0</v>
      </c>
      <c r="AB663" s="315">
        <f t="shared" si="167"/>
        <v>0</v>
      </c>
      <c r="AC663" s="315">
        <f t="shared" si="167"/>
        <v>0</v>
      </c>
      <c r="AD663" s="315">
        <f t="shared" si="167"/>
        <v>0</v>
      </c>
      <c r="AE663" s="315">
        <f t="shared" si="167"/>
        <v>0</v>
      </c>
      <c r="AF663" s="315">
        <f t="shared" si="167"/>
        <v>0</v>
      </c>
      <c r="AG663" s="315">
        <f t="shared" si="167"/>
        <v>0</v>
      </c>
      <c r="AH663" s="315">
        <f t="shared" si="167"/>
        <v>0</v>
      </c>
      <c r="AI663" s="315">
        <f t="shared" si="167"/>
        <v>0</v>
      </c>
      <c r="AJ663" s="315">
        <f t="shared" si="167"/>
        <v>0</v>
      </c>
      <c r="AK663" s="315">
        <f t="shared" si="167"/>
        <v>0</v>
      </c>
      <c r="AL663" s="315">
        <f t="shared" si="167"/>
        <v>0</v>
      </c>
      <c r="AM663" s="315">
        <f t="shared" si="167"/>
        <v>0</v>
      </c>
      <c r="AN663" s="315">
        <f t="shared" si="167"/>
        <v>0</v>
      </c>
      <c r="AO663" s="315">
        <f t="shared" si="167"/>
        <v>0</v>
      </c>
      <c r="AP663" s="315">
        <f t="shared" si="167"/>
        <v>0</v>
      </c>
      <c r="AQ663" s="315">
        <f t="shared" si="167"/>
        <v>0</v>
      </c>
      <c r="AR663" s="315">
        <f t="shared" si="167"/>
        <v>0</v>
      </c>
      <c r="AS663" s="315">
        <f t="shared" si="167"/>
        <v>0</v>
      </c>
      <c r="AT663" s="315">
        <f t="shared" si="167"/>
        <v>0</v>
      </c>
      <c r="AU663" s="315">
        <f t="shared" si="167"/>
        <v>0</v>
      </c>
      <c r="AV663" s="315">
        <f t="shared" si="167"/>
        <v>0</v>
      </c>
      <c r="AW663" s="315">
        <f t="shared" si="167"/>
        <v>0</v>
      </c>
      <c r="AX663" s="315">
        <f t="shared" si="167"/>
        <v>0</v>
      </c>
      <c r="AY663" s="315">
        <f t="shared" si="167"/>
        <v>0</v>
      </c>
      <c r="AZ663" s="315">
        <f t="shared" si="167"/>
        <v>0</v>
      </c>
      <c r="BA663" s="315">
        <f t="shared" si="167"/>
        <v>0</v>
      </c>
      <c r="BB663" s="315">
        <f t="shared" si="167"/>
        <v>0</v>
      </c>
      <c r="BC663" s="315">
        <f t="shared" si="167"/>
        <v>0</v>
      </c>
      <c r="BD663" s="315">
        <f t="shared" si="167"/>
        <v>0</v>
      </c>
      <c r="BE663" s="315">
        <f t="shared" si="167"/>
        <v>0</v>
      </c>
      <c r="BF663" s="315">
        <f t="shared" si="167"/>
        <v>0</v>
      </c>
      <c r="BG663" s="315">
        <f t="shared" si="167"/>
        <v>0</v>
      </c>
      <c r="BH663" s="315">
        <f t="shared" si="167"/>
        <v>0</v>
      </c>
      <c r="BI663" s="315">
        <f t="shared" si="167"/>
        <v>0</v>
      </c>
      <c r="BJ663" s="315">
        <f t="shared" si="167"/>
        <v>0</v>
      </c>
      <c r="BK663" s="315">
        <f t="shared" si="167"/>
        <v>0</v>
      </c>
      <c r="BL663" s="315">
        <f t="shared" si="167"/>
        <v>0</v>
      </c>
      <c r="BM663" s="315">
        <f t="shared" si="167"/>
        <v>0</v>
      </c>
      <c r="BN663" s="315">
        <f t="shared" si="167"/>
        <v>0</v>
      </c>
      <c r="BO663" s="315">
        <f t="shared" si="167"/>
        <v>0</v>
      </c>
      <c r="BP663" s="315">
        <f t="shared" si="167"/>
        <v>0</v>
      </c>
      <c r="BQ663" s="315">
        <f t="shared" si="167"/>
        <v>0</v>
      </c>
      <c r="BR663" s="315">
        <f t="shared" si="167"/>
        <v>0</v>
      </c>
      <c r="BS663" s="315">
        <f t="shared" ref="BS663:BX663" si="168">BS245-EK245</f>
        <v>0</v>
      </c>
      <c r="BT663" s="315">
        <f t="shared" si="168"/>
        <v>0</v>
      </c>
      <c r="BU663" s="315">
        <f t="shared" si="168"/>
        <v>0</v>
      </c>
      <c r="BV663" s="315">
        <f t="shared" si="168"/>
        <v>0</v>
      </c>
      <c r="BW663" s="315">
        <f t="shared" si="168"/>
        <v>0</v>
      </c>
      <c r="BX663" s="315">
        <f t="shared" si="168"/>
        <v>0</v>
      </c>
      <c r="BZ663" s="315">
        <f>BZ245-ER245</f>
        <v>0</v>
      </c>
      <c r="CA663" s="315">
        <f>CA245-ES245</f>
        <v>0</v>
      </c>
    </row>
    <row r="664" spans="7:79" hidden="1" x14ac:dyDescent="0.2">
      <c r="G664" s="315">
        <f t="shared" ref="G664:BR667" si="169">G252-BY252</f>
        <v>0</v>
      </c>
      <c r="H664" s="315">
        <f t="shared" si="169"/>
        <v>0</v>
      </c>
      <c r="I664" s="315">
        <f t="shared" si="169"/>
        <v>0</v>
      </c>
      <c r="J664" s="315">
        <f t="shared" si="169"/>
        <v>0</v>
      </c>
      <c r="K664" s="315">
        <f t="shared" si="169"/>
        <v>0</v>
      </c>
      <c r="L664" s="315">
        <f t="shared" si="169"/>
        <v>0</v>
      </c>
      <c r="M664" s="315">
        <f t="shared" si="169"/>
        <v>0</v>
      </c>
      <c r="N664" s="315">
        <f t="shared" si="169"/>
        <v>0</v>
      </c>
      <c r="O664" s="315">
        <f t="shared" si="169"/>
        <v>0</v>
      </c>
      <c r="P664" s="315">
        <f t="shared" si="169"/>
        <v>0</v>
      </c>
      <c r="Q664" s="315">
        <f t="shared" si="169"/>
        <v>0</v>
      </c>
      <c r="R664" s="315">
        <f t="shared" si="169"/>
        <v>0</v>
      </c>
      <c r="S664" s="315">
        <f t="shared" si="169"/>
        <v>0</v>
      </c>
      <c r="T664" s="315">
        <f t="shared" si="169"/>
        <v>0</v>
      </c>
      <c r="U664" s="315">
        <f t="shared" si="169"/>
        <v>0</v>
      </c>
      <c r="V664" s="315">
        <f t="shared" si="169"/>
        <v>0</v>
      </c>
      <c r="W664" s="315">
        <f t="shared" si="169"/>
        <v>0</v>
      </c>
      <c r="X664" s="315">
        <f t="shared" si="169"/>
        <v>0</v>
      </c>
      <c r="Y664" s="315">
        <f t="shared" si="169"/>
        <v>0</v>
      </c>
      <c r="Z664" s="315">
        <f t="shared" si="169"/>
        <v>0</v>
      </c>
      <c r="AA664" s="315">
        <f t="shared" si="169"/>
        <v>0</v>
      </c>
      <c r="AB664" s="315">
        <f t="shared" si="169"/>
        <v>0</v>
      </c>
      <c r="AC664" s="315">
        <f t="shared" si="169"/>
        <v>0</v>
      </c>
      <c r="AD664" s="315">
        <f t="shared" si="169"/>
        <v>0</v>
      </c>
      <c r="AE664" s="315">
        <f t="shared" si="169"/>
        <v>0</v>
      </c>
      <c r="AF664" s="315">
        <f t="shared" si="169"/>
        <v>0</v>
      </c>
      <c r="AG664" s="315">
        <f t="shared" si="169"/>
        <v>0</v>
      </c>
      <c r="AH664" s="315">
        <f t="shared" si="169"/>
        <v>0</v>
      </c>
      <c r="AI664" s="315">
        <f t="shared" si="169"/>
        <v>0</v>
      </c>
      <c r="AJ664" s="315">
        <f t="shared" si="169"/>
        <v>0</v>
      </c>
      <c r="AK664" s="315">
        <f t="shared" si="169"/>
        <v>0</v>
      </c>
      <c r="AL664" s="315">
        <f t="shared" si="169"/>
        <v>0</v>
      </c>
      <c r="AM664" s="315">
        <f t="shared" si="169"/>
        <v>0</v>
      </c>
      <c r="AN664" s="315">
        <f t="shared" si="169"/>
        <v>0</v>
      </c>
      <c r="AO664" s="315">
        <f t="shared" si="169"/>
        <v>0</v>
      </c>
      <c r="AP664" s="315">
        <f t="shared" si="169"/>
        <v>0</v>
      </c>
      <c r="AQ664" s="315">
        <f t="shared" si="169"/>
        <v>0</v>
      </c>
      <c r="AR664" s="315">
        <f t="shared" si="169"/>
        <v>0</v>
      </c>
      <c r="AS664" s="315">
        <f t="shared" si="169"/>
        <v>0</v>
      </c>
      <c r="AT664" s="315">
        <f t="shared" si="169"/>
        <v>0</v>
      </c>
      <c r="AU664" s="315">
        <f t="shared" si="169"/>
        <v>0</v>
      </c>
      <c r="AV664" s="315">
        <f t="shared" si="169"/>
        <v>0</v>
      </c>
      <c r="AW664" s="315">
        <f t="shared" si="169"/>
        <v>0</v>
      </c>
      <c r="AX664" s="315">
        <f t="shared" si="169"/>
        <v>0</v>
      </c>
      <c r="AY664" s="315">
        <f t="shared" si="169"/>
        <v>0</v>
      </c>
      <c r="AZ664" s="315">
        <f t="shared" si="169"/>
        <v>0</v>
      </c>
      <c r="BA664" s="315">
        <f t="shared" si="169"/>
        <v>0</v>
      </c>
      <c r="BB664" s="315">
        <f t="shared" si="169"/>
        <v>0</v>
      </c>
      <c r="BC664" s="315">
        <f t="shared" si="169"/>
        <v>0</v>
      </c>
      <c r="BD664" s="315">
        <f t="shared" si="169"/>
        <v>0</v>
      </c>
      <c r="BE664" s="315">
        <f t="shared" si="169"/>
        <v>0</v>
      </c>
      <c r="BF664" s="315">
        <f t="shared" si="169"/>
        <v>0</v>
      </c>
      <c r="BG664" s="315">
        <f t="shared" si="169"/>
        <v>0</v>
      </c>
      <c r="BH664" s="315">
        <f t="shared" si="169"/>
        <v>0</v>
      </c>
      <c r="BI664" s="315">
        <f t="shared" si="169"/>
        <v>0</v>
      </c>
      <c r="BJ664" s="315">
        <f t="shared" si="169"/>
        <v>0</v>
      </c>
      <c r="BK664" s="315">
        <f t="shared" si="169"/>
        <v>0</v>
      </c>
      <c r="BL664" s="315">
        <f t="shared" si="169"/>
        <v>0</v>
      </c>
      <c r="BM664" s="315">
        <f t="shared" si="169"/>
        <v>0</v>
      </c>
      <c r="BN664" s="315">
        <f t="shared" si="169"/>
        <v>0</v>
      </c>
      <c r="BO664" s="315">
        <f t="shared" si="169"/>
        <v>0</v>
      </c>
      <c r="BP664" s="315">
        <f t="shared" si="169"/>
        <v>0</v>
      </c>
      <c r="BQ664" s="315">
        <f t="shared" si="169"/>
        <v>0</v>
      </c>
      <c r="BR664" s="315">
        <f t="shared" si="169"/>
        <v>0</v>
      </c>
      <c r="BS664" s="315">
        <f t="shared" ref="BS664:BX673" si="170">BS252-EK252</f>
        <v>0</v>
      </c>
      <c r="BT664" s="315">
        <f t="shared" si="170"/>
        <v>0</v>
      </c>
      <c r="BU664" s="315">
        <f t="shared" si="170"/>
        <v>0</v>
      </c>
      <c r="BV664" s="315">
        <f t="shared" si="170"/>
        <v>0</v>
      </c>
      <c r="BW664" s="315">
        <f t="shared" si="170"/>
        <v>0</v>
      </c>
      <c r="BX664" s="315">
        <f t="shared" si="170"/>
        <v>0</v>
      </c>
      <c r="BZ664" s="315">
        <f t="shared" ref="BZ664:CA673" si="171">BZ252-ER252</f>
        <v>0</v>
      </c>
      <c r="CA664" s="315">
        <f t="shared" si="171"/>
        <v>0</v>
      </c>
    </row>
    <row r="665" spans="7:79" hidden="1" x14ac:dyDescent="0.2">
      <c r="G665" s="315">
        <f t="shared" si="169"/>
        <v>-10134767</v>
      </c>
      <c r="H665" s="315">
        <f t="shared" si="169"/>
        <v>0</v>
      </c>
      <c r="I665" s="315">
        <f t="shared" si="169"/>
        <v>0</v>
      </c>
      <c r="J665" s="315">
        <f t="shared" si="169"/>
        <v>0</v>
      </c>
      <c r="K665" s="315">
        <f t="shared" si="169"/>
        <v>0</v>
      </c>
      <c r="L665" s="315">
        <f t="shared" si="169"/>
        <v>-2013939</v>
      </c>
      <c r="M665" s="315">
        <f t="shared" si="169"/>
        <v>0</v>
      </c>
      <c r="N665" s="315">
        <f t="shared" si="169"/>
        <v>0</v>
      </c>
      <c r="O665" s="315">
        <f t="shared" si="169"/>
        <v>0</v>
      </c>
      <c r="P665" s="315">
        <f t="shared" si="169"/>
        <v>0</v>
      </c>
      <c r="Q665" s="315">
        <f t="shared" si="169"/>
        <v>-468022</v>
      </c>
      <c r="R665" s="315">
        <f t="shared" si="169"/>
        <v>0</v>
      </c>
      <c r="S665" s="315">
        <f t="shared" si="169"/>
        <v>0</v>
      </c>
      <c r="T665" s="315">
        <f t="shared" si="169"/>
        <v>0</v>
      </c>
      <c r="U665" s="315">
        <f t="shared" si="169"/>
        <v>0</v>
      </c>
      <c r="V665" s="315">
        <f t="shared" si="169"/>
        <v>-1476097</v>
      </c>
      <c r="W665" s="315">
        <f t="shared" si="169"/>
        <v>0</v>
      </c>
      <c r="X665" s="315">
        <f t="shared" si="169"/>
        <v>0</v>
      </c>
      <c r="Y665" s="315">
        <f t="shared" si="169"/>
        <v>0</v>
      </c>
      <c r="Z665" s="315">
        <f t="shared" si="169"/>
        <v>0</v>
      </c>
      <c r="AA665" s="315">
        <f t="shared" si="169"/>
        <v>-866869</v>
      </c>
      <c r="AB665" s="315">
        <f t="shared" si="169"/>
        <v>0</v>
      </c>
      <c r="AC665" s="315">
        <f t="shared" si="169"/>
        <v>0</v>
      </c>
      <c r="AD665" s="315">
        <f t="shared" si="169"/>
        <v>0</v>
      </c>
      <c r="AE665" s="315">
        <f t="shared" si="169"/>
        <v>0</v>
      </c>
      <c r="AF665" s="315">
        <f t="shared" si="169"/>
        <v>-839811</v>
      </c>
      <c r="AG665" s="315">
        <f t="shared" si="169"/>
        <v>0</v>
      </c>
      <c r="AH665" s="315">
        <f t="shared" si="169"/>
        <v>0</v>
      </c>
      <c r="AI665" s="315">
        <f t="shared" si="169"/>
        <v>0</v>
      </c>
      <c r="AJ665" s="315">
        <f t="shared" si="169"/>
        <v>0</v>
      </c>
      <c r="AK665" s="315">
        <f t="shared" si="169"/>
        <v>-1526908</v>
      </c>
      <c r="AL665" s="315">
        <f t="shared" si="169"/>
        <v>0</v>
      </c>
      <c r="AM665" s="315">
        <f t="shared" si="169"/>
        <v>0</v>
      </c>
      <c r="AN665" s="315">
        <f t="shared" si="169"/>
        <v>0</v>
      </c>
      <c r="AO665" s="315">
        <f t="shared" si="169"/>
        <v>0</v>
      </c>
      <c r="AP665" s="315">
        <f t="shared" si="169"/>
        <v>-181902</v>
      </c>
      <c r="AQ665" s="315">
        <f t="shared" si="169"/>
        <v>0</v>
      </c>
      <c r="AR665" s="315">
        <f t="shared" si="169"/>
        <v>0</v>
      </c>
      <c r="AS665" s="315">
        <f t="shared" si="169"/>
        <v>0</v>
      </c>
      <c r="AT665" s="315">
        <f t="shared" si="169"/>
        <v>0</v>
      </c>
      <c r="AU665" s="315">
        <f t="shared" si="169"/>
        <v>-229813</v>
      </c>
      <c r="AV665" s="315">
        <f t="shared" si="169"/>
        <v>0</v>
      </c>
      <c r="AW665" s="315">
        <f t="shared" si="169"/>
        <v>0</v>
      </c>
      <c r="AX665" s="315">
        <f t="shared" si="169"/>
        <v>0</v>
      </c>
      <c r="AY665" s="315">
        <f t="shared" si="169"/>
        <v>0</v>
      </c>
      <c r="AZ665" s="315">
        <f t="shared" si="169"/>
        <v>-779474</v>
      </c>
      <c r="BA665" s="315">
        <f t="shared" si="169"/>
        <v>0</v>
      </c>
      <c r="BB665" s="315">
        <f t="shared" si="169"/>
        <v>0</v>
      </c>
      <c r="BC665" s="315">
        <f t="shared" si="169"/>
        <v>0</v>
      </c>
      <c r="BD665" s="315">
        <f t="shared" si="169"/>
        <v>0</v>
      </c>
      <c r="BE665" s="315">
        <f t="shared" si="169"/>
        <v>-284285</v>
      </c>
      <c r="BF665" s="315">
        <f t="shared" si="169"/>
        <v>0</v>
      </c>
      <c r="BG665" s="315">
        <f t="shared" si="169"/>
        <v>0</v>
      </c>
      <c r="BH665" s="315">
        <f t="shared" si="169"/>
        <v>0</v>
      </c>
      <c r="BI665" s="315">
        <f t="shared" si="169"/>
        <v>0</v>
      </c>
      <c r="BJ665" s="315">
        <f t="shared" si="169"/>
        <v>-187248</v>
      </c>
      <c r="BK665" s="315">
        <f t="shared" si="169"/>
        <v>0</v>
      </c>
      <c r="BL665" s="315">
        <f t="shared" si="169"/>
        <v>0</v>
      </c>
      <c r="BM665" s="315">
        <f t="shared" si="169"/>
        <v>0</v>
      </c>
      <c r="BN665" s="315">
        <f t="shared" si="169"/>
        <v>0</v>
      </c>
      <c r="BO665" s="315">
        <f t="shared" si="169"/>
        <v>-1280399</v>
      </c>
      <c r="BP665" s="315">
        <f t="shared" si="169"/>
        <v>0</v>
      </c>
      <c r="BQ665" s="315">
        <f t="shared" si="169"/>
        <v>0</v>
      </c>
      <c r="BR665" s="315">
        <f t="shared" si="169"/>
        <v>0</v>
      </c>
      <c r="BS665" s="315">
        <f t="shared" si="170"/>
        <v>0</v>
      </c>
      <c r="BT665" s="315">
        <f t="shared" si="170"/>
        <v>-7373548</v>
      </c>
      <c r="BU665" s="315">
        <f t="shared" si="170"/>
        <v>0</v>
      </c>
      <c r="BV665" s="315">
        <f t="shared" si="170"/>
        <v>0</v>
      </c>
      <c r="BW665" s="315">
        <f t="shared" si="170"/>
        <v>0</v>
      </c>
      <c r="BX665" s="315">
        <f t="shared" si="170"/>
        <v>0</v>
      </c>
      <c r="BZ665" s="315">
        <f t="shared" si="171"/>
        <v>0</v>
      </c>
      <c r="CA665" s="315">
        <f t="shared" si="171"/>
        <v>0</v>
      </c>
    </row>
    <row r="666" spans="7:79" hidden="1" x14ac:dyDescent="0.2">
      <c r="G666" s="315">
        <f t="shared" si="169"/>
        <v>-11448027</v>
      </c>
      <c r="H666" s="315">
        <f t="shared" si="169"/>
        <v>0</v>
      </c>
      <c r="I666" s="315">
        <f t="shared" si="169"/>
        <v>0</v>
      </c>
      <c r="J666" s="315">
        <f t="shared" si="169"/>
        <v>0</v>
      </c>
      <c r="K666" s="315">
        <f t="shared" si="169"/>
        <v>0</v>
      </c>
      <c r="L666" s="315">
        <f t="shared" si="169"/>
        <v>-2304855</v>
      </c>
      <c r="M666" s="315">
        <f t="shared" si="169"/>
        <v>0</v>
      </c>
      <c r="N666" s="315">
        <f t="shared" si="169"/>
        <v>0</v>
      </c>
      <c r="O666" s="315">
        <f t="shared" si="169"/>
        <v>0</v>
      </c>
      <c r="P666" s="315">
        <f t="shared" si="169"/>
        <v>0</v>
      </c>
      <c r="Q666" s="315">
        <f t="shared" si="169"/>
        <v>-536430</v>
      </c>
      <c r="R666" s="315">
        <f t="shared" si="169"/>
        <v>0</v>
      </c>
      <c r="S666" s="315">
        <f t="shared" si="169"/>
        <v>0</v>
      </c>
      <c r="T666" s="315">
        <f t="shared" si="169"/>
        <v>0</v>
      </c>
      <c r="U666" s="315">
        <f t="shared" si="169"/>
        <v>0</v>
      </c>
      <c r="V666" s="315">
        <f t="shared" si="169"/>
        <v>-1689261</v>
      </c>
      <c r="W666" s="315">
        <f t="shared" si="169"/>
        <v>0</v>
      </c>
      <c r="X666" s="315">
        <f t="shared" si="169"/>
        <v>0</v>
      </c>
      <c r="Y666" s="315">
        <f t="shared" si="169"/>
        <v>0</v>
      </c>
      <c r="Z666" s="315">
        <f t="shared" si="169"/>
        <v>0</v>
      </c>
      <c r="AA666" s="315">
        <f t="shared" si="169"/>
        <v>-982389</v>
      </c>
      <c r="AB666" s="315">
        <f t="shared" si="169"/>
        <v>0</v>
      </c>
      <c r="AC666" s="315">
        <f t="shared" si="169"/>
        <v>0</v>
      </c>
      <c r="AD666" s="315">
        <f t="shared" si="169"/>
        <v>0</v>
      </c>
      <c r="AE666" s="315">
        <f t="shared" si="169"/>
        <v>0</v>
      </c>
      <c r="AF666" s="315">
        <f t="shared" si="169"/>
        <v>-955502</v>
      </c>
      <c r="AG666" s="315">
        <f t="shared" si="169"/>
        <v>0</v>
      </c>
      <c r="AH666" s="315">
        <f t="shared" si="169"/>
        <v>0</v>
      </c>
      <c r="AI666" s="315">
        <f t="shared" si="169"/>
        <v>0</v>
      </c>
      <c r="AJ666" s="315">
        <f t="shared" si="169"/>
        <v>0</v>
      </c>
      <c r="AK666" s="315">
        <f t="shared" si="169"/>
        <v>-1737636</v>
      </c>
      <c r="AL666" s="315">
        <f t="shared" si="169"/>
        <v>0</v>
      </c>
      <c r="AM666" s="315">
        <f t="shared" si="169"/>
        <v>0</v>
      </c>
      <c r="AN666" s="315">
        <f t="shared" si="169"/>
        <v>0</v>
      </c>
      <c r="AO666" s="315">
        <f t="shared" si="169"/>
        <v>0</v>
      </c>
      <c r="AP666" s="315">
        <f t="shared" si="169"/>
        <v>-202729</v>
      </c>
      <c r="AQ666" s="315">
        <f t="shared" si="169"/>
        <v>0</v>
      </c>
      <c r="AR666" s="315">
        <f t="shared" si="169"/>
        <v>0</v>
      </c>
      <c r="AS666" s="315">
        <f t="shared" si="169"/>
        <v>0</v>
      </c>
      <c r="AT666" s="315">
        <f t="shared" si="169"/>
        <v>0</v>
      </c>
      <c r="AU666" s="315">
        <f t="shared" si="169"/>
        <v>-251520</v>
      </c>
      <c r="AV666" s="315">
        <f t="shared" si="169"/>
        <v>0</v>
      </c>
      <c r="AW666" s="315">
        <f t="shared" si="169"/>
        <v>0</v>
      </c>
      <c r="AX666" s="315">
        <f t="shared" si="169"/>
        <v>0</v>
      </c>
      <c r="AY666" s="315">
        <f t="shared" si="169"/>
        <v>0</v>
      </c>
      <c r="AZ666" s="315">
        <f t="shared" si="169"/>
        <v>-857990</v>
      </c>
      <c r="BA666" s="315">
        <f t="shared" si="169"/>
        <v>0</v>
      </c>
      <c r="BB666" s="315">
        <f t="shared" si="169"/>
        <v>0</v>
      </c>
      <c r="BC666" s="315">
        <f t="shared" si="169"/>
        <v>0</v>
      </c>
      <c r="BD666" s="315">
        <f t="shared" si="169"/>
        <v>0</v>
      </c>
      <c r="BE666" s="315">
        <f t="shared" si="169"/>
        <v>-315142</v>
      </c>
      <c r="BF666" s="315">
        <f t="shared" si="169"/>
        <v>0</v>
      </c>
      <c r="BG666" s="315">
        <f t="shared" si="169"/>
        <v>0</v>
      </c>
      <c r="BH666" s="315">
        <f t="shared" si="169"/>
        <v>0</v>
      </c>
      <c r="BI666" s="315">
        <f t="shared" si="169"/>
        <v>0</v>
      </c>
      <c r="BJ666" s="315">
        <f t="shared" si="169"/>
        <v>-209126</v>
      </c>
      <c r="BK666" s="315">
        <f t="shared" si="169"/>
        <v>0</v>
      </c>
      <c r="BL666" s="315">
        <f t="shared" si="169"/>
        <v>0</v>
      </c>
      <c r="BM666" s="315">
        <f t="shared" si="169"/>
        <v>0</v>
      </c>
      <c r="BN666" s="315">
        <f t="shared" si="169"/>
        <v>0</v>
      </c>
      <c r="BO666" s="315">
        <f t="shared" si="169"/>
        <v>-1405447</v>
      </c>
      <c r="BP666" s="315">
        <f t="shared" si="169"/>
        <v>0</v>
      </c>
      <c r="BQ666" s="315">
        <f t="shared" si="169"/>
        <v>0</v>
      </c>
      <c r="BR666" s="315">
        <f t="shared" si="169"/>
        <v>0</v>
      </c>
      <c r="BS666" s="315">
        <f t="shared" si="170"/>
        <v>0</v>
      </c>
      <c r="BT666" s="315">
        <f t="shared" si="170"/>
        <v>-8408802</v>
      </c>
      <c r="BU666" s="315">
        <f t="shared" si="170"/>
        <v>0</v>
      </c>
      <c r="BV666" s="315">
        <f t="shared" si="170"/>
        <v>0</v>
      </c>
      <c r="BW666" s="315">
        <f t="shared" si="170"/>
        <v>0</v>
      </c>
      <c r="BX666" s="315">
        <f t="shared" si="170"/>
        <v>0</v>
      </c>
      <c r="BZ666" s="315">
        <f t="shared" si="171"/>
        <v>0</v>
      </c>
      <c r="CA666" s="315">
        <f t="shared" si="171"/>
        <v>0</v>
      </c>
    </row>
    <row r="667" spans="7:79" hidden="1" x14ac:dyDescent="0.2">
      <c r="G667" s="315">
        <f t="shared" si="169"/>
        <v>0</v>
      </c>
      <c r="H667" s="315">
        <f t="shared" si="169"/>
        <v>0</v>
      </c>
      <c r="I667" s="315">
        <f t="shared" si="169"/>
        <v>0</v>
      </c>
      <c r="J667" s="315">
        <f t="shared" si="169"/>
        <v>0</v>
      </c>
      <c r="K667" s="315">
        <f t="shared" si="169"/>
        <v>0</v>
      </c>
      <c r="L667" s="315">
        <f t="shared" si="169"/>
        <v>0</v>
      </c>
      <c r="M667" s="315">
        <f t="shared" si="169"/>
        <v>0</v>
      </c>
      <c r="N667" s="315">
        <f t="shared" si="169"/>
        <v>0</v>
      </c>
      <c r="O667" s="315">
        <f t="shared" si="169"/>
        <v>0</v>
      </c>
      <c r="P667" s="315">
        <f t="shared" si="169"/>
        <v>0</v>
      </c>
      <c r="Q667" s="315">
        <f t="shared" si="169"/>
        <v>0</v>
      </c>
      <c r="R667" s="315">
        <f t="shared" si="169"/>
        <v>0</v>
      </c>
      <c r="S667" s="315">
        <f t="shared" si="169"/>
        <v>0</v>
      </c>
      <c r="T667" s="315">
        <f t="shared" si="169"/>
        <v>0</v>
      </c>
      <c r="U667" s="315">
        <f t="shared" si="169"/>
        <v>0</v>
      </c>
      <c r="V667" s="315">
        <f t="shared" si="169"/>
        <v>0</v>
      </c>
      <c r="W667" s="315">
        <f t="shared" si="169"/>
        <v>0</v>
      </c>
      <c r="X667" s="315">
        <f t="shared" si="169"/>
        <v>0</v>
      </c>
      <c r="Y667" s="315">
        <f t="shared" si="169"/>
        <v>0</v>
      </c>
      <c r="Z667" s="315">
        <f t="shared" si="169"/>
        <v>0</v>
      </c>
      <c r="AA667" s="315">
        <f t="shared" si="169"/>
        <v>0</v>
      </c>
      <c r="AB667" s="315">
        <f t="shared" si="169"/>
        <v>0</v>
      </c>
      <c r="AC667" s="315">
        <f t="shared" si="169"/>
        <v>0</v>
      </c>
      <c r="AD667" s="315">
        <f t="shared" si="169"/>
        <v>0</v>
      </c>
      <c r="AE667" s="315">
        <f t="shared" si="169"/>
        <v>0</v>
      </c>
      <c r="AF667" s="315">
        <f t="shared" si="169"/>
        <v>0</v>
      </c>
      <c r="AG667" s="315">
        <f t="shared" si="169"/>
        <v>0</v>
      </c>
      <c r="AH667" s="315">
        <f t="shared" si="169"/>
        <v>0</v>
      </c>
      <c r="AI667" s="315">
        <f t="shared" si="169"/>
        <v>0</v>
      </c>
      <c r="AJ667" s="315">
        <f t="shared" si="169"/>
        <v>0</v>
      </c>
      <c r="AK667" s="315">
        <f t="shared" si="169"/>
        <v>0</v>
      </c>
      <c r="AL667" s="315">
        <f t="shared" si="169"/>
        <v>0</v>
      </c>
      <c r="AM667" s="315">
        <f t="shared" si="169"/>
        <v>0</v>
      </c>
      <c r="AN667" s="315">
        <f t="shared" si="169"/>
        <v>0</v>
      </c>
      <c r="AO667" s="315">
        <f t="shared" si="169"/>
        <v>0</v>
      </c>
      <c r="AP667" s="315">
        <f t="shared" si="169"/>
        <v>0</v>
      </c>
      <c r="AQ667" s="315">
        <f t="shared" si="169"/>
        <v>0</v>
      </c>
      <c r="AR667" s="315">
        <f t="shared" si="169"/>
        <v>0</v>
      </c>
      <c r="AS667" s="315">
        <f t="shared" si="169"/>
        <v>0</v>
      </c>
      <c r="AT667" s="315">
        <f t="shared" si="169"/>
        <v>0</v>
      </c>
      <c r="AU667" s="315">
        <f t="shared" si="169"/>
        <v>0</v>
      </c>
      <c r="AV667" s="315">
        <f t="shared" si="169"/>
        <v>0</v>
      </c>
      <c r="AW667" s="315">
        <f t="shared" si="169"/>
        <v>0</v>
      </c>
      <c r="AX667" s="315">
        <f t="shared" si="169"/>
        <v>0</v>
      </c>
      <c r="AY667" s="315">
        <f t="shared" si="169"/>
        <v>0</v>
      </c>
      <c r="AZ667" s="315">
        <f t="shared" si="169"/>
        <v>0</v>
      </c>
      <c r="BA667" s="315">
        <f t="shared" si="169"/>
        <v>0</v>
      </c>
      <c r="BB667" s="315">
        <f t="shared" si="169"/>
        <v>0</v>
      </c>
      <c r="BC667" s="315">
        <f t="shared" si="169"/>
        <v>0</v>
      </c>
      <c r="BD667" s="315">
        <f t="shared" si="169"/>
        <v>0</v>
      </c>
      <c r="BE667" s="315">
        <f t="shared" si="169"/>
        <v>0</v>
      </c>
      <c r="BF667" s="315">
        <f t="shared" si="169"/>
        <v>0</v>
      </c>
      <c r="BG667" s="315">
        <f t="shared" si="169"/>
        <v>0</v>
      </c>
      <c r="BH667" s="315">
        <f t="shared" si="169"/>
        <v>0</v>
      </c>
      <c r="BI667" s="315">
        <f t="shared" si="169"/>
        <v>0</v>
      </c>
      <c r="BJ667" s="315">
        <f t="shared" si="169"/>
        <v>0</v>
      </c>
      <c r="BK667" s="315">
        <f t="shared" si="169"/>
        <v>0</v>
      </c>
      <c r="BL667" s="315">
        <f t="shared" si="169"/>
        <v>0</v>
      </c>
      <c r="BM667" s="315">
        <f t="shared" si="169"/>
        <v>0</v>
      </c>
      <c r="BN667" s="315">
        <f t="shared" si="169"/>
        <v>0</v>
      </c>
      <c r="BO667" s="315">
        <f t="shared" si="169"/>
        <v>0</v>
      </c>
      <c r="BP667" s="315">
        <f t="shared" si="169"/>
        <v>0</v>
      </c>
      <c r="BQ667" s="315">
        <f t="shared" si="169"/>
        <v>0</v>
      </c>
      <c r="BR667" s="315">
        <f t="shared" ref="BR667:BR673" si="172">BR255-EJ255</f>
        <v>0</v>
      </c>
      <c r="BS667" s="315">
        <f t="shared" si="170"/>
        <v>0</v>
      </c>
      <c r="BT667" s="315">
        <f t="shared" si="170"/>
        <v>0</v>
      </c>
      <c r="BU667" s="315">
        <f t="shared" si="170"/>
        <v>0</v>
      </c>
      <c r="BV667" s="315">
        <f t="shared" si="170"/>
        <v>0</v>
      </c>
      <c r="BW667" s="315">
        <f t="shared" si="170"/>
        <v>0</v>
      </c>
      <c r="BX667" s="315">
        <f t="shared" si="170"/>
        <v>0</v>
      </c>
      <c r="BZ667" s="315">
        <f t="shared" si="171"/>
        <v>0</v>
      </c>
      <c r="CA667" s="315">
        <f t="shared" si="171"/>
        <v>0</v>
      </c>
    </row>
    <row r="668" spans="7:79" hidden="1" x14ac:dyDescent="0.2">
      <c r="G668" s="315">
        <f t="shared" ref="G668:BQ672" si="173">G256-BY256</f>
        <v>1313260</v>
      </c>
      <c r="H668" s="315">
        <f t="shared" si="173"/>
        <v>0</v>
      </c>
      <c r="I668" s="315">
        <f t="shared" si="173"/>
        <v>0</v>
      </c>
      <c r="J668" s="315">
        <f t="shared" si="173"/>
        <v>0</v>
      </c>
      <c r="K668" s="315">
        <f t="shared" si="173"/>
        <v>0</v>
      </c>
      <c r="L668" s="315">
        <f t="shared" si="173"/>
        <v>290916</v>
      </c>
      <c r="M668" s="315">
        <f t="shared" si="173"/>
        <v>0</v>
      </c>
      <c r="N668" s="315">
        <f t="shared" si="173"/>
        <v>0</v>
      </c>
      <c r="O668" s="315">
        <f t="shared" si="173"/>
        <v>0</v>
      </c>
      <c r="P668" s="315">
        <f t="shared" si="173"/>
        <v>0</v>
      </c>
      <c r="Q668" s="315">
        <f t="shared" si="173"/>
        <v>68408</v>
      </c>
      <c r="R668" s="315">
        <f t="shared" si="173"/>
        <v>0</v>
      </c>
      <c r="S668" s="315">
        <f t="shared" si="173"/>
        <v>0</v>
      </c>
      <c r="T668" s="315">
        <f t="shared" si="173"/>
        <v>0</v>
      </c>
      <c r="U668" s="315">
        <f t="shared" si="173"/>
        <v>0</v>
      </c>
      <c r="V668" s="315">
        <f t="shared" si="173"/>
        <v>213164</v>
      </c>
      <c r="W668" s="315">
        <f t="shared" si="173"/>
        <v>0</v>
      </c>
      <c r="X668" s="315">
        <f t="shared" si="173"/>
        <v>0</v>
      </c>
      <c r="Y668" s="315">
        <f t="shared" si="173"/>
        <v>0</v>
      </c>
      <c r="Z668" s="315">
        <f t="shared" si="173"/>
        <v>0</v>
      </c>
      <c r="AA668" s="315">
        <f t="shared" si="173"/>
        <v>115520</v>
      </c>
      <c r="AB668" s="315">
        <f t="shared" si="173"/>
        <v>0</v>
      </c>
      <c r="AC668" s="315">
        <f t="shared" si="173"/>
        <v>0</v>
      </c>
      <c r="AD668" s="315">
        <f t="shared" si="173"/>
        <v>0</v>
      </c>
      <c r="AE668" s="315">
        <f t="shared" si="173"/>
        <v>0</v>
      </c>
      <c r="AF668" s="315">
        <f t="shared" si="173"/>
        <v>115691</v>
      </c>
      <c r="AG668" s="315">
        <f t="shared" si="173"/>
        <v>0</v>
      </c>
      <c r="AH668" s="315">
        <f t="shared" si="173"/>
        <v>0</v>
      </c>
      <c r="AI668" s="315">
        <f t="shared" si="173"/>
        <v>0</v>
      </c>
      <c r="AJ668" s="315">
        <f t="shared" si="173"/>
        <v>0</v>
      </c>
      <c r="AK668" s="315">
        <f t="shared" si="173"/>
        <v>210728</v>
      </c>
      <c r="AL668" s="315">
        <f t="shared" si="173"/>
        <v>0</v>
      </c>
      <c r="AM668" s="315">
        <f t="shared" si="173"/>
        <v>0</v>
      </c>
      <c r="AN668" s="315">
        <f t="shared" si="173"/>
        <v>0</v>
      </c>
      <c r="AO668" s="315">
        <f t="shared" si="173"/>
        <v>0</v>
      </c>
      <c r="AP668" s="315">
        <f t="shared" si="173"/>
        <v>20827</v>
      </c>
      <c r="AQ668" s="315">
        <f t="shared" si="173"/>
        <v>0</v>
      </c>
      <c r="AR668" s="315">
        <f t="shared" si="173"/>
        <v>0</v>
      </c>
      <c r="AS668" s="315">
        <f t="shared" si="173"/>
        <v>0</v>
      </c>
      <c r="AT668" s="315">
        <f t="shared" si="173"/>
        <v>0</v>
      </c>
      <c r="AU668" s="315">
        <f t="shared" si="173"/>
        <v>21707</v>
      </c>
      <c r="AV668" s="315">
        <f t="shared" si="173"/>
        <v>0</v>
      </c>
      <c r="AW668" s="315">
        <f t="shared" si="173"/>
        <v>0</v>
      </c>
      <c r="AX668" s="315">
        <f t="shared" si="173"/>
        <v>0</v>
      </c>
      <c r="AY668" s="315">
        <f t="shared" si="173"/>
        <v>0</v>
      </c>
      <c r="AZ668" s="315">
        <f t="shared" si="173"/>
        <v>78516</v>
      </c>
      <c r="BA668" s="315">
        <f t="shared" si="173"/>
        <v>0</v>
      </c>
      <c r="BB668" s="315">
        <f t="shared" si="173"/>
        <v>0</v>
      </c>
      <c r="BC668" s="315">
        <f t="shared" si="173"/>
        <v>0</v>
      </c>
      <c r="BD668" s="315">
        <f t="shared" si="173"/>
        <v>0</v>
      </c>
      <c r="BE668" s="315">
        <f t="shared" si="173"/>
        <v>30857</v>
      </c>
      <c r="BF668" s="315">
        <f t="shared" si="173"/>
        <v>0</v>
      </c>
      <c r="BG668" s="315">
        <f t="shared" si="173"/>
        <v>0</v>
      </c>
      <c r="BH668" s="315">
        <f t="shared" si="173"/>
        <v>0</v>
      </c>
      <c r="BI668" s="315">
        <f t="shared" si="173"/>
        <v>0</v>
      </c>
      <c r="BJ668" s="315">
        <f t="shared" si="173"/>
        <v>21878</v>
      </c>
      <c r="BK668" s="315">
        <f t="shared" si="173"/>
        <v>0</v>
      </c>
      <c r="BL668" s="315">
        <f t="shared" si="173"/>
        <v>0</v>
      </c>
      <c r="BM668" s="315">
        <f t="shared" si="173"/>
        <v>0</v>
      </c>
      <c r="BN668" s="315">
        <f t="shared" si="173"/>
        <v>0</v>
      </c>
      <c r="BO668" s="315">
        <f t="shared" si="173"/>
        <v>125048</v>
      </c>
      <c r="BP668" s="315">
        <f t="shared" si="173"/>
        <v>0</v>
      </c>
      <c r="BQ668" s="315">
        <f t="shared" si="173"/>
        <v>0</v>
      </c>
      <c r="BR668" s="315">
        <f t="shared" si="172"/>
        <v>0</v>
      </c>
      <c r="BS668" s="315">
        <f t="shared" si="170"/>
        <v>0</v>
      </c>
      <c r="BT668" s="315">
        <f t="shared" si="170"/>
        <v>1035254</v>
      </c>
      <c r="BU668" s="315">
        <f t="shared" si="170"/>
        <v>0</v>
      </c>
      <c r="BV668" s="315">
        <f t="shared" si="170"/>
        <v>0</v>
      </c>
      <c r="BW668" s="315">
        <f t="shared" si="170"/>
        <v>0</v>
      </c>
      <c r="BX668" s="315">
        <f t="shared" si="170"/>
        <v>0</v>
      </c>
      <c r="BZ668" s="315">
        <f t="shared" si="171"/>
        <v>0</v>
      </c>
      <c r="CA668" s="315">
        <f t="shared" si="171"/>
        <v>0</v>
      </c>
    </row>
    <row r="669" spans="7:79" hidden="1" x14ac:dyDescent="0.2">
      <c r="G669" s="315">
        <f t="shared" si="173"/>
        <v>0</v>
      </c>
      <c r="H669" s="315">
        <f t="shared" si="173"/>
        <v>0</v>
      </c>
      <c r="I669" s="315">
        <f t="shared" si="173"/>
        <v>0</v>
      </c>
      <c r="J669" s="315">
        <f t="shared" si="173"/>
        <v>0</v>
      </c>
      <c r="K669" s="315">
        <f t="shared" si="173"/>
        <v>0</v>
      </c>
      <c r="L669" s="315">
        <f t="shared" si="173"/>
        <v>0</v>
      </c>
      <c r="M669" s="315">
        <f t="shared" si="173"/>
        <v>0</v>
      </c>
      <c r="N669" s="315">
        <f t="shared" si="173"/>
        <v>0</v>
      </c>
      <c r="O669" s="315">
        <f t="shared" si="173"/>
        <v>0</v>
      </c>
      <c r="P669" s="315">
        <f t="shared" si="173"/>
        <v>0</v>
      </c>
      <c r="Q669" s="315">
        <f t="shared" si="173"/>
        <v>0</v>
      </c>
      <c r="R669" s="315">
        <f t="shared" si="173"/>
        <v>0</v>
      </c>
      <c r="S669" s="315">
        <f t="shared" si="173"/>
        <v>0</v>
      </c>
      <c r="T669" s="315">
        <f t="shared" si="173"/>
        <v>0</v>
      </c>
      <c r="U669" s="315">
        <f t="shared" si="173"/>
        <v>0</v>
      </c>
      <c r="V669" s="315">
        <f t="shared" si="173"/>
        <v>0</v>
      </c>
      <c r="W669" s="315">
        <f t="shared" si="173"/>
        <v>0</v>
      </c>
      <c r="X669" s="315">
        <f t="shared" si="173"/>
        <v>0</v>
      </c>
      <c r="Y669" s="315">
        <f t="shared" si="173"/>
        <v>0</v>
      </c>
      <c r="Z669" s="315">
        <f t="shared" si="173"/>
        <v>0</v>
      </c>
      <c r="AA669" s="315">
        <f t="shared" si="173"/>
        <v>0</v>
      </c>
      <c r="AB669" s="315">
        <f t="shared" si="173"/>
        <v>0</v>
      </c>
      <c r="AC669" s="315">
        <f t="shared" si="173"/>
        <v>0</v>
      </c>
      <c r="AD669" s="315">
        <f t="shared" si="173"/>
        <v>0</v>
      </c>
      <c r="AE669" s="315">
        <f t="shared" si="173"/>
        <v>0</v>
      </c>
      <c r="AF669" s="315">
        <f t="shared" si="173"/>
        <v>0</v>
      </c>
      <c r="AG669" s="315">
        <f t="shared" si="173"/>
        <v>0</v>
      </c>
      <c r="AH669" s="315">
        <f t="shared" si="173"/>
        <v>0</v>
      </c>
      <c r="AI669" s="315">
        <f t="shared" si="173"/>
        <v>0</v>
      </c>
      <c r="AJ669" s="315">
        <f t="shared" si="173"/>
        <v>0</v>
      </c>
      <c r="AK669" s="315">
        <f t="shared" si="173"/>
        <v>0</v>
      </c>
      <c r="AL669" s="315">
        <f t="shared" si="173"/>
        <v>0</v>
      </c>
      <c r="AM669" s="315">
        <f t="shared" si="173"/>
        <v>0</v>
      </c>
      <c r="AN669" s="315">
        <f t="shared" si="173"/>
        <v>0</v>
      </c>
      <c r="AO669" s="315">
        <f t="shared" si="173"/>
        <v>0</v>
      </c>
      <c r="AP669" s="315">
        <f t="shared" si="173"/>
        <v>0</v>
      </c>
      <c r="AQ669" s="315">
        <f t="shared" si="173"/>
        <v>0</v>
      </c>
      <c r="AR669" s="315">
        <f t="shared" si="173"/>
        <v>0</v>
      </c>
      <c r="AS669" s="315">
        <f t="shared" si="173"/>
        <v>0</v>
      </c>
      <c r="AT669" s="315">
        <f t="shared" si="173"/>
        <v>0</v>
      </c>
      <c r="AU669" s="315">
        <f t="shared" si="173"/>
        <v>0</v>
      </c>
      <c r="AV669" s="315">
        <f t="shared" si="173"/>
        <v>0</v>
      </c>
      <c r="AW669" s="315">
        <f t="shared" si="173"/>
        <v>0</v>
      </c>
      <c r="AX669" s="315">
        <f t="shared" si="173"/>
        <v>0</v>
      </c>
      <c r="AY669" s="315">
        <f t="shared" si="173"/>
        <v>0</v>
      </c>
      <c r="AZ669" s="315">
        <f t="shared" si="173"/>
        <v>0</v>
      </c>
      <c r="BA669" s="315">
        <f t="shared" si="173"/>
        <v>0</v>
      </c>
      <c r="BB669" s="315">
        <f t="shared" si="173"/>
        <v>0</v>
      </c>
      <c r="BC669" s="315">
        <f t="shared" si="173"/>
        <v>0</v>
      </c>
      <c r="BD669" s="315">
        <f t="shared" si="173"/>
        <v>0</v>
      </c>
      <c r="BE669" s="315">
        <f t="shared" si="173"/>
        <v>0</v>
      </c>
      <c r="BF669" s="315">
        <f t="shared" si="173"/>
        <v>0</v>
      </c>
      <c r="BG669" s="315">
        <f t="shared" si="173"/>
        <v>0</v>
      </c>
      <c r="BH669" s="315">
        <f t="shared" si="173"/>
        <v>0</v>
      </c>
      <c r="BI669" s="315">
        <f t="shared" si="173"/>
        <v>0</v>
      </c>
      <c r="BJ669" s="315">
        <f t="shared" si="173"/>
        <v>0</v>
      </c>
      <c r="BK669" s="315">
        <f t="shared" si="173"/>
        <v>0</v>
      </c>
      <c r="BL669" s="315">
        <f t="shared" si="173"/>
        <v>0</v>
      </c>
      <c r="BM669" s="315">
        <f t="shared" si="173"/>
        <v>0</v>
      </c>
      <c r="BN669" s="315">
        <f t="shared" si="173"/>
        <v>0</v>
      </c>
      <c r="BO669" s="315">
        <f t="shared" si="173"/>
        <v>0</v>
      </c>
      <c r="BP669" s="315">
        <f t="shared" si="173"/>
        <v>0</v>
      </c>
      <c r="BQ669" s="315">
        <f t="shared" si="173"/>
        <v>0</v>
      </c>
      <c r="BR669" s="315">
        <f t="shared" si="172"/>
        <v>0</v>
      </c>
      <c r="BS669" s="315">
        <f t="shared" si="170"/>
        <v>0</v>
      </c>
      <c r="BT669" s="315">
        <f t="shared" si="170"/>
        <v>0</v>
      </c>
      <c r="BU669" s="315">
        <f t="shared" si="170"/>
        <v>0</v>
      </c>
      <c r="BV669" s="315">
        <f t="shared" si="170"/>
        <v>0</v>
      </c>
      <c r="BW669" s="315">
        <f t="shared" si="170"/>
        <v>0</v>
      </c>
      <c r="BX669" s="315">
        <f t="shared" si="170"/>
        <v>0</v>
      </c>
      <c r="BZ669" s="315">
        <f t="shared" si="171"/>
        <v>0</v>
      </c>
      <c r="CA669" s="315">
        <f t="shared" si="171"/>
        <v>0</v>
      </c>
    </row>
    <row r="670" spans="7:79" hidden="1" x14ac:dyDescent="0.2">
      <c r="G670" s="315">
        <f t="shared" si="173"/>
        <v>-5224760</v>
      </c>
      <c r="H670" s="315">
        <f t="shared" si="173"/>
        <v>0</v>
      </c>
      <c r="I670" s="315">
        <f t="shared" si="173"/>
        <v>0</v>
      </c>
      <c r="J670" s="315">
        <f t="shared" si="173"/>
        <v>0</v>
      </c>
      <c r="K670" s="315">
        <f t="shared" si="173"/>
        <v>0</v>
      </c>
      <c r="L670" s="315">
        <f t="shared" si="173"/>
        <v>-55625</v>
      </c>
      <c r="M670" s="315">
        <f t="shared" si="173"/>
        <v>0</v>
      </c>
      <c r="N670" s="315">
        <f t="shared" si="173"/>
        <v>0</v>
      </c>
      <c r="O670" s="315">
        <f t="shared" si="173"/>
        <v>0</v>
      </c>
      <c r="P670" s="315">
        <f t="shared" si="173"/>
        <v>0</v>
      </c>
      <c r="Q670" s="315">
        <f t="shared" si="173"/>
        <v>0</v>
      </c>
      <c r="R670" s="315">
        <f t="shared" si="173"/>
        <v>0</v>
      </c>
      <c r="S670" s="315">
        <f t="shared" si="173"/>
        <v>0</v>
      </c>
      <c r="T670" s="315">
        <f t="shared" si="173"/>
        <v>0</v>
      </c>
      <c r="U670" s="315">
        <f t="shared" si="173"/>
        <v>0</v>
      </c>
      <c r="V670" s="315">
        <f t="shared" si="173"/>
        <v>67095</v>
      </c>
      <c r="W670" s="315">
        <f t="shared" si="173"/>
        <v>0</v>
      </c>
      <c r="X670" s="315">
        <f t="shared" si="173"/>
        <v>0</v>
      </c>
      <c r="Y670" s="315">
        <f t="shared" si="173"/>
        <v>0</v>
      </c>
      <c r="Z670" s="315">
        <f t="shared" si="173"/>
        <v>0</v>
      </c>
      <c r="AA670" s="315">
        <f t="shared" si="173"/>
        <v>0</v>
      </c>
      <c r="AB670" s="315">
        <f t="shared" si="173"/>
        <v>0</v>
      </c>
      <c r="AC670" s="315">
        <f t="shared" si="173"/>
        <v>0</v>
      </c>
      <c r="AD670" s="315">
        <f t="shared" si="173"/>
        <v>0</v>
      </c>
      <c r="AE670" s="315">
        <f t="shared" si="173"/>
        <v>0</v>
      </c>
      <c r="AF670" s="315">
        <f t="shared" si="173"/>
        <v>-1604249</v>
      </c>
      <c r="AG670" s="315">
        <f t="shared" si="173"/>
        <v>0</v>
      </c>
      <c r="AH670" s="315">
        <f t="shared" si="173"/>
        <v>0</v>
      </c>
      <c r="AI670" s="315">
        <f t="shared" si="173"/>
        <v>0</v>
      </c>
      <c r="AJ670" s="315">
        <f t="shared" si="173"/>
        <v>0</v>
      </c>
      <c r="AK670" s="315">
        <f t="shared" si="173"/>
        <v>0</v>
      </c>
      <c r="AL670" s="315">
        <f t="shared" si="173"/>
        <v>0</v>
      </c>
      <c r="AM670" s="315">
        <f t="shared" si="173"/>
        <v>0</v>
      </c>
      <c r="AN670" s="315">
        <f t="shared" si="173"/>
        <v>0</v>
      </c>
      <c r="AO670" s="315">
        <f t="shared" si="173"/>
        <v>0</v>
      </c>
      <c r="AP670" s="315">
        <f t="shared" si="173"/>
        <v>-1060430</v>
      </c>
      <c r="AQ670" s="315">
        <f t="shared" si="173"/>
        <v>0</v>
      </c>
      <c r="AR670" s="315">
        <f t="shared" si="173"/>
        <v>0</v>
      </c>
      <c r="AS670" s="315">
        <f t="shared" si="173"/>
        <v>0</v>
      </c>
      <c r="AT670" s="315">
        <f t="shared" si="173"/>
        <v>0</v>
      </c>
      <c r="AU670" s="315">
        <f t="shared" si="173"/>
        <v>-756410</v>
      </c>
      <c r="AV670" s="315">
        <f t="shared" si="173"/>
        <v>0</v>
      </c>
      <c r="AW670" s="315">
        <f t="shared" si="173"/>
        <v>0</v>
      </c>
      <c r="AX670" s="315">
        <f t="shared" si="173"/>
        <v>0</v>
      </c>
      <c r="AY670" s="315">
        <f t="shared" si="173"/>
        <v>0</v>
      </c>
      <c r="AZ670" s="315">
        <f t="shared" si="173"/>
        <v>0</v>
      </c>
      <c r="BA670" s="315">
        <f t="shared" si="173"/>
        <v>0</v>
      </c>
      <c r="BB670" s="315">
        <f t="shared" si="173"/>
        <v>0</v>
      </c>
      <c r="BC670" s="315">
        <f t="shared" si="173"/>
        <v>0</v>
      </c>
      <c r="BD670" s="315">
        <f t="shared" si="173"/>
        <v>0</v>
      </c>
      <c r="BE670" s="315">
        <f t="shared" si="173"/>
        <v>-684561</v>
      </c>
      <c r="BF670" s="315">
        <f t="shared" si="173"/>
        <v>0</v>
      </c>
      <c r="BG670" s="315">
        <f t="shared" si="173"/>
        <v>0</v>
      </c>
      <c r="BH670" s="315">
        <f t="shared" si="173"/>
        <v>0</v>
      </c>
      <c r="BI670" s="315">
        <f t="shared" si="173"/>
        <v>0</v>
      </c>
      <c r="BJ670" s="315">
        <f t="shared" si="173"/>
        <v>-1130580</v>
      </c>
      <c r="BK670" s="315">
        <f t="shared" si="173"/>
        <v>0</v>
      </c>
      <c r="BL670" s="315">
        <f t="shared" si="173"/>
        <v>0</v>
      </c>
      <c r="BM670" s="315">
        <f t="shared" si="173"/>
        <v>0</v>
      </c>
      <c r="BN670" s="315">
        <f t="shared" si="173"/>
        <v>0</v>
      </c>
      <c r="BO670" s="315">
        <f t="shared" si="173"/>
        <v>0</v>
      </c>
      <c r="BP670" s="315">
        <f t="shared" si="173"/>
        <v>0</v>
      </c>
      <c r="BQ670" s="315">
        <f t="shared" si="173"/>
        <v>0</v>
      </c>
      <c r="BR670" s="315">
        <f t="shared" si="172"/>
        <v>0</v>
      </c>
      <c r="BS670" s="315">
        <f t="shared" si="170"/>
        <v>0</v>
      </c>
      <c r="BT670" s="315">
        <f t="shared" si="170"/>
        <v>-2653209</v>
      </c>
      <c r="BU670" s="315">
        <f t="shared" si="170"/>
        <v>0</v>
      </c>
      <c r="BV670" s="315">
        <f t="shared" si="170"/>
        <v>0</v>
      </c>
      <c r="BW670" s="315">
        <f t="shared" si="170"/>
        <v>0</v>
      </c>
      <c r="BX670" s="315">
        <f t="shared" si="170"/>
        <v>0</v>
      </c>
      <c r="BZ670" s="315">
        <f t="shared" si="171"/>
        <v>0</v>
      </c>
      <c r="CA670" s="315">
        <f t="shared" si="171"/>
        <v>0</v>
      </c>
    </row>
    <row r="671" spans="7:79" hidden="1" x14ac:dyDescent="0.2">
      <c r="G671" s="315">
        <f t="shared" si="173"/>
        <v>-4893204</v>
      </c>
      <c r="H671" s="315">
        <f t="shared" si="173"/>
        <v>0</v>
      </c>
      <c r="I671" s="315">
        <f t="shared" si="173"/>
        <v>0</v>
      </c>
      <c r="J671" s="315">
        <f t="shared" si="173"/>
        <v>0</v>
      </c>
      <c r="K671" s="315">
        <f t="shared" si="173"/>
        <v>0</v>
      </c>
      <c r="L671" s="315">
        <f t="shared" si="173"/>
        <v>-34406</v>
      </c>
      <c r="M671" s="315">
        <f t="shared" si="173"/>
        <v>0</v>
      </c>
      <c r="N671" s="315">
        <f t="shared" si="173"/>
        <v>0</v>
      </c>
      <c r="O671" s="315">
        <f t="shared" si="173"/>
        <v>0</v>
      </c>
      <c r="P671" s="315">
        <f t="shared" si="173"/>
        <v>0</v>
      </c>
      <c r="Q671" s="315">
        <f t="shared" si="173"/>
        <v>0</v>
      </c>
      <c r="R671" s="315">
        <f t="shared" si="173"/>
        <v>0</v>
      </c>
      <c r="S671" s="315">
        <f t="shared" si="173"/>
        <v>0</v>
      </c>
      <c r="T671" s="315">
        <f t="shared" si="173"/>
        <v>0</v>
      </c>
      <c r="U671" s="315">
        <f t="shared" si="173"/>
        <v>0</v>
      </c>
      <c r="V671" s="315">
        <f t="shared" si="173"/>
        <v>13175</v>
      </c>
      <c r="W671" s="315">
        <f t="shared" si="173"/>
        <v>0</v>
      </c>
      <c r="X671" s="315">
        <f t="shared" si="173"/>
        <v>0</v>
      </c>
      <c r="Y671" s="315">
        <f t="shared" si="173"/>
        <v>0</v>
      </c>
      <c r="Z671" s="315">
        <f t="shared" si="173"/>
        <v>0</v>
      </c>
      <c r="AA671" s="315">
        <f t="shared" si="173"/>
        <v>0</v>
      </c>
      <c r="AB671" s="315">
        <f t="shared" si="173"/>
        <v>0</v>
      </c>
      <c r="AC671" s="315">
        <f t="shared" si="173"/>
        <v>0</v>
      </c>
      <c r="AD671" s="315">
        <f t="shared" si="173"/>
        <v>0</v>
      </c>
      <c r="AE671" s="315">
        <f t="shared" si="173"/>
        <v>0</v>
      </c>
      <c r="AF671" s="315">
        <f t="shared" si="173"/>
        <v>-1523142</v>
      </c>
      <c r="AG671" s="315">
        <f t="shared" si="173"/>
        <v>0</v>
      </c>
      <c r="AH671" s="315">
        <f t="shared" si="173"/>
        <v>0</v>
      </c>
      <c r="AI671" s="315">
        <f t="shared" si="173"/>
        <v>0</v>
      </c>
      <c r="AJ671" s="315">
        <f t="shared" si="173"/>
        <v>0</v>
      </c>
      <c r="AK671" s="315">
        <f t="shared" si="173"/>
        <v>0</v>
      </c>
      <c r="AL671" s="315">
        <f t="shared" si="173"/>
        <v>0</v>
      </c>
      <c r="AM671" s="315">
        <f t="shared" si="173"/>
        <v>0</v>
      </c>
      <c r="AN671" s="315">
        <f t="shared" si="173"/>
        <v>0</v>
      </c>
      <c r="AO671" s="315">
        <f t="shared" si="173"/>
        <v>0</v>
      </c>
      <c r="AP671" s="315">
        <f t="shared" si="173"/>
        <v>-974084</v>
      </c>
      <c r="AQ671" s="315">
        <f t="shared" si="173"/>
        <v>0</v>
      </c>
      <c r="AR671" s="315">
        <f t="shared" si="173"/>
        <v>0</v>
      </c>
      <c r="AS671" s="315">
        <f t="shared" si="173"/>
        <v>0</v>
      </c>
      <c r="AT671" s="315">
        <f t="shared" si="173"/>
        <v>0</v>
      </c>
      <c r="AU671" s="315">
        <f t="shared" si="173"/>
        <v>-687528</v>
      </c>
      <c r="AV671" s="315">
        <f t="shared" si="173"/>
        <v>0</v>
      </c>
      <c r="AW671" s="315">
        <f t="shared" si="173"/>
        <v>0</v>
      </c>
      <c r="AX671" s="315">
        <f t="shared" si="173"/>
        <v>0</v>
      </c>
      <c r="AY671" s="315">
        <f t="shared" si="173"/>
        <v>0</v>
      </c>
      <c r="AZ671" s="315">
        <f t="shared" si="173"/>
        <v>0</v>
      </c>
      <c r="BA671" s="315">
        <f t="shared" si="173"/>
        <v>0</v>
      </c>
      <c r="BB671" s="315">
        <f t="shared" si="173"/>
        <v>0</v>
      </c>
      <c r="BC671" s="315">
        <f t="shared" si="173"/>
        <v>0</v>
      </c>
      <c r="BD671" s="315">
        <f t="shared" si="173"/>
        <v>0</v>
      </c>
      <c r="BE671" s="315">
        <f t="shared" si="173"/>
        <v>-630370</v>
      </c>
      <c r="BF671" s="315">
        <f t="shared" si="173"/>
        <v>0</v>
      </c>
      <c r="BG671" s="315">
        <f t="shared" si="173"/>
        <v>0</v>
      </c>
      <c r="BH671" s="315">
        <f t="shared" si="173"/>
        <v>0</v>
      </c>
      <c r="BI671" s="315">
        <f t="shared" si="173"/>
        <v>0</v>
      </c>
      <c r="BJ671" s="315">
        <f t="shared" si="173"/>
        <v>-1056849</v>
      </c>
      <c r="BK671" s="315">
        <f t="shared" si="173"/>
        <v>0</v>
      </c>
      <c r="BL671" s="315">
        <f t="shared" si="173"/>
        <v>0</v>
      </c>
      <c r="BM671" s="315">
        <f t="shared" si="173"/>
        <v>0</v>
      </c>
      <c r="BN671" s="315">
        <f t="shared" si="173"/>
        <v>0</v>
      </c>
      <c r="BO671" s="315">
        <f t="shared" si="173"/>
        <v>0</v>
      </c>
      <c r="BP671" s="315">
        <f t="shared" si="173"/>
        <v>0</v>
      </c>
      <c r="BQ671" s="315">
        <f t="shared" si="173"/>
        <v>0</v>
      </c>
      <c r="BR671" s="315">
        <f t="shared" si="172"/>
        <v>0</v>
      </c>
      <c r="BS671" s="315">
        <f t="shared" si="170"/>
        <v>0</v>
      </c>
      <c r="BT671" s="315">
        <f t="shared" si="170"/>
        <v>-2518457</v>
      </c>
      <c r="BU671" s="315">
        <f t="shared" si="170"/>
        <v>0</v>
      </c>
      <c r="BV671" s="315">
        <f t="shared" si="170"/>
        <v>0</v>
      </c>
      <c r="BW671" s="315">
        <f t="shared" si="170"/>
        <v>0</v>
      </c>
      <c r="BX671" s="315">
        <f t="shared" si="170"/>
        <v>0</v>
      </c>
      <c r="BZ671" s="315">
        <f t="shared" si="171"/>
        <v>0</v>
      </c>
      <c r="CA671" s="315">
        <f t="shared" si="171"/>
        <v>0</v>
      </c>
    </row>
    <row r="672" spans="7:79" hidden="1" x14ac:dyDescent="0.2">
      <c r="G672" s="315">
        <f t="shared" si="173"/>
        <v>-331556</v>
      </c>
      <c r="H672" s="315">
        <f t="shared" si="173"/>
        <v>0</v>
      </c>
      <c r="I672" s="315">
        <f t="shared" si="173"/>
        <v>0</v>
      </c>
      <c r="J672" s="315">
        <f t="shared" ref="J672:BQ673" si="174">J260-CB260</f>
        <v>0</v>
      </c>
      <c r="K672" s="315">
        <f t="shared" si="174"/>
        <v>0</v>
      </c>
      <c r="L672" s="315">
        <f t="shared" si="174"/>
        <v>-21219</v>
      </c>
      <c r="M672" s="315">
        <f t="shared" si="174"/>
        <v>0</v>
      </c>
      <c r="N672" s="315">
        <f t="shared" si="174"/>
        <v>0</v>
      </c>
      <c r="O672" s="315">
        <f t="shared" si="174"/>
        <v>0</v>
      </c>
      <c r="P672" s="315">
        <f t="shared" si="174"/>
        <v>0</v>
      </c>
      <c r="Q672" s="315">
        <f t="shared" si="174"/>
        <v>0</v>
      </c>
      <c r="R672" s="315">
        <f t="shared" si="174"/>
        <v>0</v>
      </c>
      <c r="S672" s="315">
        <f t="shared" si="174"/>
        <v>0</v>
      </c>
      <c r="T672" s="315">
        <f t="shared" si="174"/>
        <v>0</v>
      </c>
      <c r="U672" s="315">
        <f t="shared" si="174"/>
        <v>0</v>
      </c>
      <c r="V672" s="315">
        <f t="shared" si="174"/>
        <v>53920</v>
      </c>
      <c r="W672" s="315">
        <f t="shared" si="174"/>
        <v>0</v>
      </c>
      <c r="X672" s="315">
        <f t="shared" si="174"/>
        <v>0</v>
      </c>
      <c r="Y672" s="315">
        <f t="shared" si="174"/>
        <v>0</v>
      </c>
      <c r="Z672" s="315">
        <f t="shared" si="174"/>
        <v>0</v>
      </c>
      <c r="AA672" s="315">
        <f t="shared" si="174"/>
        <v>0</v>
      </c>
      <c r="AB672" s="315">
        <f t="shared" si="174"/>
        <v>0</v>
      </c>
      <c r="AC672" s="315">
        <f t="shared" si="174"/>
        <v>0</v>
      </c>
      <c r="AD672" s="315">
        <f t="shared" si="174"/>
        <v>0</v>
      </c>
      <c r="AE672" s="315">
        <f t="shared" si="174"/>
        <v>0</v>
      </c>
      <c r="AF672" s="315">
        <f t="shared" si="174"/>
        <v>-81107</v>
      </c>
      <c r="AG672" s="315">
        <f t="shared" si="174"/>
        <v>0</v>
      </c>
      <c r="AH672" s="315">
        <f t="shared" si="174"/>
        <v>0</v>
      </c>
      <c r="AI672" s="315">
        <f t="shared" si="174"/>
        <v>0</v>
      </c>
      <c r="AJ672" s="315">
        <f t="shared" si="174"/>
        <v>0</v>
      </c>
      <c r="AK672" s="315">
        <f t="shared" si="174"/>
        <v>0</v>
      </c>
      <c r="AL672" s="315">
        <f t="shared" si="174"/>
        <v>0</v>
      </c>
      <c r="AM672" s="315">
        <f t="shared" si="174"/>
        <v>0</v>
      </c>
      <c r="AN672" s="315">
        <f t="shared" si="174"/>
        <v>0</v>
      </c>
      <c r="AO672" s="315">
        <f t="shared" si="174"/>
        <v>0</v>
      </c>
      <c r="AP672" s="315">
        <f t="shared" si="174"/>
        <v>-86346</v>
      </c>
      <c r="AQ672" s="315">
        <f t="shared" si="174"/>
        <v>0</v>
      </c>
      <c r="AR672" s="315">
        <f t="shared" si="174"/>
        <v>0</v>
      </c>
      <c r="AS672" s="315">
        <f t="shared" si="174"/>
        <v>0</v>
      </c>
      <c r="AT672" s="315">
        <f t="shared" si="174"/>
        <v>0</v>
      </c>
      <c r="AU672" s="315">
        <f t="shared" si="174"/>
        <v>-68882</v>
      </c>
      <c r="AV672" s="315">
        <f t="shared" si="174"/>
        <v>0</v>
      </c>
      <c r="AW672" s="315">
        <f t="shared" si="174"/>
        <v>0</v>
      </c>
      <c r="AX672" s="315">
        <f t="shared" si="174"/>
        <v>0</v>
      </c>
      <c r="AY672" s="315">
        <f t="shared" si="174"/>
        <v>0</v>
      </c>
      <c r="AZ672" s="315">
        <f t="shared" si="174"/>
        <v>0</v>
      </c>
      <c r="BA672" s="315">
        <f t="shared" si="174"/>
        <v>0</v>
      </c>
      <c r="BB672" s="315">
        <f t="shared" si="174"/>
        <v>0</v>
      </c>
      <c r="BC672" s="315">
        <f t="shared" si="174"/>
        <v>0</v>
      </c>
      <c r="BD672" s="315">
        <f t="shared" si="174"/>
        <v>0</v>
      </c>
      <c r="BE672" s="315">
        <f t="shared" si="174"/>
        <v>-54191</v>
      </c>
      <c r="BF672" s="315">
        <f t="shared" si="174"/>
        <v>0</v>
      </c>
      <c r="BG672" s="315">
        <f t="shared" si="174"/>
        <v>0</v>
      </c>
      <c r="BH672" s="315">
        <f t="shared" si="174"/>
        <v>0</v>
      </c>
      <c r="BI672" s="315">
        <f t="shared" si="174"/>
        <v>0</v>
      </c>
      <c r="BJ672" s="315">
        <f t="shared" si="174"/>
        <v>-73731</v>
      </c>
      <c r="BK672" s="315">
        <f t="shared" si="174"/>
        <v>0</v>
      </c>
      <c r="BL672" s="315">
        <f t="shared" si="174"/>
        <v>0</v>
      </c>
      <c r="BM672" s="315">
        <f t="shared" si="174"/>
        <v>0</v>
      </c>
      <c r="BN672" s="315">
        <f t="shared" si="174"/>
        <v>0</v>
      </c>
      <c r="BO672" s="315">
        <f t="shared" si="174"/>
        <v>0</v>
      </c>
      <c r="BP672" s="315">
        <f t="shared" si="174"/>
        <v>0</v>
      </c>
      <c r="BQ672" s="315">
        <f t="shared" si="174"/>
        <v>0</v>
      </c>
      <c r="BR672" s="315">
        <f t="shared" si="172"/>
        <v>0</v>
      </c>
      <c r="BS672" s="315">
        <f t="shared" si="170"/>
        <v>0</v>
      </c>
      <c r="BT672" s="315">
        <f t="shared" si="170"/>
        <v>-134752</v>
      </c>
      <c r="BU672" s="315">
        <f t="shared" si="170"/>
        <v>0</v>
      </c>
      <c r="BV672" s="315">
        <f t="shared" si="170"/>
        <v>0</v>
      </c>
      <c r="BW672" s="315">
        <f t="shared" si="170"/>
        <v>0</v>
      </c>
      <c r="BX672" s="315">
        <f t="shared" si="170"/>
        <v>0</v>
      </c>
      <c r="BZ672" s="315">
        <f t="shared" si="171"/>
        <v>0</v>
      </c>
      <c r="CA672" s="315">
        <f t="shared" si="171"/>
        <v>0</v>
      </c>
    </row>
    <row r="673" spans="7:79" hidden="1" x14ac:dyDescent="0.2">
      <c r="G673" s="315">
        <f t="shared" ref="G673:I673" si="175">G261-BY261</f>
        <v>0</v>
      </c>
      <c r="H673" s="315">
        <f t="shared" si="175"/>
        <v>0</v>
      </c>
      <c r="I673" s="315">
        <f t="shared" si="175"/>
        <v>0</v>
      </c>
      <c r="J673" s="315">
        <f t="shared" si="174"/>
        <v>0</v>
      </c>
      <c r="K673" s="315">
        <f t="shared" si="174"/>
        <v>0</v>
      </c>
      <c r="L673" s="315">
        <f t="shared" si="174"/>
        <v>0</v>
      </c>
      <c r="M673" s="315">
        <f t="shared" si="174"/>
        <v>0</v>
      </c>
      <c r="N673" s="315">
        <f t="shared" si="174"/>
        <v>0</v>
      </c>
      <c r="O673" s="315">
        <f t="shared" si="174"/>
        <v>0</v>
      </c>
      <c r="P673" s="315">
        <f t="shared" si="174"/>
        <v>0</v>
      </c>
      <c r="Q673" s="315">
        <f t="shared" si="174"/>
        <v>0</v>
      </c>
      <c r="R673" s="315">
        <f t="shared" si="174"/>
        <v>0</v>
      </c>
      <c r="S673" s="315">
        <f t="shared" si="174"/>
        <v>0</v>
      </c>
      <c r="T673" s="315">
        <f t="shared" si="174"/>
        <v>0</v>
      </c>
      <c r="U673" s="315">
        <f t="shared" si="174"/>
        <v>0</v>
      </c>
      <c r="V673" s="315">
        <f t="shared" si="174"/>
        <v>0</v>
      </c>
      <c r="W673" s="315">
        <f t="shared" si="174"/>
        <v>0</v>
      </c>
      <c r="X673" s="315">
        <f t="shared" si="174"/>
        <v>0</v>
      </c>
      <c r="Y673" s="315">
        <f t="shared" si="174"/>
        <v>0</v>
      </c>
      <c r="Z673" s="315">
        <f t="shared" si="174"/>
        <v>0</v>
      </c>
      <c r="AA673" s="315">
        <f t="shared" si="174"/>
        <v>0</v>
      </c>
      <c r="AB673" s="315">
        <f t="shared" si="174"/>
        <v>0</v>
      </c>
      <c r="AC673" s="315">
        <f t="shared" si="174"/>
        <v>0</v>
      </c>
      <c r="AD673" s="315">
        <f t="shared" si="174"/>
        <v>0</v>
      </c>
      <c r="AE673" s="315">
        <f t="shared" si="174"/>
        <v>0</v>
      </c>
      <c r="AF673" s="315">
        <f t="shared" si="174"/>
        <v>0</v>
      </c>
      <c r="AG673" s="315">
        <f t="shared" si="174"/>
        <v>0</v>
      </c>
      <c r="AH673" s="315">
        <f t="shared" si="174"/>
        <v>0</v>
      </c>
      <c r="AI673" s="315">
        <f t="shared" si="174"/>
        <v>0</v>
      </c>
      <c r="AJ673" s="315">
        <f t="shared" si="174"/>
        <v>0</v>
      </c>
      <c r="AK673" s="315">
        <f t="shared" si="174"/>
        <v>0</v>
      </c>
      <c r="AL673" s="315">
        <f t="shared" si="174"/>
        <v>0</v>
      </c>
      <c r="AM673" s="315">
        <f t="shared" si="174"/>
        <v>0</v>
      </c>
      <c r="AN673" s="315">
        <f t="shared" si="174"/>
        <v>0</v>
      </c>
      <c r="AO673" s="315">
        <f t="shared" si="174"/>
        <v>0</v>
      </c>
      <c r="AP673" s="315">
        <f t="shared" si="174"/>
        <v>0</v>
      </c>
      <c r="AQ673" s="315">
        <f t="shared" si="174"/>
        <v>0</v>
      </c>
      <c r="AR673" s="315">
        <f t="shared" si="174"/>
        <v>0</v>
      </c>
      <c r="AS673" s="315">
        <f t="shared" si="174"/>
        <v>0</v>
      </c>
      <c r="AT673" s="315">
        <f t="shared" si="174"/>
        <v>0</v>
      </c>
      <c r="AU673" s="315">
        <f t="shared" si="174"/>
        <v>0</v>
      </c>
      <c r="AV673" s="315">
        <f t="shared" si="174"/>
        <v>0</v>
      </c>
      <c r="AW673" s="315">
        <f t="shared" si="174"/>
        <v>0</v>
      </c>
      <c r="AX673" s="315">
        <f t="shared" si="174"/>
        <v>0</v>
      </c>
      <c r="AY673" s="315">
        <f t="shared" si="174"/>
        <v>0</v>
      </c>
      <c r="AZ673" s="315">
        <f t="shared" si="174"/>
        <v>0</v>
      </c>
      <c r="BA673" s="315">
        <f t="shared" si="174"/>
        <v>0</v>
      </c>
      <c r="BB673" s="315">
        <f t="shared" si="174"/>
        <v>0</v>
      </c>
      <c r="BC673" s="315">
        <f t="shared" si="174"/>
        <v>0</v>
      </c>
      <c r="BD673" s="315">
        <f t="shared" si="174"/>
        <v>0</v>
      </c>
      <c r="BE673" s="315">
        <f t="shared" si="174"/>
        <v>0</v>
      </c>
      <c r="BF673" s="315">
        <f t="shared" si="174"/>
        <v>0</v>
      </c>
      <c r="BG673" s="315">
        <f t="shared" si="174"/>
        <v>0</v>
      </c>
      <c r="BH673" s="315">
        <f t="shared" si="174"/>
        <v>0</v>
      </c>
      <c r="BI673" s="315">
        <f t="shared" si="174"/>
        <v>0</v>
      </c>
      <c r="BJ673" s="315">
        <f t="shared" si="174"/>
        <v>0</v>
      </c>
      <c r="BK673" s="315">
        <f t="shared" si="174"/>
        <v>0</v>
      </c>
      <c r="BL673" s="315">
        <f t="shared" si="174"/>
        <v>0</v>
      </c>
      <c r="BM673" s="315">
        <f t="shared" si="174"/>
        <v>0</v>
      </c>
      <c r="BN673" s="315">
        <f t="shared" si="174"/>
        <v>0</v>
      </c>
      <c r="BO673" s="315">
        <f t="shared" si="174"/>
        <v>0</v>
      </c>
      <c r="BP673" s="315">
        <f t="shared" si="174"/>
        <v>0</v>
      </c>
      <c r="BQ673" s="315">
        <f t="shared" si="174"/>
        <v>0</v>
      </c>
      <c r="BR673" s="315">
        <f t="shared" si="172"/>
        <v>0</v>
      </c>
      <c r="BS673" s="315">
        <f t="shared" si="170"/>
        <v>0</v>
      </c>
      <c r="BT673" s="315">
        <f t="shared" si="170"/>
        <v>0</v>
      </c>
      <c r="BU673" s="315">
        <f t="shared" si="170"/>
        <v>0</v>
      </c>
      <c r="BV673" s="315">
        <f t="shared" si="170"/>
        <v>0</v>
      </c>
      <c r="BW673" s="315">
        <f t="shared" si="170"/>
        <v>0</v>
      </c>
      <c r="BX673" s="315">
        <f t="shared" si="170"/>
        <v>0</v>
      </c>
      <c r="BZ673" s="315">
        <f t="shared" si="171"/>
        <v>0</v>
      </c>
      <c r="CA673" s="315">
        <f t="shared" si="171"/>
        <v>0</v>
      </c>
    </row>
    <row r="674" spans="7:79" hidden="1" x14ac:dyDescent="0.2">
      <c r="G674" s="315" t="e">
        <f>#REF!-#REF!</f>
        <v>#REF!</v>
      </c>
      <c r="H674" s="315" t="e">
        <f>#REF!-#REF!</f>
        <v>#REF!</v>
      </c>
      <c r="I674" s="315" t="e">
        <f>#REF!-#REF!</f>
        <v>#REF!</v>
      </c>
      <c r="J674" s="315" t="e">
        <f>#REF!-#REF!</f>
        <v>#REF!</v>
      </c>
      <c r="K674" s="315" t="e">
        <f>#REF!-#REF!</f>
        <v>#REF!</v>
      </c>
      <c r="L674" s="315" t="e">
        <f>#REF!-#REF!</f>
        <v>#REF!</v>
      </c>
      <c r="M674" s="315" t="e">
        <f>#REF!-#REF!</f>
        <v>#REF!</v>
      </c>
      <c r="N674" s="315" t="e">
        <f>#REF!-#REF!</f>
        <v>#REF!</v>
      </c>
      <c r="O674" s="315" t="e">
        <f>#REF!-#REF!</f>
        <v>#REF!</v>
      </c>
      <c r="P674" s="315" t="e">
        <f>#REF!-#REF!</f>
        <v>#REF!</v>
      </c>
      <c r="Q674" s="315" t="e">
        <f>#REF!-#REF!</f>
        <v>#REF!</v>
      </c>
      <c r="R674" s="315" t="e">
        <f>#REF!-#REF!</f>
        <v>#REF!</v>
      </c>
      <c r="S674" s="315" t="e">
        <f>#REF!-#REF!</f>
        <v>#REF!</v>
      </c>
      <c r="T674" s="315" t="e">
        <f>#REF!-#REF!</f>
        <v>#REF!</v>
      </c>
      <c r="U674" s="315" t="e">
        <f>#REF!-#REF!</f>
        <v>#REF!</v>
      </c>
      <c r="V674" s="315" t="e">
        <f>#REF!-#REF!</f>
        <v>#REF!</v>
      </c>
      <c r="W674" s="315" t="e">
        <f>#REF!-#REF!</f>
        <v>#REF!</v>
      </c>
      <c r="X674" s="315" t="e">
        <f>#REF!-#REF!</f>
        <v>#REF!</v>
      </c>
      <c r="Y674" s="315" t="e">
        <f>#REF!-#REF!</f>
        <v>#REF!</v>
      </c>
      <c r="Z674" s="315" t="e">
        <f>#REF!-#REF!</f>
        <v>#REF!</v>
      </c>
      <c r="AA674" s="315" t="e">
        <f>#REF!-#REF!</f>
        <v>#REF!</v>
      </c>
      <c r="AB674" s="315" t="e">
        <f>#REF!-#REF!</f>
        <v>#REF!</v>
      </c>
      <c r="AC674" s="315" t="e">
        <f>#REF!-#REF!</f>
        <v>#REF!</v>
      </c>
      <c r="AD674" s="315" t="e">
        <f>#REF!-#REF!</f>
        <v>#REF!</v>
      </c>
      <c r="AE674" s="315" t="e">
        <f>#REF!-#REF!</f>
        <v>#REF!</v>
      </c>
      <c r="AF674" s="315" t="e">
        <f>#REF!-#REF!</f>
        <v>#REF!</v>
      </c>
      <c r="AG674" s="315" t="e">
        <f>#REF!-#REF!</f>
        <v>#REF!</v>
      </c>
      <c r="AH674" s="315" t="e">
        <f>#REF!-#REF!</f>
        <v>#REF!</v>
      </c>
      <c r="AI674" s="315" t="e">
        <f>#REF!-#REF!</f>
        <v>#REF!</v>
      </c>
      <c r="AJ674" s="315" t="e">
        <f>#REF!-#REF!</f>
        <v>#REF!</v>
      </c>
      <c r="AK674" s="315" t="e">
        <f>#REF!-#REF!</f>
        <v>#REF!</v>
      </c>
      <c r="AL674" s="315" t="e">
        <f>#REF!-#REF!</f>
        <v>#REF!</v>
      </c>
      <c r="AM674" s="315" t="e">
        <f>#REF!-#REF!</f>
        <v>#REF!</v>
      </c>
      <c r="AN674" s="315" t="e">
        <f>#REF!-#REF!</f>
        <v>#REF!</v>
      </c>
      <c r="AO674" s="315" t="e">
        <f>#REF!-#REF!</f>
        <v>#REF!</v>
      </c>
      <c r="AP674" s="315" t="e">
        <f>#REF!-#REF!</f>
        <v>#REF!</v>
      </c>
      <c r="AQ674" s="315" t="e">
        <f>#REF!-#REF!</f>
        <v>#REF!</v>
      </c>
      <c r="AR674" s="315" t="e">
        <f>#REF!-#REF!</f>
        <v>#REF!</v>
      </c>
      <c r="AS674" s="315" t="e">
        <f>#REF!-#REF!</f>
        <v>#REF!</v>
      </c>
      <c r="AT674" s="315" t="e">
        <f>#REF!-#REF!</f>
        <v>#REF!</v>
      </c>
      <c r="AU674" s="315" t="e">
        <f>#REF!-#REF!</f>
        <v>#REF!</v>
      </c>
      <c r="AV674" s="315" t="e">
        <f>#REF!-#REF!</f>
        <v>#REF!</v>
      </c>
      <c r="AW674" s="315" t="e">
        <f>#REF!-#REF!</f>
        <v>#REF!</v>
      </c>
      <c r="AX674" s="315" t="e">
        <f>#REF!-#REF!</f>
        <v>#REF!</v>
      </c>
      <c r="AY674" s="315" t="e">
        <f>#REF!-#REF!</f>
        <v>#REF!</v>
      </c>
      <c r="AZ674" s="315" t="e">
        <f>#REF!-#REF!</f>
        <v>#REF!</v>
      </c>
      <c r="BA674" s="315" t="e">
        <f>#REF!-#REF!</f>
        <v>#REF!</v>
      </c>
      <c r="BB674" s="315" t="e">
        <f>#REF!-#REF!</f>
        <v>#REF!</v>
      </c>
      <c r="BC674" s="315" t="e">
        <f>#REF!-#REF!</f>
        <v>#REF!</v>
      </c>
      <c r="BD674" s="315" t="e">
        <f>#REF!-#REF!</f>
        <v>#REF!</v>
      </c>
      <c r="BE674" s="315" t="e">
        <f>#REF!-#REF!</f>
        <v>#REF!</v>
      </c>
      <c r="BF674" s="315" t="e">
        <f>#REF!-#REF!</f>
        <v>#REF!</v>
      </c>
      <c r="BG674" s="315" t="e">
        <f>#REF!-#REF!</f>
        <v>#REF!</v>
      </c>
      <c r="BH674" s="315" t="e">
        <f>#REF!-#REF!</f>
        <v>#REF!</v>
      </c>
      <c r="BI674" s="315" t="e">
        <f>#REF!-#REF!</f>
        <v>#REF!</v>
      </c>
      <c r="BJ674" s="315" t="e">
        <f>#REF!-#REF!</f>
        <v>#REF!</v>
      </c>
      <c r="BK674" s="315" t="e">
        <f>#REF!-#REF!</f>
        <v>#REF!</v>
      </c>
      <c r="BL674" s="315" t="e">
        <f>#REF!-#REF!</f>
        <v>#REF!</v>
      </c>
      <c r="BM674" s="315" t="e">
        <f>#REF!-#REF!</f>
        <v>#REF!</v>
      </c>
      <c r="BN674" s="315" t="e">
        <f>#REF!-#REF!</f>
        <v>#REF!</v>
      </c>
      <c r="BO674" s="315" t="e">
        <f>#REF!-#REF!</f>
        <v>#REF!</v>
      </c>
      <c r="BP674" s="315" t="e">
        <f>#REF!-#REF!</f>
        <v>#REF!</v>
      </c>
      <c r="BQ674" s="315" t="e">
        <f>#REF!-#REF!</f>
        <v>#REF!</v>
      </c>
      <c r="BR674" s="315" t="e">
        <f>#REF!-#REF!</f>
        <v>#REF!</v>
      </c>
      <c r="BS674" s="315" t="e">
        <f>#REF!-#REF!</f>
        <v>#REF!</v>
      </c>
      <c r="BT674" s="315" t="e">
        <f>#REF!-#REF!</f>
        <v>#REF!</v>
      </c>
      <c r="BU674" s="315" t="e">
        <f>#REF!-#REF!</f>
        <v>#REF!</v>
      </c>
      <c r="BV674" s="315" t="e">
        <f>#REF!-#REF!</f>
        <v>#REF!</v>
      </c>
      <c r="BW674" s="315" t="e">
        <f>#REF!-#REF!</f>
        <v>#REF!</v>
      </c>
      <c r="BX674" s="315" t="e">
        <f>#REF!-#REF!</f>
        <v>#REF!</v>
      </c>
      <c r="BZ674" s="315" t="e">
        <f>#REF!-#REF!</f>
        <v>#REF!</v>
      </c>
      <c r="CA674" s="315" t="e">
        <f>#REF!-#REF!</f>
        <v>#REF!</v>
      </c>
    </row>
    <row r="675" spans="7:79" hidden="1" x14ac:dyDescent="0.2">
      <c r="G675" s="315">
        <f t="shared" ref="G675:BR678" si="176">G318-BY318</f>
        <v>872697</v>
      </c>
      <c r="H675" s="315">
        <f t="shared" si="176"/>
        <v>0</v>
      </c>
      <c r="I675" s="315">
        <f t="shared" si="176"/>
        <v>0</v>
      </c>
      <c r="J675" s="315">
        <f t="shared" si="176"/>
        <v>0</v>
      </c>
      <c r="K675" s="315">
        <f t="shared" si="176"/>
        <v>0</v>
      </c>
      <c r="L675" s="315">
        <f t="shared" si="176"/>
        <v>632137</v>
      </c>
      <c r="M675" s="315">
        <f t="shared" si="176"/>
        <v>0</v>
      </c>
      <c r="N675" s="315">
        <f t="shared" si="176"/>
        <v>0</v>
      </c>
      <c r="O675" s="315">
        <f t="shared" si="176"/>
        <v>0</v>
      </c>
      <c r="P675" s="315">
        <f t="shared" si="176"/>
        <v>0</v>
      </c>
      <c r="Q675" s="315">
        <f t="shared" si="176"/>
        <v>3114442</v>
      </c>
      <c r="R675" s="315">
        <f t="shared" si="176"/>
        <v>0</v>
      </c>
      <c r="S675" s="315">
        <f t="shared" si="176"/>
        <v>0</v>
      </c>
      <c r="T675" s="315">
        <f t="shared" si="176"/>
        <v>0</v>
      </c>
      <c r="U675" s="315">
        <f t="shared" si="176"/>
        <v>0</v>
      </c>
      <c r="V675" s="315">
        <f t="shared" si="176"/>
        <v>-95175</v>
      </c>
      <c r="W675" s="315">
        <f t="shared" si="176"/>
        <v>0</v>
      </c>
      <c r="X675" s="315">
        <f t="shared" si="176"/>
        <v>0</v>
      </c>
      <c r="Y675" s="315">
        <f t="shared" si="176"/>
        <v>0</v>
      </c>
      <c r="Z675" s="315">
        <f t="shared" si="176"/>
        <v>0</v>
      </c>
      <c r="AA675" s="315">
        <f t="shared" si="176"/>
        <v>-285032</v>
      </c>
      <c r="AB675" s="315">
        <f t="shared" si="176"/>
        <v>0</v>
      </c>
      <c r="AC675" s="315">
        <f t="shared" si="176"/>
        <v>0</v>
      </c>
      <c r="AD675" s="315">
        <f t="shared" si="176"/>
        <v>0</v>
      </c>
      <c r="AE675" s="315">
        <f t="shared" si="176"/>
        <v>0</v>
      </c>
      <c r="AF675" s="315">
        <f t="shared" si="176"/>
        <v>2861562</v>
      </c>
      <c r="AG675" s="315">
        <f t="shared" si="176"/>
        <v>0</v>
      </c>
      <c r="AH675" s="315">
        <f t="shared" si="176"/>
        <v>0</v>
      </c>
      <c r="AI675" s="315">
        <f t="shared" si="176"/>
        <v>0</v>
      </c>
      <c r="AJ675" s="315">
        <f t="shared" si="176"/>
        <v>0</v>
      </c>
      <c r="AK675" s="315">
        <f t="shared" si="176"/>
        <v>478696</v>
      </c>
      <c r="AL675" s="315">
        <f t="shared" si="176"/>
        <v>0</v>
      </c>
      <c r="AM675" s="315">
        <f t="shared" si="176"/>
        <v>0</v>
      </c>
      <c r="AN675" s="315">
        <f t="shared" si="176"/>
        <v>0</v>
      </c>
      <c r="AO675" s="315">
        <f t="shared" si="176"/>
        <v>0</v>
      </c>
      <c r="AP675" s="315">
        <f t="shared" si="176"/>
        <v>31624</v>
      </c>
      <c r="AQ675" s="315">
        <f t="shared" si="176"/>
        <v>0</v>
      </c>
      <c r="AR675" s="315">
        <f t="shared" si="176"/>
        <v>0</v>
      </c>
      <c r="AS675" s="315">
        <f t="shared" si="176"/>
        <v>0</v>
      </c>
      <c r="AT675" s="315">
        <f t="shared" si="176"/>
        <v>0</v>
      </c>
      <c r="AU675" s="315">
        <f t="shared" si="176"/>
        <v>-1204105</v>
      </c>
      <c r="AV675" s="315">
        <f t="shared" si="176"/>
        <v>0</v>
      </c>
      <c r="AW675" s="315">
        <f t="shared" si="176"/>
        <v>0</v>
      </c>
      <c r="AX675" s="315">
        <f t="shared" si="176"/>
        <v>0</v>
      </c>
      <c r="AY675" s="315">
        <f t="shared" si="176"/>
        <v>0</v>
      </c>
      <c r="AZ675" s="315">
        <f t="shared" si="176"/>
        <v>-342784</v>
      </c>
      <c r="BA675" s="315">
        <f t="shared" si="176"/>
        <v>0</v>
      </c>
      <c r="BB675" s="315">
        <f t="shared" si="176"/>
        <v>0</v>
      </c>
      <c r="BC675" s="315">
        <f t="shared" si="176"/>
        <v>0</v>
      </c>
      <c r="BD675" s="315">
        <f t="shared" si="176"/>
        <v>0</v>
      </c>
      <c r="BE675" s="315">
        <f t="shared" si="176"/>
        <v>0</v>
      </c>
      <c r="BF675" s="315">
        <f t="shared" si="176"/>
        <v>0</v>
      </c>
      <c r="BG675" s="315">
        <f t="shared" si="176"/>
        <v>0</v>
      </c>
      <c r="BH675" s="315">
        <f t="shared" si="176"/>
        <v>0</v>
      </c>
      <c r="BI675" s="315">
        <f t="shared" si="176"/>
        <v>0</v>
      </c>
      <c r="BJ675" s="315">
        <f t="shared" si="176"/>
        <v>-772365</v>
      </c>
      <c r="BK675" s="315">
        <f t="shared" si="176"/>
        <v>0</v>
      </c>
      <c r="BL675" s="315">
        <f t="shared" si="176"/>
        <v>0</v>
      </c>
      <c r="BM675" s="315">
        <f t="shared" si="176"/>
        <v>0</v>
      </c>
      <c r="BN675" s="315">
        <f t="shared" si="176"/>
        <v>0</v>
      </c>
      <c r="BO675" s="315">
        <f t="shared" si="176"/>
        <v>-3033077</v>
      </c>
      <c r="BP675" s="315">
        <f t="shared" si="176"/>
        <v>0</v>
      </c>
      <c r="BQ675" s="315">
        <f t="shared" si="176"/>
        <v>0</v>
      </c>
      <c r="BR675" s="315">
        <f t="shared" si="176"/>
        <v>0</v>
      </c>
      <c r="BS675" s="315">
        <f t="shared" ref="BS675:BX690" si="177">BS318-EK318</f>
        <v>0</v>
      </c>
      <c r="BT675" s="315">
        <f t="shared" si="177"/>
        <v>6738254</v>
      </c>
      <c r="BU675" s="315">
        <f t="shared" si="177"/>
        <v>0</v>
      </c>
      <c r="BV675" s="315">
        <f t="shared" si="177"/>
        <v>0</v>
      </c>
      <c r="BW675" s="315">
        <f t="shared" si="177"/>
        <v>0</v>
      </c>
      <c r="BX675" s="315">
        <f t="shared" si="177"/>
        <v>0</v>
      </c>
      <c r="BZ675" s="315">
        <f t="shared" ref="BZ675:CA690" si="178">BZ318-ER318</f>
        <v>0</v>
      </c>
      <c r="CA675" s="315">
        <f t="shared" si="178"/>
        <v>0</v>
      </c>
    </row>
    <row r="676" spans="7:79" hidden="1" x14ac:dyDescent="0.2">
      <c r="G676" s="315">
        <f t="shared" si="176"/>
        <v>872697</v>
      </c>
      <c r="H676" s="315">
        <f t="shared" si="176"/>
        <v>0</v>
      </c>
      <c r="I676" s="315">
        <f t="shared" si="176"/>
        <v>0</v>
      </c>
      <c r="J676" s="315">
        <f t="shared" si="176"/>
        <v>0</v>
      </c>
      <c r="K676" s="315">
        <f t="shared" si="176"/>
        <v>0</v>
      </c>
      <c r="L676" s="315">
        <f t="shared" si="176"/>
        <v>632137</v>
      </c>
      <c r="M676" s="315">
        <f t="shared" si="176"/>
        <v>0</v>
      </c>
      <c r="N676" s="315">
        <f t="shared" si="176"/>
        <v>0</v>
      </c>
      <c r="O676" s="315">
        <f t="shared" si="176"/>
        <v>0</v>
      </c>
      <c r="P676" s="315">
        <f t="shared" si="176"/>
        <v>0</v>
      </c>
      <c r="Q676" s="315">
        <f t="shared" si="176"/>
        <v>3114442</v>
      </c>
      <c r="R676" s="315">
        <f t="shared" si="176"/>
        <v>0</v>
      </c>
      <c r="S676" s="315">
        <f t="shared" si="176"/>
        <v>0</v>
      </c>
      <c r="T676" s="315">
        <f t="shared" si="176"/>
        <v>0</v>
      </c>
      <c r="U676" s="315">
        <f t="shared" si="176"/>
        <v>0</v>
      </c>
      <c r="V676" s="315">
        <f t="shared" si="176"/>
        <v>-95175</v>
      </c>
      <c r="W676" s="315">
        <f t="shared" si="176"/>
        <v>0</v>
      </c>
      <c r="X676" s="315">
        <f t="shared" si="176"/>
        <v>0</v>
      </c>
      <c r="Y676" s="315">
        <f t="shared" si="176"/>
        <v>0</v>
      </c>
      <c r="Z676" s="315">
        <f t="shared" si="176"/>
        <v>0</v>
      </c>
      <c r="AA676" s="315">
        <f t="shared" si="176"/>
        <v>-285032</v>
      </c>
      <c r="AB676" s="315">
        <f t="shared" si="176"/>
        <v>0</v>
      </c>
      <c r="AC676" s="315">
        <f t="shared" si="176"/>
        <v>0</v>
      </c>
      <c r="AD676" s="315">
        <f t="shared" si="176"/>
        <v>0</v>
      </c>
      <c r="AE676" s="315">
        <f t="shared" si="176"/>
        <v>0</v>
      </c>
      <c r="AF676" s="315">
        <f t="shared" si="176"/>
        <v>2861562</v>
      </c>
      <c r="AG676" s="315">
        <f t="shared" si="176"/>
        <v>0</v>
      </c>
      <c r="AH676" s="315">
        <f t="shared" si="176"/>
        <v>0</v>
      </c>
      <c r="AI676" s="315">
        <f t="shared" si="176"/>
        <v>0</v>
      </c>
      <c r="AJ676" s="315">
        <f t="shared" si="176"/>
        <v>0</v>
      </c>
      <c r="AK676" s="315">
        <f t="shared" si="176"/>
        <v>478696</v>
      </c>
      <c r="AL676" s="315">
        <f t="shared" si="176"/>
        <v>0</v>
      </c>
      <c r="AM676" s="315">
        <f t="shared" si="176"/>
        <v>0</v>
      </c>
      <c r="AN676" s="315">
        <f t="shared" si="176"/>
        <v>0</v>
      </c>
      <c r="AO676" s="315">
        <f t="shared" si="176"/>
        <v>0</v>
      </c>
      <c r="AP676" s="315">
        <f t="shared" si="176"/>
        <v>31624</v>
      </c>
      <c r="AQ676" s="315">
        <f t="shared" si="176"/>
        <v>0</v>
      </c>
      <c r="AR676" s="315">
        <f t="shared" si="176"/>
        <v>0</v>
      </c>
      <c r="AS676" s="315">
        <f t="shared" si="176"/>
        <v>0</v>
      </c>
      <c r="AT676" s="315">
        <f t="shared" si="176"/>
        <v>0</v>
      </c>
      <c r="AU676" s="315">
        <f t="shared" si="176"/>
        <v>-1204105</v>
      </c>
      <c r="AV676" s="315">
        <f t="shared" si="176"/>
        <v>0</v>
      </c>
      <c r="AW676" s="315">
        <f t="shared" si="176"/>
        <v>0</v>
      </c>
      <c r="AX676" s="315">
        <f t="shared" si="176"/>
        <v>0</v>
      </c>
      <c r="AY676" s="315">
        <f t="shared" si="176"/>
        <v>0</v>
      </c>
      <c r="AZ676" s="315">
        <f t="shared" si="176"/>
        <v>-342784</v>
      </c>
      <c r="BA676" s="315">
        <f t="shared" si="176"/>
        <v>0</v>
      </c>
      <c r="BB676" s="315">
        <f t="shared" si="176"/>
        <v>0</v>
      </c>
      <c r="BC676" s="315">
        <f t="shared" si="176"/>
        <v>0</v>
      </c>
      <c r="BD676" s="315">
        <f t="shared" si="176"/>
        <v>0</v>
      </c>
      <c r="BE676" s="315">
        <f t="shared" si="176"/>
        <v>0</v>
      </c>
      <c r="BF676" s="315">
        <f t="shared" si="176"/>
        <v>0</v>
      </c>
      <c r="BG676" s="315">
        <f t="shared" si="176"/>
        <v>0</v>
      </c>
      <c r="BH676" s="315">
        <f t="shared" si="176"/>
        <v>0</v>
      </c>
      <c r="BI676" s="315">
        <f t="shared" si="176"/>
        <v>0</v>
      </c>
      <c r="BJ676" s="315">
        <f t="shared" si="176"/>
        <v>-772365</v>
      </c>
      <c r="BK676" s="315">
        <f t="shared" si="176"/>
        <v>0</v>
      </c>
      <c r="BL676" s="315">
        <f t="shared" si="176"/>
        <v>0</v>
      </c>
      <c r="BM676" s="315">
        <f t="shared" si="176"/>
        <v>0</v>
      </c>
      <c r="BN676" s="315">
        <f t="shared" si="176"/>
        <v>0</v>
      </c>
      <c r="BO676" s="315">
        <f t="shared" si="176"/>
        <v>-3033077</v>
      </c>
      <c r="BP676" s="315">
        <f t="shared" si="176"/>
        <v>0</v>
      </c>
      <c r="BQ676" s="315">
        <f t="shared" si="176"/>
        <v>0</v>
      </c>
      <c r="BR676" s="315">
        <f t="shared" si="176"/>
        <v>0</v>
      </c>
      <c r="BS676" s="315">
        <f t="shared" si="177"/>
        <v>0</v>
      </c>
      <c r="BT676" s="315">
        <f t="shared" si="177"/>
        <v>6738254</v>
      </c>
      <c r="BU676" s="315">
        <f t="shared" si="177"/>
        <v>0</v>
      </c>
      <c r="BV676" s="315">
        <f t="shared" si="177"/>
        <v>0</v>
      </c>
      <c r="BW676" s="315">
        <f t="shared" si="177"/>
        <v>0</v>
      </c>
      <c r="BX676" s="315">
        <f t="shared" si="177"/>
        <v>0</v>
      </c>
      <c r="BZ676" s="315">
        <f t="shared" si="178"/>
        <v>0</v>
      </c>
      <c r="CA676" s="315">
        <f t="shared" si="178"/>
        <v>0</v>
      </c>
    </row>
    <row r="677" spans="7:79" hidden="1" x14ac:dyDescent="0.2">
      <c r="G677" s="315">
        <f t="shared" si="176"/>
        <v>0</v>
      </c>
      <c r="H677" s="315">
        <f t="shared" si="176"/>
        <v>0</v>
      </c>
      <c r="I677" s="315">
        <f t="shared" si="176"/>
        <v>0</v>
      </c>
      <c r="J677" s="315">
        <f t="shared" si="176"/>
        <v>0</v>
      </c>
      <c r="K677" s="315">
        <f t="shared" si="176"/>
        <v>0</v>
      </c>
      <c r="L677" s="315">
        <f t="shared" si="176"/>
        <v>0</v>
      </c>
      <c r="M677" s="315">
        <f t="shared" si="176"/>
        <v>0</v>
      </c>
      <c r="N677" s="315">
        <f t="shared" si="176"/>
        <v>0</v>
      </c>
      <c r="O677" s="315">
        <f t="shared" si="176"/>
        <v>0</v>
      </c>
      <c r="P677" s="315">
        <f t="shared" si="176"/>
        <v>0</v>
      </c>
      <c r="Q677" s="315">
        <f t="shared" si="176"/>
        <v>0</v>
      </c>
      <c r="R677" s="315">
        <f t="shared" si="176"/>
        <v>0</v>
      </c>
      <c r="S677" s="315">
        <f t="shared" si="176"/>
        <v>0</v>
      </c>
      <c r="T677" s="315">
        <f t="shared" si="176"/>
        <v>0</v>
      </c>
      <c r="U677" s="315">
        <f t="shared" si="176"/>
        <v>0</v>
      </c>
      <c r="V677" s="315">
        <f t="shared" si="176"/>
        <v>0</v>
      </c>
      <c r="W677" s="315">
        <f t="shared" si="176"/>
        <v>0</v>
      </c>
      <c r="X677" s="315">
        <f t="shared" si="176"/>
        <v>0</v>
      </c>
      <c r="Y677" s="315">
        <f t="shared" si="176"/>
        <v>0</v>
      </c>
      <c r="Z677" s="315">
        <f t="shared" si="176"/>
        <v>0</v>
      </c>
      <c r="AA677" s="315">
        <f t="shared" si="176"/>
        <v>0</v>
      </c>
      <c r="AB677" s="315">
        <f t="shared" si="176"/>
        <v>0</v>
      </c>
      <c r="AC677" s="315">
        <f t="shared" si="176"/>
        <v>0</v>
      </c>
      <c r="AD677" s="315">
        <f t="shared" si="176"/>
        <v>0</v>
      </c>
      <c r="AE677" s="315">
        <f t="shared" si="176"/>
        <v>0</v>
      </c>
      <c r="AF677" s="315">
        <f t="shared" si="176"/>
        <v>0</v>
      </c>
      <c r="AG677" s="315">
        <f t="shared" si="176"/>
        <v>0</v>
      </c>
      <c r="AH677" s="315">
        <f t="shared" si="176"/>
        <v>0</v>
      </c>
      <c r="AI677" s="315">
        <f t="shared" si="176"/>
        <v>0</v>
      </c>
      <c r="AJ677" s="315">
        <f t="shared" si="176"/>
        <v>0</v>
      </c>
      <c r="AK677" s="315">
        <f t="shared" si="176"/>
        <v>0</v>
      </c>
      <c r="AL677" s="315">
        <f t="shared" si="176"/>
        <v>0</v>
      </c>
      <c r="AM677" s="315">
        <f t="shared" si="176"/>
        <v>0</v>
      </c>
      <c r="AN677" s="315">
        <f t="shared" si="176"/>
        <v>0</v>
      </c>
      <c r="AO677" s="315">
        <f t="shared" si="176"/>
        <v>0</v>
      </c>
      <c r="AP677" s="315">
        <f t="shared" si="176"/>
        <v>0</v>
      </c>
      <c r="AQ677" s="315">
        <f t="shared" si="176"/>
        <v>0</v>
      </c>
      <c r="AR677" s="315">
        <f t="shared" si="176"/>
        <v>0</v>
      </c>
      <c r="AS677" s="315">
        <f t="shared" si="176"/>
        <v>0</v>
      </c>
      <c r="AT677" s="315">
        <f t="shared" si="176"/>
        <v>0</v>
      </c>
      <c r="AU677" s="315">
        <f t="shared" si="176"/>
        <v>0</v>
      </c>
      <c r="AV677" s="315">
        <f t="shared" si="176"/>
        <v>0</v>
      </c>
      <c r="AW677" s="315">
        <f t="shared" si="176"/>
        <v>0</v>
      </c>
      <c r="AX677" s="315">
        <f t="shared" si="176"/>
        <v>0</v>
      </c>
      <c r="AY677" s="315">
        <f t="shared" si="176"/>
        <v>0</v>
      </c>
      <c r="AZ677" s="315">
        <f t="shared" si="176"/>
        <v>0</v>
      </c>
      <c r="BA677" s="315">
        <f t="shared" si="176"/>
        <v>0</v>
      </c>
      <c r="BB677" s="315">
        <f t="shared" si="176"/>
        <v>0</v>
      </c>
      <c r="BC677" s="315">
        <f t="shared" si="176"/>
        <v>0</v>
      </c>
      <c r="BD677" s="315">
        <f t="shared" si="176"/>
        <v>0</v>
      </c>
      <c r="BE677" s="315">
        <f t="shared" si="176"/>
        <v>0</v>
      </c>
      <c r="BF677" s="315">
        <f t="shared" si="176"/>
        <v>0</v>
      </c>
      <c r="BG677" s="315">
        <f t="shared" si="176"/>
        <v>0</v>
      </c>
      <c r="BH677" s="315">
        <f t="shared" si="176"/>
        <v>0</v>
      </c>
      <c r="BI677" s="315">
        <f t="shared" si="176"/>
        <v>0</v>
      </c>
      <c r="BJ677" s="315">
        <f t="shared" si="176"/>
        <v>0</v>
      </c>
      <c r="BK677" s="315">
        <f t="shared" si="176"/>
        <v>0</v>
      </c>
      <c r="BL677" s="315">
        <f t="shared" si="176"/>
        <v>0</v>
      </c>
      <c r="BM677" s="315">
        <f t="shared" si="176"/>
        <v>0</v>
      </c>
      <c r="BN677" s="315">
        <f t="shared" si="176"/>
        <v>0</v>
      </c>
      <c r="BO677" s="315">
        <f t="shared" si="176"/>
        <v>0</v>
      </c>
      <c r="BP677" s="315">
        <f t="shared" si="176"/>
        <v>0</v>
      </c>
      <c r="BQ677" s="315">
        <f t="shared" si="176"/>
        <v>0</v>
      </c>
      <c r="BR677" s="315">
        <f t="shared" si="176"/>
        <v>0</v>
      </c>
      <c r="BS677" s="315">
        <f t="shared" si="177"/>
        <v>0</v>
      </c>
      <c r="BT677" s="315">
        <f t="shared" si="177"/>
        <v>0</v>
      </c>
      <c r="BU677" s="315">
        <f t="shared" si="177"/>
        <v>0</v>
      </c>
      <c r="BV677" s="315">
        <f t="shared" si="177"/>
        <v>0</v>
      </c>
      <c r="BW677" s="315">
        <f t="shared" si="177"/>
        <v>0</v>
      </c>
      <c r="BX677" s="315">
        <f t="shared" si="177"/>
        <v>0</v>
      </c>
      <c r="BZ677" s="315">
        <f t="shared" si="178"/>
        <v>0</v>
      </c>
      <c r="CA677" s="315">
        <f t="shared" si="178"/>
        <v>0</v>
      </c>
    </row>
    <row r="678" spans="7:79" hidden="1" x14ac:dyDescent="0.2">
      <c r="G678" s="315">
        <f t="shared" si="176"/>
        <v>0</v>
      </c>
      <c r="H678" s="315">
        <f t="shared" si="176"/>
        <v>0</v>
      </c>
      <c r="I678" s="315">
        <f t="shared" si="176"/>
        <v>0</v>
      </c>
      <c r="J678" s="315">
        <f t="shared" si="176"/>
        <v>0</v>
      </c>
      <c r="K678" s="315">
        <f t="shared" si="176"/>
        <v>0</v>
      </c>
      <c r="L678" s="315">
        <f t="shared" si="176"/>
        <v>0</v>
      </c>
      <c r="M678" s="315">
        <f t="shared" si="176"/>
        <v>0</v>
      </c>
      <c r="N678" s="315">
        <f t="shared" si="176"/>
        <v>0</v>
      </c>
      <c r="O678" s="315">
        <f t="shared" si="176"/>
        <v>0</v>
      </c>
      <c r="P678" s="315">
        <f t="shared" si="176"/>
        <v>0</v>
      </c>
      <c r="Q678" s="315">
        <f t="shared" si="176"/>
        <v>0</v>
      </c>
      <c r="R678" s="315">
        <f t="shared" si="176"/>
        <v>0</v>
      </c>
      <c r="S678" s="315">
        <f t="shared" si="176"/>
        <v>0</v>
      </c>
      <c r="T678" s="315">
        <f t="shared" si="176"/>
        <v>0</v>
      </c>
      <c r="U678" s="315">
        <f t="shared" si="176"/>
        <v>0</v>
      </c>
      <c r="V678" s="315">
        <f t="shared" si="176"/>
        <v>0</v>
      </c>
      <c r="W678" s="315">
        <f t="shared" si="176"/>
        <v>0</v>
      </c>
      <c r="X678" s="315">
        <f t="shared" si="176"/>
        <v>0</v>
      </c>
      <c r="Y678" s="315">
        <f t="shared" si="176"/>
        <v>0</v>
      </c>
      <c r="Z678" s="315">
        <f t="shared" si="176"/>
        <v>0</v>
      </c>
      <c r="AA678" s="315">
        <f t="shared" si="176"/>
        <v>0</v>
      </c>
      <c r="AB678" s="315">
        <f t="shared" si="176"/>
        <v>0</v>
      </c>
      <c r="AC678" s="315">
        <f t="shared" si="176"/>
        <v>0</v>
      </c>
      <c r="AD678" s="315">
        <f t="shared" si="176"/>
        <v>0</v>
      </c>
      <c r="AE678" s="315">
        <f t="shared" si="176"/>
        <v>0</v>
      </c>
      <c r="AF678" s="315">
        <f t="shared" si="176"/>
        <v>0</v>
      </c>
      <c r="AG678" s="315">
        <f t="shared" si="176"/>
        <v>0</v>
      </c>
      <c r="AH678" s="315">
        <f t="shared" si="176"/>
        <v>0</v>
      </c>
      <c r="AI678" s="315">
        <f t="shared" si="176"/>
        <v>0</v>
      </c>
      <c r="AJ678" s="315">
        <f t="shared" si="176"/>
        <v>0</v>
      </c>
      <c r="AK678" s="315">
        <f t="shared" si="176"/>
        <v>0</v>
      </c>
      <c r="AL678" s="315">
        <f t="shared" si="176"/>
        <v>0</v>
      </c>
      <c r="AM678" s="315">
        <f t="shared" si="176"/>
        <v>0</v>
      </c>
      <c r="AN678" s="315">
        <f t="shared" si="176"/>
        <v>0</v>
      </c>
      <c r="AO678" s="315">
        <f t="shared" si="176"/>
        <v>0</v>
      </c>
      <c r="AP678" s="315">
        <f t="shared" si="176"/>
        <v>0</v>
      </c>
      <c r="AQ678" s="315">
        <f t="shared" si="176"/>
        <v>0</v>
      </c>
      <c r="AR678" s="315">
        <f t="shared" si="176"/>
        <v>0</v>
      </c>
      <c r="AS678" s="315">
        <f t="shared" si="176"/>
        <v>0</v>
      </c>
      <c r="AT678" s="315">
        <f t="shared" si="176"/>
        <v>0</v>
      </c>
      <c r="AU678" s="315">
        <f t="shared" si="176"/>
        <v>0</v>
      </c>
      <c r="AV678" s="315">
        <f t="shared" si="176"/>
        <v>0</v>
      </c>
      <c r="AW678" s="315">
        <f t="shared" si="176"/>
        <v>0</v>
      </c>
      <c r="AX678" s="315">
        <f t="shared" si="176"/>
        <v>0</v>
      </c>
      <c r="AY678" s="315">
        <f t="shared" si="176"/>
        <v>0</v>
      </c>
      <c r="AZ678" s="315">
        <f t="shared" si="176"/>
        <v>0</v>
      </c>
      <c r="BA678" s="315">
        <f t="shared" si="176"/>
        <v>0</v>
      </c>
      <c r="BB678" s="315">
        <f t="shared" si="176"/>
        <v>0</v>
      </c>
      <c r="BC678" s="315">
        <f t="shared" si="176"/>
        <v>0</v>
      </c>
      <c r="BD678" s="315">
        <f t="shared" si="176"/>
        <v>0</v>
      </c>
      <c r="BE678" s="315">
        <f t="shared" si="176"/>
        <v>0</v>
      </c>
      <c r="BF678" s="315">
        <f t="shared" si="176"/>
        <v>0</v>
      </c>
      <c r="BG678" s="315">
        <f t="shared" si="176"/>
        <v>0</v>
      </c>
      <c r="BH678" s="315">
        <f t="shared" si="176"/>
        <v>0</v>
      </c>
      <c r="BI678" s="315">
        <f t="shared" si="176"/>
        <v>0</v>
      </c>
      <c r="BJ678" s="315">
        <f t="shared" si="176"/>
        <v>0</v>
      </c>
      <c r="BK678" s="315">
        <f t="shared" si="176"/>
        <v>0</v>
      </c>
      <c r="BL678" s="315">
        <f t="shared" si="176"/>
        <v>0</v>
      </c>
      <c r="BM678" s="315">
        <f t="shared" si="176"/>
        <v>0</v>
      </c>
      <c r="BN678" s="315">
        <f t="shared" si="176"/>
        <v>0</v>
      </c>
      <c r="BO678" s="315">
        <f t="shared" si="176"/>
        <v>0</v>
      </c>
      <c r="BP678" s="315">
        <f t="shared" si="176"/>
        <v>0</v>
      </c>
      <c r="BQ678" s="315">
        <f t="shared" si="176"/>
        <v>0</v>
      </c>
      <c r="BR678" s="315">
        <f t="shared" ref="BR678:BX693" si="179">BR321-EJ321</f>
        <v>0</v>
      </c>
      <c r="BS678" s="315">
        <f t="shared" si="177"/>
        <v>0</v>
      </c>
      <c r="BT678" s="315">
        <f t="shared" si="177"/>
        <v>0</v>
      </c>
      <c r="BU678" s="315">
        <f t="shared" si="177"/>
        <v>0</v>
      </c>
      <c r="BV678" s="315">
        <f t="shared" si="177"/>
        <v>0</v>
      </c>
      <c r="BW678" s="315">
        <f t="shared" si="177"/>
        <v>0</v>
      </c>
      <c r="BX678" s="315">
        <f t="shared" si="177"/>
        <v>0</v>
      </c>
      <c r="BZ678" s="315">
        <f t="shared" si="178"/>
        <v>0</v>
      </c>
      <c r="CA678" s="315">
        <f t="shared" si="178"/>
        <v>0</v>
      </c>
    </row>
    <row r="679" spans="7:79" hidden="1" x14ac:dyDescent="0.2">
      <c r="G679" s="315">
        <f t="shared" ref="G679:BQ683" si="180">G322-BY322</f>
        <v>0</v>
      </c>
      <c r="H679" s="315">
        <f t="shared" si="180"/>
        <v>0</v>
      </c>
      <c r="I679" s="315">
        <f t="shared" si="180"/>
        <v>0</v>
      </c>
      <c r="J679" s="315">
        <f t="shared" si="180"/>
        <v>0</v>
      </c>
      <c r="K679" s="315">
        <f t="shared" si="180"/>
        <v>0</v>
      </c>
      <c r="L679" s="315">
        <f t="shared" si="180"/>
        <v>0</v>
      </c>
      <c r="M679" s="315">
        <f t="shared" si="180"/>
        <v>0</v>
      </c>
      <c r="N679" s="315">
        <f t="shared" si="180"/>
        <v>0</v>
      </c>
      <c r="O679" s="315">
        <f t="shared" si="180"/>
        <v>0</v>
      </c>
      <c r="P679" s="315">
        <f t="shared" si="180"/>
        <v>0</v>
      </c>
      <c r="Q679" s="315">
        <f t="shared" si="180"/>
        <v>0</v>
      </c>
      <c r="R679" s="315">
        <f t="shared" si="180"/>
        <v>0</v>
      </c>
      <c r="S679" s="315">
        <f t="shared" si="180"/>
        <v>0</v>
      </c>
      <c r="T679" s="315">
        <f t="shared" si="180"/>
        <v>0</v>
      </c>
      <c r="U679" s="315">
        <f t="shared" si="180"/>
        <v>0</v>
      </c>
      <c r="V679" s="315">
        <f t="shared" si="180"/>
        <v>0</v>
      </c>
      <c r="W679" s="315">
        <f t="shared" si="180"/>
        <v>0</v>
      </c>
      <c r="X679" s="315">
        <f t="shared" si="180"/>
        <v>0</v>
      </c>
      <c r="Y679" s="315">
        <f t="shared" si="180"/>
        <v>0</v>
      </c>
      <c r="Z679" s="315">
        <f t="shared" si="180"/>
        <v>0</v>
      </c>
      <c r="AA679" s="315">
        <f t="shared" si="180"/>
        <v>0</v>
      </c>
      <c r="AB679" s="315">
        <f t="shared" si="180"/>
        <v>0</v>
      </c>
      <c r="AC679" s="315">
        <f t="shared" si="180"/>
        <v>0</v>
      </c>
      <c r="AD679" s="315">
        <f t="shared" si="180"/>
        <v>0</v>
      </c>
      <c r="AE679" s="315">
        <f t="shared" si="180"/>
        <v>0</v>
      </c>
      <c r="AF679" s="315">
        <f t="shared" si="180"/>
        <v>0</v>
      </c>
      <c r="AG679" s="315">
        <f t="shared" si="180"/>
        <v>0</v>
      </c>
      <c r="AH679" s="315">
        <f t="shared" si="180"/>
        <v>0</v>
      </c>
      <c r="AI679" s="315">
        <f t="shared" si="180"/>
        <v>0</v>
      </c>
      <c r="AJ679" s="315">
        <f t="shared" si="180"/>
        <v>0</v>
      </c>
      <c r="AK679" s="315">
        <f t="shared" si="180"/>
        <v>0</v>
      </c>
      <c r="AL679" s="315">
        <f t="shared" si="180"/>
        <v>0</v>
      </c>
      <c r="AM679" s="315">
        <f t="shared" si="180"/>
        <v>0</v>
      </c>
      <c r="AN679" s="315">
        <f t="shared" si="180"/>
        <v>0</v>
      </c>
      <c r="AO679" s="315">
        <f t="shared" si="180"/>
        <v>0</v>
      </c>
      <c r="AP679" s="315">
        <f t="shared" si="180"/>
        <v>0</v>
      </c>
      <c r="AQ679" s="315">
        <f t="shared" si="180"/>
        <v>0</v>
      </c>
      <c r="AR679" s="315">
        <f t="shared" si="180"/>
        <v>0</v>
      </c>
      <c r="AS679" s="315">
        <f t="shared" si="180"/>
        <v>0</v>
      </c>
      <c r="AT679" s="315">
        <f t="shared" si="180"/>
        <v>0</v>
      </c>
      <c r="AU679" s="315">
        <f t="shared" si="180"/>
        <v>0</v>
      </c>
      <c r="AV679" s="315">
        <f t="shared" si="180"/>
        <v>0</v>
      </c>
      <c r="AW679" s="315">
        <f t="shared" si="180"/>
        <v>0</v>
      </c>
      <c r="AX679" s="315">
        <f t="shared" si="180"/>
        <v>0</v>
      </c>
      <c r="AY679" s="315">
        <f t="shared" si="180"/>
        <v>0</v>
      </c>
      <c r="AZ679" s="315">
        <f t="shared" si="180"/>
        <v>0</v>
      </c>
      <c r="BA679" s="315">
        <f t="shared" si="180"/>
        <v>0</v>
      </c>
      <c r="BB679" s="315">
        <f t="shared" si="180"/>
        <v>0</v>
      </c>
      <c r="BC679" s="315">
        <f t="shared" si="180"/>
        <v>0</v>
      </c>
      <c r="BD679" s="315">
        <f t="shared" si="180"/>
        <v>0</v>
      </c>
      <c r="BE679" s="315">
        <f t="shared" si="180"/>
        <v>0</v>
      </c>
      <c r="BF679" s="315">
        <f t="shared" si="180"/>
        <v>0</v>
      </c>
      <c r="BG679" s="315">
        <f t="shared" si="180"/>
        <v>0</v>
      </c>
      <c r="BH679" s="315">
        <f t="shared" si="180"/>
        <v>0</v>
      </c>
      <c r="BI679" s="315">
        <f t="shared" si="180"/>
        <v>0</v>
      </c>
      <c r="BJ679" s="315">
        <f t="shared" si="180"/>
        <v>0</v>
      </c>
      <c r="BK679" s="315">
        <f t="shared" si="180"/>
        <v>0</v>
      </c>
      <c r="BL679" s="315">
        <f t="shared" si="180"/>
        <v>0</v>
      </c>
      <c r="BM679" s="315">
        <f t="shared" si="180"/>
        <v>0</v>
      </c>
      <c r="BN679" s="315">
        <f t="shared" si="180"/>
        <v>0</v>
      </c>
      <c r="BO679" s="315">
        <f t="shared" si="180"/>
        <v>0</v>
      </c>
      <c r="BP679" s="315">
        <f t="shared" si="180"/>
        <v>0</v>
      </c>
      <c r="BQ679" s="315">
        <f t="shared" si="180"/>
        <v>0</v>
      </c>
      <c r="BR679" s="315">
        <f t="shared" si="179"/>
        <v>0</v>
      </c>
      <c r="BS679" s="315">
        <f t="shared" si="177"/>
        <v>0</v>
      </c>
      <c r="BT679" s="315">
        <f t="shared" si="177"/>
        <v>0</v>
      </c>
      <c r="BU679" s="315">
        <f t="shared" si="177"/>
        <v>0</v>
      </c>
      <c r="BV679" s="315">
        <f t="shared" si="177"/>
        <v>0</v>
      </c>
      <c r="BW679" s="315">
        <f t="shared" si="177"/>
        <v>0</v>
      </c>
      <c r="BX679" s="315">
        <f t="shared" si="177"/>
        <v>0</v>
      </c>
      <c r="BZ679" s="315">
        <f t="shared" si="178"/>
        <v>0</v>
      </c>
      <c r="CA679" s="315">
        <f t="shared" si="178"/>
        <v>0</v>
      </c>
    </row>
    <row r="680" spans="7:79" hidden="1" x14ac:dyDescent="0.2">
      <c r="G680" s="315">
        <f t="shared" si="180"/>
        <v>0</v>
      </c>
      <c r="H680" s="315">
        <f t="shared" si="180"/>
        <v>0</v>
      </c>
      <c r="I680" s="315">
        <f t="shared" si="180"/>
        <v>0</v>
      </c>
      <c r="J680" s="315">
        <f t="shared" si="180"/>
        <v>0</v>
      </c>
      <c r="K680" s="315">
        <f t="shared" si="180"/>
        <v>0</v>
      </c>
      <c r="L680" s="315">
        <f t="shared" si="180"/>
        <v>0</v>
      </c>
      <c r="M680" s="315">
        <f t="shared" si="180"/>
        <v>0</v>
      </c>
      <c r="N680" s="315">
        <f t="shared" si="180"/>
        <v>0</v>
      </c>
      <c r="O680" s="315">
        <f t="shared" si="180"/>
        <v>0</v>
      </c>
      <c r="P680" s="315">
        <f t="shared" si="180"/>
        <v>0</v>
      </c>
      <c r="Q680" s="315">
        <f t="shared" si="180"/>
        <v>0</v>
      </c>
      <c r="R680" s="315">
        <f t="shared" si="180"/>
        <v>0</v>
      </c>
      <c r="S680" s="315">
        <f t="shared" si="180"/>
        <v>0</v>
      </c>
      <c r="T680" s="315">
        <f t="shared" si="180"/>
        <v>0</v>
      </c>
      <c r="U680" s="315">
        <f t="shared" si="180"/>
        <v>0</v>
      </c>
      <c r="V680" s="315">
        <f t="shared" si="180"/>
        <v>0</v>
      </c>
      <c r="W680" s="315">
        <f t="shared" si="180"/>
        <v>0</v>
      </c>
      <c r="X680" s="315">
        <f t="shared" si="180"/>
        <v>0</v>
      </c>
      <c r="Y680" s="315">
        <f t="shared" si="180"/>
        <v>0</v>
      </c>
      <c r="Z680" s="315">
        <f t="shared" si="180"/>
        <v>0</v>
      </c>
      <c r="AA680" s="315">
        <f t="shared" si="180"/>
        <v>0</v>
      </c>
      <c r="AB680" s="315">
        <f t="shared" si="180"/>
        <v>0</v>
      </c>
      <c r="AC680" s="315">
        <f t="shared" si="180"/>
        <v>0</v>
      </c>
      <c r="AD680" s="315">
        <f t="shared" si="180"/>
        <v>0</v>
      </c>
      <c r="AE680" s="315">
        <f t="shared" si="180"/>
        <v>0</v>
      </c>
      <c r="AF680" s="315">
        <f t="shared" si="180"/>
        <v>0</v>
      </c>
      <c r="AG680" s="315">
        <f t="shared" si="180"/>
        <v>0</v>
      </c>
      <c r="AH680" s="315">
        <f t="shared" si="180"/>
        <v>0</v>
      </c>
      <c r="AI680" s="315">
        <f t="shared" si="180"/>
        <v>0</v>
      </c>
      <c r="AJ680" s="315">
        <f t="shared" si="180"/>
        <v>0</v>
      </c>
      <c r="AK680" s="315">
        <f t="shared" si="180"/>
        <v>0</v>
      </c>
      <c r="AL680" s="315">
        <f t="shared" si="180"/>
        <v>0</v>
      </c>
      <c r="AM680" s="315">
        <f t="shared" si="180"/>
        <v>0</v>
      </c>
      <c r="AN680" s="315">
        <f t="shared" si="180"/>
        <v>0</v>
      </c>
      <c r="AO680" s="315">
        <f t="shared" si="180"/>
        <v>0</v>
      </c>
      <c r="AP680" s="315">
        <f t="shared" si="180"/>
        <v>0</v>
      </c>
      <c r="AQ680" s="315">
        <f t="shared" si="180"/>
        <v>0</v>
      </c>
      <c r="AR680" s="315">
        <f t="shared" si="180"/>
        <v>0</v>
      </c>
      <c r="AS680" s="315">
        <f t="shared" si="180"/>
        <v>0</v>
      </c>
      <c r="AT680" s="315">
        <f t="shared" si="180"/>
        <v>0</v>
      </c>
      <c r="AU680" s="315">
        <f t="shared" si="180"/>
        <v>0</v>
      </c>
      <c r="AV680" s="315">
        <f t="shared" si="180"/>
        <v>0</v>
      </c>
      <c r="AW680" s="315">
        <f t="shared" si="180"/>
        <v>0</v>
      </c>
      <c r="AX680" s="315">
        <f t="shared" si="180"/>
        <v>0</v>
      </c>
      <c r="AY680" s="315">
        <f t="shared" si="180"/>
        <v>0</v>
      </c>
      <c r="AZ680" s="315">
        <f t="shared" si="180"/>
        <v>0</v>
      </c>
      <c r="BA680" s="315">
        <f t="shared" si="180"/>
        <v>0</v>
      </c>
      <c r="BB680" s="315">
        <f t="shared" si="180"/>
        <v>0</v>
      </c>
      <c r="BC680" s="315">
        <f t="shared" si="180"/>
        <v>0</v>
      </c>
      <c r="BD680" s="315">
        <f t="shared" si="180"/>
        <v>0</v>
      </c>
      <c r="BE680" s="315">
        <f t="shared" si="180"/>
        <v>0</v>
      </c>
      <c r="BF680" s="315">
        <f t="shared" si="180"/>
        <v>0</v>
      </c>
      <c r="BG680" s="315">
        <f t="shared" si="180"/>
        <v>0</v>
      </c>
      <c r="BH680" s="315">
        <f t="shared" si="180"/>
        <v>0</v>
      </c>
      <c r="BI680" s="315">
        <f t="shared" si="180"/>
        <v>0</v>
      </c>
      <c r="BJ680" s="315">
        <f t="shared" si="180"/>
        <v>0</v>
      </c>
      <c r="BK680" s="315">
        <f t="shared" si="180"/>
        <v>0</v>
      </c>
      <c r="BL680" s="315">
        <f t="shared" si="180"/>
        <v>0</v>
      </c>
      <c r="BM680" s="315">
        <f t="shared" si="180"/>
        <v>0</v>
      </c>
      <c r="BN680" s="315">
        <f t="shared" si="180"/>
        <v>0</v>
      </c>
      <c r="BO680" s="315">
        <f t="shared" si="180"/>
        <v>0</v>
      </c>
      <c r="BP680" s="315">
        <f t="shared" si="180"/>
        <v>0</v>
      </c>
      <c r="BQ680" s="315">
        <f t="shared" si="180"/>
        <v>0</v>
      </c>
      <c r="BR680" s="315">
        <f t="shared" si="179"/>
        <v>0</v>
      </c>
      <c r="BS680" s="315">
        <f t="shared" si="177"/>
        <v>0</v>
      </c>
      <c r="BT680" s="315">
        <f t="shared" si="177"/>
        <v>0</v>
      </c>
      <c r="BU680" s="315">
        <f t="shared" si="177"/>
        <v>0</v>
      </c>
      <c r="BV680" s="315">
        <f t="shared" si="177"/>
        <v>0</v>
      </c>
      <c r="BW680" s="315">
        <f t="shared" si="177"/>
        <v>0</v>
      </c>
      <c r="BX680" s="315">
        <f t="shared" si="177"/>
        <v>0</v>
      </c>
      <c r="BZ680" s="315">
        <f t="shared" si="178"/>
        <v>0</v>
      </c>
      <c r="CA680" s="315">
        <f t="shared" si="178"/>
        <v>0</v>
      </c>
    </row>
    <row r="681" spans="7:79" hidden="1" x14ac:dyDescent="0.2">
      <c r="G681" s="315">
        <f t="shared" si="180"/>
        <v>-42458</v>
      </c>
      <c r="H681" s="315">
        <f t="shared" si="180"/>
        <v>0</v>
      </c>
      <c r="I681" s="315">
        <f t="shared" si="180"/>
        <v>0</v>
      </c>
      <c r="J681" s="315">
        <f t="shared" si="180"/>
        <v>0</v>
      </c>
      <c r="K681" s="315">
        <f t="shared" si="180"/>
        <v>0</v>
      </c>
      <c r="L681" s="315">
        <f t="shared" si="180"/>
        <v>0</v>
      </c>
      <c r="M681" s="315">
        <f t="shared" si="180"/>
        <v>0</v>
      </c>
      <c r="N681" s="315">
        <f t="shared" si="180"/>
        <v>0</v>
      </c>
      <c r="O681" s="315">
        <f t="shared" si="180"/>
        <v>0</v>
      </c>
      <c r="P681" s="315">
        <f t="shared" si="180"/>
        <v>0</v>
      </c>
      <c r="Q681" s="315">
        <f t="shared" si="180"/>
        <v>0</v>
      </c>
      <c r="R681" s="315">
        <f t="shared" si="180"/>
        <v>0</v>
      </c>
      <c r="S681" s="315">
        <f t="shared" si="180"/>
        <v>0</v>
      </c>
      <c r="T681" s="315">
        <f t="shared" si="180"/>
        <v>0</v>
      </c>
      <c r="U681" s="315">
        <f t="shared" si="180"/>
        <v>0</v>
      </c>
      <c r="V681" s="315">
        <f t="shared" si="180"/>
        <v>0</v>
      </c>
      <c r="W681" s="315">
        <f t="shared" si="180"/>
        <v>0</v>
      </c>
      <c r="X681" s="315">
        <f t="shared" si="180"/>
        <v>0</v>
      </c>
      <c r="Y681" s="315">
        <f t="shared" si="180"/>
        <v>0</v>
      </c>
      <c r="Z681" s="315">
        <f t="shared" si="180"/>
        <v>0</v>
      </c>
      <c r="AA681" s="315">
        <f t="shared" si="180"/>
        <v>0</v>
      </c>
      <c r="AB681" s="315">
        <f t="shared" si="180"/>
        <v>0</v>
      </c>
      <c r="AC681" s="315">
        <f t="shared" si="180"/>
        <v>0</v>
      </c>
      <c r="AD681" s="315">
        <f t="shared" si="180"/>
        <v>0</v>
      </c>
      <c r="AE681" s="315">
        <f t="shared" si="180"/>
        <v>0</v>
      </c>
      <c r="AF681" s="315">
        <f t="shared" si="180"/>
        <v>0</v>
      </c>
      <c r="AG681" s="315">
        <f t="shared" si="180"/>
        <v>0</v>
      </c>
      <c r="AH681" s="315">
        <f t="shared" si="180"/>
        <v>0</v>
      </c>
      <c r="AI681" s="315">
        <f t="shared" si="180"/>
        <v>0</v>
      </c>
      <c r="AJ681" s="315">
        <f t="shared" si="180"/>
        <v>0</v>
      </c>
      <c r="AK681" s="315">
        <f t="shared" si="180"/>
        <v>0</v>
      </c>
      <c r="AL681" s="315">
        <f t="shared" si="180"/>
        <v>0</v>
      </c>
      <c r="AM681" s="315">
        <f t="shared" si="180"/>
        <v>0</v>
      </c>
      <c r="AN681" s="315">
        <f t="shared" si="180"/>
        <v>0</v>
      </c>
      <c r="AO681" s="315">
        <f t="shared" si="180"/>
        <v>0</v>
      </c>
      <c r="AP681" s="315">
        <f t="shared" si="180"/>
        <v>0</v>
      </c>
      <c r="AQ681" s="315">
        <f t="shared" si="180"/>
        <v>0</v>
      </c>
      <c r="AR681" s="315">
        <f t="shared" si="180"/>
        <v>0</v>
      </c>
      <c r="AS681" s="315">
        <f t="shared" si="180"/>
        <v>0</v>
      </c>
      <c r="AT681" s="315">
        <f t="shared" si="180"/>
        <v>0</v>
      </c>
      <c r="AU681" s="315">
        <f t="shared" si="180"/>
        <v>0</v>
      </c>
      <c r="AV681" s="315">
        <f t="shared" si="180"/>
        <v>0</v>
      </c>
      <c r="AW681" s="315">
        <f t="shared" si="180"/>
        <v>0</v>
      </c>
      <c r="AX681" s="315">
        <f t="shared" si="180"/>
        <v>0</v>
      </c>
      <c r="AY681" s="315">
        <f t="shared" si="180"/>
        <v>0</v>
      </c>
      <c r="AZ681" s="315">
        <f t="shared" si="180"/>
        <v>0</v>
      </c>
      <c r="BA681" s="315">
        <f t="shared" si="180"/>
        <v>0</v>
      </c>
      <c r="BB681" s="315">
        <f t="shared" si="180"/>
        <v>0</v>
      </c>
      <c r="BC681" s="315">
        <f t="shared" si="180"/>
        <v>0</v>
      </c>
      <c r="BD681" s="315">
        <f t="shared" si="180"/>
        <v>0</v>
      </c>
      <c r="BE681" s="315">
        <f t="shared" si="180"/>
        <v>0</v>
      </c>
      <c r="BF681" s="315">
        <f t="shared" si="180"/>
        <v>0</v>
      </c>
      <c r="BG681" s="315">
        <f t="shared" si="180"/>
        <v>0</v>
      </c>
      <c r="BH681" s="315">
        <f t="shared" si="180"/>
        <v>0</v>
      </c>
      <c r="BI681" s="315">
        <f t="shared" si="180"/>
        <v>0</v>
      </c>
      <c r="BJ681" s="315">
        <f t="shared" si="180"/>
        <v>0</v>
      </c>
      <c r="BK681" s="315">
        <f t="shared" si="180"/>
        <v>0</v>
      </c>
      <c r="BL681" s="315">
        <f t="shared" si="180"/>
        <v>0</v>
      </c>
      <c r="BM681" s="315">
        <f t="shared" si="180"/>
        <v>0</v>
      </c>
      <c r="BN681" s="315">
        <f t="shared" si="180"/>
        <v>0</v>
      </c>
      <c r="BO681" s="315">
        <f t="shared" si="180"/>
        <v>-42458</v>
      </c>
      <c r="BP681" s="315">
        <f t="shared" si="180"/>
        <v>0</v>
      </c>
      <c r="BQ681" s="315">
        <f t="shared" si="180"/>
        <v>0</v>
      </c>
      <c r="BR681" s="315">
        <f t="shared" si="179"/>
        <v>0</v>
      </c>
      <c r="BS681" s="315">
        <f t="shared" si="177"/>
        <v>0</v>
      </c>
      <c r="BT681" s="315">
        <f t="shared" si="177"/>
        <v>0</v>
      </c>
      <c r="BU681" s="315">
        <f t="shared" si="177"/>
        <v>0</v>
      </c>
      <c r="BV681" s="315">
        <f t="shared" si="177"/>
        <v>0</v>
      </c>
      <c r="BW681" s="315">
        <f t="shared" si="177"/>
        <v>0</v>
      </c>
      <c r="BX681" s="315">
        <f t="shared" si="177"/>
        <v>0</v>
      </c>
      <c r="BZ681" s="315">
        <f t="shared" si="178"/>
        <v>0</v>
      </c>
      <c r="CA681" s="315">
        <f t="shared" si="178"/>
        <v>0</v>
      </c>
    </row>
    <row r="682" spans="7:79" hidden="1" x14ac:dyDescent="0.2">
      <c r="G682" s="315">
        <f t="shared" si="180"/>
        <v>-42458</v>
      </c>
      <c r="H682" s="315">
        <f t="shared" si="180"/>
        <v>0</v>
      </c>
      <c r="I682" s="315">
        <f t="shared" si="180"/>
        <v>0</v>
      </c>
      <c r="J682" s="315">
        <f t="shared" si="180"/>
        <v>0</v>
      </c>
      <c r="K682" s="315">
        <f t="shared" si="180"/>
        <v>0</v>
      </c>
      <c r="L682" s="315">
        <f t="shared" si="180"/>
        <v>0</v>
      </c>
      <c r="M682" s="315">
        <f t="shared" si="180"/>
        <v>0</v>
      </c>
      <c r="N682" s="315">
        <f t="shared" si="180"/>
        <v>0</v>
      </c>
      <c r="O682" s="315">
        <f t="shared" si="180"/>
        <v>0</v>
      </c>
      <c r="P682" s="315">
        <f t="shared" si="180"/>
        <v>0</v>
      </c>
      <c r="Q682" s="315">
        <f t="shared" si="180"/>
        <v>0</v>
      </c>
      <c r="R682" s="315">
        <f t="shared" si="180"/>
        <v>0</v>
      </c>
      <c r="S682" s="315">
        <f t="shared" si="180"/>
        <v>0</v>
      </c>
      <c r="T682" s="315">
        <f t="shared" si="180"/>
        <v>0</v>
      </c>
      <c r="U682" s="315">
        <f t="shared" si="180"/>
        <v>0</v>
      </c>
      <c r="V682" s="315">
        <f t="shared" si="180"/>
        <v>0</v>
      </c>
      <c r="W682" s="315">
        <f t="shared" si="180"/>
        <v>0</v>
      </c>
      <c r="X682" s="315">
        <f t="shared" si="180"/>
        <v>0</v>
      </c>
      <c r="Y682" s="315">
        <f t="shared" si="180"/>
        <v>0</v>
      </c>
      <c r="Z682" s="315">
        <f t="shared" si="180"/>
        <v>0</v>
      </c>
      <c r="AA682" s="315">
        <f t="shared" si="180"/>
        <v>0</v>
      </c>
      <c r="AB682" s="315">
        <f t="shared" si="180"/>
        <v>0</v>
      </c>
      <c r="AC682" s="315">
        <f t="shared" si="180"/>
        <v>0</v>
      </c>
      <c r="AD682" s="315">
        <f t="shared" si="180"/>
        <v>0</v>
      </c>
      <c r="AE682" s="315">
        <f t="shared" si="180"/>
        <v>0</v>
      </c>
      <c r="AF682" s="315">
        <f t="shared" si="180"/>
        <v>0</v>
      </c>
      <c r="AG682" s="315">
        <f t="shared" si="180"/>
        <v>0</v>
      </c>
      <c r="AH682" s="315">
        <f t="shared" si="180"/>
        <v>0</v>
      </c>
      <c r="AI682" s="315">
        <f t="shared" si="180"/>
        <v>0</v>
      </c>
      <c r="AJ682" s="315">
        <f t="shared" si="180"/>
        <v>0</v>
      </c>
      <c r="AK682" s="315">
        <f t="shared" si="180"/>
        <v>0</v>
      </c>
      <c r="AL682" s="315">
        <f t="shared" si="180"/>
        <v>0</v>
      </c>
      <c r="AM682" s="315">
        <f t="shared" si="180"/>
        <v>0</v>
      </c>
      <c r="AN682" s="315">
        <f t="shared" si="180"/>
        <v>0</v>
      </c>
      <c r="AO682" s="315">
        <f t="shared" si="180"/>
        <v>0</v>
      </c>
      <c r="AP682" s="315">
        <f t="shared" si="180"/>
        <v>0</v>
      </c>
      <c r="AQ682" s="315">
        <f t="shared" si="180"/>
        <v>0</v>
      </c>
      <c r="AR682" s="315">
        <f t="shared" si="180"/>
        <v>0</v>
      </c>
      <c r="AS682" s="315">
        <f t="shared" si="180"/>
        <v>0</v>
      </c>
      <c r="AT682" s="315">
        <f t="shared" si="180"/>
        <v>0</v>
      </c>
      <c r="AU682" s="315">
        <f t="shared" si="180"/>
        <v>0</v>
      </c>
      <c r="AV682" s="315">
        <f t="shared" si="180"/>
        <v>0</v>
      </c>
      <c r="AW682" s="315">
        <f t="shared" si="180"/>
        <v>0</v>
      </c>
      <c r="AX682" s="315">
        <f t="shared" si="180"/>
        <v>0</v>
      </c>
      <c r="AY682" s="315">
        <f t="shared" si="180"/>
        <v>0</v>
      </c>
      <c r="AZ682" s="315">
        <f t="shared" si="180"/>
        <v>0</v>
      </c>
      <c r="BA682" s="315">
        <f t="shared" si="180"/>
        <v>0</v>
      </c>
      <c r="BB682" s="315">
        <f t="shared" si="180"/>
        <v>0</v>
      </c>
      <c r="BC682" s="315">
        <f t="shared" si="180"/>
        <v>0</v>
      </c>
      <c r="BD682" s="315">
        <f t="shared" si="180"/>
        <v>0</v>
      </c>
      <c r="BE682" s="315">
        <f t="shared" si="180"/>
        <v>0</v>
      </c>
      <c r="BF682" s="315">
        <f t="shared" si="180"/>
        <v>0</v>
      </c>
      <c r="BG682" s="315">
        <f t="shared" si="180"/>
        <v>0</v>
      </c>
      <c r="BH682" s="315">
        <f t="shared" si="180"/>
        <v>0</v>
      </c>
      <c r="BI682" s="315">
        <f t="shared" si="180"/>
        <v>0</v>
      </c>
      <c r="BJ682" s="315">
        <f t="shared" si="180"/>
        <v>0</v>
      </c>
      <c r="BK682" s="315">
        <f t="shared" si="180"/>
        <v>0</v>
      </c>
      <c r="BL682" s="315">
        <f t="shared" si="180"/>
        <v>0</v>
      </c>
      <c r="BM682" s="315">
        <f t="shared" si="180"/>
        <v>0</v>
      </c>
      <c r="BN682" s="315">
        <f t="shared" si="180"/>
        <v>0</v>
      </c>
      <c r="BO682" s="315">
        <f t="shared" si="180"/>
        <v>-42458</v>
      </c>
      <c r="BP682" s="315">
        <f t="shared" si="180"/>
        <v>0</v>
      </c>
      <c r="BQ682" s="315">
        <f t="shared" si="180"/>
        <v>0</v>
      </c>
      <c r="BR682" s="315">
        <f t="shared" si="179"/>
        <v>0</v>
      </c>
      <c r="BS682" s="315">
        <f t="shared" si="177"/>
        <v>0</v>
      </c>
      <c r="BT682" s="315">
        <f t="shared" si="177"/>
        <v>0</v>
      </c>
      <c r="BU682" s="315">
        <f t="shared" si="177"/>
        <v>0</v>
      </c>
      <c r="BV682" s="315">
        <f t="shared" si="177"/>
        <v>0</v>
      </c>
      <c r="BW682" s="315">
        <f t="shared" si="177"/>
        <v>0</v>
      </c>
      <c r="BX682" s="315">
        <f t="shared" si="177"/>
        <v>0</v>
      </c>
      <c r="BZ682" s="315">
        <f t="shared" si="178"/>
        <v>0</v>
      </c>
      <c r="CA682" s="315">
        <f t="shared" si="178"/>
        <v>0</v>
      </c>
    </row>
    <row r="683" spans="7:79" hidden="1" x14ac:dyDescent="0.2">
      <c r="G683" s="315">
        <f t="shared" si="180"/>
        <v>0</v>
      </c>
      <c r="H683" s="315">
        <f t="shared" si="180"/>
        <v>0</v>
      </c>
      <c r="I683" s="315">
        <f t="shared" si="180"/>
        <v>0</v>
      </c>
      <c r="J683" s="315">
        <f t="shared" ref="J683:BQ687" si="181">J326-CB326</f>
        <v>0</v>
      </c>
      <c r="K683" s="315">
        <f t="shared" si="181"/>
        <v>0</v>
      </c>
      <c r="L683" s="315">
        <f t="shared" si="181"/>
        <v>0</v>
      </c>
      <c r="M683" s="315">
        <f t="shared" si="181"/>
        <v>0</v>
      </c>
      <c r="N683" s="315">
        <f t="shared" si="181"/>
        <v>0</v>
      </c>
      <c r="O683" s="315">
        <f t="shared" si="181"/>
        <v>0</v>
      </c>
      <c r="P683" s="315">
        <f t="shared" si="181"/>
        <v>0</v>
      </c>
      <c r="Q683" s="315">
        <f t="shared" si="181"/>
        <v>0</v>
      </c>
      <c r="R683" s="315">
        <f t="shared" si="181"/>
        <v>0</v>
      </c>
      <c r="S683" s="315">
        <f t="shared" si="181"/>
        <v>0</v>
      </c>
      <c r="T683" s="315">
        <f t="shared" si="181"/>
        <v>0</v>
      </c>
      <c r="U683" s="315">
        <f t="shared" si="181"/>
        <v>0</v>
      </c>
      <c r="V683" s="315">
        <f t="shared" si="181"/>
        <v>0</v>
      </c>
      <c r="W683" s="315">
        <f t="shared" si="181"/>
        <v>0</v>
      </c>
      <c r="X683" s="315">
        <f t="shared" si="181"/>
        <v>0</v>
      </c>
      <c r="Y683" s="315">
        <f t="shared" si="181"/>
        <v>0</v>
      </c>
      <c r="Z683" s="315">
        <f t="shared" si="181"/>
        <v>0</v>
      </c>
      <c r="AA683" s="315">
        <f t="shared" si="181"/>
        <v>0</v>
      </c>
      <c r="AB683" s="315">
        <f t="shared" si="181"/>
        <v>0</v>
      </c>
      <c r="AC683" s="315">
        <f t="shared" si="181"/>
        <v>0</v>
      </c>
      <c r="AD683" s="315">
        <f t="shared" si="181"/>
        <v>0</v>
      </c>
      <c r="AE683" s="315">
        <f t="shared" si="181"/>
        <v>0</v>
      </c>
      <c r="AF683" s="315">
        <f t="shared" si="181"/>
        <v>0</v>
      </c>
      <c r="AG683" s="315">
        <f t="shared" si="181"/>
        <v>0</v>
      </c>
      <c r="AH683" s="315">
        <f t="shared" si="181"/>
        <v>0</v>
      </c>
      <c r="AI683" s="315">
        <f t="shared" si="181"/>
        <v>0</v>
      </c>
      <c r="AJ683" s="315">
        <f t="shared" si="181"/>
        <v>0</v>
      </c>
      <c r="AK683" s="315">
        <f t="shared" si="181"/>
        <v>0</v>
      </c>
      <c r="AL683" s="315">
        <f t="shared" si="181"/>
        <v>0</v>
      </c>
      <c r="AM683" s="315">
        <f t="shared" si="181"/>
        <v>0</v>
      </c>
      <c r="AN683" s="315">
        <f t="shared" si="181"/>
        <v>0</v>
      </c>
      <c r="AO683" s="315">
        <f t="shared" si="181"/>
        <v>0</v>
      </c>
      <c r="AP683" s="315">
        <f t="shared" si="181"/>
        <v>0</v>
      </c>
      <c r="AQ683" s="315">
        <f t="shared" si="181"/>
        <v>0</v>
      </c>
      <c r="AR683" s="315">
        <f t="shared" si="181"/>
        <v>0</v>
      </c>
      <c r="AS683" s="315">
        <f t="shared" si="181"/>
        <v>0</v>
      </c>
      <c r="AT683" s="315">
        <f t="shared" si="181"/>
        <v>0</v>
      </c>
      <c r="AU683" s="315">
        <f t="shared" si="181"/>
        <v>0</v>
      </c>
      <c r="AV683" s="315">
        <f t="shared" si="181"/>
        <v>0</v>
      </c>
      <c r="AW683" s="315">
        <f t="shared" si="181"/>
        <v>0</v>
      </c>
      <c r="AX683" s="315">
        <f t="shared" si="181"/>
        <v>0</v>
      </c>
      <c r="AY683" s="315">
        <f t="shared" si="181"/>
        <v>0</v>
      </c>
      <c r="AZ683" s="315">
        <f t="shared" si="181"/>
        <v>0</v>
      </c>
      <c r="BA683" s="315">
        <f t="shared" si="181"/>
        <v>0</v>
      </c>
      <c r="BB683" s="315">
        <f t="shared" si="181"/>
        <v>0</v>
      </c>
      <c r="BC683" s="315">
        <f t="shared" si="181"/>
        <v>0</v>
      </c>
      <c r="BD683" s="315">
        <f t="shared" si="181"/>
        <v>0</v>
      </c>
      <c r="BE683" s="315">
        <f t="shared" si="181"/>
        <v>0</v>
      </c>
      <c r="BF683" s="315">
        <f t="shared" si="181"/>
        <v>0</v>
      </c>
      <c r="BG683" s="315">
        <f t="shared" si="181"/>
        <v>0</v>
      </c>
      <c r="BH683" s="315">
        <f t="shared" si="181"/>
        <v>0</v>
      </c>
      <c r="BI683" s="315">
        <f t="shared" si="181"/>
        <v>0</v>
      </c>
      <c r="BJ683" s="315">
        <f t="shared" si="181"/>
        <v>0</v>
      </c>
      <c r="BK683" s="315">
        <f t="shared" si="181"/>
        <v>0</v>
      </c>
      <c r="BL683" s="315">
        <f t="shared" si="181"/>
        <v>0</v>
      </c>
      <c r="BM683" s="315">
        <f t="shared" si="181"/>
        <v>0</v>
      </c>
      <c r="BN683" s="315">
        <f t="shared" si="181"/>
        <v>0</v>
      </c>
      <c r="BO683" s="315">
        <f t="shared" si="181"/>
        <v>0</v>
      </c>
      <c r="BP683" s="315">
        <f t="shared" si="181"/>
        <v>0</v>
      </c>
      <c r="BQ683" s="315">
        <f t="shared" si="181"/>
        <v>0</v>
      </c>
      <c r="BR683" s="315">
        <f t="shared" si="179"/>
        <v>0</v>
      </c>
      <c r="BS683" s="315">
        <f t="shared" si="177"/>
        <v>0</v>
      </c>
      <c r="BT683" s="315">
        <f t="shared" si="177"/>
        <v>0</v>
      </c>
      <c r="BU683" s="315">
        <f t="shared" si="177"/>
        <v>0</v>
      </c>
      <c r="BV683" s="315">
        <f t="shared" si="177"/>
        <v>0</v>
      </c>
      <c r="BW683" s="315">
        <f t="shared" si="177"/>
        <v>0</v>
      </c>
      <c r="BX683" s="315">
        <f t="shared" si="177"/>
        <v>0</v>
      </c>
      <c r="BZ683" s="315">
        <f t="shared" si="178"/>
        <v>0</v>
      </c>
      <c r="CA683" s="315">
        <f t="shared" si="178"/>
        <v>0</v>
      </c>
    </row>
    <row r="684" spans="7:79" hidden="1" x14ac:dyDescent="0.2">
      <c r="G684" s="315">
        <f t="shared" ref="G684:V699" si="182">G327-BY327</f>
        <v>0</v>
      </c>
      <c r="H684" s="315">
        <f t="shared" si="182"/>
        <v>0</v>
      </c>
      <c r="I684" s="315">
        <f t="shared" si="182"/>
        <v>0</v>
      </c>
      <c r="J684" s="315">
        <f t="shared" si="181"/>
        <v>0</v>
      </c>
      <c r="K684" s="315">
        <f t="shared" si="181"/>
        <v>0</v>
      </c>
      <c r="L684" s="315">
        <f t="shared" si="181"/>
        <v>0</v>
      </c>
      <c r="M684" s="315">
        <f t="shared" si="181"/>
        <v>0</v>
      </c>
      <c r="N684" s="315">
        <f t="shared" si="181"/>
        <v>0</v>
      </c>
      <c r="O684" s="315">
        <f t="shared" si="181"/>
        <v>0</v>
      </c>
      <c r="P684" s="315">
        <f t="shared" si="181"/>
        <v>0</v>
      </c>
      <c r="Q684" s="315">
        <f t="shared" si="181"/>
        <v>0</v>
      </c>
      <c r="R684" s="315">
        <f t="shared" si="181"/>
        <v>0</v>
      </c>
      <c r="S684" s="315">
        <f t="shared" si="181"/>
        <v>0</v>
      </c>
      <c r="T684" s="315">
        <f t="shared" si="181"/>
        <v>0</v>
      </c>
      <c r="U684" s="315">
        <f t="shared" si="181"/>
        <v>0</v>
      </c>
      <c r="V684" s="315">
        <f t="shared" si="181"/>
        <v>0</v>
      </c>
      <c r="W684" s="315">
        <f t="shared" si="181"/>
        <v>0</v>
      </c>
      <c r="X684" s="315">
        <f t="shared" si="181"/>
        <v>0</v>
      </c>
      <c r="Y684" s="315">
        <f t="shared" si="181"/>
        <v>0</v>
      </c>
      <c r="Z684" s="315">
        <f t="shared" si="181"/>
        <v>0</v>
      </c>
      <c r="AA684" s="315">
        <f t="shared" si="181"/>
        <v>0</v>
      </c>
      <c r="AB684" s="315">
        <f t="shared" si="181"/>
        <v>0</v>
      </c>
      <c r="AC684" s="315">
        <f t="shared" si="181"/>
        <v>0</v>
      </c>
      <c r="AD684" s="315">
        <f t="shared" si="181"/>
        <v>0</v>
      </c>
      <c r="AE684" s="315">
        <f t="shared" si="181"/>
        <v>0</v>
      </c>
      <c r="AF684" s="315">
        <f t="shared" si="181"/>
        <v>0</v>
      </c>
      <c r="AG684" s="315">
        <f t="shared" si="181"/>
        <v>0</v>
      </c>
      <c r="AH684" s="315">
        <f t="shared" si="181"/>
        <v>0</v>
      </c>
      <c r="AI684" s="315">
        <f t="shared" si="181"/>
        <v>0</v>
      </c>
      <c r="AJ684" s="315">
        <f t="shared" si="181"/>
        <v>0</v>
      </c>
      <c r="AK684" s="315">
        <f t="shared" si="181"/>
        <v>0</v>
      </c>
      <c r="AL684" s="315">
        <f t="shared" si="181"/>
        <v>0</v>
      </c>
      <c r="AM684" s="315">
        <f t="shared" si="181"/>
        <v>0</v>
      </c>
      <c r="AN684" s="315">
        <f t="shared" si="181"/>
        <v>0</v>
      </c>
      <c r="AO684" s="315">
        <f t="shared" si="181"/>
        <v>0</v>
      </c>
      <c r="AP684" s="315">
        <f t="shared" si="181"/>
        <v>0</v>
      </c>
      <c r="AQ684" s="315">
        <f t="shared" si="181"/>
        <v>0</v>
      </c>
      <c r="AR684" s="315">
        <f t="shared" si="181"/>
        <v>0</v>
      </c>
      <c r="AS684" s="315">
        <f t="shared" si="181"/>
        <v>0</v>
      </c>
      <c r="AT684" s="315">
        <f t="shared" si="181"/>
        <v>0</v>
      </c>
      <c r="AU684" s="315">
        <f t="shared" si="181"/>
        <v>0</v>
      </c>
      <c r="AV684" s="315">
        <f t="shared" si="181"/>
        <v>0</v>
      </c>
      <c r="AW684" s="315">
        <f t="shared" si="181"/>
        <v>0</v>
      </c>
      <c r="AX684" s="315">
        <f t="shared" si="181"/>
        <v>0</v>
      </c>
      <c r="AY684" s="315">
        <f t="shared" si="181"/>
        <v>0</v>
      </c>
      <c r="AZ684" s="315">
        <f t="shared" si="181"/>
        <v>0</v>
      </c>
      <c r="BA684" s="315">
        <f t="shared" si="181"/>
        <v>0</v>
      </c>
      <c r="BB684" s="315">
        <f t="shared" si="181"/>
        <v>0</v>
      </c>
      <c r="BC684" s="315">
        <f t="shared" si="181"/>
        <v>0</v>
      </c>
      <c r="BD684" s="315">
        <f t="shared" si="181"/>
        <v>0</v>
      </c>
      <c r="BE684" s="315">
        <f t="shared" si="181"/>
        <v>0</v>
      </c>
      <c r="BF684" s="315">
        <f t="shared" si="181"/>
        <v>0</v>
      </c>
      <c r="BG684" s="315">
        <f t="shared" si="181"/>
        <v>0</v>
      </c>
      <c r="BH684" s="315">
        <f t="shared" si="181"/>
        <v>0</v>
      </c>
      <c r="BI684" s="315">
        <f t="shared" si="181"/>
        <v>0</v>
      </c>
      <c r="BJ684" s="315">
        <f t="shared" si="181"/>
        <v>0</v>
      </c>
      <c r="BK684" s="315">
        <f t="shared" si="181"/>
        <v>0</v>
      </c>
      <c r="BL684" s="315">
        <f t="shared" si="181"/>
        <v>0</v>
      </c>
      <c r="BM684" s="315">
        <f t="shared" si="181"/>
        <v>0</v>
      </c>
      <c r="BN684" s="315">
        <f t="shared" si="181"/>
        <v>0</v>
      </c>
      <c r="BO684" s="315">
        <f t="shared" si="181"/>
        <v>0</v>
      </c>
      <c r="BP684" s="315">
        <f t="shared" si="181"/>
        <v>0</v>
      </c>
      <c r="BQ684" s="315">
        <f t="shared" si="181"/>
        <v>0</v>
      </c>
      <c r="BR684" s="315">
        <f t="shared" si="179"/>
        <v>0</v>
      </c>
      <c r="BS684" s="315">
        <f t="shared" si="177"/>
        <v>0</v>
      </c>
      <c r="BT684" s="315">
        <f t="shared" si="177"/>
        <v>0</v>
      </c>
      <c r="BU684" s="315">
        <f t="shared" si="177"/>
        <v>0</v>
      </c>
      <c r="BV684" s="315">
        <f t="shared" si="177"/>
        <v>0</v>
      </c>
      <c r="BW684" s="315">
        <f t="shared" si="177"/>
        <v>0</v>
      </c>
      <c r="BX684" s="315">
        <f t="shared" si="177"/>
        <v>0</v>
      </c>
      <c r="BZ684" s="315">
        <f t="shared" si="178"/>
        <v>0</v>
      </c>
      <c r="CA684" s="315">
        <f t="shared" si="178"/>
        <v>0</v>
      </c>
    </row>
    <row r="685" spans="7:79" hidden="1" x14ac:dyDescent="0.2">
      <c r="G685" s="315">
        <f t="shared" si="182"/>
        <v>0</v>
      </c>
      <c r="H685" s="315">
        <f t="shared" si="182"/>
        <v>0</v>
      </c>
      <c r="I685" s="315">
        <f t="shared" si="182"/>
        <v>0</v>
      </c>
      <c r="J685" s="315">
        <f t="shared" si="181"/>
        <v>0</v>
      </c>
      <c r="K685" s="315">
        <f t="shared" si="181"/>
        <v>0</v>
      </c>
      <c r="L685" s="315">
        <f t="shared" si="181"/>
        <v>0</v>
      </c>
      <c r="M685" s="315">
        <f t="shared" si="181"/>
        <v>0</v>
      </c>
      <c r="N685" s="315">
        <f t="shared" si="181"/>
        <v>0</v>
      </c>
      <c r="O685" s="315">
        <f t="shared" si="181"/>
        <v>0</v>
      </c>
      <c r="P685" s="315">
        <f t="shared" si="181"/>
        <v>0</v>
      </c>
      <c r="Q685" s="315">
        <f t="shared" si="181"/>
        <v>0</v>
      </c>
      <c r="R685" s="315">
        <f t="shared" si="181"/>
        <v>0</v>
      </c>
      <c r="S685" s="315">
        <f t="shared" si="181"/>
        <v>0</v>
      </c>
      <c r="T685" s="315">
        <f t="shared" si="181"/>
        <v>0</v>
      </c>
      <c r="U685" s="315">
        <f t="shared" si="181"/>
        <v>0</v>
      </c>
      <c r="V685" s="315">
        <f t="shared" si="181"/>
        <v>0</v>
      </c>
      <c r="W685" s="315">
        <f t="shared" si="181"/>
        <v>0</v>
      </c>
      <c r="X685" s="315">
        <f t="shared" si="181"/>
        <v>0</v>
      </c>
      <c r="Y685" s="315">
        <f t="shared" si="181"/>
        <v>0</v>
      </c>
      <c r="Z685" s="315">
        <f t="shared" si="181"/>
        <v>0</v>
      </c>
      <c r="AA685" s="315">
        <f t="shared" si="181"/>
        <v>0</v>
      </c>
      <c r="AB685" s="315">
        <f t="shared" si="181"/>
        <v>0</v>
      </c>
      <c r="AC685" s="315">
        <f t="shared" si="181"/>
        <v>0</v>
      </c>
      <c r="AD685" s="315">
        <f t="shared" si="181"/>
        <v>0</v>
      </c>
      <c r="AE685" s="315">
        <f t="shared" si="181"/>
        <v>0</v>
      </c>
      <c r="AF685" s="315">
        <f t="shared" si="181"/>
        <v>0</v>
      </c>
      <c r="AG685" s="315">
        <f t="shared" si="181"/>
        <v>0</v>
      </c>
      <c r="AH685" s="315">
        <f t="shared" si="181"/>
        <v>0</v>
      </c>
      <c r="AI685" s="315">
        <f t="shared" si="181"/>
        <v>0</v>
      </c>
      <c r="AJ685" s="315">
        <f t="shared" si="181"/>
        <v>0</v>
      </c>
      <c r="AK685" s="315">
        <f t="shared" si="181"/>
        <v>0</v>
      </c>
      <c r="AL685" s="315">
        <f t="shared" si="181"/>
        <v>0</v>
      </c>
      <c r="AM685" s="315">
        <f t="shared" si="181"/>
        <v>0</v>
      </c>
      <c r="AN685" s="315">
        <f t="shared" si="181"/>
        <v>0</v>
      </c>
      <c r="AO685" s="315">
        <f t="shared" si="181"/>
        <v>0</v>
      </c>
      <c r="AP685" s="315">
        <f t="shared" si="181"/>
        <v>0</v>
      </c>
      <c r="AQ685" s="315">
        <f t="shared" si="181"/>
        <v>0</v>
      </c>
      <c r="AR685" s="315">
        <f t="shared" si="181"/>
        <v>0</v>
      </c>
      <c r="AS685" s="315">
        <f t="shared" si="181"/>
        <v>0</v>
      </c>
      <c r="AT685" s="315">
        <f t="shared" si="181"/>
        <v>0</v>
      </c>
      <c r="AU685" s="315">
        <f t="shared" si="181"/>
        <v>0</v>
      </c>
      <c r="AV685" s="315">
        <f t="shared" si="181"/>
        <v>0</v>
      </c>
      <c r="AW685" s="315">
        <f t="shared" si="181"/>
        <v>0</v>
      </c>
      <c r="AX685" s="315">
        <f t="shared" si="181"/>
        <v>0</v>
      </c>
      <c r="AY685" s="315">
        <f t="shared" si="181"/>
        <v>0</v>
      </c>
      <c r="AZ685" s="315">
        <f t="shared" si="181"/>
        <v>0</v>
      </c>
      <c r="BA685" s="315">
        <f t="shared" si="181"/>
        <v>0</v>
      </c>
      <c r="BB685" s="315">
        <f t="shared" si="181"/>
        <v>0</v>
      </c>
      <c r="BC685" s="315">
        <f t="shared" si="181"/>
        <v>0</v>
      </c>
      <c r="BD685" s="315">
        <f t="shared" si="181"/>
        <v>0</v>
      </c>
      <c r="BE685" s="315">
        <f t="shared" si="181"/>
        <v>0</v>
      </c>
      <c r="BF685" s="315">
        <f t="shared" si="181"/>
        <v>0</v>
      </c>
      <c r="BG685" s="315">
        <f t="shared" si="181"/>
        <v>0</v>
      </c>
      <c r="BH685" s="315">
        <f t="shared" si="181"/>
        <v>0</v>
      </c>
      <c r="BI685" s="315">
        <f t="shared" si="181"/>
        <v>0</v>
      </c>
      <c r="BJ685" s="315">
        <f t="shared" si="181"/>
        <v>0</v>
      </c>
      <c r="BK685" s="315">
        <f t="shared" si="181"/>
        <v>0</v>
      </c>
      <c r="BL685" s="315">
        <f t="shared" si="181"/>
        <v>0</v>
      </c>
      <c r="BM685" s="315">
        <f t="shared" si="181"/>
        <v>0</v>
      </c>
      <c r="BN685" s="315">
        <f t="shared" si="181"/>
        <v>0</v>
      </c>
      <c r="BO685" s="315">
        <f t="shared" si="181"/>
        <v>0</v>
      </c>
      <c r="BP685" s="315">
        <f t="shared" si="181"/>
        <v>0</v>
      </c>
      <c r="BQ685" s="315">
        <f t="shared" si="181"/>
        <v>0</v>
      </c>
      <c r="BR685" s="315">
        <f t="shared" si="179"/>
        <v>0</v>
      </c>
      <c r="BS685" s="315">
        <f t="shared" si="177"/>
        <v>0</v>
      </c>
      <c r="BT685" s="315">
        <f t="shared" si="177"/>
        <v>0</v>
      </c>
      <c r="BU685" s="315">
        <f t="shared" si="177"/>
        <v>0</v>
      </c>
      <c r="BV685" s="315">
        <f t="shared" si="177"/>
        <v>0</v>
      </c>
      <c r="BW685" s="315">
        <f t="shared" si="177"/>
        <v>0</v>
      </c>
      <c r="BX685" s="315">
        <f t="shared" si="177"/>
        <v>0</v>
      </c>
      <c r="BZ685" s="315">
        <f t="shared" si="178"/>
        <v>0</v>
      </c>
      <c r="CA685" s="315">
        <f t="shared" si="178"/>
        <v>0</v>
      </c>
    </row>
    <row r="686" spans="7:79" hidden="1" x14ac:dyDescent="0.2">
      <c r="G686" s="315">
        <f t="shared" si="182"/>
        <v>0</v>
      </c>
      <c r="H686" s="315">
        <f t="shared" si="182"/>
        <v>0</v>
      </c>
      <c r="I686" s="315">
        <f t="shared" si="182"/>
        <v>0</v>
      </c>
      <c r="J686" s="315">
        <f t="shared" si="181"/>
        <v>0</v>
      </c>
      <c r="K686" s="315">
        <f t="shared" si="181"/>
        <v>0</v>
      </c>
      <c r="L686" s="315">
        <f t="shared" si="181"/>
        <v>0</v>
      </c>
      <c r="M686" s="315">
        <f t="shared" si="181"/>
        <v>0</v>
      </c>
      <c r="N686" s="315">
        <f t="shared" si="181"/>
        <v>0</v>
      </c>
      <c r="O686" s="315">
        <f t="shared" si="181"/>
        <v>0</v>
      </c>
      <c r="P686" s="315">
        <f t="shared" si="181"/>
        <v>0</v>
      </c>
      <c r="Q686" s="315">
        <f t="shared" si="181"/>
        <v>0</v>
      </c>
      <c r="R686" s="315">
        <f t="shared" si="181"/>
        <v>0</v>
      </c>
      <c r="S686" s="315">
        <f t="shared" si="181"/>
        <v>0</v>
      </c>
      <c r="T686" s="315">
        <f t="shared" si="181"/>
        <v>0</v>
      </c>
      <c r="U686" s="315">
        <f t="shared" si="181"/>
        <v>0</v>
      </c>
      <c r="V686" s="315">
        <f t="shared" si="181"/>
        <v>0</v>
      </c>
      <c r="W686" s="315">
        <f t="shared" si="181"/>
        <v>0</v>
      </c>
      <c r="X686" s="315">
        <f t="shared" si="181"/>
        <v>0</v>
      </c>
      <c r="Y686" s="315">
        <f t="shared" si="181"/>
        <v>0</v>
      </c>
      <c r="Z686" s="315">
        <f t="shared" si="181"/>
        <v>0</v>
      </c>
      <c r="AA686" s="315">
        <f t="shared" si="181"/>
        <v>0</v>
      </c>
      <c r="AB686" s="315">
        <f t="shared" si="181"/>
        <v>0</v>
      </c>
      <c r="AC686" s="315">
        <f t="shared" si="181"/>
        <v>0</v>
      </c>
      <c r="AD686" s="315">
        <f t="shared" si="181"/>
        <v>0</v>
      </c>
      <c r="AE686" s="315">
        <f t="shared" si="181"/>
        <v>0</v>
      </c>
      <c r="AF686" s="315">
        <f t="shared" si="181"/>
        <v>0</v>
      </c>
      <c r="AG686" s="315">
        <f t="shared" si="181"/>
        <v>0</v>
      </c>
      <c r="AH686" s="315">
        <f t="shared" si="181"/>
        <v>0</v>
      </c>
      <c r="AI686" s="315">
        <f t="shared" si="181"/>
        <v>0</v>
      </c>
      <c r="AJ686" s="315">
        <f t="shared" si="181"/>
        <v>0</v>
      </c>
      <c r="AK686" s="315">
        <f t="shared" si="181"/>
        <v>0</v>
      </c>
      <c r="AL686" s="315">
        <f t="shared" si="181"/>
        <v>0</v>
      </c>
      <c r="AM686" s="315">
        <f t="shared" si="181"/>
        <v>0</v>
      </c>
      <c r="AN686" s="315">
        <f t="shared" si="181"/>
        <v>0</v>
      </c>
      <c r="AO686" s="315">
        <f t="shared" si="181"/>
        <v>0</v>
      </c>
      <c r="AP686" s="315">
        <f t="shared" si="181"/>
        <v>0</v>
      </c>
      <c r="AQ686" s="315">
        <f t="shared" si="181"/>
        <v>0</v>
      </c>
      <c r="AR686" s="315">
        <f t="shared" si="181"/>
        <v>0</v>
      </c>
      <c r="AS686" s="315">
        <f t="shared" si="181"/>
        <v>0</v>
      </c>
      <c r="AT686" s="315">
        <f t="shared" si="181"/>
        <v>0</v>
      </c>
      <c r="AU686" s="315">
        <f t="shared" si="181"/>
        <v>0</v>
      </c>
      <c r="AV686" s="315">
        <f t="shared" si="181"/>
        <v>0</v>
      </c>
      <c r="AW686" s="315">
        <f t="shared" si="181"/>
        <v>0</v>
      </c>
      <c r="AX686" s="315">
        <f t="shared" si="181"/>
        <v>0</v>
      </c>
      <c r="AY686" s="315">
        <f t="shared" si="181"/>
        <v>0</v>
      </c>
      <c r="AZ686" s="315">
        <f t="shared" si="181"/>
        <v>0</v>
      </c>
      <c r="BA686" s="315">
        <f t="shared" si="181"/>
        <v>0</v>
      </c>
      <c r="BB686" s="315">
        <f t="shared" si="181"/>
        <v>0</v>
      </c>
      <c r="BC686" s="315">
        <f t="shared" si="181"/>
        <v>0</v>
      </c>
      <c r="BD686" s="315">
        <f t="shared" si="181"/>
        <v>0</v>
      </c>
      <c r="BE686" s="315">
        <f t="shared" si="181"/>
        <v>0</v>
      </c>
      <c r="BF686" s="315">
        <f t="shared" si="181"/>
        <v>0</v>
      </c>
      <c r="BG686" s="315">
        <f t="shared" si="181"/>
        <v>0</v>
      </c>
      <c r="BH686" s="315">
        <f t="shared" si="181"/>
        <v>0</v>
      </c>
      <c r="BI686" s="315">
        <f t="shared" si="181"/>
        <v>0</v>
      </c>
      <c r="BJ686" s="315">
        <f t="shared" si="181"/>
        <v>0</v>
      </c>
      <c r="BK686" s="315">
        <f t="shared" si="181"/>
        <v>0</v>
      </c>
      <c r="BL686" s="315">
        <f t="shared" si="181"/>
        <v>0</v>
      </c>
      <c r="BM686" s="315">
        <f t="shared" si="181"/>
        <v>0</v>
      </c>
      <c r="BN686" s="315">
        <f t="shared" si="181"/>
        <v>0</v>
      </c>
      <c r="BO686" s="315">
        <f t="shared" si="181"/>
        <v>0</v>
      </c>
      <c r="BP686" s="315">
        <f t="shared" si="181"/>
        <v>0</v>
      </c>
      <c r="BQ686" s="315">
        <f t="shared" si="181"/>
        <v>0</v>
      </c>
      <c r="BR686" s="315">
        <f t="shared" si="179"/>
        <v>0</v>
      </c>
      <c r="BS686" s="315">
        <f t="shared" si="177"/>
        <v>0</v>
      </c>
      <c r="BT686" s="315">
        <f t="shared" si="177"/>
        <v>0</v>
      </c>
      <c r="BU686" s="315">
        <f t="shared" si="177"/>
        <v>0</v>
      </c>
      <c r="BV686" s="315">
        <f t="shared" si="177"/>
        <v>0</v>
      </c>
      <c r="BW686" s="315">
        <f t="shared" si="177"/>
        <v>0</v>
      </c>
      <c r="BX686" s="315">
        <f t="shared" si="177"/>
        <v>0</v>
      </c>
      <c r="BZ686" s="315">
        <f t="shared" si="178"/>
        <v>0</v>
      </c>
      <c r="CA686" s="315">
        <f t="shared" si="178"/>
        <v>0</v>
      </c>
    </row>
    <row r="687" spans="7:79" hidden="1" x14ac:dyDescent="0.2">
      <c r="G687" s="315">
        <f t="shared" si="182"/>
        <v>994679</v>
      </c>
      <c r="H687" s="315">
        <f t="shared" si="182"/>
        <v>0</v>
      </c>
      <c r="I687" s="315">
        <f t="shared" si="182"/>
        <v>0</v>
      </c>
      <c r="J687" s="315">
        <f t="shared" si="181"/>
        <v>0</v>
      </c>
      <c r="K687" s="315">
        <f t="shared" si="181"/>
        <v>0</v>
      </c>
      <c r="L687" s="315">
        <f t="shared" si="181"/>
        <v>0</v>
      </c>
      <c r="M687" s="315">
        <f t="shared" si="181"/>
        <v>0</v>
      </c>
      <c r="N687" s="315">
        <f t="shared" si="181"/>
        <v>0</v>
      </c>
      <c r="O687" s="315">
        <f t="shared" si="181"/>
        <v>0</v>
      </c>
      <c r="P687" s="315">
        <f t="shared" si="181"/>
        <v>0</v>
      </c>
      <c r="Q687" s="315">
        <f t="shared" si="181"/>
        <v>0</v>
      </c>
      <c r="R687" s="315">
        <f t="shared" si="181"/>
        <v>0</v>
      </c>
      <c r="S687" s="315">
        <f t="shared" si="181"/>
        <v>0</v>
      </c>
      <c r="T687" s="315">
        <f t="shared" si="181"/>
        <v>0</v>
      </c>
      <c r="U687" s="315">
        <f t="shared" si="181"/>
        <v>0</v>
      </c>
      <c r="V687" s="315">
        <f t="shared" si="181"/>
        <v>0</v>
      </c>
      <c r="W687" s="315">
        <f t="shared" si="181"/>
        <v>0</v>
      </c>
      <c r="X687" s="315">
        <f t="shared" si="181"/>
        <v>0</v>
      </c>
      <c r="Y687" s="315">
        <f t="shared" ref="Y687:BQ692" si="183">Y330-CQ330</f>
        <v>0</v>
      </c>
      <c r="Z687" s="315">
        <f t="shared" si="183"/>
        <v>0</v>
      </c>
      <c r="AA687" s="315">
        <f t="shared" si="183"/>
        <v>0</v>
      </c>
      <c r="AB687" s="315">
        <f t="shared" si="183"/>
        <v>0</v>
      </c>
      <c r="AC687" s="315">
        <f t="shared" si="183"/>
        <v>0</v>
      </c>
      <c r="AD687" s="315">
        <f t="shared" si="183"/>
        <v>0</v>
      </c>
      <c r="AE687" s="315">
        <f t="shared" si="183"/>
        <v>0</v>
      </c>
      <c r="AF687" s="315">
        <f t="shared" si="183"/>
        <v>994679</v>
      </c>
      <c r="AG687" s="315">
        <f t="shared" si="183"/>
        <v>0</v>
      </c>
      <c r="AH687" s="315">
        <f t="shared" si="183"/>
        <v>0</v>
      </c>
      <c r="AI687" s="315">
        <f t="shared" si="183"/>
        <v>0</v>
      </c>
      <c r="AJ687" s="315">
        <f t="shared" si="183"/>
        <v>0</v>
      </c>
      <c r="AK687" s="315">
        <f t="shared" si="183"/>
        <v>0</v>
      </c>
      <c r="AL687" s="315">
        <f t="shared" si="183"/>
        <v>0</v>
      </c>
      <c r="AM687" s="315">
        <f t="shared" si="183"/>
        <v>0</v>
      </c>
      <c r="AN687" s="315">
        <f t="shared" si="183"/>
        <v>0</v>
      </c>
      <c r="AO687" s="315">
        <f t="shared" si="183"/>
        <v>0</v>
      </c>
      <c r="AP687" s="315">
        <f t="shared" si="183"/>
        <v>0</v>
      </c>
      <c r="AQ687" s="315">
        <f t="shared" si="183"/>
        <v>0</v>
      </c>
      <c r="AR687" s="315">
        <f t="shared" si="183"/>
        <v>0</v>
      </c>
      <c r="AS687" s="315">
        <f t="shared" si="183"/>
        <v>0</v>
      </c>
      <c r="AT687" s="315">
        <f t="shared" si="183"/>
        <v>0</v>
      </c>
      <c r="AU687" s="315">
        <f t="shared" si="183"/>
        <v>0</v>
      </c>
      <c r="AV687" s="315">
        <f t="shared" si="183"/>
        <v>0</v>
      </c>
      <c r="AW687" s="315">
        <f t="shared" si="183"/>
        <v>0</v>
      </c>
      <c r="AX687" s="315">
        <f t="shared" si="183"/>
        <v>0</v>
      </c>
      <c r="AY687" s="315">
        <f t="shared" si="183"/>
        <v>0</v>
      </c>
      <c r="AZ687" s="315">
        <f t="shared" si="183"/>
        <v>0</v>
      </c>
      <c r="BA687" s="315">
        <f t="shared" si="183"/>
        <v>0</v>
      </c>
      <c r="BB687" s="315">
        <f t="shared" si="183"/>
        <v>0</v>
      </c>
      <c r="BC687" s="315">
        <f t="shared" si="183"/>
        <v>0</v>
      </c>
      <c r="BD687" s="315">
        <f t="shared" si="183"/>
        <v>0</v>
      </c>
      <c r="BE687" s="315">
        <f t="shared" si="183"/>
        <v>0</v>
      </c>
      <c r="BF687" s="315">
        <f t="shared" si="183"/>
        <v>0</v>
      </c>
      <c r="BG687" s="315">
        <f t="shared" si="183"/>
        <v>0</v>
      </c>
      <c r="BH687" s="315">
        <f t="shared" si="183"/>
        <v>0</v>
      </c>
      <c r="BI687" s="315">
        <f t="shared" si="183"/>
        <v>0</v>
      </c>
      <c r="BJ687" s="315">
        <f t="shared" si="183"/>
        <v>0</v>
      </c>
      <c r="BK687" s="315">
        <f t="shared" si="183"/>
        <v>0</v>
      </c>
      <c r="BL687" s="315">
        <f t="shared" si="183"/>
        <v>0</v>
      </c>
      <c r="BM687" s="315">
        <f t="shared" si="183"/>
        <v>0</v>
      </c>
      <c r="BN687" s="315">
        <f t="shared" si="183"/>
        <v>0</v>
      </c>
      <c r="BO687" s="315">
        <f t="shared" si="183"/>
        <v>0</v>
      </c>
      <c r="BP687" s="315">
        <f t="shared" si="183"/>
        <v>0</v>
      </c>
      <c r="BQ687" s="315">
        <f t="shared" si="183"/>
        <v>0</v>
      </c>
      <c r="BR687" s="315">
        <f t="shared" si="179"/>
        <v>0</v>
      </c>
      <c r="BS687" s="315">
        <f t="shared" si="177"/>
        <v>0</v>
      </c>
      <c r="BT687" s="315">
        <f t="shared" si="177"/>
        <v>994679</v>
      </c>
      <c r="BU687" s="315">
        <f t="shared" si="177"/>
        <v>0</v>
      </c>
      <c r="BV687" s="315">
        <f t="shared" si="177"/>
        <v>0</v>
      </c>
      <c r="BW687" s="315">
        <f t="shared" si="177"/>
        <v>0</v>
      </c>
      <c r="BX687" s="315">
        <f t="shared" si="177"/>
        <v>0</v>
      </c>
      <c r="BZ687" s="315">
        <f t="shared" si="178"/>
        <v>0</v>
      </c>
      <c r="CA687" s="315">
        <f t="shared" si="178"/>
        <v>0</v>
      </c>
    </row>
    <row r="688" spans="7:79" hidden="1" x14ac:dyDescent="0.2">
      <c r="G688" s="315">
        <f t="shared" si="182"/>
        <v>994679</v>
      </c>
      <c r="H688" s="315">
        <f t="shared" si="182"/>
        <v>0</v>
      </c>
      <c r="I688" s="315">
        <f t="shared" si="182"/>
        <v>0</v>
      </c>
      <c r="J688" s="315">
        <f t="shared" si="182"/>
        <v>0</v>
      </c>
      <c r="K688" s="315">
        <f t="shared" si="182"/>
        <v>0</v>
      </c>
      <c r="L688" s="315">
        <f t="shared" si="182"/>
        <v>0</v>
      </c>
      <c r="M688" s="315">
        <f t="shared" si="182"/>
        <v>0</v>
      </c>
      <c r="N688" s="315">
        <f t="shared" si="182"/>
        <v>0</v>
      </c>
      <c r="O688" s="315">
        <f t="shared" si="182"/>
        <v>0</v>
      </c>
      <c r="P688" s="315">
        <f t="shared" si="182"/>
        <v>0</v>
      </c>
      <c r="Q688" s="315">
        <f t="shared" si="182"/>
        <v>0</v>
      </c>
      <c r="R688" s="315">
        <f t="shared" si="182"/>
        <v>0</v>
      </c>
      <c r="S688" s="315">
        <f t="shared" si="182"/>
        <v>0</v>
      </c>
      <c r="T688" s="315">
        <f t="shared" si="182"/>
        <v>0</v>
      </c>
      <c r="U688" s="315">
        <f t="shared" si="182"/>
        <v>0</v>
      </c>
      <c r="V688" s="315">
        <f t="shared" si="182"/>
        <v>0</v>
      </c>
      <c r="W688" s="315">
        <f t="shared" ref="W688:AL703" si="184">W331-CO331</f>
        <v>0</v>
      </c>
      <c r="X688" s="315">
        <f t="shared" si="184"/>
        <v>0</v>
      </c>
      <c r="Y688" s="315">
        <f t="shared" si="183"/>
        <v>0</v>
      </c>
      <c r="Z688" s="315">
        <f t="shared" si="183"/>
        <v>0</v>
      </c>
      <c r="AA688" s="315">
        <f t="shared" si="183"/>
        <v>0</v>
      </c>
      <c r="AB688" s="315">
        <f t="shared" si="183"/>
        <v>0</v>
      </c>
      <c r="AC688" s="315">
        <f t="shared" si="183"/>
        <v>0</v>
      </c>
      <c r="AD688" s="315">
        <f t="shared" si="183"/>
        <v>0</v>
      </c>
      <c r="AE688" s="315">
        <f t="shared" si="183"/>
        <v>0</v>
      </c>
      <c r="AF688" s="315">
        <f t="shared" si="183"/>
        <v>994679</v>
      </c>
      <c r="AG688" s="315">
        <f t="shared" si="183"/>
        <v>0</v>
      </c>
      <c r="AH688" s="315">
        <f t="shared" si="183"/>
        <v>0</v>
      </c>
      <c r="AI688" s="315">
        <f t="shared" si="183"/>
        <v>0</v>
      </c>
      <c r="AJ688" s="315">
        <f t="shared" si="183"/>
        <v>0</v>
      </c>
      <c r="AK688" s="315">
        <f t="shared" si="183"/>
        <v>0</v>
      </c>
      <c r="AL688" s="315">
        <f t="shared" si="183"/>
        <v>0</v>
      </c>
      <c r="AM688" s="315">
        <f t="shared" si="183"/>
        <v>0</v>
      </c>
      <c r="AN688" s="315">
        <f t="shared" si="183"/>
        <v>0</v>
      </c>
      <c r="AO688" s="315">
        <f t="shared" si="183"/>
        <v>0</v>
      </c>
      <c r="AP688" s="315">
        <f t="shared" si="183"/>
        <v>0</v>
      </c>
      <c r="AQ688" s="315">
        <f t="shared" si="183"/>
        <v>0</v>
      </c>
      <c r="AR688" s="315">
        <f t="shared" si="183"/>
        <v>0</v>
      </c>
      <c r="AS688" s="315">
        <f t="shared" si="183"/>
        <v>0</v>
      </c>
      <c r="AT688" s="315">
        <f t="shared" si="183"/>
        <v>0</v>
      </c>
      <c r="AU688" s="315">
        <f t="shared" si="183"/>
        <v>0</v>
      </c>
      <c r="AV688" s="315">
        <f t="shared" si="183"/>
        <v>0</v>
      </c>
      <c r="AW688" s="315">
        <f t="shared" si="183"/>
        <v>0</v>
      </c>
      <c r="AX688" s="315">
        <f t="shared" si="183"/>
        <v>0</v>
      </c>
      <c r="AY688" s="315">
        <f t="shared" si="183"/>
        <v>0</v>
      </c>
      <c r="AZ688" s="315">
        <f t="shared" si="183"/>
        <v>0</v>
      </c>
      <c r="BA688" s="315">
        <f t="shared" si="183"/>
        <v>0</v>
      </c>
      <c r="BB688" s="315">
        <f t="shared" si="183"/>
        <v>0</v>
      </c>
      <c r="BC688" s="315">
        <f t="shared" si="183"/>
        <v>0</v>
      </c>
      <c r="BD688" s="315">
        <f t="shared" si="183"/>
        <v>0</v>
      </c>
      <c r="BE688" s="315">
        <f t="shared" si="183"/>
        <v>0</v>
      </c>
      <c r="BF688" s="315">
        <f t="shared" si="183"/>
        <v>0</v>
      </c>
      <c r="BG688" s="315">
        <f t="shared" si="183"/>
        <v>0</v>
      </c>
      <c r="BH688" s="315">
        <f t="shared" si="183"/>
        <v>0</v>
      </c>
      <c r="BI688" s="315">
        <f t="shared" si="183"/>
        <v>0</v>
      </c>
      <c r="BJ688" s="315">
        <f t="shared" si="183"/>
        <v>0</v>
      </c>
      <c r="BK688" s="315">
        <f t="shared" si="183"/>
        <v>0</v>
      </c>
      <c r="BL688" s="315">
        <f t="shared" si="183"/>
        <v>0</v>
      </c>
      <c r="BM688" s="315">
        <f t="shared" si="183"/>
        <v>0</v>
      </c>
      <c r="BN688" s="315">
        <f t="shared" si="183"/>
        <v>0</v>
      </c>
      <c r="BO688" s="315">
        <f t="shared" si="183"/>
        <v>0</v>
      </c>
      <c r="BP688" s="315">
        <f t="shared" si="183"/>
        <v>0</v>
      </c>
      <c r="BQ688" s="315">
        <f t="shared" si="183"/>
        <v>0</v>
      </c>
      <c r="BR688" s="315">
        <f t="shared" si="179"/>
        <v>0</v>
      </c>
      <c r="BS688" s="315">
        <f t="shared" si="177"/>
        <v>0</v>
      </c>
      <c r="BT688" s="315">
        <f t="shared" si="177"/>
        <v>994679</v>
      </c>
      <c r="BU688" s="315">
        <f t="shared" si="177"/>
        <v>0</v>
      </c>
      <c r="BV688" s="315">
        <f t="shared" si="177"/>
        <v>0</v>
      </c>
      <c r="BW688" s="315">
        <f t="shared" si="177"/>
        <v>0</v>
      </c>
      <c r="BX688" s="315">
        <f t="shared" si="177"/>
        <v>0</v>
      </c>
      <c r="BZ688" s="315">
        <f t="shared" si="178"/>
        <v>0</v>
      </c>
      <c r="CA688" s="315">
        <f t="shared" si="178"/>
        <v>0</v>
      </c>
    </row>
    <row r="689" spans="7:79" hidden="1" x14ac:dyDescent="0.2">
      <c r="G689" s="315">
        <f t="shared" si="182"/>
        <v>0</v>
      </c>
      <c r="H689" s="315">
        <f t="shared" si="182"/>
        <v>0</v>
      </c>
      <c r="I689" s="315">
        <f t="shared" si="182"/>
        <v>0</v>
      </c>
      <c r="J689" s="315">
        <f t="shared" si="182"/>
        <v>0</v>
      </c>
      <c r="K689" s="315">
        <f t="shared" si="182"/>
        <v>0</v>
      </c>
      <c r="L689" s="315">
        <f t="shared" si="182"/>
        <v>0</v>
      </c>
      <c r="M689" s="315">
        <f t="shared" si="182"/>
        <v>0</v>
      </c>
      <c r="N689" s="315">
        <f t="shared" si="182"/>
        <v>0</v>
      </c>
      <c r="O689" s="315">
        <f t="shared" si="182"/>
        <v>0</v>
      </c>
      <c r="P689" s="315">
        <f t="shared" si="182"/>
        <v>0</v>
      </c>
      <c r="Q689" s="315">
        <f t="shared" si="182"/>
        <v>0</v>
      </c>
      <c r="R689" s="315">
        <f t="shared" si="182"/>
        <v>0</v>
      </c>
      <c r="S689" s="315">
        <f t="shared" si="182"/>
        <v>0</v>
      </c>
      <c r="T689" s="315">
        <f t="shared" si="182"/>
        <v>0</v>
      </c>
      <c r="U689" s="315">
        <f t="shared" si="182"/>
        <v>0</v>
      </c>
      <c r="V689" s="315">
        <f t="shared" si="182"/>
        <v>0</v>
      </c>
      <c r="W689" s="315">
        <f t="shared" si="184"/>
        <v>0</v>
      </c>
      <c r="X689" s="315">
        <f t="shared" si="184"/>
        <v>0</v>
      </c>
      <c r="Y689" s="315">
        <f t="shared" si="183"/>
        <v>0</v>
      </c>
      <c r="Z689" s="315">
        <f t="shared" si="183"/>
        <v>0</v>
      </c>
      <c r="AA689" s="315">
        <f t="shared" si="183"/>
        <v>0</v>
      </c>
      <c r="AB689" s="315">
        <f t="shared" si="183"/>
        <v>0</v>
      </c>
      <c r="AC689" s="315">
        <f t="shared" si="183"/>
        <v>0</v>
      </c>
      <c r="AD689" s="315">
        <f t="shared" si="183"/>
        <v>0</v>
      </c>
      <c r="AE689" s="315">
        <f t="shared" si="183"/>
        <v>0</v>
      </c>
      <c r="AF689" s="315">
        <f t="shared" si="183"/>
        <v>0</v>
      </c>
      <c r="AG689" s="315">
        <f t="shared" si="183"/>
        <v>0</v>
      </c>
      <c r="AH689" s="315">
        <f t="shared" si="183"/>
        <v>0</v>
      </c>
      <c r="AI689" s="315">
        <f t="shared" si="183"/>
        <v>0</v>
      </c>
      <c r="AJ689" s="315">
        <f t="shared" si="183"/>
        <v>0</v>
      </c>
      <c r="AK689" s="315">
        <f t="shared" si="183"/>
        <v>0</v>
      </c>
      <c r="AL689" s="315">
        <f t="shared" si="183"/>
        <v>0</v>
      </c>
      <c r="AM689" s="315">
        <f t="shared" si="183"/>
        <v>0</v>
      </c>
      <c r="AN689" s="315">
        <f t="shared" si="183"/>
        <v>0</v>
      </c>
      <c r="AO689" s="315">
        <f t="shared" si="183"/>
        <v>0</v>
      </c>
      <c r="AP689" s="315">
        <f t="shared" si="183"/>
        <v>0</v>
      </c>
      <c r="AQ689" s="315">
        <f t="shared" si="183"/>
        <v>0</v>
      </c>
      <c r="AR689" s="315">
        <f t="shared" si="183"/>
        <v>0</v>
      </c>
      <c r="AS689" s="315">
        <f t="shared" si="183"/>
        <v>0</v>
      </c>
      <c r="AT689" s="315">
        <f t="shared" si="183"/>
        <v>0</v>
      </c>
      <c r="AU689" s="315">
        <f t="shared" si="183"/>
        <v>0</v>
      </c>
      <c r="AV689" s="315">
        <f t="shared" si="183"/>
        <v>0</v>
      </c>
      <c r="AW689" s="315">
        <f t="shared" si="183"/>
        <v>0</v>
      </c>
      <c r="AX689" s="315">
        <f t="shared" si="183"/>
        <v>0</v>
      </c>
      <c r="AY689" s="315">
        <f t="shared" si="183"/>
        <v>0</v>
      </c>
      <c r="AZ689" s="315">
        <f t="shared" si="183"/>
        <v>0</v>
      </c>
      <c r="BA689" s="315">
        <f t="shared" si="183"/>
        <v>0</v>
      </c>
      <c r="BB689" s="315">
        <f t="shared" si="183"/>
        <v>0</v>
      </c>
      <c r="BC689" s="315">
        <f t="shared" si="183"/>
        <v>0</v>
      </c>
      <c r="BD689" s="315">
        <f t="shared" si="183"/>
        <v>0</v>
      </c>
      <c r="BE689" s="315">
        <f t="shared" si="183"/>
        <v>0</v>
      </c>
      <c r="BF689" s="315">
        <f t="shared" si="183"/>
        <v>0</v>
      </c>
      <c r="BG689" s="315">
        <f t="shared" si="183"/>
        <v>0</v>
      </c>
      <c r="BH689" s="315">
        <f t="shared" si="183"/>
        <v>0</v>
      </c>
      <c r="BI689" s="315">
        <f t="shared" si="183"/>
        <v>0</v>
      </c>
      <c r="BJ689" s="315">
        <f t="shared" si="183"/>
        <v>0</v>
      </c>
      <c r="BK689" s="315">
        <f t="shared" si="183"/>
        <v>0</v>
      </c>
      <c r="BL689" s="315">
        <f t="shared" si="183"/>
        <v>0</v>
      </c>
      <c r="BM689" s="315">
        <f t="shared" si="183"/>
        <v>0</v>
      </c>
      <c r="BN689" s="315">
        <f t="shared" si="183"/>
        <v>0</v>
      </c>
      <c r="BO689" s="315">
        <f t="shared" si="183"/>
        <v>0</v>
      </c>
      <c r="BP689" s="315">
        <f t="shared" si="183"/>
        <v>0</v>
      </c>
      <c r="BQ689" s="315">
        <f t="shared" si="183"/>
        <v>0</v>
      </c>
      <c r="BR689" s="315">
        <f t="shared" si="179"/>
        <v>0</v>
      </c>
      <c r="BS689" s="315">
        <f t="shared" si="177"/>
        <v>0</v>
      </c>
      <c r="BT689" s="315">
        <f t="shared" si="177"/>
        <v>0</v>
      </c>
      <c r="BU689" s="315">
        <f t="shared" si="177"/>
        <v>0</v>
      </c>
      <c r="BV689" s="315">
        <f t="shared" si="177"/>
        <v>0</v>
      </c>
      <c r="BW689" s="315">
        <f t="shared" si="177"/>
        <v>0</v>
      </c>
      <c r="BX689" s="315">
        <f t="shared" si="177"/>
        <v>0</v>
      </c>
      <c r="BZ689" s="315">
        <f t="shared" si="178"/>
        <v>0</v>
      </c>
      <c r="CA689" s="315">
        <f t="shared" si="178"/>
        <v>0</v>
      </c>
    </row>
    <row r="690" spans="7:79" hidden="1" x14ac:dyDescent="0.2">
      <c r="G690" s="315">
        <f t="shared" si="182"/>
        <v>-1295518</v>
      </c>
      <c r="H690" s="315">
        <f t="shared" si="182"/>
        <v>0</v>
      </c>
      <c r="I690" s="315">
        <f t="shared" si="182"/>
        <v>0</v>
      </c>
      <c r="J690" s="315">
        <f t="shared" si="182"/>
        <v>0</v>
      </c>
      <c r="K690" s="315">
        <f t="shared" si="182"/>
        <v>0</v>
      </c>
      <c r="L690" s="315">
        <f t="shared" si="182"/>
        <v>0</v>
      </c>
      <c r="M690" s="315">
        <f t="shared" si="182"/>
        <v>0</v>
      </c>
      <c r="N690" s="315">
        <f t="shared" si="182"/>
        <v>0</v>
      </c>
      <c r="O690" s="315">
        <f t="shared" si="182"/>
        <v>0</v>
      </c>
      <c r="P690" s="315">
        <f t="shared" si="182"/>
        <v>0</v>
      </c>
      <c r="Q690" s="315">
        <f t="shared" si="182"/>
        <v>0</v>
      </c>
      <c r="R690" s="315">
        <f t="shared" si="182"/>
        <v>0</v>
      </c>
      <c r="S690" s="315">
        <f t="shared" si="182"/>
        <v>0</v>
      </c>
      <c r="T690" s="315">
        <f t="shared" si="182"/>
        <v>0</v>
      </c>
      <c r="U690" s="315">
        <f t="shared" si="182"/>
        <v>0</v>
      </c>
      <c r="V690" s="315">
        <f t="shared" si="182"/>
        <v>-743035</v>
      </c>
      <c r="W690" s="315">
        <f t="shared" si="184"/>
        <v>0</v>
      </c>
      <c r="X690" s="315">
        <f t="shared" si="184"/>
        <v>0</v>
      </c>
      <c r="Y690" s="315">
        <f t="shared" si="183"/>
        <v>0</v>
      </c>
      <c r="Z690" s="315">
        <f t="shared" si="183"/>
        <v>0</v>
      </c>
      <c r="AA690" s="315">
        <f t="shared" si="183"/>
        <v>-17748</v>
      </c>
      <c r="AB690" s="315">
        <f t="shared" si="183"/>
        <v>0</v>
      </c>
      <c r="AC690" s="315">
        <f t="shared" si="183"/>
        <v>0</v>
      </c>
      <c r="AD690" s="315">
        <f t="shared" si="183"/>
        <v>0</v>
      </c>
      <c r="AE690" s="315">
        <f t="shared" si="183"/>
        <v>0</v>
      </c>
      <c r="AF690" s="315">
        <f t="shared" si="183"/>
        <v>0</v>
      </c>
      <c r="AG690" s="315">
        <f t="shared" si="183"/>
        <v>0</v>
      </c>
      <c r="AH690" s="315">
        <f t="shared" si="183"/>
        <v>0</v>
      </c>
      <c r="AI690" s="315">
        <f t="shared" si="183"/>
        <v>0</v>
      </c>
      <c r="AJ690" s="315">
        <f t="shared" si="183"/>
        <v>0</v>
      </c>
      <c r="AK690" s="315">
        <f t="shared" si="183"/>
        <v>-27624</v>
      </c>
      <c r="AL690" s="315">
        <f t="shared" si="183"/>
        <v>0</v>
      </c>
      <c r="AM690" s="315">
        <f t="shared" si="183"/>
        <v>0</v>
      </c>
      <c r="AN690" s="315">
        <f t="shared" si="183"/>
        <v>0</v>
      </c>
      <c r="AO690" s="315">
        <f t="shared" si="183"/>
        <v>0</v>
      </c>
      <c r="AP690" s="315">
        <f t="shared" si="183"/>
        <v>0</v>
      </c>
      <c r="AQ690" s="315">
        <f t="shared" si="183"/>
        <v>0</v>
      </c>
      <c r="AR690" s="315">
        <f t="shared" si="183"/>
        <v>0</v>
      </c>
      <c r="AS690" s="315">
        <f t="shared" si="183"/>
        <v>0</v>
      </c>
      <c r="AT690" s="315">
        <f t="shared" si="183"/>
        <v>0</v>
      </c>
      <c r="AU690" s="315">
        <f t="shared" si="183"/>
        <v>-171068</v>
      </c>
      <c r="AV690" s="315">
        <f t="shared" si="183"/>
        <v>0</v>
      </c>
      <c r="AW690" s="315">
        <f t="shared" si="183"/>
        <v>0</v>
      </c>
      <c r="AX690" s="315">
        <f t="shared" si="183"/>
        <v>0</v>
      </c>
      <c r="AY690" s="315">
        <f t="shared" si="183"/>
        <v>0</v>
      </c>
      <c r="AZ690" s="315">
        <f t="shared" si="183"/>
        <v>0</v>
      </c>
      <c r="BA690" s="315">
        <f t="shared" si="183"/>
        <v>0</v>
      </c>
      <c r="BB690" s="315">
        <f t="shared" si="183"/>
        <v>0</v>
      </c>
      <c r="BC690" s="315">
        <f t="shared" si="183"/>
        <v>0</v>
      </c>
      <c r="BD690" s="315">
        <f t="shared" si="183"/>
        <v>0</v>
      </c>
      <c r="BE690" s="315">
        <f t="shared" si="183"/>
        <v>0</v>
      </c>
      <c r="BF690" s="315">
        <f t="shared" si="183"/>
        <v>0</v>
      </c>
      <c r="BG690" s="315">
        <f t="shared" si="183"/>
        <v>0</v>
      </c>
      <c r="BH690" s="315">
        <f t="shared" si="183"/>
        <v>0</v>
      </c>
      <c r="BI690" s="315">
        <f t="shared" si="183"/>
        <v>0</v>
      </c>
      <c r="BJ690" s="315">
        <f t="shared" si="183"/>
        <v>-248416</v>
      </c>
      <c r="BK690" s="315">
        <f t="shared" si="183"/>
        <v>0</v>
      </c>
      <c r="BL690" s="315">
        <f t="shared" si="183"/>
        <v>0</v>
      </c>
      <c r="BM690" s="315">
        <f t="shared" si="183"/>
        <v>0</v>
      </c>
      <c r="BN690" s="315">
        <f t="shared" si="183"/>
        <v>0</v>
      </c>
      <c r="BO690" s="315">
        <f t="shared" si="183"/>
        <v>-87627</v>
      </c>
      <c r="BP690" s="315">
        <f t="shared" si="183"/>
        <v>0</v>
      </c>
      <c r="BQ690" s="315">
        <f t="shared" si="183"/>
        <v>0</v>
      </c>
      <c r="BR690" s="315">
        <f t="shared" si="179"/>
        <v>0</v>
      </c>
      <c r="BS690" s="315">
        <f t="shared" si="177"/>
        <v>0</v>
      </c>
      <c r="BT690" s="315">
        <f t="shared" si="177"/>
        <v>-788407</v>
      </c>
      <c r="BU690" s="315">
        <f t="shared" si="177"/>
        <v>0</v>
      </c>
      <c r="BV690" s="315">
        <f t="shared" si="177"/>
        <v>0</v>
      </c>
      <c r="BW690" s="315">
        <f t="shared" si="177"/>
        <v>0</v>
      </c>
      <c r="BX690" s="315">
        <f t="shared" si="177"/>
        <v>0</v>
      </c>
      <c r="BZ690" s="315">
        <f t="shared" si="178"/>
        <v>0</v>
      </c>
      <c r="CA690" s="315">
        <f t="shared" si="178"/>
        <v>0</v>
      </c>
    </row>
    <row r="691" spans="7:79" hidden="1" x14ac:dyDescent="0.2">
      <c r="G691" s="315">
        <f t="shared" si="182"/>
        <v>-1295518</v>
      </c>
      <c r="H691" s="315">
        <f t="shared" si="182"/>
        <v>0</v>
      </c>
      <c r="I691" s="315">
        <f t="shared" si="182"/>
        <v>0</v>
      </c>
      <c r="J691" s="315">
        <f t="shared" si="182"/>
        <v>0</v>
      </c>
      <c r="K691" s="315">
        <f t="shared" si="182"/>
        <v>0</v>
      </c>
      <c r="L691" s="315">
        <f t="shared" si="182"/>
        <v>0</v>
      </c>
      <c r="M691" s="315">
        <f t="shared" si="182"/>
        <v>0</v>
      </c>
      <c r="N691" s="315">
        <f t="shared" si="182"/>
        <v>0</v>
      </c>
      <c r="O691" s="315">
        <f t="shared" si="182"/>
        <v>0</v>
      </c>
      <c r="P691" s="315">
        <f t="shared" si="182"/>
        <v>0</v>
      </c>
      <c r="Q691" s="315">
        <f t="shared" si="182"/>
        <v>0</v>
      </c>
      <c r="R691" s="315">
        <f t="shared" si="182"/>
        <v>0</v>
      </c>
      <c r="S691" s="315">
        <f t="shared" si="182"/>
        <v>0</v>
      </c>
      <c r="T691" s="315">
        <f t="shared" si="182"/>
        <v>0</v>
      </c>
      <c r="U691" s="315">
        <f t="shared" si="182"/>
        <v>0</v>
      </c>
      <c r="V691" s="315">
        <f t="shared" si="182"/>
        <v>-743035</v>
      </c>
      <c r="W691" s="315">
        <f t="shared" si="184"/>
        <v>0</v>
      </c>
      <c r="X691" s="315">
        <f t="shared" si="184"/>
        <v>0</v>
      </c>
      <c r="Y691" s="315">
        <f t="shared" si="183"/>
        <v>0</v>
      </c>
      <c r="Z691" s="315">
        <f t="shared" si="183"/>
        <v>0</v>
      </c>
      <c r="AA691" s="315">
        <f t="shared" si="183"/>
        <v>-17748</v>
      </c>
      <c r="AB691" s="315">
        <f t="shared" si="183"/>
        <v>0</v>
      </c>
      <c r="AC691" s="315">
        <f t="shared" si="183"/>
        <v>0</v>
      </c>
      <c r="AD691" s="315">
        <f t="shared" si="183"/>
        <v>0</v>
      </c>
      <c r="AE691" s="315">
        <f t="shared" si="183"/>
        <v>0</v>
      </c>
      <c r="AF691" s="315">
        <f t="shared" si="183"/>
        <v>0</v>
      </c>
      <c r="AG691" s="315">
        <f t="shared" si="183"/>
        <v>0</v>
      </c>
      <c r="AH691" s="315">
        <f t="shared" si="183"/>
        <v>0</v>
      </c>
      <c r="AI691" s="315">
        <f t="shared" si="183"/>
        <v>0</v>
      </c>
      <c r="AJ691" s="315">
        <f t="shared" si="183"/>
        <v>0</v>
      </c>
      <c r="AK691" s="315">
        <f t="shared" si="183"/>
        <v>-27624</v>
      </c>
      <c r="AL691" s="315">
        <f t="shared" si="183"/>
        <v>0</v>
      </c>
      <c r="AM691" s="315">
        <f t="shared" si="183"/>
        <v>0</v>
      </c>
      <c r="AN691" s="315">
        <f t="shared" si="183"/>
        <v>0</v>
      </c>
      <c r="AO691" s="315">
        <f t="shared" si="183"/>
        <v>0</v>
      </c>
      <c r="AP691" s="315">
        <f t="shared" si="183"/>
        <v>0</v>
      </c>
      <c r="AQ691" s="315">
        <f t="shared" si="183"/>
        <v>0</v>
      </c>
      <c r="AR691" s="315">
        <f t="shared" si="183"/>
        <v>0</v>
      </c>
      <c r="AS691" s="315">
        <f t="shared" si="183"/>
        <v>0</v>
      </c>
      <c r="AT691" s="315">
        <f t="shared" si="183"/>
        <v>0</v>
      </c>
      <c r="AU691" s="315">
        <f t="shared" si="183"/>
        <v>-171068</v>
      </c>
      <c r="AV691" s="315">
        <f t="shared" si="183"/>
        <v>0</v>
      </c>
      <c r="AW691" s="315">
        <f t="shared" si="183"/>
        <v>0</v>
      </c>
      <c r="AX691" s="315">
        <f t="shared" si="183"/>
        <v>0</v>
      </c>
      <c r="AY691" s="315">
        <f t="shared" si="183"/>
        <v>0</v>
      </c>
      <c r="AZ691" s="315">
        <f t="shared" si="183"/>
        <v>0</v>
      </c>
      <c r="BA691" s="315">
        <f t="shared" si="183"/>
        <v>0</v>
      </c>
      <c r="BB691" s="315">
        <f t="shared" si="183"/>
        <v>0</v>
      </c>
      <c r="BC691" s="315">
        <f t="shared" si="183"/>
        <v>0</v>
      </c>
      <c r="BD691" s="315">
        <f t="shared" si="183"/>
        <v>0</v>
      </c>
      <c r="BE691" s="315">
        <f t="shared" si="183"/>
        <v>0</v>
      </c>
      <c r="BF691" s="315">
        <f t="shared" si="183"/>
        <v>0</v>
      </c>
      <c r="BG691" s="315">
        <f t="shared" si="183"/>
        <v>0</v>
      </c>
      <c r="BH691" s="315">
        <f t="shared" si="183"/>
        <v>0</v>
      </c>
      <c r="BI691" s="315">
        <f t="shared" si="183"/>
        <v>0</v>
      </c>
      <c r="BJ691" s="315">
        <f t="shared" si="183"/>
        <v>-248416</v>
      </c>
      <c r="BK691" s="315">
        <f t="shared" si="183"/>
        <v>0</v>
      </c>
      <c r="BL691" s="315">
        <f t="shared" si="183"/>
        <v>0</v>
      </c>
      <c r="BM691" s="315">
        <f t="shared" si="183"/>
        <v>0</v>
      </c>
      <c r="BN691" s="315">
        <f t="shared" si="183"/>
        <v>0</v>
      </c>
      <c r="BO691" s="315">
        <f t="shared" si="183"/>
        <v>-87627</v>
      </c>
      <c r="BP691" s="315">
        <f t="shared" si="183"/>
        <v>0</v>
      </c>
      <c r="BQ691" s="315">
        <f t="shared" si="183"/>
        <v>0</v>
      </c>
      <c r="BR691" s="315">
        <f t="shared" si="179"/>
        <v>0</v>
      </c>
      <c r="BS691" s="315">
        <f t="shared" si="179"/>
        <v>0</v>
      </c>
      <c r="BT691" s="315">
        <f t="shared" si="179"/>
        <v>-788407</v>
      </c>
      <c r="BU691" s="315">
        <f t="shared" si="179"/>
        <v>0</v>
      </c>
      <c r="BV691" s="315">
        <f t="shared" si="179"/>
        <v>0</v>
      </c>
      <c r="BW691" s="315">
        <f t="shared" si="179"/>
        <v>0</v>
      </c>
      <c r="BX691" s="315">
        <f t="shared" si="179"/>
        <v>0</v>
      </c>
      <c r="BZ691" s="315">
        <f t="shared" ref="BZ691:CA706" si="185">BZ334-ER334</f>
        <v>0</v>
      </c>
      <c r="CA691" s="315">
        <f t="shared" si="185"/>
        <v>0</v>
      </c>
    </row>
    <row r="692" spans="7:79" hidden="1" x14ac:dyDescent="0.2">
      <c r="G692" s="315">
        <f t="shared" si="182"/>
        <v>0</v>
      </c>
      <c r="H692" s="315">
        <f t="shared" si="182"/>
        <v>0</v>
      </c>
      <c r="I692" s="315">
        <f t="shared" si="182"/>
        <v>0</v>
      </c>
      <c r="J692" s="315">
        <f t="shared" si="182"/>
        <v>0</v>
      </c>
      <c r="K692" s="315">
        <f t="shared" si="182"/>
        <v>0</v>
      </c>
      <c r="L692" s="315">
        <f t="shared" si="182"/>
        <v>0</v>
      </c>
      <c r="M692" s="315">
        <f t="shared" si="182"/>
        <v>0</v>
      </c>
      <c r="N692" s="315">
        <f t="shared" si="182"/>
        <v>0</v>
      </c>
      <c r="O692" s="315">
        <f t="shared" si="182"/>
        <v>0</v>
      </c>
      <c r="P692" s="315">
        <f t="shared" si="182"/>
        <v>0</v>
      </c>
      <c r="Q692" s="315">
        <f t="shared" si="182"/>
        <v>0</v>
      </c>
      <c r="R692" s="315">
        <f t="shared" si="182"/>
        <v>0</v>
      </c>
      <c r="S692" s="315">
        <f t="shared" si="182"/>
        <v>0</v>
      </c>
      <c r="T692" s="315">
        <f t="shared" si="182"/>
        <v>0</v>
      </c>
      <c r="U692" s="315">
        <f t="shared" si="182"/>
        <v>0</v>
      </c>
      <c r="V692" s="315">
        <f t="shared" si="182"/>
        <v>0</v>
      </c>
      <c r="W692" s="315">
        <f t="shared" si="184"/>
        <v>0</v>
      </c>
      <c r="X692" s="315">
        <f t="shared" si="184"/>
        <v>0</v>
      </c>
      <c r="Y692" s="315">
        <f t="shared" si="183"/>
        <v>0</v>
      </c>
      <c r="Z692" s="315">
        <f t="shared" si="183"/>
        <v>0</v>
      </c>
      <c r="AA692" s="315">
        <f t="shared" si="183"/>
        <v>0</v>
      </c>
      <c r="AB692" s="315">
        <f t="shared" si="183"/>
        <v>0</v>
      </c>
      <c r="AC692" s="315">
        <f t="shared" si="183"/>
        <v>0</v>
      </c>
      <c r="AD692" s="315">
        <f t="shared" si="183"/>
        <v>0</v>
      </c>
      <c r="AE692" s="315">
        <f t="shared" si="183"/>
        <v>0</v>
      </c>
      <c r="AF692" s="315">
        <f t="shared" si="183"/>
        <v>0</v>
      </c>
      <c r="AG692" s="315">
        <f t="shared" si="183"/>
        <v>0</v>
      </c>
      <c r="AH692" s="315">
        <f t="shared" si="183"/>
        <v>0</v>
      </c>
      <c r="AI692" s="315">
        <f t="shared" si="183"/>
        <v>0</v>
      </c>
      <c r="AJ692" s="315">
        <f t="shared" si="183"/>
        <v>0</v>
      </c>
      <c r="AK692" s="315">
        <f t="shared" si="183"/>
        <v>0</v>
      </c>
      <c r="AL692" s="315">
        <f t="shared" si="183"/>
        <v>0</v>
      </c>
      <c r="AM692" s="315">
        <f t="shared" si="183"/>
        <v>0</v>
      </c>
      <c r="AN692" s="315">
        <f t="shared" si="183"/>
        <v>0</v>
      </c>
      <c r="AO692" s="315">
        <f t="shared" si="183"/>
        <v>0</v>
      </c>
      <c r="AP692" s="315">
        <f t="shared" si="183"/>
        <v>0</v>
      </c>
      <c r="AQ692" s="315">
        <f t="shared" si="183"/>
        <v>0</v>
      </c>
      <c r="AR692" s="315">
        <f t="shared" si="183"/>
        <v>0</v>
      </c>
      <c r="AS692" s="315">
        <f t="shared" si="183"/>
        <v>0</v>
      </c>
      <c r="AT692" s="315">
        <f t="shared" si="183"/>
        <v>0</v>
      </c>
      <c r="AU692" s="315">
        <f t="shared" si="183"/>
        <v>0</v>
      </c>
      <c r="AV692" s="315">
        <f t="shared" si="183"/>
        <v>0</v>
      </c>
      <c r="AW692" s="315">
        <f t="shared" si="183"/>
        <v>0</v>
      </c>
      <c r="AX692" s="315">
        <f t="shared" si="183"/>
        <v>0</v>
      </c>
      <c r="AY692" s="315">
        <f t="shared" si="183"/>
        <v>0</v>
      </c>
      <c r="AZ692" s="315">
        <f t="shared" si="183"/>
        <v>0</v>
      </c>
      <c r="BA692" s="315">
        <f t="shared" si="183"/>
        <v>0</v>
      </c>
      <c r="BB692" s="315">
        <f t="shared" si="183"/>
        <v>0</v>
      </c>
      <c r="BC692" s="315">
        <f t="shared" ref="BC692:BR707" si="186">BC335-DU335</f>
        <v>0</v>
      </c>
      <c r="BD692" s="315">
        <f t="shared" si="186"/>
        <v>0</v>
      </c>
      <c r="BE692" s="315">
        <f t="shared" si="186"/>
        <v>0</v>
      </c>
      <c r="BF692" s="315">
        <f t="shared" si="186"/>
        <v>0</v>
      </c>
      <c r="BG692" s="315">
        <f t="shared" si="186"/>
        <v>0</v>
      </c>
      <c r="BH692" s="315">
        <f t="shared" si="186"/>
        <v>0</v>
      </c>
      <c r="BI692" s="315">
        <f t="shared" si="186"/>
        <v>0</v>
      </c>
      <c r="BJ692" s="315">
        <f t="shared" si="186"/>
        <v>0</v>
      </c>
      <c r="BK692" s="315">
        <f t="shared" si="186"/>
        <v>0</v>
      </c>
      <c r="BL692" s="315">
        <f t="shared" si="186"/>
        <v>0</v>
      </c>
      <c r="BM692" s="315">
        <f t="shared" si="186"/>
        <v>0</v>
      </c>
      <c r="BN692" s="315">
        <f t="shared" si="186"/>
        <v>0</v>
      </c>
      <c r="BO692" s="315">
        <f t="shared" si="186"/>
        <v>0</v>
      </c>
      <c r="BP692" s="315">
        <f t="shared" si="186"/>
        <v>0</v>
      </c>
      <c r="BQ692" s="315">
        <f t="shared" si="186"/>
        <v>0</v>
      </c>
      <c r="BR692" s="315">
        <f t="shared" si="179"/>
        <v>0</v>
      </c>
      <c r="BS692" s="315">
        <f t="shared" si="179"/>
        <v>0</v>
      </c>
      <c r="BT692" s="315">
        <f t="shared" si="179"/>
        <v>0</v>
      </c>
      <c r="BU692" s="315">
        <f t="shared" si="179"/>
        <v>0</v>
      </c>
      <c r="BV692" s="315">
        <f t="shared" si="179"/>
        <v>0</v>
      </c>
      <c r="BW692" s="315">
        <f t="shared" si="179"/>
        <v>0</v>
      </c>
      <c r="BX692" s="315">
        <f t="shared" si="179"/>
        <v>0</v>
      </c>
      <c r="BZ692" s="315">
        <f t="shared" si="185"/>
        <v>0</v>
      </c>
      <c r="CA692" s="315">
        <f t="shared" si="185"/>
        <v>0</v>
      </c>
    </row>
    <row r="693" spans="7:79" hidden="1" x14ac:dyDescent="0.2">
      <c r="G693" s="315">
        <f t="shared" si="182"/>
        <v>-320429</v>
      </c>
      <c r="H693" s="315">
        <f t="shared" si="182"/>
        <v>0</v>
      </c>
      <c r="I693" s="315">
        <f t="shared" si="182"/>
        <v>0</v>
      </c>
      <c r="J693" s="315">
        <f t="shared" si="182"/>
        <v>0</v>
      </c>
      <c r="K693" s="315">
        <f t="shared" si="182"/>
        <v>0</v>
      </c>
      <c r="L693" s="315">
        <f t="shared" si="182"/>
        <v>161641</v>
      </c>
      <c r="M693" s="315">
        <f t="shared" si="182"/>
        <v>0</v>
      </c>
      <c r="N693" s="315">
        <f t="shared" si="182"/>
        <v>0</v>
      </c>
      <c r="O693" s="315">
        <f t="shared" si="182"/>
        <v>0</v>
      </c>
      <c r="P693" s="315">
        <f t="shared" si="182"/>
        <v>0</v>
      </c>
      <c r="Q693" s="315">
        <f t="shared" si="182"/>
        <v>0</v>
      </c>
      <c r="R693" s="315">
        <f t="shared" si="182"/>
        <v>0</v>
      </c>
      <c r="S693" s="315">
        <f t="shared" si="182"/>
        <v>0</v>
      </c>
      <c r="T693" s="315">
        <f t="shared" si="182"/>
        <v>0</v>
      </c>
      <c r="U693" s="315">
        <f t="shared" si="182"/>
        <v>0</v>
      </c>
      <c r="V693" s="315">
        <f t="shared" si="182"/>
        <v>0</v>
      </c>
      <c r="W693" s="315">
        <f t="shared" si="184"/>
        <v>0</v>
      </c>
      <c r="X693" s="315">
        <f t="shared" si="184"/>
        <v>0</v>
      </c>
      <c r="Y693" s="315">
        <f t="shared" si="184"/>
        <v>0</v>
      </c>
      <c r="Z693" s="315">
        <f t="shared" si="184"/>
        <v>0</v>
      </c>
      <c r="AA693" s="315">
        <f t="shared" si="184"/>
        <v>0</v>
      </c>
      <c r="AB693" s="315">
        <f t="shared" si="184"/>
        <v>0</v>
      </c>
      <c r="AC693" s="315">
        <f t="shared" si="184"/>
        <v>0</v>
      </c>
      <c r="AD693" s="315">
        <f t="shared" si="184"/>
        <v>0</v>
      </c>
      <c r="AE693" s="315">
        <f t="shared" si="184"/>
        <v>0</v>
      </c>
      <c r="AF693" s="315">
        <f t="shared" si="184"/>
        <v>0</v>
      </c>
      <c r="AG693" s="315">
        <f t="shared" si="184"/>
        <v>0</v>
      </c>
      <c r="AH693" s="315">
        <f t="shared" si="184"/>
        <v>0</v>
      </c>
      <c r="AI693" s="315">
        <f t="shared" si="184"/>
        <v>0</v>
      </c>
      <c r="AJ693" s="315">
        <f t="shared" si="184"/>
        <v>0</v>
      </c>
      <c r="AK693" s="315">
        <f t="shared" si="184"/>
        <v>0</v>
      </c>
      <c r="AL693" s="315">
        <f t="shared" si="184"/>
        <v>0</v>
      </c>
      <c r="AM693" s="315">
        <f t="shared" ref="AM693:BB707" si="187">AM336-DE336</f>
        <v>0</v>
      </c>
      <c r="AN693" s="315">
        <f t="shared" si="187"/>
        <v>0</v>
      </c>
      <c r="AO693" s="315">
        <f t="shared" si="187"/>
        <v>0</v>
      </c>
      <c r="AP693" s="315">
        <f t="shared" si="187"/>
        <v>-144461</v>
      </c>
      <c r="AQ693" s="315">
        <f t="shared" si="187"/>
        <v>0</v>
      </c>
      <c r="AR693" s="315">
        <f t="shared" si="187"/>
        <v>0</v>
      </c>
      <c r="AS693" s="315">
        <f t="shared" si="187"/>
        <v>0</v>
      </c>
      <c r="AT693" s="315">
        <f t="shared" si="187"/>
        <v>0</v>
      </c>
      <c r="AU693" s="315">
        <f t="shared" si="187"/>
        <v>0</v>
      </c>
      <c r="AV693" s="315">
        <f t="shared" si="187"/>
        <v>0</v>
      </c>
      <c r="AW693" s="315">
        <f t="shared" si="187"/>
        <v>0</v>
      </c>
      <c r="AX693" s="315">
        <f t="shared" si="187"/>
        <v>0</v>
      </c>
      <c r="AY693" s="315">
        <f t="shared" si="187"/>
        <v>0</v>
      </c>
      <c r="AZ693" s="315">
        <f t="shared" si="187"/>
        <v>0</v>
      </c>
      <c r="BA693" s="315">
        <f t="shared" si="187"/>
        <v>0</v>
      </c>
      <c r="BB693" s="315">
        <f t="shared" si="187"/>
        <v>0</v>
      </c>
      <c r="BC693" s="315">
        <f t="shared" si="186"/>
        <v>0</v>
      </c>
      <c r="BD693" s="315">
        <f t="shared" si="186"/>
        <v>0</v>
      </c>
      <c r="BE693" s="315">
        <f t="shared" si="186"/>
        <v>0</v>
      </c>
      <c r="BF693" s="315">
        <f t="shared" si="186"/>
        <v>0</v>
      </c>
      <c r="BG693" s="315">
        <f t="shared" si="186"/>
        <v>0</v>
      </c>
      <c r="BH693" s="315">
        <f t="shared" si="186"/>
        <v>0</v>
      </c>
      <c r="BI693" s="315">
        <f t="shared" si="186"/>
        <v>0</v>
      </c>
      <c r="BJ693" s="315">
        <f t="shared" si="186"/>
        <v>-56073</v>
      </c>
      <c r="BK693" s="315">
        <f t="shared" si="186"/>
        <v>0</v>
      </c>
      <c r="BL693" s="315">
        <f t="shared" si="186"/>
        <v>0</v>
      </c>
      <c r="BM693" s="315">
        <f t="shared" si="186"/>
        <v>0</v>
      </c>
      <c r="BN693" s="315">
        <f t="shared" si="186"/>
        <v>0</v>
      </c>
      <c r="BO693" s="315">
        <f t="shared" si="186"/>
        <v>0</v>
      </c>
      <c r="BP693" s="315">
        <f t="shared" si="186"/>
        <v>0</v>
      </c>
      <c r="BQ693" s="315">
        <f t="shared" si="186"/>
        <v>0</v>
      </c>
      <c r="BR693" s="315">
        <f t="shared" si="179"/>
        <v>0</v>
      </c>
      <c r="BS693" s="315">
        <f t="shared" si="179"/>
        <v>0</v>
      </c>
      <c r="BT693" s="315">
        <f t="shared" si="179"/>
        <v>17180</v>
      </c>
      <c r="BU693" s="315">
        <f t="shared" si="179"/>
        <v>0</v>
      </c>
      <c r="BV693" s="315">
        <f t="shared" si="179"/>
        <v>0</v>
      </c>
      <c r="BW693" s="315">
        <f t="shared" si="179"/>
        <v>0</v>
      </c>
      <c r="BX693" s="315">
        <f t="shared" si="179"/>
        <v>0</v>
      </c>
      <c r="BZ693" s="315">
        <f t="shared" si="185"/>
        <v>0</v>
      </c>
      <c r="CA693" s="315">
        <f t="shared" si="185"/>
        <v>0</v>
      </c>
    </row>
    <row r="694" spans="7:79" hidden="1" x14ac:dyDescent="0.2">
      <c r="G694" s="315">
        <f t="shared" si="182"/>
        <v>-320429</v>
      </c>
      <c r="H694" s="315">
        <f t="shared" si="182"/>
        <v>0</v>
      </c>
      <c r="I694" s="315">
        <f t="shared" si="182"/>
        <v>0</v>
      </c>
      <c r="J694" s="315">
        <f t="shared" si="182"/>
        <v>0</v>
      </c>
      <c r="K694" s="315">
        <f t="shared" si="182"/>
        <v>0</v>
      </c>
      <c r="L694" s="315">
        <f t="shared" si="182"/>
        <v>161641</v>
      </c>
      <c r="M694" s="315">
        <f t="shared" si="182"/>
        <v>0</v>
      </c>
      <c r="N694" s="315">
        <f t="shared" si="182"/>
        <v>0</v>
      </c>
      <c r="O694" s="315">
        <f t="shared" si="182"/>
        <v>0</v>
      </c>
      <c r="P694" s="315">
        <f t="shared" si="182"/>
        <v>0</v>
      </c>
      <c r="Q694" s="315">
        <f t="shared" si="182"/>
        <v>0</v>
      </c>
      <c r="R694" s="315">
        <f t="shared" si="182"/>
        <v>0</v>
      </c>
      <c r="S694" s="315">
        <f t="shared" si="182"/>
        <v>0</v>
      </c>
      <c r="T694" s="315">
        <f t="shared" si="182"/>
        <v>0</v>
      </c>
      <c r="U694" s="315">
        <f t="shared" si="182"/>
        <v>0</v>
      </c>
      <c r="V694" s="315">
        <f t="shared" si="182"/>
        <v>0</v>
      </c>
      <c r="W694" s="315">
        <f t="shared" si="184"/>
        <v>0</v>
      </c>
      <c r="X694" s="315">
        <f t="shared" si="184"/>
        <v>0</v>
      </c>
      <c r="Y694" s="315">
        <f t="shared" si="184"/>
        <v>0</v>
      </c>
      <c r="Z694" s="315">
        <f t="shared" si="184"/>
        <v>0</v>
      </c>
      <c r="AA694" s="315">
        <f t="shared" si="184"/>
        <v>0</v>
      </c>
      <c r="AB694" s="315">
        <f t="shared" si="184"/>
        <v>0</v>
      </c>
      <c r="AC694" s="315">
        <f t="shared" si="184"/>
        <v>0</v>
      </c>
      <c r="AD694" s="315">
        <f t="shared" si="184"/>
        <v>0</v>
      </c>
      <c r="AE694" s="315">
        <f t="shared" si="184"/>
        <v>0</v>
      </c>
      <c r="AF694" s="315">
        <f t="shared" si="184"/>
        <v>0</v>
      </c>
      <c r="AG694" s="315">
        <f t="shared" si="184"/>
        <v>0</v>
      </c>
      <c r="AH694" s="315">
        <f t="shared" si="184"/>
        <v>0</v>
      </c>
      <c r="AI694" s="315">
        <f t="shared" si="184"/>
        <v>0</v>
      </c>
      <c r="AJ694" s="315">
        <f t="shared" si="184"/>
        <v>0</v>
      </c>
      <c r="AK694" s="315">
        <f t="shared" si="184"/>
        <v>0</v>
      </c>
      <c r="AL694" s="315">
        <f t="shared" si="184"/>
        <v>0</v>
      </c>
      <c r="AM694" s="315">
        <f t="shared" si="187"/>
        <v>0</v>
      </c>
      <c r="AN694" s="315">
        <f t="shared" si="187"/>
        <v>0</v>
      </c>
      <c r="AO694" s="315">
        <f t="shared" si="187"/>
        <v>0</v>
      </c>
      <c r="AP694" s="315">
        <f t="shared" si="187"/>
        <v>-144461</v>
      </c>
      <c r="AQ694" s="315">
        <f t="shared" si="187"/>
        <v>0</v>
      </c>
      <c r="AR694" s="315">
        <f t="shared" si="187"/>
        <v>0</v>
      </c>
      <c r="AS694" s="315">
        <f t="shared" si="187"/>
        <v>0</v>
      </c>
      <c r="AT694" s="315">
        <f t="shared" si="187"/>
        <v>0</v>
      </c>
      <c r="AU694" s="315">
        <f t="shared" si="187"/>
        <v>0</v>
      </c>
      <c r="AV694" s="315">
        <f t="shared" si="187"/>
        <v>0</v>
      </c>
      <c r="AW694" s="315">
        <f t="shared" si="187"/>
        <v>0</v>
      </c>
      <c r="AX694" s="315">
        <f t="shared" si="187"/>
        <v>0</v>
      </c>
      <c r="AY694" s="315">
        <f t="shared" si="187"/>
        <v>0</v>
      </c>
      <c r="AZ694" s="315">
        <f t="shared" si="187"/>
        <v>0</v>
      </c>
      <c r="BA694" s="315">
        <f t="shared" si="187"/>
        <v>0</v>
      </c>
      <c r="BB694" s="315">
        <f t="shared" si="187"/>
        <v>0</v>
      </c>
      <c r="BC694" s="315">
        <f t="shared" si="186"/>
        <v>0</v>
      </c>
      <c r="BD694" s="315">
        <f t="shared" si="186"/>
        <v>0</v>
      </c>
      <c r="BE694" s="315">
        <f t="shared" si="186"/>
        <v>0</v>
      </c>
      <c r="BF694" s="315">
        <f t="shared" si="186"/>
        <v>0</v>
      </c>
      <c r="BG694" s="315">
        <f t="shared" si="186"/>
        <v>0</v>
      </c>
      <c r="BH694" s="315">
        <f t="shared" si="186"/>
        <v>0</v>
      </c>
      <c r="BI694" s="315">
        <f t="shared" si="186"/>
        <v>0</v>
      </c>
      <c r="BJ694" s="315">
        <f t="shared" si="186"/>
        <v>-56073</v>
      </c>
      <c r="BK694" s="315">
        <f t="shared" si="186"/>
        <v>0</v>
      </c>
      <c r="BL694" s="315">
        <f t="shared" si="186"/>
        <v>0</v>
      </c>
      <c r="BM694" s="315">
        <f t="shared" si="186"/>
        <v>0</v>
      </c>
      <c r="BN694" s="315">
        <f t="shared" si="186"/>
        <v>0</v>
      </c>
      <c r="BO694" s="315">
        <f t="shared" si="186"/>
        <v>0</v>
      </c>
      <c r="BP694" s="315">
        <f t="shared" si="186"/>
        <v>0</v>
      </c>
      <c r="BQ694" s="315">
        <f t="shared" si="186"/>
        <v>0</v>
      </c>
      <c r="BR694" s="315">
        <f t="shared" si="186"/>
        <v>0</v>
      </c>
      <c r="BS694" s="315">
        <f t="shared" ref="BS694:BX707" si="188">BS337-EK337</f>
        <v>0</v>
      </c>
      <c r="BT694" s="315">
        <f t="shared" si="188"/>
        <v>17180</v>
      </c>
      <c r="BU694" s="315">
        <f t="shared" si="188"/>
        <v>0</v>
      </c>
      <c r="BV694" s="315">
        <f t="shared" si="188"/>
        <v>0</v>
      </c>
      <c r="BW694" s="315">
        <f t="shared" si="188"/>
        <v>0</v>
      </c>
      <c r="BX694" s="315">
        <f t="shared" si="188"/>
        <v>0</v>
      </c>
      <c r="BZ694" s="315">
        <f t="shared" si="185"/>
        <v>0</v>
      </c>
      <c r="CA694" s="315">
        <f t="shared" si="185"/>
        <v>0</v>
      </c>
    </row>
    <row r="695" spans="7:79" hidden="1" x14ac:dyDescent="0.2">
      <c r="G695" s="315">
        <f t="shared" si="182"/>
        <v>0</v>
      </c>
      <c r="H695" s="315">
        <f t="shared" si="182"/>
        <v>0</v>
      </c>
      <c r="I695" s="315">
        <f t="shared" si="182"/>
        <v>0</v>
      </c>
      <c r="J695" s="315">
        <f t="shared" si="182"/>
        <v>0</v>
      </c>
      <c r="K695" s="315">
        <f t="shared" si="182"/>
        <v>0</v>
      </c>
      <c r="L695" s="315">
        <f t="shared" si="182"/>
        <v>0</v>
      </c>
      <c r="M695" s="315">
        <f t="shared" si="182"/>
        <v>0</v>
      </c>
      <c r="N695" s="315">
        <f t="shared" si="182"/>
        <v>0</v>
      </c>
      <c r="O695" s="315">
        <f t="shared" si="182"/>
        <v>0</v>
      </c>
      <c r="P695" s="315">
        <f t="shared" si="182"/>
        <v>0</v>
      </c>
      <c r="Q695" s="315">
        <f t="shared" si="182"/>
        <v>0</v>
      </c>
      <c r="R695" s="315">
        <f t="shared" si="182"/>
        <v>0</v>
      </c>
      <c r="S695" s="315">
        <f t="shared" si="182"/>
        <v>0</v>
      </c>
      <c r="T695" s="315">
        <f t="shared" si="182"/>
        <v>0</v>
      </c>
      <c r="U695" s="315">
        <f t="shared" si="182"/>
        <v>0</v>
      </c>
      <c r="V695" s="315">
        <f t="shared" si="182"/>
        <v>0</v>
      </c>
      <c r="W695" s="315">
        <f t="shared" si="184"/>
        <v>0</v>
      </c>
      <c r="X695" s="315">
        <f t="shared" si="184"/>
        <v>0</v>
      </c>
      <c r="Y695" s="315">
        <f t="shared" si="184"/>
        <v>0</v>
      </c>
      <c r="Z695" s="315">
        <f t="shared" si="184"/>
        <v>0</v>
      </c>
      <c r="AA695" s="315">
        <f t="shared" si="184"/>
        <v>0</v>
      </c>
      <c r="AB695" s="315">
        <f t="shared" si="184"/>
        <v>0</v>
      </c>
      <c r="AC695" s="315">
        <f t="shared" si="184"/>
        <v>0</v>
      </c>
      <c r="AD695" s="315">
        <f t="shared" si="184"/>
        <v>0</v>
      </c>
      <c r="AE695" s="315">
        <f t="shared" si="184"/>
        <v>0</v>
      </c>
      <c r="AF695" s="315">
        <f t="shared" si="184"/>
        <v>0</v>
      </c>
      <c r="AG695" s="315">
        <f t="shared" si="184"/>
        <v>0</v>
      </c>
      <c r="AH695" s="315">
        <f t="shared" si="184"/>
        <v>0</v>
      </c>
      <c r="AI695" s="315">
        <f t="shared" si="184"/>
        <v>0</v>
      </c>
      <c r="AJ695" s="315">
        <f t="shared" si="184"/>
        <v>0</v>
      </c>
      <c r="AK695" s="315">
        <f t="shared" si="184"/>
        <v>0</v>
      </c>
      <c r="AL695" s="315">
        <f t="shared" si="184"/>
        <v>0</v>
      </c>
      <c r="AM695" s="315">
        <f t="shared" si="187"/>
        <v>0</v>
      </c>
      <c r="AN695" s="315">
        <f t="shared" si="187"/>
        <v>0</v>
      </c>
      <c r="AO695" s="315">
        <f t="shared" si="187"/>
        <v>0</v>
      </c>
      <c r="AP695" s="315">
        <f t="shared" si="187"/>
        <v>0</v>
      </c>
      <c r="AQ695" s="315">
        <f t="shared" si="187"/>
        <v>0</v>
      </c>
      <c r="AR695" s="315">
        <f t="shared" si="187"/>
        <v>0</v>
      </c>
      <c r="AS695" s="315">
        <f t="shared" si="187"/>
        <v>0</v>
      </c>
      <c r="AT695" s="315">
        <f t="shared" si="187"/>
        <v>0</v>
      </c>
      <c r="AU695" s="315">
        <f t="shared" si="187"/>
        <v>0</v>
      </c>
      <c r="AV695" s="315">
        <f t="shared" si="187"/>
        <v>0</v>
      </c>
      <c r="AW695" s="315">
        <f t="shared" si="187"/>
        <v>0</v>
      </c>
      <c r="AX695" s="315">
        <f t="shared" si="187"/>
        <v>0</v>
      </c>
      <c r="AY695" s="315">
        <f t="shared" si="187"/>
        <v>0</v>
      </c>
      <c r="AZ695" s="315">
        <f t="shared" si="187"/>
        <v>0</v>
      </c>
      <c r="BA695" s="315">
        <f t="shared" si="187"/>
        <v>0</v>
      </c>
      <c r="BB695" s="315">
        <f t="shared" si="187"/>
        <v>0</v>
      </c>
      <c r="BC695" s="315">
        <f t="shared" si="186"/>
        <v>0</v>
      </c>
      <c r="BD695" s="315">
        <f t="shared" si="186"/>
        <v>0</v>
      </c>
      <c r="BE695" s="315">
        <f t="shared" si="186"/>
        <v>0</v>
      </c>
      <c r="BF695" s="315">
        <f t="shared" si="186"/>
        <v>0</v>
      </c>
      <c r="BG695" s="315">
        <f t="shared" si="186"/>
        <v>0</v>
      </c>
      <c r="BH695" s="315">
        <f t="shared" si="186"/>
        <v>0</v>
      </c>
      <c r="BI695" s="315">
        <f t="shared" si="186"/>
        <v>0</v>
      </c>
      <c r="BJ695" s="315">
        <f t="shared" si="186"/>
        <v>0</v>
      </c>
      <c r="BK695" s="315">
        <f t="shared" si="186"/>
        <v>0</v>
      </c>
      <c r="BL695" s="315">
        <f t="shared" si="186"/>
        <v>0</v>
      </c>
      <c r="BM695" s="315">
        <f t="shared" si="186"/>
        <v>0</v>
      </c>
      <c r="BN695" s="315">
        <f t="shared" si="186"/>
        <v>0</v>
      </c>
      <c r="BO695" s="315">
        <f t="shared" si="186"/>
        <v>0</v>
      </c>
      <c r="BP695" s="315">
        <f t="shared" si="186"/>
        <v>0</v>
      </c>
      <c r="BQ695" s="315">
        <f t="shared" si="186"/>
        <v>0</v>
      </c>
      <c r="BR695" s="315">
        <f t="shared" si="186"/>
        <v>0</v>
      </c>
      <c r="BS695" s="315">
        <f t="shared" si="188"/>
        <v>0</v>
      </c>
      <c r="BT695" s="315">
        <f t="shared" si="188"/>
        <v>0</v>
      </c>
      <c r="BU695" s="315">
        <f t="shared" si="188"/>
        <v>0</v>
      </c>
      <c r="BV695" s="315">
        <f t="shared" si="188"/>
        <v>0</v>
      </c>
      <c r="BW695" s="315">
        <f t="shared" si="188"/>
        <v>0</v>
      </c>
      <c r="BX695" s="315">
        <f t="shared" si="188"/>
        <v>0</v>
      </c>
      <c r="BZ695" s="315">
        <f t="shared" si="185"/>
        <v>0</v>
      </c>
      <c r="CA695" s="315">
        <f t="shared" si="185"/>
        <v>0</v>
      </c>
    </row>
    <row r="696" spans="7:79" hidden="1" x14ac:dyDescent="0.2">
      <c r="G696" s="315">
        <f t="shared" si="182"/>
        <v>0</v>
      </c>
      <c r="H696" s="315">
        <f t="shared" si="182"/>
        <v>0</v>
      </c>
      <c r="I696" s="315">
        <f t="shared" si="182"/>
        <v>0</v>
      </c>
      <c r="J696" s="315">
        <f t="shared" si="182"/>
        <v>0</v>
      </c>
      <c r="K696" s="315">
        <f t="shared" si="182"/>
        <v>0</v>
      </c>
      <c r="L696" s="315">
        <f t="shared" si="182"/>
        <v>0</v>
      </c>
      <c r="M696" s="315">
        <f t="shared" si="182"/>
        <v>0</v>
      </c>
      <c r="N696" s="315">
        <f t="shared" si="182"/>
        <v>0</v>
      </c>
      <c r="O696" s="315">
        <f t="shared" si="182"/>
        <v>0</v>
      </c>
      <c r="P696" s="315">
        <f t="shared" si="182"/>
        <v>0</v>
      </c>
      <c r="Q696" s="315">
        <f t="shared" si="182"/>
        <v>0</v>
      </c>
      <c r="R696" s="315">
        <f t="shared" si="182"/>
        <v>0</v>
      </c>
      <c r="S696" s="315">
        <f t="shared" si="182"/>
        <v>0</v>
      </c>
      <c r="T696" s="315">
        <f t="shared" si="182"/>
        <v>0</v>
      </c>
      <c r="U696" s="315">
        <f t="shared" si="182"/>
        <v>0</v>
      </c>
      <c r="V696" s="315">
        <f t="shared" si="182"/>
        <v>0</v>
      </c>
      <c r="W696" s="315">
        <f t="shared" si="184"/>
        <v>0</v>
      </c>
      <c r="X696" s="315">
        <f t="shared" si="184"/>
        <v>0</v>
      </c>
      <c r="Y696" s="315">
        <f t="shared" si="184"/>
        <v>0</v>
      </c>
      <c r="Z696" s="315">
        <f t="shared" si="184"/>
        <v>0</v>
      </c>
      <c r="AA696" s="315">
        <f t="shared" si="184"/>
        <v>0</v>
      </c>
      <c r="AB696" s="315">
        <f t="shared" si="184"/>
        <v>0</v>
      </c>
      <c r="AC696" s="315">
        <f t="shared" si="184"/>
        <v>0</v>
      </c>
      <c r="AD696" s="315">
        <f t="shared" si="184"/>
        <v>0</v>
      </c>
      <c r="AE696" s="315">
        <f t="shared" si="184"/>
        <v>0</v>
      </c>
      <c r="AF696" s="315">
        <f t="shared" si="184"/>
        <v>0</v>
      </c>
      <c r="AG696" s="315">
        <f t="shared" si="184"/>
        <v>0</v>
      </c>
      <c r="AH696" s="315">
        <f t="shared" si="184"/>
        <v>0</v>
      </c>
      <c r="AI696" s="315">
        <f t="shared" si="184"/>
        <v>0</v>
      </c>
      <c r="AJ696" s="315">
        <f t="shared" si="184"/>
        <v>0</v>
      </c>
      <c r="AK696" s="315">
        <f t="shared" si="184"/>
        <v>0</v>
      </c>
      <c r="AL696" s="315">
        <f t="shared" si="184"/>
        <v>0</v>
      </c>
      <c r="AM696" s="315">
        <f t="shared" si="187"/>
        <v>0</v>
      </c>
      <c r="AN696" s="315">
        <f t="shared" si="187"/>
        <v>0</v>
      </c>
      <c r="AO696" s="315">
        <f t="shared" si="187"/>
        <v>0</v>
      </c>
      <c r="AP696" s="315">
        <f t="shared" si="187"/>
        <v>0</v>
      </c>
      <c r="AQ696" s="315">
        <f t="shared" si="187"/>
        <v>0</v>
      </c>
      <c r="AR696" s="315">
        <f t="shared" si="187"/>
        <v>0</v>
      </c>
      <c r="AS696" s="315">
        <f t="shared" si="187"/>
        <v>0</v>
      </c>
      <c r="AT696" s="315">
        <f t="shared" si="187"/>
        <v>0</v>
      </c>
      <c r="AU696" s="315">
        <f t="shared" si="187"/>
        <v>0</v>
      </c>
      <c r="AV696" s="315">
        <f t="shared" si="187"/>
        <v>0</v>
      </c>
      <c r="AW696" s="315">
        <f t="shared" si="187"/>
        <v>0</v>
      </c>
      <c r="AX696" s="315">
        <f t="shared" si="187"/>
        <v>0</v>
      </c>
      <c r="AY696" s="315">
        <f t="shared" si="187"/>
        <v>0</v>
      </c>
      <c r="AZ696" s="315">
        <f t="shared" si="187"/>
        <v>0</v>
      </c>
      <c r="BA696" s="315">
        <f t="shared" si="187"/>
        <v>0</v>
      </c>
      <c r="BB696" s="315">
        <f t="shared" si="187"/>
        <v>0</v>
      </c>
      <c r="BC696" s="315">
        <f t="shared" si="186"/>
        <v>0</v>
      </c>
      <c r="BD696" s="315">
        <f t="shared" si="186"/>
        <v>0</v>
      </c>
      <c r="BE696" s="315">
        <f t="shared" si="186"/>
        <v>0</v>
      </c>
      <c r="BF696" s="315">
        <f t="shared" si="186"/>
        <v>0</v>
      </c>
      <c r="BG696" s="315">
        <f t="shared" si="186"/>
        <v>0</v>
      </c>
      <c r="BH696" s="315">
        <f t="shared" si="186"/>
        <v>0</v>
      </c>
      <c r="BI696" s="315">
        <f t="shared" si="186"/>
        <v>0</v>
      </c>
      <c r="BJ696" s="315">
        <f t="shared" si="186"/>
        <v>0</v>
      </c>
      <c r="BK696" s="315">
        <f t="shared" si="186"/>
        <v>0</v>
      </c>
      <c r="BL696" s="315">
        <f t="shared" si="186"/>
        <v>0</v>
      </c>
      <c r="BM696" s="315">
        <f t="shared" si="186"/>
        <v>0</v>
      </c>
      <c r="BN696" s="315">
        <f t="shared" si="186"/>
        <v>0</v>
      </c>
      <c r="BO696" s="315">
        <f t="shared" si="186"/>
        <v>0</v>
      </c>
      <c r="BP696" s="315">
        <f t="shared" si="186"/>
        <v>0</v>
      </c>
      <c r="BQ696" s="315">
        <f t="shared" si="186"/>
        <v>0</v>
      </c>
      <c r="BR696" s="315">
        <f t="shared" si="186"/>
        <v>0</v>
      </c>
      <c r="BS696" s="315">
        <f t="shared" si="188"/>
        <v>0</v>
      </c>
      <c r="BT696" s="315">
        <f t="shared" si="188"/>
        <v>0</v>
      </c>
      <c r="BU696" s="315">
        <f t="shared" si="188"/>
        <v>0</v>
      </c>
      <c r="BV696" s="315">
        <f t="shared" si="188"/>
        <v>0</v>
      </c>
      <c r="BW696" s="315">
        <f t="shared" si="188"/>
        <v>0</v>
      </c>
      <c r="BX696" s="315">
        <f t="shared" si="188"/>
        <v>0</v>
      </c>
      <c r="BZ696" s="315">
        <f t="shared" si="185"/>
        <v>0</v>
      </c>
      <c r="CA696" s="315">
        <f t="shared" si="185"/>
        <v>0</v>
      </c>
    </row>
    <row r="697" spans="7:79" hidden="1" x14ac:dyDescent="0.2">
      <c r="G697" s="315">
        <f t="shared" si="182"/>
        <v>0</v>
      </c>
      <c r="H697" s="315">
        <f t="shared" si="182"/>
        <v>0</v>
      </c>
      <c r="I697" s="315">
        <f t="shared" si="182"/>
        <v>0</v>
      </c>
      <c r="J697" s="315">
        <f t="shared" si="182"/>
        <v>0</v>
      </c>
      <c r="K697" s="315">
        <f t="shared" si="182"/>
        <v>0</v>
      </c>
      <c r="L697" s="315">
        <f t="shared" si="182"/>
        <v>0</v>
      </c>
      <c r="M697" s="315">
        <f t="shared" si="182"/>
        <v>0</v>
      </c>
      <c r="N697" s="315">
        <f t="shared" si="182"/>
        <v>0</v>
      </c>
      <c r="O697" s="315">
        <f t="shared" si="182"/>
        <v>0</v>
      </c>
      <c r="P697" s="315">
        <f t="shared" si="182"/>
        <v>0</v>
      </c>
      <c r="Q697" s="315">
        <f t="shared" si="182"/>
        <v>0</v>
      </c>
      <c r="R697" s="315">
        <f t="shared" si="182"/>
        <v>0</v>
      </c>
      <c r="S697" s="315">
        <f t="shared" si="182"/>
        <v>0</v>
      </c>
      <c r="T697" s="315">
        <f t="shared" si="182"/>
        <v>0</v>
      </c>
      <c r="U697" s="315">
        <f t="shared" si="182"/>
        <v>0</v>
      </c>
      <c r="V697" s="315">
        <f t="shared" si="182"/>
        <v>0</v>
      </c>
      <c r="W697" s="315">
        <f t="shared" si="184"/>
        <v>0</v>
      </c>
      <c r="X697" s="315">
        <f t="shared" si="184"/>
        <v>0</v>
      </c>
      <c r="Y697" s="315">
        <f t="shared" si="184"/>
        <v>0</v>
      </c>
      <c r="Z697" s="315">
        <f t="shared" si="184"/>
        <v>0</v>
      </c>
      <c r="AA697" s="315">
        <f t="shared" si="184"/>
        <v>0</v>
      </c>
      <c r="AB697" s="315">
        <f t="shared" si="184"/>
        <v>0</v>
      </c>
      <c r="AC697" s="315">
        <f t="shared" si="184"/>
        <v>0</v>
      </c>
      <c r="AD697" s="315">
        <f t="shared" si="184"/>
        <v>0</v>
      </c>
      <c r="AE697" s="315">
        <f t="shared" si="184"/>
        <v>0</v>
      </c>
      <c r="AF697" s="315">
        <f t="shared" si="184"/>
        <v>0</v>
      </c>
      <c r="AG697" s="315">
        <f t="shared" si="184"/>
        <v>0</v>
      </c>
      <c r="AH697" s="315">
        <f t="shared" si="184"/>
        <v>0</v>
      </c>
      <c r="AI697" s="315">
        <f t="shared" si="184"/>
        <v>0</v>
      </c>
      <c r="AJ697" s="315">
        <f t="shared" si="184"/>
        <v>0</v>
      </c>
      <c r="AK697" s="315">
        <f t="shared" si="184"/>
        <v>0</v>
      </c>
      <c r="AL697" s="315">
        <f t="shared" si="184"/>
        <v>0</v>
      </c>
      <c r="AM697" s="315">
        <f t="shared" si="187"/>
        <v>0</v>
      </c>
      <c r="AN697" s="315">
        <f t="shared" si="187"/>
        <v>0</v>
      </c>
      <c r="AO697" s="315">
        <f t="shared" si="187"/>
        <v>0</v>
      </c>
      <c r="AP697" s="315">
        <f t="shared" si="187"/>
        <v>0</v>
      </c>
      <c r="AQ697" s="315">
        <f t="shared" si="187"/>
        <v>0</v>
      </c>
      <c r="AR697" s="315">
        <f t="shared" si="187"/>
        <v>0</v>
      </c>
      <c r="AS697" s="315">
        <f t="shared" si="187"/>
        <v>0</v>
      </c>
      <c r="AT697" s="315">
        <f t="shared" si="187"/>
        <v>0</v>
      </c>
      <c r="AU697" s="315">
        <f t="shared" si="187"/>
        <v>0</v>
      </c>
      <c r="AV697" s="315">
        <f t="shared" si="187"/>
        <v>0</v>
      </c>
      <c r="AW697" s="315">
        <f t="shared" si="187"/>
        <v>0</v>
      </c>
      <c r="AX697" s="315">
        <f t="shared" si="187"/>
        <v>0</v>
      </c>
      <c r="AY697" s="315">
        <f t="shared" si="187"/>
        <v>0</v>
      </c>
      <c r="AZ697" s="315">
        <f t="shared" si="187"/>
        <v>0</v>
      </c>
      <c r="BA697" s="315">
        <f t="shared" si="187"/>
        <v>0</v>
      </c>
      <c r="BB697" s="315">
        <f t="shared" si="187"/>
        <v>0</v>
      </c>
      <c r="BC697" s="315">
        <f t="shared" si="186"/>
        <v>0</v>
      </c>
      <c r="BD697" s="315">
        <f t="shared" si="186"/>
        <v>0</v>
      </c>
      <c r="BE697" s="315">
        <f t="shared" si="186"/>
        <v>0</v>
      </c>
      <c r="BF697" s="315">
        <f t="shared" si="186"/>
        <v>0</v>
      </c>
      <c r="BG697" s="315">
        <f t="shared" si="186"/>
        <v>0</v>
      </c>
      <c r="BH697" s="315">
        <f t="shared" si="186"/>
        <v>0</v>
      </c>
      <c r="BI697" s="315">
        <f t="shared" si="186"/>
        <v>0</v>
      </c>
      <c r="BJ697" s="315">
        <f t="shared" si="186"/>
        <v>0</v>
      </c>
      <c r="BK697" s="315">
        <f t="shared" si="186"/>
        <v>0</v>
      </c>
      <c r="BL697" s="315">
        <f t="shared" si="186"/>
        <v>0</v>
      </c>
      <c r="BM697" s="315">
        <f t="shared" si="186"/>
        <v>0</v>
      </c>
      <c r="BN697" s="315">
        <f t="shared" si="186"/>
        <v>0</v>
      </c>
      <c r="BO697" s="315">
        <f t="shared" si="186"/>
        <v>0</v>
      </c>
      <c r="BP697" s="315">
        <f t="shared" si="186"/>
        <v>0</v>
      </c>
      <c r="BQ697" s="315">
        <f t="shared" si="186"/>
        <v>0</v>
      </c>
      <c r="BR697" s="315">
        <f t="shared" si="186"/>
        <v>0</v>
      </c>
      <c r="BS697" s="315">
        <f t="shared" si="188"/>
        <v>0</v>
      </c>
      <c r="BT697" s="315">
        <f t="shared" si="188"/>
        <v>0</v>
      </c>
      <c r="BU697" s="315">
        <f t="shared" si="188"/>
        <v>0</v>
      </c>
      <c r="BV697" s="315">
        <f t="shared" si="188"/>
        <v>0</v>
      </c>
      <c r="BW697" s="315">
        <f t="shared" si="188"/>
        <v>0</v>
      </c>
      <c r="BX697" s="315">
        <f t="shared" si="188"/>
        <v>0</v>
      </c>
      <c r="BZ697" s="315">
        <f t="shared" si="185"/>
        <v>0</v>
      </c>
      <c r="CA697" s="315">
        <f t="shared" si="185"/>
        <v>0</v>
      </c>
    </row>
    <row r="698" spans="7:79" hidden="1" x14ac:dyDescent="0.2">
      <c r="G698" s="315">
        <f t="shared" si="182"/>
        <v>0</v>
      </c>
      <c r="H698" s="315">
        <f t="shared" si="182"/>
        <v>0</v>
      </c>
      <c r="I698" s="315">
        <f t="shared" si="182"/>
        <v>0</v>
      </c>
      <c r="J698" s="315">
        <f t="shared" si="182"/>
        <v>0</v>
      </c>
      <c r="K698" s="315">
        <f t="shared" si="182"/>
        <v>0</v>
      </c>
      <c r="L698" s="315">
        <f t="shared" si="182"/>
        <v>0</v>
      </c>
      <c r="M698" s="315">
        <f t="shared" si="182"/>
        <v>0</v>
      </c>
      <c r="N698" s="315">
        <f t="shared" si="182"/>
        <v>0</v>
      </c>
      <c r="O698" s="315">
        <f t="shared" si="182"/>
        <v>0</v>
      </c>
      <c r="P698" s="315">
        <f t="shared" si="182"/>
        <v>0</v>
      </c>
      <c r="Q698" s="315">
        <f t="shared" si="182"/>
        <v>0</v>
      </c>
      <c r="R698" s="315">
        <f t="shared" si="182"/>
        <v>0</v>
      </c>
      <c r="S698" s="315">
        <f t="shared" si="182"/>
        <v>0</v>
      </c>
      <c r="T698" s="315">
        <f t="shared" si="182"/>
        <v>0</v>
      </c>
      <c r="U698" s="315">
        <f t="shared" si="182"/>
        <v>0</v>
      </c>
      <c r="V698" s="315">
        <f t="shared" si="182"/>
        <v>0</v>
      </c>
      <c r="W698" s="315">
        <f t="shared" si="184"/>
        <v>0</v>
      </c>
      <c r="X698" s="315">
        <f t="shared" si="184"/>
        <v>0</v>
      </c>
      <c r="Y698" s="315">
        <f t="shared" si="184"/>
        <v>0</v>
      </c>
      <c r="Z698" s="315">
        <f t="shared" si="184"/>
        <v>0</v>
      </c>
      <c r="AA698" s="315">
        <f t="shared" si="184"/>
        <v>0</v>
      </c>
      <c r="AB698" s="315">
        <f t="shared" si="184"/>
        <v>0</v>
      </c>
      <c r="AC698" s="315">
        <f t="shared" si="184"/>
        <v>0</v>
      </c>
      <c r="AD698" s="315">
        <f t="shared" si="184"/>
        <v>0</v>
      </c>
      <c r="AE698" s="315">
        <f t="shared" si="184"/>
        <v>0</v>
      </c>
      <c r="AF698" s="315">
        <f t="shared" si="184"/>
        <v>0</v>
      </c>
      <c r="AG698" s="315">
        <f t="shared" si="184"/>
        <v>0</v>
      </c>
      <c r="AH698" s="315">
        <f t="shared" si="184"/>
        <v>0</v>
      </c>
      <c r="AI698" s="315">
        <f t="shared" si="184"/>
        <v>0</v>
      </c>
      <c r="AJ698" s="315">
        <f t="shared" si="184"/>
        <v>0</v>
      </c>
      <c r="AK698" s="315">
        <f t="shared" si="184"/>
        <v>0</v>
      </c>
      <c r="AL698" s="315">
        <f t="shared" si="184"/>
        <v>0</v>
      </c>
      <c r="AM698" s="315">
        <f t="shared" si="187"/>
        <v>0</v>
      </c>
      <c r="AN698" s="315">
        <f t="shared" si="187"/>
        <v>0</v>
      </c>
      <c r="AO698" s="315">
        <f t="shared" si="187"/>
        <v>0</v>
      </c>
      <c r="AP698" s="315">
        <f t="shared" si="187"/>
        <v>0</v>
      </c>
      <c r="AQ698" s="315">
        <f t="shared" si="187"/>
        <v>0</v>
      </c>
      <c r="AR698" s="315">
        <f t="shared" si="187"/>
        <v>0</v>
      </c>
      <c r="AS698" s="315">
        <f t="shared" si="187"/>
        <v>0</v>
      </c>
      <c r="AT698" s="315">
        <f t="shared" si="187"/>
        <v>0</v>
      </c>
      <c r="AU698" s="315">
        <f t="shared" si="187"/>
        <v>0</v>
      </c>
      <c r="AV698" s="315">
        <f t="shared" si="187"/>
        <v>0</v>
      </c>
      <c r="AW698" s="315">
        <f t="shared" si="187"/>
        <v>0</v>
      </c>
      <c r="AX698" s="315">
        <f t="shared" si="187"/>
        <v>0</v>
      </c>
      <c r="AY698" s="315">
        <f t="shared" si="187"/>
        <v>0</v>
      </c>
      <c r="AZ698" s="315">
        <f t="shared" si="187"/>
        <v>0</v>
      </c>
      <c r="BA698" s="315">
        <f t="shared" si="187"/>
        <v>0</v>
      </c>
      <c r="BB698" s="315">
        <f t="shared" si="187"/>
        <v>0</v>
      </c>
      <c r="BC698" s="315">
        <f t="shared" si="186"/>
        <v>0</v>
      </c>
      <c r="BD698" s="315">
        <f t="shared" si="186"/>
        <v>0</v>
      </c>
      <c r="BE698" s="315">
        <f t="shared" si="186"/>
        <v>0</v>
      </c>
      <c r="BF698" s="315">
        <f t="shared" si="186"/>
        <v>0</v>
      </c>
      <c r="BG698" s="315">
        <f t="shared" si="186"/>
        <v>0</v>
      </c>
      <c r="BH698" s="315">
        <f t="shared" si="186"/>
        <v>0</v>
      </c>
      <c r="BI698" s="315">
        <f t="shared" si="186"/>
        <v>0</v>
      </c>
      <c r="BJ698" s="315">
        <f t="shared" si="186"/>
        <v>0</v>
      </c>
      <c r="BK698" s="315">
        <f t="shared" si="186"/>
        <v>0</v>
      </c>
      <c r="BL698" s="315">
        <f t="shared" si="186"/>
        <v>0</v>
      </c>
      <c r="BM698" s="315">
        <f t="shared" si="186"/>
        <v>0</v>
      </c>
      <c r="BN698" s="315">
        <f t="shared" si="186"/>
        <v>0</v>
      </c>
      <c r="BO698" s="315">
        <f t="shared" si="186"/>
        <v>0</v>
      </c>
      <c r="BP698" s="315">
        <f t="shared" si="186"/>
        <v>0</v>
      </c>
      <c r="BQ698" s="315">
        <f t="shared" si="186"/>
        <v>0</v>
      </c>
      <c r="BR698" s="315">
        <f t="shared" si="186"/>
        <v>0</v>
      </c>
      <c r="BS698" s="315">
        <f t="shared" si="188"/>
        <v>0</v>
      </c>
      <c r="BT698" s="315">
        <f t="shared" si="188"/>
        <v>0</v>
      </c>
      <c r="BU698" s="315">
        <f t="shared" si="188"/>
        <v>0</v>
      </c>
      <c r="BV698" s="315">
        <f t="shared" si="188"/>
        <v>0</v>
      </c>
      <c r="BW698" s="315">
        <f t="shared" si="188"/>
        <v>0</v>
      </c>
      <c r="BX698" s="315">
        <f t="shared" si="188"/>
        <v>0</v>
      </c>
      <c r="BZ698" s="315">
        <f t="shared" si="185"/>
        <v>0</v>
      </c>
      <c r="CA698" s="315">
        <f t="shared" si="185"/>
        <v>0</v>
      </c>
    </row>
    <row r="699" spans="7:79" hidden="1" x14ac:dyDescent="0.2">
      <c r="G699" s="315">
        <f t="shared" si="182"/>
        <v>-90245</v>
      </c>
      <c r="H699" s="315">
        <f t="shared" si="182"/>
        <v>0</v>
      </c>
      <c r="I699" s="315">
        <f t="shared" si="182"/>
        <v>0</v>
      </c>
      <c r="J699" s="315">
        <f t="shared" si="182"/>
        <v>0</v>
      </c>
      <c r="K699" s="315">
        <f t="shared" si="182"/>
        <v>0</v>
      </c>
      <c r="L699" s="315">
        <f t="shared" si="182"/>
        <v>0</v>
      </c>
      <c r="M699" s="315">
        <f t="shared" si="182"/>
        <v>0</v>
      </c>
      <c r="N699" s="315">
        <f t="shared" si="182"/>
        <v>0</v>
      </c>
      <c r="O699" s="315">
        <f t="shared" si="182"/>
        <v>0</v>
      </c>
      <c r="P699" s="315">
        <f t="shared" si="182"/>
        <v>0</v>
      </c>
      <c r="Q699" s="315">
        <f t="shared" si="182"/>
        <v>0</v>
      </c>
      <c r="R699" s="315">
        <f t="shared" si="182"/>
        <v>0</v>
      </c>
      <c r="S699" s="315">
        <f t="shared" si="182"/>
        <v>0</v>
      </c>
      <c r="T699" s="315">
        <f t="shared" si="182"/>
        <v>0</v>
      </c>
      <c r="U699" s="315">
        <f t="shared" si="182"/>
        <v>0</v>
      </c>
      <c r="V699" s="315">
        <f t="shared" si="182"/>
        <v>0</v>
      </c>
      <c r="W699" s="315">
        <f t="shared" si="184"/>
        <v>0</v>
      </c>
      <c r="X699" s="315">
        <f t="shared" si="184"/>
        <v>0</v>
      </c>
      <c r="Y699" s="315">
        <f t="shared" si="184"/>
        <v>0</v>
      </c>
      <c r="Z699" s="315">
        <f t="shared" si="184"/>
        <v>0</v>
      </c>
      <c r="AA699" s="315">
        <f t="shared" si="184"/>
        <v>0</v>
      </c>
      <c r="AB699" s="315">
        <f t="shared" si="184"/>
        <v>0</v>
      </c>
      <c r="AC699" s="315">
        <f t="shared" si="184"/>
        <v>0</v>
      </c>
      <c r="AD699" s="315">
        <f t="shared" si="184"/>
        <v>0</v>
      </c>
      <c r="AE699" s="315">
        <f t="shared" si="184"/>
        <v>0</v>
      </c>
      <c r="AF699" s="315">
        <f t="shared" si="184"/>
        <v>0</v>
      </c>
      <c r="AG699" s="315">
        <f t="shared" si="184"/>
        <v>0</v>
      </c>
      <c r="AH699" s="315">
        <f t="shared" si="184"/>
        <v>0</v>
      </c>
      <c r="AI699" s="315">
        <f t="shared" si="184"/>
        <v>0</v>
      </c>
      <c r="AJ699" s="315">
        <f t="shared" si="184"/>
        <v>0</v>
      </c>
      <c r="AK699" s="315">
        <f t="shared" si="184"/>
        <v>0</v>
      </c>
      <c r="AL699" s="315">
        <f t="shared" si="184"/>
        <v>0</v>
      </c>
      <c r="AM699" s="315">
        <f t="shared" si="187"/>
        <v>0</v>
      </c>
      <c r="AN699" s="315">
        <f t="shared" si="187"/>
        <v>0</v>
      </c>
      <c r="AO699" s="315">
        <f t="shared" si="187"/>
        <v>0</v>
      </c>
      <c r="AP699" s="315">
        <f t="shared" si="187"/>
        <v>0</v>
      </c>
      <c r="AQ699" s="315">
        <f t="shared" si="187"/>
        <v>0</v>
      </c>
      <c r="AR699" s="315">
        <f t="shared" si="187"/>
        <v>0</v>
      </c>
      <c r="AS699" s="315">
        <f t="shared" si="187"/>
        <v>0</v>
      </c>
      <c r="AT699" s="315">
        <f t="shared" si="187"/>
        <v>0</v>
      </c>
      <c r="AU699" s="315">
        <f t="shared" si="187"/>
        <v>0</v>
      </c>
      <c r="AV699" s="315">
        <f t="shared" si="187"/>
        <v>0</v>
      </c>
      <c r="AW699" s="315">
        <f t="shared" si="187"/>
        <v>0</v>
      </c>
      <c r="AX699" s="315">
        <f t="shared" si="187"/>
        <v>0</v>
      </c>
      <c r="AY699" s="315">
        <f t="shared" si="187"/>
        <v>0</v>
      </c>
      <c r="AZ699" s="315">
        <f t="shared" si="187"/>
        <v>0</v>
      </c>
      <c r="BA699" s="315">
        <f t="shared" si="187"/>
        <v>0</v>
      </c>
      <c r="BB699" s="315">
        <f t="shared" si="187"/>
        <v>0</v>
      </c>
      <c r="BC699" s="315">
        <f t="shared" si="186"/>
        <v>0</v>
      </c>
      <c r="BD699" s="315">
        <f t="shared" si="186"/>
        <v>0</v>
      </c>
      <c r="BE699" s="315">
        <f t="shared" si="186"/>
        <v>0</v>
      </c>
      <c r="BF699" s="315">
        <f t="shared" si="186"/>
        <v>0</v>
      </c>
      <c r="BG699" s="315">
        <f t="shared" si="186"/>
        <v>0</v>
      </c>
      <c r="BH699" s="315">
        <f t="shared" si="186"/>
        <v>0</v>
      </c>
      <c r="BI699" s="315">
        <f t="shared" si="186"/>
        <v>0</v>
      </c>
      <c r="BJ699" s="315">
        <f t="shared" si="186"/>
        <v>-90245</v>
      </c>
      <c r="BK699" s="315">
        <f t="shared" si="186"/>
        <v>0</v>
      </c>
      <c r="BL699" s="315">
        <f t="shared" si="186"/>
        <v>0</v>
      </c>
      <c r="BM699" s="315">
        <f t="shared" si="186"/>
        <v>0</v>
      </c>
      <c r="BN699" s="315">
        <f t="shared" si="186"/>
        <v>0</v>
      </c>
      <c r="BO699" s="315">
        <f t="shared" si="186"/>
        <v>0</v>
      </c>
      <c r="BP699" s="315">
        <f t="shared" si="186"/>
        <v>0</v>
      </c>
      <c r="BQ699" s="315">
        <f t="shared" si="186"/>
        <v>0</v>
      </c>
      <c r="BR699" s="315">
        <f t="shared" si="186"/>
        <v>0</v>
      </c>
      <c r="BS699" s="315">
        <f t="shared" si="188"/>
        <v>0</v>
      </c>
      <c r="BT699" s="315">
        <f t="shared" si="188"/>
        <v>0</v>
      </c>
      <c r="BU699" s="315">
        <f t="shared" si="188"/>
        <v>0</v>
      </c>
      <c r="BV699" s="315">
        <f t="shared" si="188"/>
        <v>0</v>
      </c>
      <c r="BW699" s="315">
        <f t="shared" si="188"/>
        <v>0</v>
      </c>
      <c r="BX699" s="315">
        <f t="shared" si="188"/>
        <v>0</v>
      </c>
      <c r="BZ699" s="315">
        <f t="shared" si="185"/>
        <v>0</v>
      </c>
      <c r="CA699" s="315">
        <f t="shared" si="185"/>
        <v>0</v>
      </c>
    </row>
    <row r="700" spans="7:79" hidden="1" x14ac:dyDescent="0.2">
      <c r="G700" s="315">
        <f t="shared" ref="G700:V707" si="189">G343-BY343</f>
        <v>-90245</v>
      </c>
      <c r="H700" s="315">
        <f t="shared" si="189"/>
        <v>0</v>
      </c>
      <c r="I700" s="315">
        <f t="shared" si="189"/>
        <v>0</v>
      </c>
      <c r="J700" s="315">
        <f t="shared" si="189"/>
        <v>0</v>
      </c>
      <c r="K700" s="315">
        <f t="shared" si="189"/>
        <v>0</v>
      </c>
      <c r="L700" s="315">
        <f t="shared" si="189"/>
        <v>0</v>
      </c>
      <c r="M700" s="315">
        <f t="shared" si="189"/>
        <v>0</v>
      </c>
      <c r="N700" s="315">
        <f t="shared" si="189"/>
        <v>0</v>
      </c>
      <c r="O700" s="315">
        <f t="shared" si="189"/>
        <v>0</v>
      </c>
      <c r="P700" s="315">
        <f t="shared" si="189"/>
        <v>0</v>
      </c>
      <c r="Q700" s="315">
        <f t="shared" si="189"/>
        <v>0</v>
      </c>
      <c r="R700" s="315">
        <f t="shared" si="189"/>
        <v>0</v>
      </c>
      <c r="S700" s="315">
        <f t="shared" si="189"/>
        <v>0</v>
      </c>
      <c r="T700" s="315">
        <f t="shared" si="189"/>
        <v>0</v>
      </c>
      <c r="U700" s="315">
        <f t="shared" si="189"/>
        <v>0</v>
      </c>
      <c r="V700" s="315">
        <f t="shared" si="189"/>
        <v>0</v>
      </c>
      <c r="W700" s="315">
        <f t="shared" si="184"/>
        <v>0</v>
      </c>
      <c r="X700" s="315">
        <f t="shared" si="184"/>
        <v>0</v>
      </c>
      <c r="Y700" s="315">
        <f t="shared" si="184"/>
        <v>0</v>
      </c>
      <c r="Z700" s="315">
        <f t="shared" si="184"/>
        <v>0</v>
      </c>
      <c r="AA700" s="315">
        <f t="shared" si="184"/>
        <v>0</v>
      </c>
      <c r="AB700" s="315">
        <f t="shared" si="184"/>
        <v>0</v>
      </c>
      <c r="AC700" s="315">
        <f t="shared" si="184"/>
        <v>0</v>
      </c>
      <c r="AD700" s="315">
        <f t="shared" si="184"/>
        <v>0</v>
      </c>
      <c r="AE700" s="315">
        <f t="shared" si="184"/>
        <v>0</v>
      </c>
      <c r="AF700" s="315">
        <f t="shared" si="184"/>
        <v>0</v>
      </c>
      <c r="AG700" s="315">
        <f t="shared" si="184"/>
        <v>0</v>
      </c>
      <c r="AH700" s="315">
        <f t="shared" si="184"/>
        <v>0</v>
      </c>
      <c r="AI700" s="315">
        <f t="shared" si="184"/>
        <v>0</v>
      </c>
      <c r="AJ700" s="315">
        <f t="shared" si="184"/>
        <v>0</v>
      </c>
      <c r="AK700" s="315">
        <f t="shared" si="184"/>
        <v>0</v>
      </c>
      <c r="AL700" s="315">
        <f t="shared" si="184"/>
        <v>0</v>
      </c>
      <c r="AM700" s="315">
        <f t="shared" si="187"/>
        <v>0</v>
      </c>
      <c r="AN700" s="315">
        <f t="shared" si="187"/>
        <v>0</v>
      </c>
      <c r="AO700" s="315">
        <f t="shared" si="187"/>
        <v>0</v>
      </c>
      <c r="AP700" s="315">
        <f t="shared" si="187"/>
        <v>0</v>
      </c>
      <c r="AQ700" s="315">
        <f t="shared" si="187"/>
        <v>0</v>
      </c>
      <c r="AR700" s="315">
        <f t="shared" si="187"/>
        <v>0</v>
      </c>
      <c r="AS700" s="315">
        <f t="shared" si="187"/>
        <v>0</v>
      </c>
      <c r="AT700" s="315">
        <f t="shared" si="187"/>
        <v>0</v>
      </c>
      <c r="AU700" s="315">
        <f t="shared" si="187"/>
        <v>0</v>
      </c>
      <c r="AV700" s="315">
        <f t="shared" si="187"/>
        <v>0</v>
      </c>
      <c r="AW700" s="315">
        <f t="shared" si="187"/>
        <v>0</v>
      </c>
      <c r="AX700" s="315">
        <f t="shared" si="187"/>
        <v>0</v>
      </c>
      <c r="AY700" s="315">
        <f t="shared" si="187"/>
        <v>0</v>
      </c>
      <c r="AZ700" s="315">
        <f t="shared" si="187"/>
        <v>0</v>
      </c>
      <c r="BA700" s="315">
        <f t="shared" si="187"/>
        <v>0</v>
      </c>
      <c r="BB700" s="315">
        <f t="shared" si="187"/>
        <v>0</v>
      </c>
      <c r="BC700" s="315">
        <f t="shared" si="186"/>
        <v>0</v>
      </c>
      <c r="BD700" s="315">
        <f t="shared" si="186"/>
        <v>0</v>
      </c>
      <c r="BE700" s="315">
        <f t="shared" si="186"/>
        <v>0</v>
      </c>
      <c r="BF700" s="315">
        <f t="shared" si="186"/>
        <v>0</v>
      </c>
      <c r="BG700" s="315">
        <f t="shared" si="186"/>
        <v>0</v>
      </c>
      <c r="BH700" s="315">
        <f t="shared" si="186"/>
        <v>0</v>
      </c>
      <c r="BI700" s="315">
        <f t="shared" si="186"/>
        <v>0</v>
      </c>
      <c r="BJ700" s="315">
        <f t="shared" si="186"/>
        <v>-90245</v>
      </c>
      <c r="BK700" s="315">
        <f t="shared" si="186"/>
        <v>0</v>
      </c>
      <c r="BL700" s="315">
        <f t="shared" si="186"/>
        <v>0</v>
      </c>
      <c r="BM700" s="315">
        <f t="shared" si="186"/>
        <v>0</v>
      </c>
      <c r="BN700" s="315">
        <f t="shared" si="186"/>
        <v>0</v>
      </c>
      <c r="BO700" s="315">
        <f t="shared" si="186"/>
        <v>0</v>
      </c>
      <c r="BP700" s="315">
        <f t="shared" si="186"/>
        <v>0</v>
      </c>
      <c r="BQ700" s="315">
        <f t="shared" si="186"/>
        <v>0</v>
      </c>
      <c r="BR700" s="315">
        <f t="shared" si="186"/>
        <v>0</v>
      </c>
      <c r="BS700" s="315">
        <f t="shared" si="188"/>
        <v>0</v>
      </c>
      <c r="BT700" s="315">
        <f t="shared" si="188"/>
        <v>0</v>
      </c>
      <c r="BU700" s="315">
        <f t="shared" si="188"/>
        <v>0</v>
      </c>
      <c r="BV700" s="315">
        <f t="shared" si="188"/>
        <v>0</v>
      </c>
      <c r="BW700" s="315">
        <f t="shared" si="188"/>
        <v>0</v>
      </c>
      <c r="BX700" s="315">
        <f t="shared" si="188"/>
        <v>0</v>
      </c>
      <c r="BZ700" s="315">
        <f t="shared" si="185"/>
        <v>0</v>
      </c>
      <c r="CA700" s="315">
        <f t="shared" si="185"/>
        <v>0</v>
      </c>
    </row>
    <row r="701" spans="7:79" hidden="1" x14ac:dyDescent="0.2">
      <c r="G701" s="315">
        <f t="shared" si="189"/>
        <v>0</v>
      </c>
      <c r="H701" s="315">
        <f t="shared" si="189"/>
        <v>0</v>
      </c>
      <c r="I701" s="315">
        <f t="shared" si="189"/>
        <v>0</v>
      </c>
      <c r="J701" s="315">
        <f t="shared" si="189"/>
        <v>0</v>
      </c>
      <c r="K701" s="315">
        <f t="shared" si="189"/>
        <v>0</v>
      </c>
      <c r="L701" s="315">
        <f t="shared" si="189"/>
        <v>0</v>
      </c>
      <c r="M701" s="315">
        <f t="shared" si="189"/>
        <v>0</v>
      </c>
      <c r="N701" s="315">
        <f t="shared" si="189"/>
        <v>0</v>
      </c>
      <c r="O701" s="315">
        <f t="shared" si="189"/>
        <v>0</v>
      </c>
      <c r="P701" s="315">
        <f t="shared" si="189"/>
        <v>0</v>
      </c>
      <c r="Q701" s="315">
        <f t="shared" si="189"/>
        <v>0</v>
      </c>
      <c r="R701" s="315">
        <f t="shared" si="189"/>
        <v>0</v>
      </c>
      <c r="S701" s="315">
        <f t="shared" si="189"/>
        <v>0</v>
      </c>
      <c r="T701" s="315">
        <f t="shared" si="189"/>
        <v>0</v>
      </c>
      <c r="U701" s="315">
        <f t="shared" si="189"/>
        <v>0</v>
      </c>
      <c r="V701" s="315">
        <f t="shared" si="189"/>
        <v>0</v>
      </c>
      <c r="W701" s="315">
        <f t="shared" si="184"/>
        <v>0</v>
      </c>
      <c r="X701" s="315">
        <f t="shared" si="184"/>
        <v>0</v>
      </c>
      <c r="Y701" s="315">
        <f t="shared" si="184"/>
        <v>0</v>
      </c>
      <c r="Z701" s="315">
        <f t="shared" si="184"/>
        <v>0</v>
      </c>
      <c r="AA701" s="315">
        <f t="shared" si="184"/>
        <v>0</v>
      </c>
      <c r="AB701" s="315">
        <f t="shared" si="184"/>
        <v>0</v>
      </c>
      <c r="AC701" s="315">
        <f t="shared" si="184"/>
        <v>0</v>
      </c>
      <c r="AD701" s="315">
        <f t="shared" si="184"/>
        <v>0</v>
      </c>
      <c r="AE701" s="315">
        <f t="shared" si="184"/>
        <v>0</v>
      </c>
      <c r="AF701" s="315">
        <f t="shared" si="184"/>
        <v>0</v>
      </c>
      <c r="AG701" s="315">
        <f t="shared" si="184"/>
        <v>0</v>
      </c>
      <c r="AH701" s="315">
        <f t="shared" si="184"/>
        <v>0</v>
      </c>
      <c r="AI701" s="315">
        <f t="shared" si="184"/>
        <v>0</v>
      </c>
      <c r="AJ701" s="315">
        <f t="shared" si="184"/>
        <v>0</v>
      </c>
      <c r="AK701" s="315">
        <f t="shared" si="184"/>
        <v>0</v>
      </c>
      <c r="AL701" s="315">
        <f t="shared" si="184"/>
        <v>0</v>
      </c>
      <c r="AM701" s="315">
        <f t="shared" si="187"/>
        <v>0</v>
      </c>
      <c r="AN701" s="315">
        <f t="shared" si="187"/>
        <v>0</v>
      </c>
      <c r="AO701" s="315">
        <f t="shared" si="187"/>
        <v>0</v>
      </c>
      <c r="AP701" s="315">
        <f t="shared" si="187"/>
        <v>0</v>
      </c>
      <c r="AQ701" s="315">
        <f t="shared" si="187"/>
        <v>0</v>
      </c>
      <c r="AR701" s="315">
        <f t="shared" si="187"/>
        <v>0</v>
      </c>
      <c r="AS701" s="315">
        <f t="shared" si="187"/>
        <v>0</v>
      </c>
      <c r="AT701" s="315">
        <f t="shared" si="187"/>
        <v>0</v>
      </c>
      <c r="AU701" s="315">
        <f t="shared" si="187"/>
        <v>0</v>
      </c>
      <c r="AV701" s="315">
        <f t="shared" si="187"/>
        <v>0</v>
      </c>
      <c r="AW701" s="315">
        <f t="shared" si="187"/>
        <v>0</v>
      </c>
      <c r="AX701" s="315">
        <f t="shared" si="187"/>
        <v>0</v>
      </c>
      <c r="AY701" s="315">
        <f t="shared" si="187"/>
        <v>0</v>
      </c>
      <c r="AZ701" s="315">
        <f t="shared" si="187"/>
        <v>0</v>
      </c>
      <c r="BA701" s="315">
        <f t="shared" si="187"/>
        <v>0</v>
      </c>
      <c r="BB701" s="315">
        <f t="shared" si="187"/>
        <v>0</v>
      </c>
      <c r="BC701" s="315">
        <f t="shared" si="186"/>
        <v>0</v>
      </c>
      <c r="BD701" s="315">
        <f t="shared" si="186"/>
        <v>0</v>
      </c>
      <c r="BE701" s="315">
        <f t="shared" si="186"/>
        <v>0</v>
      </c>
      <c r="BF701" s="315">
        <f t="shared" si="186"/>
        <v>0</v>
      </c>
      <c r="BG701" s="315">
        <f t="shared" si="186"/>
        <v>0</v>
      </c>
      <c r="BH701" s="315">
        <f t="shared" si="186"/>
        <v>0</v>
      </c>
      <c r="BI701" s="315">
        <f t="shared" si="186"/>
        <v>0</v>
      </c>
      <c r="BJ701" s="315">
        <f t="shared" si="186"/>
        <v>0</v>
      </c>
      <c r="BK701" s="315">
        <f t="shared" si="186"/>
        <v>0</v>
      </c>
      <c r="BL701" s="315">
        <f t="shared" si="186"/>
        <v>0</v>
      </c>
      <c r="BM701" s="315">
        <f t="shared" si="186"/>
        <v>0</v>
      </c>
      <c r="BN701" s="315">
        <f t="shared" si="186"/>
        <v>0</v>
      </c>
      <c r="BO701" s="315">
        <f t="shared" si="186"/>
        <v>0</v>
      </c>
      <c r="BP701" s="315">
        <f t="shared" si="186"/>
        <v>0</v>
      </c>
      <c r="BQ701" s="315">
        <f t="shared" si="186"/>
        <v>0</v>
      </c>
      <c r="BR701" s="315">
        <f t="shared" si="186"/>
        <v>0</v>
      </c>
      <c r="BS701" s="315">
        <f t="shared" si="188"/>
        <v>0</v>
      </c>
      <c r="BT701" s="315">
        <f t="shared" si="188"/>
        <v>0</v>
      </c>
      <c r="BU701" s="315">
        <f t="shared" si="188"/>
        <v>0</v>
      </c>
      <c r="BV701" s="315">
        <f t="shared" si="188"/>
        <v>0</v>
      </c>
      <c r="BW701" s="315">
        <f t="shared" si="188"/>
        <v>0</v>
      </c>
      <c r="BX701" s="315">
        <f t="shared" si="188"/>
        <v>0</v>
      </c>
      <c r="BZ701" s="315">
        <f t="shared" si="185"/>
        <v>0</v>
      </c>
      <c r="CA701" s="315">
        <f t="shared" si="185"/>
        <v>0</v>
      </c>
    </row>
    <row r="702" spans="7:79" hidden="1" x14ac:dyDescent="0.2">
      <c r="G702" s="315">
        <f t="shared" si="189"/>
        <v>0</v>
      </c>
      <c r="H702" s="315">
        <f t="shared" si="189"/>
        <v>0</v>
      </c>
      <c r="I702" s="315">
        <f t="shared" si="189"/>
        <v>0</v>
      </c>
      <c r="J702" s="315">
        <f t="shared" si="189"/>
        <v>0</v>
      </c>
      <c r="K702" s="315">
        <f t="shared" si="189"/>
        <v>0</v>
      </c>
      <c r="L702" s="315">
        <f t="shared" si="189"/>
        <v>0</v>
      </c>
      <c r="M702" s="315">
        <f t="shared" si="189"/>
        <v>0</v>
      </c>
      <c r="N702" s="315">
        <f t="shared" si="189"/>
        <v>0</v>
      </c>
      <c r="O702" s="315">
        <f t="shared" si="189"/>
        <v>0</v>
      </c>
      <c r="P702" s="315">
        <f t="shared" si="189"/>
        <v>0</v>
      </c>
      <c r="Q702" s="315">
        <f t="shared" si="189"/>
        <v>0</v>
      </c>
      <c r="R702" s="315">
        <f t="shared" si="189"/>
        <v>0</v>
      </c>
      <c r="S702" s="315">
        <f t="shared" si="189"/>
        <v>0</v>
      </c>
      <c r="T702" s="315">
        <f t="shared" si="189"/>
        <v>0</v>
      </c>
      <c r="U702" s="315">
        <f t="shared" si="189"/>
        <v>0</v>
      </c>
      <c r="V702" s="315">
        <f t="shared" si="189"/>
        <v>0</v>
      </c>
      <c r="W702" s="315">
        <f t="shared" si="184"/>
        <v>0</v>
      </c>
      <c r="X702" s="315">
        <f t="shared" si="184"/>
        <v>0</v>
      </c>
      <c r="Y702" s="315">
        <f t="shared" si="184"/>
        <v>0</v>
      </c>
      <c r="Z702" s="315">
        <f t="shared" si="184"/>
        <v>0</v>
      </c>
      <c r="AA702" s="315">
        <f t="shared" si="184"/>
        <v>0</v>
      </c>
      <c r="AB702" s="315">
        <f t="shared" si="184"/>
        <v>0</v>
      </c>
      <c r="AC702" s="315">
        <f t="shared" si="184"/>
        <v>0</v>
      </c>
      <c r="AD702" s="315">
        <f t="shared" si="184"/>
        <v>0</v>
      </c>
      <c r="AE702" s="315">
        <f t="shared" si="184"/>
        <v>0</v>
      </c>
      <c r="AF702" s="315">
        <f t="shared" si="184"/>
        <v>0</v>
      </c>
      <c r="AG702" s="315">
        <f t="shared" si="184"/>
        <v>0</v>
      </c>
      <c r="AH702" s="315">
        <f t="shared" si="184"/>
        <v>0</v>
      </c>
      <c r="AI702" s="315">
        <f t="shared" si="184"/>
        <v>0</v>
      </c>
      <c r="AJ702" s="315">
        <f t="shared" si="184"/>
        <v>0</v>
      </c>
      <c r="AK702" s="315">
        <f t="shared" si="184"/>
        <v>0</v>
      </c>
      <c r="AL702" s="315">
        <f t="shared" si="184"/>
        <v>0</v>
      </c>
      <c r="AM702" s="315">
        <f t="shared" si="187"/>
        <v>0</v>
      </c>
      <c r="AN702" s="315">
        <f t="shared" si="187"/>
        <v>0</v>
      </c>
      <c r="AO702" s="315">
        <f t="shared" si="187"/>
        <v>0</v>
      </c>
      <c r="AP702" s="315">
        <f t="shared" si="187"/>
        <v>0</v>
      </c>
      <c r="AQ702" s="315">
        <f t="shared" si="187"/>
        <v>0</v>
      </c>
      <c r="AR702" s="315">
        <f t="shared" si="187"/>
        <v>0</v>
      </c>
      <c r="AS702" s="315">
        <f t="shared" si="187"/>
        <v>0</v>
      </c>
      <c r="AT702" s="315">
        <f t="shared" si="187"/>
        <v>0</v>
      </c>
      <c r="AU702" s="315">
        <f t="shared" si="187"/>
        <v>0</v>
      </c>
      <c r="AV702" s="315">
        <f t="shared" si="187"/>
        <v>0</v>
      </c>
      <c r="AW702" s="315">
        <f t="shared" si="187"/>
        <v>0</v>
      </c>
      <c r="AX702" s="315">
        <f t="shared" si="187"/>
        <v>0</v>
      </c>
      <c r="AY702" s="315">
        <f t="shared" si="187"/>
        <v>0</v>
      </c>
      <c r="AZ702" s="315">
        <f t="shared" si="187"/>
        <v>0</v>
      </c>
      <c r="BA702" s="315">
        <f t="shared" si="187"/>
        <v>0</v>
      </c>
      <c r="BB702" s="315">
        <f t="shared" si="187"/>
        <v>0</v>
      </c>
      <c r="BC702" s="315">
        <f t="shared" si="186"/>
        <v>0</v>
      </c>
      <c r="BD702" s="315">
        <f t="shared" si="186"/>
        <v>0</v>
      </c>
      <c r="BE702" s="315">
        <f t="shared" si="186"/>
        <v>0</v>
      </c>
      <c r="BF702" s="315">
        <f t="shared" si="186"/>
        <v>0</v>
      </c>
      <c r="BG702" s="315">
        <f t="shared" si="186"/>
        <v>0</v>
      </c>
      <c r="BH702" s="315">
        <f t="shared" si="186"/>
        <v>0</v>
      </c>
      <c r="BI702" s="315">
        <f t="shared" si="186"/>
        <v>0</v>
      </c>
      <c r="BJ702" s="315">
        <f t="shared" si="186"/>
        <v>0</v>
      </c>
      <c r="BK702" s="315">
        <f t="shared" si="186"/>
        <v>0</v>
      </c>
      <c r="BL702" s="315">
        <f t="shared" si="186"/>
        <v>0</v>
      </c>
      <c r="BM702" s="315">
        <f t="shared" si="186"/>
        <v>0</v>
      </c>
      <c r="BN702" s="315">
        <f t="shared" si="186"/>
        <v>0</v>
      </c>
      <c r="BO702" s="315">
        <f t="shared" si="186"/>
        <v>0</v>
      </c>
      <c r="BP702" s="315">
        <f t="shared" si="186"/>
        <v>0</v>
      </c>
      <c r="BQ702" s="315">
        <f t="shared" si="186"/>
        <v>0</v>
      </c>
      <c r="BR702" s="315">
        <f t="shared" si="186"/>
        <v>0</v>
      </c>
      <c r="BS702" s="315">
        <f t="shared" si="188"/>
        <v>0</v>
      </c>
      <c r="BT702" s="315">
        <f t="shared" si="188"/>
        <v>0</v>
      </c>
      <c r="BU702" s="315">
        <f t="shared" si="188"/>
        <v>0</v>
      </c>
      <c r="BV702" s="315">
        <f t="shared" si="188"/>
        <v>0</v>
      </c>
      <c r="BW702" s="315">
        <f t="shared" si="188"/>
        <v>0</v>
      </c>
      <c r="BX702" s="315">
        <f t="shared" si="188"/>
        <v>0</v>
      </c>
      <c r="BZ702" s="315">
        <f t="shared" si="185"/>
        <v>0</v>
      </c>
      <c r="CA702" s="315">
        <f t="shared" si="185"/>
        <v>0</v>
      </c>
    </row>
    <row r="703" spans="7:79" hidden="1" x14ac:dyDescent="0.2">
      <c r="G703" s="315">
        <f t="shared" si="189"/>
        <v>0</v>
      </c>
      <c r="H703" s="315">
        <f t="shared" si="189"/>
        <v>0</v>
      </c>
      <c r="I703" s="315">
        <f t="shared" si="189"/>
        <v>0</v>
      </c>
      <c r="J703" s="315">
        <f t="shared" si="189"/>
        <v>0</v>
      </c>
      <c r="K703" s="315">
        <f t="shared" si="189"/>
        <v>0</v>
      </c>
      <c r="L703" s="315">
        <f t="shared" si="189"/>
        <v>0</v>
      </c>
      <c r="M703" s="315">
        <f t="shared" si="189"/>
        <v>0</v>
      </c>
      <c r="N703" s="315">
        <f t="shared" si="189"/>
        <v>0</v>
      </c>
      <c r="O703" s="315">
        <f t="shared" si="189"/>
        <v>0</v>
      </c>
      <c r="P703" s="315">
        <f t="shared" si="189"/>
        <v>0</v>
      </c>
      <c r="Q703" s="315">
        <f t="shared" si="189"/>
        <v>0</v>
      </c>
      <c r="R703" s="315">
        <f t="shared" si="189"/>
        <v>0</v>
      </c>
      <c r="S703" s="315">
        <f t="shared" si="189"/>
        <v>0</v>
      </c>
      <c r="T703" s="315">
        <f t="shared" si="189"/>
        <v>0</v>
      </c>
      <c r="U703" s="315">
        <f t="shared" si="189"/>
        <v>0</v>
      </c>
      <c r="V703" s="315">
        <f t="shared" si="189"/>
        <v>0</v>
      </c>
      <c r="W703" s="315">
        <f t="shared" si="184"/>
        <v>0</v>
      </c>
      <c r="X703" s="315">
        <f t="shared" si="184"/>
        <v>0</v>
      </c>
      <c r="Y703" s="315">
        <f t="shared" si="184"/>
        <v>0</v>
      </c>
      <c r="Z703" s="315">
        <f t="shared" si="184"/>
        <v>0</v>
      </c>
      <c r="AA703" s="315">
        <f t="shared" si="184"/>
        <v>0</v>
      </c>
      <c r="AB703" s="315">
        <f t="shared" si="184"/>
        <v>0</v>
      </c>
      <c r="AC703" s="315">
        <f t="shared" si="184"/>
        <v>0</v>
      </c>
      <c r="AD703" s="315">
        <f t="shared" si="184"/>
        <v>0</v>
      </c>
      <c r="AE703" s="315">
        <f t="shared" si="184"/>
        <v>0</v>
      </c>
      <c r="AF703" s="315">
        <f t="shared" si="184"/>
        <v>0</v>
      </c>
      <c r="AG703" s="315">
        <f t="shared" si="184"/>
        <v>0</v>
      </c>
      <c r="AH703" s="315">
        <f t="shared" si="184"/>
        <v>0</v>
      </c>
      <c r="AI703" s="315">
        <f t="shared" si="184"/>
        <v>0</v>
      </c>
      <c r="AJ703" s="315">
        <f t="shared" si="184"/>
        <v>0</v>
      </c>
      <c r="AK703" s="315">
        <f t="shared" si="184"/>
        <v>0</v>
      </c>
      <c r="AL703" s="315">
        <f t="shared" si="184"/>
        <v>0</v>
      </c>
      <c r="AM703" s="315">
        <f t="shared" si="187"/>
        <v>0</v>
      </c>
      <c r="AN703" s="315">
        <f t="shared" si="187"/>
        <v>0</v>
      </c>
      <c r="AO703" s="315">
        <f t="shared" si="187"/>
        <v>0</v>
      </c>
      <c r="AP703" s="315">
        <f t="shared" si="187"/>
        <v>0</v>
      </c>
      <c r="AQ703" s="315">
        <f t="shared" si="187"/>
        <v>0</v>
      </c>
      <c r="AR703" s="315">
        <f t="shared" si="187"/>
        <v>0</v>
      </c>
      <c r="AS703" s="315">
        <f t="shared" si="187"/>
        <v>0</v>
      </c>
      <c r="AT703" s="315">
        <f t="shared" si="187"/>
        <v>0</v>
      </c>
      <c r="AU703" s="315">
        <f t="shared" si="187"/>
        <v>0</v>
      </c>
      <c r="AV703" s="315">
        <f t="shared" si="187"/>
        <v>0</v>
      </c>
      <c r="AW703" s="315">
        <f t="shared" si="187"/>
        <v>0</v>
      </c>
      <c r="AX703" s="315">
        <f t="shared" si="187"/>
        <v>0</v>
      </c>
      <c r="AY703" s="315">
        <f t="shared" si="187"/>
        <v>0</v>
      </c>
      <c r="AZ703" s="315">
        <f t="shared" si="187"/>
        <v>0</v>
      </c>
      <c r="BA703" s="315">
        <f t="shared" si="187"/>
        <v>0</v>
      </c>
      <c r="BB703" s="315">
        <f t="shared" si="187"/>
        <v>0</v>
      </c>
      <c r="BC703" s="315">
        <f t="shared" si="186"/>
        <v>0</v>
      </c>
      <c r="BD703" s="315">
        <f t="shared" si="186"/>
        <v>0</v>
      </c>
      <c r="BE703" s="315">
        <f t="shared" si="186"/>
        <v>0</v>
      </c>
      <c r="BF703" s="315">
        <f t="shared" si="186"/>
        <v>0</v>
      </c>
      <c r="BG703" s="315">
        <f t="shared" si="186"/>
        <v>0</v>
      </c>
      <c r="BH703" s="315">
        <f t="shared" si="186"/>
        <v>0</v>
      </c>
      <c r="BI703" s="315">
        <f t="shared" si="186"/>
        <v>0</v>
      </c>
      <c r="BJ703" s="315">
        <f t="shared" si="186"/>
        <v>0</v>
      </c>
      <c r="BK703" s="315">
        <f t="shared" si="186"/>
        <v>0</v>
      </c>
      <c r="BL703" s="315">
        <f t="shared" si="186"/>
        <v>0</v>
      </c>
      <c r="BM703" s="315">
        <f t="shared" si="186"/>
        <v>0</v>
      </c>
      <c r="BN703" s="315">
        <f t="shared" si="186"/>
        <v>0</v>
      </c>
      <c r="BO703" s="315">
        <f t="shared" si="186"/>
        <v>0</v>
      </c>
      <c r="BP703" s="315">
        <f t="shared" si="186"/>
        <v>0</v>
      </c>
      <c r="BQ703" s="315">
        <f t="shared" si="186"/>
        <v>0</v>
      </c>
      <c r="BR703" s="315">
        <f t="shared" si="186"/>
        <v>0</v>
      </c>
      <c r="BS703" s="315">
        <f t="shared" si="188"/>
        <v>0</v>
      </c>
      <c r="BT703" s="315">
        <f t="shared" si="188"/>
        <v>0</v>
      </c>
      <c r="BU703" s="315">
        <f t="shared" si="188"/>
        <v>0</v>
      </c>
      <c r="BV703" s="315">
        <f t="shared" si="188"/>
        <v>0</v>
      </c>
      <c r="BW703" s="315">
        <f t="shared" si="188"/>
        <v>0</v>
      </c>
      <c r="BX703" s="315">
        <f t="shared" si="188"/>
        <v>0</v>
      </c>
      <c r="BZ703" s="315">
        <f t="shared" si="185"/>
        <v>0</v>
      </c>
      <c r="CA703" s="315">
        <f t="shared" si="185"/>
        <v>0</v>
      </c>
    </row>
    <row r="704" spans="7:79" hidden="1" x14ac:dyDescent="0.2">
      <c r="G704" s="315">
        <f t="shared" si="189"/>
        <v>0</v>
      </c>
      <c r="H704" s="315">
        <f t="shared" si="189"/>
        <v>0</v>
      </c>
      <c r="I704" s="315">
        <f t="shared" si="189"/>
        <v>0</v>
      </c>
      <c r="J704" s="315">
        <f t="shared" si="189"/>
        <v>0</v>
      </c>
      <c r="K704" s="315">
        <f t="shared" si="189"/>
        <v>0</v>
      </c>
      <c r="L704" s="315">
        <f t="shared" si="189"/>
        <v>0</v>
      </c>
      <c r="M704" s="315">
        <f t="shared" si="189"/>
        <v>0</v>
      </c>
      <c r="N704" s="315">
        <f t="shared" si="189"/>
        <v>0</v>
      </c>
      <c r="O704" s="315">
        <f t="shared" si="189"/>
        <v>0</v>
      </c>
      <c r="P704" s="315">
        <f t="shared" si="189"/>
        <v>0</v>
      </c>
      <c r="Q704" s="315">
        <f t="shared" si="189"/>
        <v>0</v>
      </c>
      <c r="R704" s="315">
        <f t="shared" si="189"/>
        <v>0</v>
      </c>
      <c r="S704" s="315">
        <f t="shared" si="189"/>
        <v>0</v>
      </c>
      <c r="T704" s="315">
        <f t="shared" si="189"/>
        <v>0</v>
      </c>
      <c r="U704" s="315">
        <f t="shared" si="189"/>
        <v>0</v>
      </c>
      <c r="V704" s="315">
        <f t="shared" si="189"/>
        <v>0</v>
      </c>
      <c r="W704" s="315">
        <f t="shared" ref="W704:AL707" si="190">W347-CO347</f>
        <v>0</v>
      </c>
      <c r="X704" s="315">
        <f t="shared" si="190"/>
        <v>0</v>
      </c>
      <c r="Y704" s="315">
        <f t="shared" si="190"/>
        <v>0</v>
      </c>
      <c r="Z704" s="315">
        <f t="shared" si="190"/>
        <v>0</v>
      </c>
      <c r="AA704" s="315">
        <f t="shared" si="190"/>
        <v>0</v>
      </c>
      <c r="AB704" s="315">
        <f t="shared" si="190"/>
        <v>0</v>
      </c>
      <c r="AC704" s="315">
        <f t="shared" si="190"/>
        <v>0</v>
      </c>
      <c r="AD704" s="315">
        <f t="shared" si="190"/>
        <v>0</v>
      </c>
      <c r="AE704" s="315">
        <f t="shared" si="190"/>
        <v>0</v>
      </c>
      <c r="AF704" s="315">
        <f t="shared" si="190"/>
        <v>0</v>
      </c>
      <c r="AG704" s="315">
        <f t="shared" si="190"/>
        <v>0</v>
      </c>
      <c r="AH704" s="315">
        <f t="shared" si="190"/>
        <v>0</v>
      </c>
      <c r="AI704" s="315">
        <f t="shared" si="190"/>
        <v>0</v>
      </c>
      <c r="AJ704" s="315">
        <f t="shared" si="190"/>
        <v>0</v>
      </c>
      <c r="AK704" s="315">
        <f t="shared" si="190"/>
        <v>0</v>
      </c>
      <c r="AL704" s="315">
        <f t="shared" si="190"/>
        <v>0</v>
      </c>
      <c r="AM704" s="315">
        <f t="shared" si="187"/>
        <v>0</v>
      </c>
      <c r="AN704" s="315">
        <f t="shared" si="187"/>
        <v>0</v>
      </c>
      <c r="AO704" s="315">
        <f t="shared" si="187"/>
        <v>0</v>
      </c>
      <c r="AP704" s="315">
        <f t="shared" si="187"/>
        <v>0</v>
      </c>
      <c r="AQ704" s="315">
        <f t="shared" si="187"/>
        <v>0</v>
      </c>
      <c r="AR704" s="315">
        <f t="shared" si="187"/>
        <v>0</v>
      </c>
      <c r="AS704" s="315">
        <f t="shared" si="187"/>
        <v>0</v>
      </c>
      <c r="AT704" s="315">
        <f t="shared" si="187"/>
        <v>0</v>
      </c>
      <c r="AU704" s="315">
        <f t="shared" si="187"/>
        <v>0</v>
      </c>
      <c r="AV704" s="315">
        <f t="shared" si="187"/>
        <v>0</v>
      </c>
      <c r="AW704" s="315">
        <f t="shared" si="187"/>
        <v>0</v>
      </c>
      <c r="AX704" s="315">
        <f t="shared" si="187"/>
        <v>0</v>
      </c>
      <c r="AY704" s="315">
        <f t="shared" si="187"/>
        <v>0</v>
      </c>
      <c r="AZ704" s="315">
        <f t="shared" si="187"/>
        <v>0</v>
      </c>
      <c r="BA704" s="315">
        <f t="shared" si="187"/>
        <v>0</v>
      </c>
      <c r="BB704" s="315">
        <f t="shared" si="187"/>
        <v>0</v>
      </c>
      <c r="BC704" s="315">
        <f t="shared" si="186"/>
        <v>0</v>
      </c>
      <c r="BD704" s="315">
        <f t="shared" si="186"/>
        <v>0</v>
      </c>
      <c r="BE704" s="315">
        <f t="shared" si="186"/>
        <v>0</v>
      </c>
      <c r="BF704" s="315">
        <f t="shared" si="186"/>
        <v>0</v>
      </c>
      <c r="BG704" s="315">
        <f t="shared" si="186"/>
        <v>0</v>
      </c>
      <c r="BH704" s="315">
        <f t="shared" si="186"/>
        <v>0</v>
      </c>
      <c r="BI704" s="315">
        <f t="shared" si="186"/>
        <v>0</v>
      </c>
      <c r="BJ704" s="315">
        <f t="shared" si="186"/>
        <v>0</v>
      </c>
      <c r="BK704" s="315">
        <f t="shared" si="186"/>
        <v>0</v>
      </c>
      <c r="BL704" s="315">
        <f t="shared" si="186"/>
        <v>0</v>
      </c>
      <c r="BM704" s="315">
        <f t="shared" si="186"/>
        <v>0</v>
      </c>
      <c r="BN704" s="315">
        <f t="shared" si="186"/>
        <v>0</v>
      </c>
      <c r="BO704" s="315">
        <f t="shared" si="186"/>
        <v>0</v>
      </c>
      <c r="BP704" s="315">
        <f t="shared" si="186"/>
        <v>0</v>
      </c>
      <c r="BQ704" s="315">
        <f t="shared" si="186"/>
        <v>0</v>
      </c>
      <c r="BR704" s="315">
        <f t="shared" si="186"/>
        <v>0</v>
      </c>
      <c r="BS704" s="315">
        <f t="shared" si="188"/>
        <v>0</v>
      </c>
      <c r="BT704" s="315">
        <f t="shared" si="188"/>
        <v>0</v>
      </c>
      <c r="BU704" s="315">
        <f t="shared" si="188"/>
        <v>0</v>
      </c>
      <c r="BV704" s="315">
        <f t="shared" si="188"/>
        <v>0</v>
      </c>
      <c r="BW704" s="315">
        <f t="shared" si="188"/>
        <v>0</v>
      </c>
      <c r="BX704" s="315">
        <f t="shared" si="188"/>
        <v>0</v>
      </c>
      <c r="BZ704" s="315">
        <f t="shared" si="185"/>
        <v>0</v>
      </c>
      <c r="CA704" s="315">
        <f t="shared" si="185"/>
        <v>0</v>
      </c>
    </row>
    <row r="705" spans="7:79" hidden="1" x14ac:dyDescent="0.2">
      <c r="G705" s="315">
        <f t="shared" si="189"/>
        <v>0</v>
      </c>
      <c r="H705" s="315">
        <f t="shared" si="189"/>
        <v>0</v>
      </c>
      <c r="I705" s="315">
        <f t="shared" si="189"/>
        <v>0</v>
      </c>
      <c r="J705" s="315">
        <f t="shared" si="189"/>
        <v>0</v>
      </c>
      <c r="K705" s="315">
        <f t="shared" si="189"/>
        <v>0</v>
      </c>
      <c r="L705" s="315">
        <f t="shared" si="189"/>
        <v>0</v>
      </c>
      <c r="M705" s="315">
        <f t="shared" si="189"/>
        <v>0</v>
      </c>
      <c r="N705" s="315">
        <f t="shared" si="189"/>
        <v>0</v>
      </c>
      <c r="O705" s="315">
        <f t="shared" si="189"/>
        <v>0</v>
      </c>
      <c r="P705" s="315">
        <f t="shared" si="189"/>
        <v>0</v>
      </c>
      <c r="Q705" s="315">
        <f t="shared" si="189"/>
        <v>0</v>
      </c>
      <c r="R705" s="315">
        <f t="shared" si="189"/>
        <v>0</v>
      </c>
      <c r="S705" s="315">
        <f t="shared" si="189"/>
        <v>0</v>
      </c>
      <c r="T705" s="315">
        <f t="shared" si="189"/>
        <v>0</v>
      </c>
      <c r="U705" s="315">
        <f t="shared" si="189"/>
        <v>0</v>
      </c>
      <c r="V705" s="315">
        <f t="shared" si="189"/>
        <v>0</v>
      </c>
      <c r="W705" s="315">
        <f t="shared" si="190"/>
        <v>0</v>
      </c>
      <c r="X705" s="315">
        <f t="shared" si="190"/>
        <v>0</v>
      </c>
      <c r="Y705" s="315">
        <f t="shared" si="190"/>
        <v>0</v>
      </c>
      <c r="Z705" s="315">
        <f t="shared" si="190"/>
        <v>0</v>
      </c>
      <c r="AA705" s="315">
        <f t="shared" si="190"/>
        <v>0</v>
      </c>
      <c r="AB705" s="315">
        <f t="shared" si="190"/>
        <v>0</v>
      </c>
      <c r="AC705" s="315">
        <f t="shared" si="190"/>
        <v>0</v>
      </c>
      <c r="AD705" s="315">
        <f t="shared" si="190"/>
        <v>0</v>
      </c>
      <c r="AE705" s="315">
        <f t="shared" si="190"/>
        <v>0</v>
      </c>
      <c r="AF705" s="315">
        <f t="shared" si="190"/>
        <v>0</v>
      </c>
      <c r="AG705" s="315">
        <f t="shared" si="190"/>
        <v>0</v>
      </c>
      <c r="AH705" s="315">
        <f t="shared" si="190"/>
        <v>0</v>
      </c>
      <c r="AI705" s="315">
        <f t="shared" si="190"/>
        <v>0</v>
      </c>
      <c r="AJ705" s="315">
        <f t="shared" si="190"/>
        <v>0</v>
      </c>
      <c r="AK705" s="315">
        <f t="shared" si="190"/>
        <v>0</v>
      </c>
      <c r="AL705" s="315">
        <f t="shared" si="190"/>
        <v>0</v>
      </c>
      <c r="AM705" s="315">
        <f t="shared" si="187"/>
        <v>0</v>
      </c>
      <c r="AN705" s="315">
        <f t="shared" si="187"/>
        <v>0</v>
      </c>
      <c r="AO705" s="315">
        <f t="shared" si="187"/>
        <v>0</v>
      </c>
      <c r="AP705" s="315">
        <f t="shared" si="187"/>
        <v>0</v>
      </c>
      <c r="AQ705" s="315">
        <f t="shared" si="187"/>
        <v>0</v>
      </c>
      <c r="AR705" s="315">
        <f t="shared" si="187"/>
        <v>0</v>
      </c>
      <c r="AS705" s="315">
        <f t="shared" si="187"/>
        <v>0</v>
      </c>
      <c r="AT705" s="315">
        <f t="shared" si="187"/>
        <v>0</v>
      </c>
      <c r="AU705" s="315">
        <f t="shared" si="187"/>
        <v>0</v>
      </c>
      <c r="AV705" s="315">
        <f t="shared" si="187"/>
        <v>0</v>
      </c>
      <c r="AW705" s="315">
        <f t="shared" si="187"/>
        <v>0</v>
      </c>
      <c r="AX705" s="315">
        <f t="shared" si="187"/>
        <v>0</v>
      </c>
      <c r="AY705" s="315">
        <f t="shared" si="187"/>
        <v>0</v>
      </c>
      <c r="AZ705" s="315">
        <f t="shared" si="187"/>
        <v>0</v>
      </c>
      <c r="BA705" s="315">
        <f t="shared" si="187"/>
        <v>0</v>
      </c>
      <c r="BB705" s="315">
        <f t="shared" si="187"/>
        <v>0</v>
      </c>
      <c r="BC705" s="315">
        <f t="shared" si="186"/>
        <v>0</v>
      </c>
      <c r="BD705" s="315">
        <f t="shared" si="186"/>
        <v>0</v>
      </c>
      <c r="BE705" s="315">
        <f t="shared" si="186"/>
        <v>0</v>
      </c>
      <c r="BF705" s="315">
        <f t="shared" si="186"/>
        <v>0</v>
      </c>
      <c r="BG705" s="315">
        <f t="shared" si="186"/>
        <v>0</v>
      </c>
      <c r="BH705" s="315">
        <f t="shared" si="186"/>
        <v>0</v>
      </c>
      <c r="BI705" s="315">
        <f t="shared" si="186"/>
        <v>0</v>
      </c>
      <c r="BJ705" s="315">
        <f t="shared" si="186"/>
        <v>0</v>
      </c>
      <c r="BK705" s="315">
        <f t="shared" si="186"/>
        <v>0</v>
      </c>
      <c r="BL705" s="315">
        <f t="shared" si="186"/>
        <v>0</v>
      </c>
      <c r="BM705" s="315">
        <f t="shared" si="186"/>
        <v>0</v>
      </c>
      <c r="BN705" s="315">
        <f t="shared" si="186"/>
        <v>0</v>
      </c>
      <c r="BO705" s="315">
        <f t="shared" si="186"/>
        <v>0</v>
      </c>
      <c r="BP705" s="315">
        <f t="shared" si="186"/>
        <v>0</v>
      </c>
      <c r="BQ705" s="315">
        <f t="shared" si="186"/>
        <v>0</v>
      </c>
      <c r="BR705" s="315">
        <f t="shared" si="186"/>
        <v>0</v>
      </c>
      <c r="BS705" s="315">
        <f t="shared" si="188"/>
        <v>0</v>
      </c>
      <c r="BT705" s="315">
        <f t="shared" si="188"/>
        <v>0</v>
      </c>
      <c r="BU705" s="315">
        <f t="shared" si="188"/>
        <v>0</v>
      </c>
      <c r="BV705" s="315">
        <f t="shared" si="188"/>
        <v>0</v>
      </c>
      <c r="BW705" s="315">
        <f t="shared" si="188"/>
        <v>0</v>
      </c>
      <c r="BX705" s="315">
        <f t="shared" si="188"/>
        <v>0</v>
      </c>
      <c r="BZ705" s="315">
        <f t="shared" si="185"/>
        <v>0</v>
      </c>
      <c r="CA705" s="315">
        <f t="shared" si="185"/>
        <v>0</v>
      </c>
    </row>
    <row r="706" spans="7:79" hidden="1" x14ac:dyDescent="0.2">
      <c r="G706" s="315">
        <f t="shared" si="189"/>
        <v>0</v>
      </c>
      <c r="H706" s="315">
        <f t="shared" si="189"/>
        <v>0</v>
      </c>
      <c r="I706" s="315">
        <f t="shared" si="189"/>
        <v>0</v>
      </c>
      <c r="J706" s="315">
        <f t="shared" si="189"/>
        <v>0</v>
      </c>
      <c r="K706" s="315">
        <f t="shared" si="189"/>
        <v>0</v>
      </c>
      <c r="L706" s="315">
        <f t="shared" si="189"/>
        <v>0</v>
      </c>
      <c r="M706" s="315">
        <f t="shared" si="189"/>
        <v>0</v>
      </c>
      <c r="N706" s="315">
        <f t="shared" si="189"/>
        <v>0</v>
      </c>
      <c r="O706" s="315">
        <f t="shared" si="189"/>
        <v>0</v>
      </c>
      <c r="P706" s="315">
        <f t="shared" si="189"/>
        <v>0</v>
      </c>
      <c r="Q706" s="315">
        <f t="shared" si="189"/>
        <v>0</v>
      </c>
      <c r="R706" s="315">
        <f t="shared" si="189"/>
        <v>0</v>
      </c>
      <c r="S706" s="315">
        <f t="shared" si="189"/>
        <v>0</v>
      </c>
      <c r="T706" s="315">
        <f t="shared" si="189"/>
        <v>0</v>
      </c>
      <c r="U706" s="315">
        <f t="shared" si="189"/>
        <v>0</v>
      </c>
      <c r="V706" s="315">
        <f t="shared" si="189"/>
        <v>0</v>
      </c>
      <c r="W706" s="315">
        <f t="shared" si="190"/>
        <v>0</v>
      </c>
      <c r="X706" s="315">
        <f t="shared" si="190"/>
        <v>0</v>
      </c>
      <c r="Y706" s="315">
        <f t="shared" si="190"/>
        <v>0</v>
      </c>
      <c r="Z706" s="315">
        <f t="shared" si="190"/>
        <v>0</v>
      </c>
      <c r="AA706" s="315">
        <f t="shared" si="190"/>
        <v>0</v>
      </c>
      <c r="AB706" s="315">
        <f t="shared" si="190"/>
        <v>0</v>
      </c>
      <c r="AC706" s="315">
        <f t="shared" si="190"/>
        <v>0</v>
      </c>
      <c r="AD706" s="315">
        <f t="shared" si="190"/>
        <v>0</v>
      </c>
      <c r="AE706" s="315">
        <f t="shared" si="190"/>
        <v>0</v>
      </c>
      <c r="AF706" s="315">
        <f t="shared" si="190"/>
        <v>0</v>
      </c>
      <c r="AG706" s="315">
        <f t="shared" si="190"/>
        <v>0</v>
      </c>
      <c r="AH706" s="315">
        <f t="shared" si="190"/>
        <v>0</v>
      </c>
      <c r="AI706" s="315">
        <f t="shared" si="190"/>
        <v>0</v>
      </c>
      <c r="AJ706" s="315">
        <f t="shared" si="190"/>
        <v>0</v>
      </c>
      <c r="AK706" s="315">
        <f t="shared" si="190"/>
        <v>0</v>
      </c>
      <c r="AL706" s="315">
        <f t="shared" si="190"/>
        <v>0</v>
      </c>
      <c r="AM706" s="315">
        <f t="shared" si="187"/>
        <v>0</v>
      </c>
      <c r="AN706" s="315">
        <f t="shared" si="187"/>
        <v>0</v>
      </c>
      <c r="AO706" s="315">
        <f t="shared" si="187"/>
        <v>0</v>
      </c>
      <c r="AP706" s="315">
        <f t="shared" si="187"/>
        <v>0</v>
      </c>
      <c r="AQ706" s="315">
        <f t="shared" si="187"/>
        <v>0</v>
      </c>
      <c r="AR706" s="315">
        <f t="shared" si="187"/>
        <v>0</v>
      </c>
      <c r="AS706" s="315">
        <f t="shared" si="187"/>
        <v>0</v>
      </c>
      <c r="AT706" s="315">
        <f t="shared" si="187"/>
        <v>0</v>
      </c>
      <c r="AU706" s="315">
        <f t="shared" si="187"/>
        <v>0</v>
      </c>
      <c r="AV706" s="315">
        <f t="shared" si="187"/>
        <v>0</v>
      </c>
      <c r="AW706" s="315">
        <f t="shared" si="187"/>
        <v>0</v>
      </c>
      <c r="AX706" s="315">
        <f t="shared" si="187"/>
        <v>0</v>
      </c>
      <c r="AY706" s="315">
        <f t="shared" si="187"/>
        <v>0</v>
      </c>
      <c r="AZ706" s="315">
        <f t="shared" si="187"/>
        <v>0</v>
      </c>
      <c r="BA706" s="315">
        <f t="shared" si="187"/>
        <v>0</v>
      </c>
      <c r="BB706" s="315">
        <f t="shared" si="187"/>
        <v>0</v>
      </c>
      <c r="BC706" s="315">
        <f t="shared" si="186"/>
        <v>0</v>
      </c>
      <c r="BD706" s="315">
        <f t="shared" si="186"/>
        <v>0</v>
      </c>
      <c r="BE706" s="315">
        <f t="shared" si="186"/>
        <v>0</v>
      </c>
      <c r="BF706" s="315">
        <f t="shared" si="186"/>
        <v>0</v>
      </c>
      <c r="BG706" s="315">
        <f t="shared" si="186"/>
        <v>0</v>
      </c>
      <c r="BH706" s="315">
        <f t="shared" si="186"/>
        <v>0</v>
      </c>
      <c r="BI706" s="315">
        <f t="shared" si="186"/>
        <v>0</v>
      </c>
      <c r="BJ706" s="315">
        <f t="shared" si="186"/>
        <v>0</v>
      </c>
      <c r="BK706" s="315">
        <f t="shared" si="186"/>
        <v>0</v>
      </c>
      <c r="BL706" s="315">
        <f t="shared" si="186"/>
        <v>0</v>
      </c>
      <c r="BM706" s="315">
        <f t="shared" si="186"/>
        <v>0</v>
      </c>
      <c r="BN706" s="315">
        <f t="shared" si="186"/>
        <v>0</v>
      </c>
      <c r="BO706" s="315">
        <f t="shared" si="186"/>
        <v>0</v>
      </c>
      <c r="BP706" s="315">
        <f t="shared" si="186"/>
        <v>0</v>
      </c>
      <c r="BQ706" s="315">
        <f t="shared" si="186"/>
        <v>0</v>
      </c>
      <c r="BR706" s="315">
        <f t="shared" si="186"/>
        <v>0</v>
      </c>
      <c r="BS706" s="315">
        <f t="shared" si="188"/>
        <v>0</v>
      </c>
      <c r="BT706" s="315">
        <f t="shared" si="188"/>
        <v>0</v>
      </c>
      <c r="BU706" s="315">
        <f t="shared" si="188"/>
        <v>0</v>
      </c>
      <c r="BV706" s="315">
        <f t="shared" si="188"/>
        <v>0</v>
      </c>
      <c r="BW706" s="315">
        <f t="shared" si="188"/>
        <v>0</v>
      </c>
      <c r="BX706" s="315">
        <f t="shared" si="188"/>
        <v>0</v>
      </c>
      <c r="BZ706" s="315">
        <f t="shared" si="185"/>
        <v>0</v>
      </c>
      <c r="CA706" s="315">
        <f t="shared" si="185"/>
        <v>0</v>
      </c>
    </row>
    <row r="707" spans="7:79" hidden="1" x14ac:dyDescent="0.2">
      <c r="G707" s="315">
        <f t="shared" si="189"/>
        <v>0</v>
      </c>
      <c r="H707" s="315">
        <f t="shared" si="189"/>
        <v>0</v>
      </c>
      <c r="I707" s="315">
        <f t="shared" si="189"/>
        <v>0</v>
      </c>
      <c r="J707" s="315">
        <f t="shared" si="189"/>
        <v>0</v>
      </c>
      <c r="K707" s="315">
        <f t="shared" si="189"/>
        <v>0</v>
      </c>
      <c r="L707" s="315">
        <f t="shared" si="189"/>
        <v>0</v>
      </c>
      <c r="M707" s="315">
        <f t="shared" si="189"/>
        <v>0</v>
      </c>
      <c r="N707" s="315">
        <f t="shared" si="189"/>
        <v>0</v>
      </c>
      <c r="O707" s="315">
        <f t="shared" si="189"/>
        <v>0</v>
      </c>
      <c r="P707" s="315">
        <f t="shared" si="189"/>
        <v>0</v>
      </c>
      <c r="Q707" s="315">
        <f t="shared" si="189"/>
        <v>0</v>
      </c>
      <c r="R707" s="315">
        <f t="shared" si="189"/>
        <v>0</v>
      </c>
      <c r="S707" s="315">
        <f t="shared" si="189"/>
        <v>0</v>
      </c>
      <c r="T707" s="315">
        <f t="shared" si="189"/>
        <v>0</v>
      </c>
      <c r="U707" s="315">
        <f t="shared" si="189"/>
        <v>0</v>
      </c>
      <c r="V707" s="315">
        <f t="shared" si="189"/>
        <v>0</v>
      </c>
      <c r="W707" s="315">
        <f t="shared" si="190"/>
        <v>0</v>
      </c>
      <c r="X707" s="315">
        <f t="shared" si="190"/>
        <v>0</v>
      </c>
      <c r="Y707" s="315">
        <f t="shared" si="190"/>
        <v>0</v>
      </c>
      <c r="Z707" s="315">
        <f t="shared" si="190"/>
        <v>0</v>
      </c>
      <c r="AA707" s="315">
        <f t="shared" si="190"/>
        <v>0</v>
      </c>
      <c r="AB707" s="315">
        <f t="shared" si="190"/>
        <v>0</v>
      </c>
      <c r="AC707" s="315">
        <f t="shared" si="190"/>
        <v>0</v>
      </c>
      <c r="AD707" s="315">
        <f t="shared" si="190"/>
        <v>0</v>
      </c>
      <c r="AE707" s="315">
        <f t="shared" si="190"/>
        <v>0</v>
      </c>
      <c r="AF707" s="315">
        <f t="shared" si="190"/>
        <v>0</v>
      </c>
      <c r="AG707" s="315">
        <f t="shared" si="190"/>
        <v>0</v>
      </c>
      <c r="AH707" s="315">
        <f t="shared" si="190"/>
        <v>0</v>
      </c>
      <c r="AI707" s="315">
        <f t="shared" si="190"/>
        <v>0</v>
      </c>
      <c r="AJ707" s="315">
        <f t="shared" si="190"/>
        <v>0</v>
      </c>
      <c r="AK707" s="315">
        <f t="shared" si="190"/>
        <v>0</v>
      </c>
      <c r="AL707" s="315">
        <f t="shared" si="190"/>
        <v>0</v>
      </c>
      <c r="AM707" s="315">
        <f t="shared" si="187"/>
        <v>0</v>
      </c>
      <c r="AN707" s="315">
        <f t="shared" si="187"/>
        <v>0</v>
      </c>
      <c r="AO707" s="315">
        <f t="shared" si="187"/>
        <v>0</v>
      </c>
      <c r="AP707" s="315">
        <f t="shared" si="187"/>
        <v>0</v>
      </c>
      <c r="AQ707" s="315">
        <f t="shared" si="187"/>
        <v>0</v>
      </c>
      <c r="AR707" s="315">
        <f t="shared" si="187"/>
        <v>0</v>
      </c>
      <c r="AS707" s="315">
        <f t="shared" si="187"/>
        <v>0</v>
      </c>
      <c r="AT707" s="315">
        <f t="shared" si="187"/>
        <v>0</v>
      </c>
      <c r="AU707" s="315">
        <f t="shared" si="187"/>
        <v>0</v>
      </c>
      <c r="AV707" s="315">
        <f t="shared" si="187"/>
        <v>0</v>
      </c>
      <c r="AW707" s="315">
        <f t="shared" si="187"/>
        <v>0</v>
      </c>
      <c r="AX707" s="315">
        <f t="shared" si="187"/>
        <v>0</v>
      </c>
      <c r="AY707" s="315">
        <f t="shared" si="187"/>
        <v>0</v>
      </c>
      <c r="AZ707" s="315">
        <f t="shared" si="187"/>
        <v>0</v>
      </c>
      <c r="BA707" s="315">
        <f t="shared" si="187"/>
        <v>0</v>
      </c>
      <c r="BB707" s="315">
        <f t="shared" si="187"/>
        <v>0</v>
      </c>
      <c r="BC707" s="315">
        <f t="shared" si="186"/>
        <v>0</v>
      </c>
      <c r="BD707" s="315">
        <f t="shared" si="186"/>
        <v>0</v>
      </c>
      <c r="BE707" s="315">
        <f t="shared" si="186"/>
        <v>0</v>
      </c>
      <c r="BF707" s="315">
        <f t="shared" si="186"/>
        <v>0</v>
      </c>
      <c r="BG707" s="315">
        <f t="shared" si="186"/>
        <v>0</v>
      </c>
      <c r="BH707" s="315">
        <f t="shared" si="186"/>
        <v>0</v>
      </c>
      <c r="BI707" s="315">
        <f t="shared" si="186"/>
        <v>0</v>
      </c>
      <c r="BJ707" s="315">
        <f t="shared" si="186"/>
        <v>0</v>
      </c>
      <c r="BK707" s="315">
        <f t="shared" si="186"/>
        <v>0</v>
      </c>
      <c r="BL707" s="315">
        <f t="shared" si="186"/>
        <v>0</v>
      </c>
      <c r="BM707" s="315">
        <f t="shared" si="186"/>
        <v>0</v>
      </c>
      <c r="BN707" s="315">
        <f t="shared" si="186"/>
        <v>0</v>
      </c>
      <c r="BO707" s="315">
        <f t="shared" si="186"/>
        <v>0</v>
      </c>
      <c r="BP707" s="315">
        <f t="shared" si="186"/>
        <v>0</v>
      </c>
      <c r="BQ707" s="315">
        <f t="shared" si="186"/>
        <v>0</v>
      </c>
      <c r="BR707" s="315">
        <f t="shared" si="186"/>
        <v>0</v>
      </c>
      <c r="BS707" s="315">
        <f t="shared" si="188"/>
        <v>0</v>
      </c>
      <c r="BT707" s="315">
        <f t="shared" si="188"/>
        <v>0</v>
      </c>
      <c r="BU707" s="315">
        <f t="shared" si="188"/>
        <v>0</v>
      </c>
      <c r="BV707" s="315">
        <f t="shared" si="188"/>
        <v>0</v>
      </c>
      <c r="BW707" s="315">
        <f t="shared" si="188"/>
        <v>0</v>
      </c>
      <c r="BX707" s="315">
        <f t="shared" si="188"/>
        <v>0</v>
      </c>
      <c r="BZ707" s="315">
        <f t="shared" ref="BZ707:CA707" si="191">BZ350-ER350</f>
        <v>0</v>
      </c>
      <c r="CA707" s="315">
        <f t="shared" si="191"/>
        <v>0</v>
      </c>
    </row>
    <row r="708" spans="7:79" hidden="1" x14ac:dyDescent="0.2">
      <c r="G708" s="315" t="e">
        <f>#REF!-#REF!</f>
        <v>#REF!</v>
      </c>
      <c r="H708" s="315" t="e">
        <f>#REF!-#REF!</f>
        <v>#REF!</v>
      </c>
      <c r="I708" s="315" t="e">
        <f>#REF!-#REF!</f>
        <v>#REF!</v>
      </c>
      <c r="J708" s="315" t="e">
        <f>#REF!-#REF!</f>
        <v>#REF!</v>
      </c>
      <c r="K708" s="315" t="e">
        <f>#REF!-#REF!</f>
        <v>#REF!</v>
      </c>
      <c r="L708" s="315" t="e">
        <f>#REF!-#REF!</f>
        <v>#REF!</v>
      </c>
      <c r="M708" s="315" t="e">
        <f>#REF!-#REF!</f>
        <v>#REF!</v>
      </c>
      <c r="N708" s="315" t="e">
        <f>#REF!-#REF!</f>
        <v>#REF!</v>
      </c>
      <c r="O708" s="315" t="e">
        <f>#REF!-#REF!</f>
        <v>#REF!</v>
      </c>
      <c r="P708" s="315" t="e">
        <f>#REF!-#REF!</f>
        <v>#REF!</v>
      </c>
      <c r="Q708" s="315" t="e">
        <f>#REF!-#REF!</f>
        <v>#REF!</v>
      </c>
      <c r="R708" s="315" t="e">
        <f>#REF!-#REF!</f>
        <v>#REF!</v>
      </c>
      <c r="S708" s="315" t="e">
        <f>#REF!-#REF!</f>
        <v>#REF!</v>
      </c>
      <c r="T708" s="315" t="e">
        <f>#REF!-#REF!</f>
        <v>#REF!</v>
      </c>
      <c r="U708" s="315" t="e">
        <f>#REF!-#REF!</f>
        <v>#REF!</v>
      </c>
      <c r="V708" s="315" t="e">
        <f>#REF!-#REF!</f>
        <v>#REF!</v>
      </c>
      <c r="W708" s="315" t="e">
        <f>#REF!-#REF!</f>
        <v>#REF!</v>
      </c>
      <c r="X708" s="315" t="e">
        <f>#REF!-#REF!</f>
        <v>#REF!</v>
      </c>
      <c r="Y708" s="315" t="e">
        <f>#REF!-#REF!</f>
        <v>#REF!</v>
      </c>
      <c r="Z708" s="315" t="e">
        <f>#REF!-#REF!</f>
        <v>#REF!</v>
      </c>
      <c r="AA708" s="315" t="e">
        <f>#REF!-#REF!</f>
        <v>#REF!</v>
      </c>
      <c r="AB708" s="315" t="e">
        <f>#REF!-#REF!</f>
        <v>#REF!</v>
      </c>
      <c r="AC708" s="315" t="e">
        <f>#REF!-#REF!</f>
        <v>#REF!</v>
      </c>
      <c r="AD708" s="315" t="e">
        <f>#REF!-#REF!</f>
        <v>#REF!</v>
      </c>
      <c r="AE708" s="315" t="e">
        <f>#REF!-#REF!</f>
        <v>#REF!</v>
      </c>
      <c r="AF708" s="315" t="e">
        <f>#REF!-#REF!</f>
        <v>#REF!</v>
      </c>
      <c r="AG708" s="315" t="e">
        <f>#REF!-#REF!</f>
        <v>#REF!</v>
      </c>
      <c r="AH708" s="315" t="e">
        <f>#REF!-#REF!</f>
        <v>#REF!</v>
      </c>
      <c r="AI708" s="315" t="e">
        <f>#REF!-#REF!</f>
        <v>#REF!</v>
      </c>
      <c r="AJ708" s="315" t="e">
        <f>#REF!-#REF!</f>
        <v>#REF!</v>
      </c>
      <c r="AK708" s="315" t="e">
        <f>#REF!-#REF!</f>
        <v>#REF!</v>
      </c>
      <c r="AL708" s="315" t="e">
        <f>#REF!-#REF!</f>
        <v>#REF!</v>
      </c>
      <c r="AM708" s="315" t="e">
        <f>#REF!-#REF!</f>
        <v>#REF!</v>
      </c>
      <c r="AN708" s="315" t="e">
        <f>#REF!-#REF!</f>
        <v>#REF!</v>
      </c>
      <c r="AO708" s="315" t="e">
        <f>#REF!-#REF!</f>
        <v>#REF!</v>
      </c>
      <c r="AP708" s="315" t="e">
        <f>#REF!-#REF!</f>
        <v>#REF!</v>
      </c>
      <c r="AQ708" s="315" t="e">
        <f>#REF!-#REF!</f>
        <v>#REF!</v>
      </c>
      <c r="AR708" s="315" t="e">
        <f>#REF!-#REF!</f>
        <v>#REF!</v>
      </c>
      <c r="AS708" s="315" t="e">
        <f>#REF!-#REF!</f>
        <v>#REF!</v>
      </c>
      <c r="AT708" s="315" t="e">
        <f>#REF!-#REF!</f>
        <v>#REF!</v>
      </c>
      <c r="AU708" s="315" t="e">
        <f>#REF!-#REF!</f>
        <v>#REF!</v>
      </c>
      <c r="AV708" s="315" t="e">
        <f>#REF!-#REF!</f>
        <v>#REF!</v>
      </c>
      <c r="AW708" s="315" t="e">
        <f>#REF!-#REF!</f>
        <v>#REF!</v>
      </c>
      <c r="AX708" s="315" t="e">
        <f>#REF!-#REF!</f>
        <v>#REF!</v>
      </c>
      <c r="AY708" s="315" t="e">
        <f>#REF!-#REF!</f>
        <v>#REF!</v>
      </c>
      <c r="AZ708" s="315" t="e">
        <f>#REF!-#REF!</f>
        <v>#REF!</v>
      </c>
      <c r="BA708" s="315" t="e">
        <f>#REF!-#REF!</f>
        <v>#REF!</v>
      </c>
      <c r="BB708" s="315" t="e">
        <f>#REF!-#REF!</f>
        <v>#REF!</v>
      </c>
      <c r="BC708" s="315" t="e">
        <f>#REF!-#REF!</f>
        <v>#REF!</v>
      </c>
      <c r="BD708" s="315" t="e">
        <f>#REF!-#REF!</f>
        <v>#REF!</v>
      </c>
      <c r="BE708" s="315" t="e">
        <f>#REF!-#REF!</f>
        <v>#REF!</v>
      </c>
      <c r="BF708" s="315" t="e">
        <f>#REF!-#REF!</f>
        <v>#REF!</v>
      </c>
      <c r="BG708" s="315" t="e">
        <f>#REF!-#REF!</f>
        <v>#REF!</v>
      </c>
      <c r="BH708" s="315" t="e">
        <f>#REF!-#REF!</f>
        <v>#REF!</v>
      </c>
      <c r="BI708" s="315" t="e">
        <f>#REF!-#REF!</f>
        <v>#REF!</v>
      </c>
      <c r="BJ708" s="315" t="e">
        <f>#REF!-#REF!</f>
        <v>#REF!</v>
      </c>
      <c r="BK708" s="315" t="e">
        <f>#REF!-#REF!</f>
        <v>#REF!</v>
      </c>
      <c r="BL708" s="315" t="e">
        <f>#REF!-#REF!</f>
        <v>#REF!</v>
      </c>
      <c r="BM708" s="315" t="e">
        <f>#REF!-#REF!</f>
        <v>#REF!</v>
      </c>
      <c r="BN708" s="315" t="e">
        <f>#REF!-#REF!</f>
        <v>#REF!</v>
      </c>
      <c r="BO708" s="315" t="e">
        <f>#REF!-#REF!</f>
        <v>#REF!</v>
      </c>
      <c r="BP708" s="315" t="e">
        <f>#REF!-#REF!</f>
        <v>#REF!</v>
      </c>
      <c r="BQ708" s="315" t="e">
        <f>#REF!-#REF!</f>
        <v>#REF!</v>
      </c>
      <c r="BR708" s="315" t="e">
        <f>#REF!-#REF!</f>
        <v>#REF!</v>
      </c>
      <c r="BS708" s="315" t="e">
        <f>#REF!-#REF!</f>
        <v>#REF!</v>
      </c>
      <c r="BT708" s="315" t="e">
        <f>#REF!-#REF!</f>
        <v>#REF!</v>
      </c>
      <c r="BU708" s="315" t="e">
        <f>#REF!-#REF!</f>
        <v>#REF!</v>
      </c>
      <c r="BV708" s="315" t="e">
        <f>#REF!-#REF!</f>
        <v>#REF!</v>
      </c>
      <c r="BW708" s="315" t="e">
        <f>#REF!-#REF!</f>
        <v>#REF!</v>
      </c>
      <c r="BX708" s="315" t="e">
        <f>#REF!-#REF!</f>
        <v>#REF!</v>
      </c>
      <c r="BZ708" s="315" t="e">
        <f>#REF!-#REF!</f>
        <v>#REF!</v>
      </c>
      <c r="CA708" s="315" t="e">
        <f>#REF!-#REF!</f>
        <v>#REF!</v>
      </c>
    </row>
    <row r="709" spans="7:79" hidden="1" x14ac:dyDescent="0.2">
      <c r="G709" s="315">
        <f t="shared" ref="G709:BR711" si="192">G351-BY351</f>
        <v>0</v>
      </c>
      <c r="H709" s="315">
        <f t="shared" si="192"/>
        <v>0</v>
      </c>
      <c r="I709" s="315">
        <f t="shared" si="192"/>
        <v>0</v>
      </c>
      <c r="J709" s="315">
        <f t="shared" si="192"/>
        <v>0</v>
      </c>
      <c r="K709" s="315">
        <f t="shared" si="192"/>
        <v>0</v>
      </c>
      <c r="L709" s="315">
        <f t="shared" si="192"/>
        <v>0</v>
      </c>
      <c r="M709" s="315">
        <f t="shared" si="192"/>
        <v>0</v>
      </c>
      <c r="N709" s="315">
        <f t="shared" si="192"/>
        <v>0</v>
      </c>
      <c r="O709" s="315">
        <f t="shared" si="192"/>
        <v>0</v>
      </c>
      <c r="P709" s="315">
        <f t="shared" si="192"/>
        <v>0</v>
      </c>
      <c r="Q709" s="315">
        <f t="shared" si="192"/>
        <v>0</v>
      </c>
      <c r="R709" s="315">
        <f t="shared" si="192"/>
        <v>0</v>
      </c>
      <c r="S709" s="315">
        <f t="shared" si="192"/>
        <v>0</v>
      </c>
      <c r="T709" s="315">
        <f t="shared" si="192"/>
        <v>0</v>
      </c>
      <c r="U709" s="315">
        <f t="shared" si="192"/>
        <v>0</v>
      </c>
      <c r="V709" s="315">
        <f t="shared" si="192"/>
        <v>0</v>
      </c>
      <c r="W709" s="315">
        <f t="shared" si="192"/>
        <v>0</v>
      </c>
      <c r="X709" s="315">
        <f t="shared" si="192"/>
        <v>0</v>
      </c>
      <c r="Y709" s="315">
        <f t="shared" si="192"/>
        <v>0</v>
      </c>
      <c r="Z709" s="315">
        <f t="shared" si="192"/>
        <v>0</v>
      </c>
      <c r="AA709" s="315">
        <f t="shared" si="192"/>
        <v>0</v>
      </c>
      <c r="AB709" s="315">
        <f t="shared" si="192"/>
        <v>0</v>
      </c>
      <c r="AC709" s="315">
        <f t="shared" si="192"/>
        <v>0</v>
      </c>
      <c r="AD709" s="315">
        <f t="shared" si="192"/>
        <v>0</v>
      </c>
      <c r="AE709" s="315">
        <f t="shared" si="192"/>
        <v>0</v>
      </c>
      <c r="AF709" s="315">
        <f t="shared" si="192"/>
        <v>0</v>
      </c>
      <c r="AG709" s="315">
        <f t="shared" si="192"/>
        <v>0</v>
      </c>
      <c r="AH709" s="315">
        <f t="shared" si="192"/>
        <v>0</v>
      </c>
      <c r="AI709" s="315">
        <f t="shared" si="192"/>
        <v>0</v>
      </c>
      <c r="AJ709" s="315">
        <f t="shared" si="192"/>
        <v>0</v>
      </c>
      <c r="AK709" s="315">
        <f t="shared" si="192"/>
        <v>0</v>
      </c>
      <c r="AL709" s="315">
        <f t="shared" si="192"/>
        <v>0</v>
      </c>
      <c r="AM709" s="315">
        <f t="shared" si="192"/>
        <v>0</v>
      </c>
      <c r="AN709" s="315">
        <f t="shared" si="192"/>
        <v>0</v>
      </c>
      <c r="AO709" s="315">
        <f t="shared" si="192"/>
        <v>0</v>
      </c>
      <c r="AP709" s="315">
        <f t="shared" si="192"/>
        <v>0</v>
      </c>
      <c r="AQ709" s="315">
        <f t="shared" si="192"/>
        <v>0</v>
      </c>
      <c r="AR709" s="315">
        <f t="shared" si="192"/>
        <v>0</v>
      </c>
      <c r="AS709" s="315">
        <f t="shared" si="192"/>
        <v>0</v>
      </c>
      <c r="AT709" s="315">
        <f t="shared" si="192"/>
        <v>0</v>
      </c>
      <c r="AU709" s="315">
        <f t="shared" si="192"/>
        <v>0</v>
      </c>
      <c r="AV709" s="315">
        <f t="shared" si="192"/>
        <v>0</v>
      </c>
      <c r="AW709" s="315">
        <f t="shared" si="192"/>
        <v>0</v>
      </c>
      <c r="AX709" s="315">
        <f t="shared" si="192"/>
        <v>0</v>
      </c>
      <c r="AY709" s="315">
        <f t="shared" si="192"/>
        <v>0</v>
      </c>
      <c r="AZ709" s="315">
        <f t="shared" si="192"/>
        <v>0</v>
      </c>
      <c r="BA709" s="315">
        <f t="shared" si="192"/>
        <v>0</v>
      </c>
      <c r="BB709" s="315">
        <f t="shared" si="192"/>
        <v>0</v>
      </c>
      <c r="BC709" s="315">
        <f t="shared" si="192"/>
        <v>0</v>
      </c>
      <c r="BD709" s="315">
        <f t="shared" si="192"/>
        <v>0</v>
      </c>
      <c r="BE709" s="315">
        <f t="shared" si="192"/>
        <v>0</v>
      </c>
      <c r="BF709" s="315">
        <f t="shared" si="192"/>
        <v>0</v>
      </c>
      <c r="BG709" s="315">
        <f t="shared" si="192"/>
        <v>0</v>
      </c>
      <c r="BH709" s="315">
        <f t="shared" si="192"/>
        <v>0</v>
      </c>
      <c r="BI709" s="315">
        <f t="shared" si="192"/>
        <v>0</v>
      </c>
      <c r="BJ709" s="315">
        <f t="shared" si="192"/>
        <v>0</v>
      </c>
      <c r="BK709" s="315">
        <f t="shared" si="192"/>
        <v>0</v>
      </c>
      <c r="BL709" s="315">
        <f t="shared" si="192"/>
        <v>0</v>
      </c>
      <c r="BM709" s="315">
        <f t="shared" si="192"/>
        <v>0</v>
      </c>
      <c r="BN709" s="315">
        <f t="shared" si="192"/>
        <v>0</v>
      </c>
      <c r="BO709" s="315">
        <f t="shared" si="192"/>
        <v>0</v>
      </c>
      <c r="BP709" s="315">
        <f t="shared" si="192"/>
        <v>0</v>
      </c>
      <c r="BQ709" s="315">
        <f t="shared" si="192"/>
        <v>0</v>
      </c>
      <c r="BR709" s="315">
        <f t="shared" si="192"/>
        <v>0</v>
      </c>
      <c r="BS709" s="315">
        <f t="shared" ref="BO709:BX711" si="193">BS351-EK351</f>
        <v>0</v>
      </c>
      <c r="BT709" s="315">
        <f t="shared" si="193"/>
        <v>0</v>
      </c>
      <c r="BU709" s="315">
        <f t="shared" si="193"/>
        <v>0</v>
      </c>
      <c r="BV709" s="315">
        <f t="shared" si="193"/>
        <v>0</v>
      </c>
      <c r="BW709" s="315">
        <f t="shared" si="193"/>
        <v>0</v>
      </c>
      <c r="BX709" s="315">
        <f t="shared" si="193"/>
        <v>0</v>
      </c>
      <c r="BZ709" s="315">
        <f t="shared" ref="BZ709:CA711" si="194">BZ351-ER351</f>
        <v>0</v>
      </c>
      <c r="CA709" s="315">
        <f t="shared" si="194"/>
        <v>0</v>
      </c>
    </row>
    <row r="710" spans="7:79" hidden="1" x14ac:dyDescent="0.2">
      <c r="G710" s="315">
        <f t="shared" si="192"/>
        <v>0</v>
      </c>
      <c r="H710" s="315">
        <f t="shared" si="192"/>
        <v>0</v>
      </c>
      <c r="I710" s="315">
        <f t="shared" si="192"/>
        <v>0</v>
      </c>
      <c r="J710" s="315">
        <f t="shared" si="192"/>
        <v>0</v>
      </c>
      <c r="K710" s="315">
        <f t="shared" si="192"/>
        <v>0</v>
      </c>
      <c r="L710" s="315">
        <f t="shared" si="192"/>
        <v>0</v>
      </c>
      <c r="M710" s="315">
        <f t="shared" si="192"/>
        <v>0</v>
      </c>
      <c r="N710" s="315">
        <f t="shared" si="192"/>
        <v>0</v>
      </c>
      <c r="O710" s="315">
        <f t="shared" si="192"/>
        <v>0</v>
      </c>
      <c r="P710" s="315">
        <f t="shared" si="192"/>
        <v>0</v>
      </c>
      <c r="Q710" s="315">
        <f t="shared" si="192"/>
        <v>0</v>
      </c>
      <c r="R710" s="315">
        <f t="shared" si="192"/>
        <v>0</v>
      </c>
      <c r="S710" s="315">
        <f t="shared" si="192"/>
        <v>0</v>
      </c>
      <c r="T710" s="315">
        <f t="shared" si="192"/>
        <v>0</v>
      </c>
      <c r="U710" s="315">
        <f t="shared" si="192"/>
        <v>0</v>
      </c>
      <c r="V710" s="315">
        <f t="shared" si="192"/>
        <v>0</v>
      </c>
      <c r="W710" s="315">
        <f t="shared" si="192"/>
        <v>0</v>
      </c>
      <c r="X710" s="315">
        <f t="shared" si="192"/>
        <v>0</v>
      </c>
      <c r="Y710" s="315">
        <f t="shared" si="192"/>
        <v>0</v>
      </c>
      <c r="Z710" s="315">
        <f t="shared" si="192"/>
        <v>0</v>
      </c>
      <c r="AA710" s="315">
        <f t="shared" si="192"/>
        <v>0</v>
      </c>
      <c r="AB710" s="315">
        <f t="shared" si="192"/>
        <v>0</v>
      </c>
      <c r="AC710" s="315">
        <f t="shared" si="192"/>
        <v>0</v>
      </c>
      <c r="AD710" s="315">
        <f t="shared" si="192"/>
        <v>0</v>
      </c>
      <c r="AE710" s="315">
        <f t="shared" si="192"/>
        <v>0</v>
      </c>
      <c r="AF710" s="315">
        <f t="shared" si="192"/>
        <v>0</v>
      </c>
      <c r="AG710" s="315">
        <f t="shared" si="192"/>
        <v>0</v>
      </c>
      <c r="AH710" s="315">
        <f t="shared" si="192"/>
        <v>0</v>
      </c>
      <c r="AI710" s="315">
        <f t="shared" si="192"/>
        <v>0</v>
      </c>
      <c r="AJ710" s="315">
        <f t="shared" si="192"/>
        <v>0</v>
      </c>
      <c r="AK710" s="315">
        <f t="shared" si="192"/>
        <v>0</v>
      </c>
      <c r="AL710" s="315">
        <f t="shared" si="192"/>
        <v>0</v>
      </c>
      <c r="AM710" s="315">
        <f t="shared" si="192"/>
        <v>0</v>
      </c>
      <c r="AN710" s="315">
        <f t="shared" si="192"/>
        <v>0</v>
      </c>
      <c r="AO710" s="315">
        <f t="shared" si="192"/>
        <v>0</v>
      </c>
      <c r="AP710" s="315">
        <f t="shared" si="192"/>
        <v>0</v>
      </c>
      <c r="AQ710" s="315">
        <f t="shared" si="192"/>
        <v>0</v>
      </c>
      <c r="AR710" s="315">
        <f t="shared" si="192"/>
        <v>0</v>
      </c>
      <c r="AS710" s="315">
        <f t="shared" si="192"/>
        <v>0</v>
      </c>
      <c r="AT710" s="315">
        <f t="shared" si="192"/>
        <v>0</v>
      </c>
      <c r="AU710" s="315">
        <f t="shared" si="192"/>
        <v>0</v>
      </c>
      <c r="AV710" s="315">
        <f t="shared" si="192"/>
        <v>0</v>
      </c>
      <c r="AW710" s="315">
        <f t="shared" si="192"/>
        <v>0</v>
      </c>
      <c r="AX710" s="315">
        <f t="shared" si="192"/>
        <v>0</v>
      </c>
      <c r="AY710" s="315">
        <f t="shared" si="192"/>
        <v>0</v>
      </c>
      <c r="AZ710" s="315">
        <f t="shared" si="192"/>
        <v>0</v>
      </c>
      <c r="BA710" s="315">
        <f t="shared" si="192"/>
        <v>0</v>
      </c>
      <c r="BB710" s="315">
        <f t="shared" si="192"/>
        <v>0</v>
      </c>
      <c r="BC710" s="315">
        <f t="shared" si="192"/>
        <v>0</v>
      </c>
      <c r="BD710" s="315">
        <f t="shared" si="192"/>
        <v>0</v>
      </c>
      <c r="BE710" s="315">
        <f t="shared" si="192"/>
        <v>0</v>
      </c>
      <c r="BF710" s="315">
        <f t="shared" si="192"/>
        <v>0</v>
      </c>
      <c r="BG710" s="315">
        <f t="shared" si="192"/>
        <v>0</v>
      </c>
      <c r="BH710" s="315">
        <f t="shared" si="192"/>
        <v>0</v>
      </c>
      <c r="BI710" s="315">
        <f t="shared" si="192"/>
        <v>0</v>
      </c>
      <c r="BJ710" s="315">
        <f t="shared" si="192"/>
        <v>0</v>
      </c>
      <c r="BK710" s="315">
        <f t="shared" si="192"/>
        <v>0</v>
      </c>
      <c r="BL710" s="315">
        <f t="shared" si="192"/>
        <v>0</v>
      </c>
      <c r="BM710" s="315">
        <f t="shared" si="192"/>
        <v>0</v>
      </c>
      <c r="BN710" s="315">
        <f t="shared" si="192"/>
        <v>0</v>
      </c>
      <c r="BO710" s="315">
        <f t="shared" si="193"/>
        <v>0</v>
      </c>
      <c r="BP710" s="315">
        <f t="shared" si="193"/>
        <v>0</v>
      </c>
      <c r="BQ710" s="315">
        <f t="shared" si="193"/>
        <v>0</v>
      </c>
      <c r="BR710" s="315">
        <f t="shared" si="193"/>
        <v>0</v>
      </c>
      <c r="BS710" s="315">
        <f t="shared" si="193"/>
        <v>0</v>
      </c>
      <c r="BT710" s="315">
        <f t="shared" si="193"/>
        <v>0</v>
      </c>
      <c r="BU710" s="315">
        <f t="shared" si="193"/>
        <v>0</v>
      </c>
      <c r="BV710" s="315">
        <f t="shared" si="193"/>
        <v>0</v>
      </c>
      <c r="BW710" s="315">
        <f t="shared" si="193"/>
        <v>0</v>
      </c>
      <c r="BX710" s="315">
        <f t="shared" si="193"/>
        <v>0</v>
      </c>
      <c r="BZ710" s="315">
        <f t="shared" si="194"/>
        <v>0</v>
      </c>
      <c r="CA710" s="315">
        <f t="shared" si="194"/>
        <v>0</v>
      </c>
    </row>
    <row r="711" spans="7:79" hidden="1" x14ac:dyDescent="0.2">
      <c r="G711" s="315">
        <f t="shared" si="192"/>
        <v>0</v>
      </c>
      <c r="H711" s="315">
        <f t="shared" si="192"/>
        <v>0</v>
      </c>
      <c r="I711" s="315">
        <f t="shared" si="192"/>
        <v>0</v>
      </c>
      <c r="J711" s="315">
        <f t="shared" si="192"/>
        <v>0</v>
      </c>
      <c r="K711" s="315">
        <f t="shared" si="192"/>
        <v>0</v>
      </c>
      <c r="L711" s="315">
        <f t="shared" si="192"/>
        <v>0</v>
      </c>
      <c r="M711" s="315">
        <f t="shared" si="192"/>
        <v>0</v>
      </c>
      <c r="N711" s="315">
        <f t="shared" si="192"/>
        <v>0</v>
      </c>
      <c r="O711" s="315">
        <f t="shared" si="192"/>
        <v>0</v>
      </c>
      <c r="P711" s="315">
        <f t="shared" si="192"/>
        <v>0</v>
      </c>
      <c r="Q711" s="315">
        <f t="shared" si="192"/>
        <v>0</v>
      </c>
      <c r="R711" s="315">
        <f t="shared" si="192"/>
        <v>0</v>
      </c>
      <c r="S711" s="315">
        <f t="shared" si="192"/>
        <v>0</v>
      </c>
      <c r="T711" s="315">
        <f t="shared" si="192"/>
        <v>0</v>
      </c>
      <c r="U711" s="315">
        <f t="shared" si="192"/>
        <v>0</v>
      </c>
      <c r="V711" s="315">
        <f t="shared" si="192"/>
        <v>0</v>
      </c>
      <c r="W711" s="315">
        <f t="shared" si="192"/>
        <v>0</v>
      </c>
      <c r="X711" s="315">
        <f t="shared" si="192"/>
        <v>0</v>
      </c>
      <c r="Y711" s="315">
        <f t="shared" si="192"/>
        <v>0</v>
      </c>
      <c r="Z711" s="315">
        <f t="shared" si="192"/>
        <v>0</v>
      </c>
      <c r="AA711" s="315">
        <f t="shared" si="192"/>
        <v>0</v>
      </c>
      <c r="AB711" s="315">
        <f t="shared" si="192"/>
        <v>0</v>
      </c>
      <c r="AC711" s="315">
        <f t="shared" si="192"/>
        <v>0</v>
      </c>
      <c r="AD711" s="315">
        <f t="shared" si="192"/>
        <v>0</v>
      </c>
      <c r="AE711" s="315">
        <f t="shared" si="192"/>
        <v>0</v>
      </c>
      <c r="AF711" s="315">
        <f t="shared" si="192"/>
        <v>0</v>
      </c>
      <c r="AG711" s="315">
        <f t="shared" si="192"/>
        <v>0</v>
      </c>
      <c r="AH711" s="315">
        <f t="shared" si="192"/>
        <v>0</v>
      </c>
      <c r="AI711" s="315">
        <f t="shared" si="192"/>
        <v>0</v>
      </c>
      <c r="AJ711" s="315">
        <f t="shared" si="192"/>
        <v>0</v>
      </c>
      <c r="AK711" s="315">
        <f t="shared" si="192"/>
        <v>0</v>
      </c>
      <c r="AL711" s="315">
        <f t="shared" si="192"/>
        <v>0</v>
      </c>
      <c r="AM711" s="315">
        <f t="shared" si="192"/>
        <v>0</v>
      </c>
      <c r="AN711" s="315">
        <f t="shared" si="192"/>
        <v>0</v>
      </c>
      <c r="AO711" s="315">
        <f t="shared" si="192"/>
        <v>0</v>
      </c>
      <c r="AP711" s="315">
        <f t="shared" si="192"/>
        <v>0</v>
      </c>
      <c r="AQ711" s="315">
        <f t="shared" si="192"/>
        <v>0</v>
      </c>
      <c r="AR711" s="315">
        <f t="shared" si="192"/>
        <v>0</v>
      </c>
      <c r="AS711" s="315">
        <f t="shared" si="192"/>
        <v>0</v>
      </c>
      <c r="AT711" s="315">
        <f t="shared" si="192"/>
        <v>0</v>
      </c>
      <c r="AU711" s="315">
        <f t="shared" si="192"/>
        <v>0</v>
      </c>
      <c r="AV711" s="315">
        <f t="shared" si="192"/>
        <v>0</v>
      </c>
      <c r="AW711" s="315">
        <f t="shared" si="192"/>
        <v>0</v>
      </c>
      <c r="AX711" s="315">
        <f t="shared" si="192"/>
        <v>0</v>
      </c>
      <c r="AY711" s="315">
        <f t="shared" si="192"/>
        <v>0</v>
      </c>
      <c r="AZ711" s="315">
        <f t="shared" si="192"/>
        <v>0</v>
      </c>
      <c r="BA711" s="315">
        <f t="shared" si="192"/>
        <v>0</v>
      </c>
      <c r="BB711" s="315">
        <f t="shared" si="192"/>
        <v>0</v>
      </c>
      <c r="BC711" s="315">
        <f t="shared" si="192"/>
        <v>0</v>
      </c>
      <c r="BD711" s="315">
        <f t="shared" si="192"/>
        <v>0</v>
      </c>
      <c r="BE711" s="315">
        <f t="shared" si="192"/>
        <v>0</v>
      </c>
      <c r="BF711" s="315">
        <f t="shared" si="192"/>
        <v>0</v>
      </c>
      <c r="BG711" s="315">
        <f t="shared" si="192"/>
        <v>0</v>
      </c>
      <c r="BH711" s="315">
        <f t="shared" si="192"/>
        <v>0</v>
      </c>
      <c r="BI711" s="315">
        <f t="shared" si="192"/>
        <v>0</v>
      </c>
      <c r="BJ711" s="315">
        <f t="shared" si="192"/>
        <v>0</v>
      </c>
      <c r="BK711" s="315">
        <f t="shared" si="192"/>
        <v>0</v>
      </c>
      <c r="BL711" s="315">
        <f t="shared" si="192"/>
        <v>0</v>
      </c>
      <c r="BM711" s="315">
        <f t="shared" si="192"/>
        <v>0</v>
      </c>
      <c r="BN711" s="315">
        <f t="shared" si="192"/>
        <v>0</v>
      </c>
      <c r="BO711" s="315">
        <f t="shared" si="193"/>
        <v>0</v>
      </c>
      <c r="BP711" s="315">
        <f t="shared" si="193"/>
        <v>0</v>
      </c>
      <c r="BQ711" s="315">
        <f t="shared" si="193"/>
        <v>0</v>
      </c>
      <c r="BR711" s="315">
        <f t="shared" si="193"/>
        <v>0</v>
      </c>
      <c r="BS711" s="315">
        <f t="shared" si="193"/>
        <v>0</v>
      </c>
      <c r="BT711" s="315">
        <f t="shared" si="193"/>
        <v>0</v>
      </c>
      <c r="BU711" s="315">
        <f t="shared" si="193"/>
        <v>0</v>
      </c>
      <c r="BV711" s="315">
        <f t="shared" si="193"/>
        <v>0</v>
      </c>
      <c r="BW711" s="315">
        <f t="shared" si="193"/>
        <v>0</v>
      </c>
      <c r="BX711" s="315">
        <f t="shared" si="193"/>
        <v>0</v>
      </c>
      <c r="BZ711" s="315">
        <f t="shared" si="194"/>
        <v>0</v>
      </c>
      <c r="CA711" s="315">
        <f t="shared" si="194"/>
        <v>0</v>
      </c>
    </row>
    <row r="712" spans="7:79" hidden="1" x14ac:dyDescent="0.2">
      <c r="G712" s="315" t="e">
        <f>#REF!-#REF!</f>
        <v>#REF!</v>
      </c>
      <c r="H712" s="315" t="e">
        <f>#REF!-#REF!</f>
        <v>#REF!</v>
      </c>
      <c r="I712" s="315" t="e">
        <f>#REF!-#REF!</f>
        <v>#REF!</v>
      </c>
      <c r="J712" s="315" t="e">
        <f>#REF!-#REF!</f>
        <v>#REF!</v>
      </c>
      <c r="K712" s="315" t="e">
        <f>#REF!-#REF!</f>
        <v>#REF!</v>
      </c>
      <c r="L712" s="315" t="e">
        <f>#REF!-#REF!</f>
        <v>#REF!</v>
      </c>
      <c r="M712" s="315" t="e">
        <f>#REF!-#REF!</f>
        <v>#REF!</v>
      </c>
      <c r="N712" s="315" t="e">
        <f>#REF!-#REF!</f>
        <v>#REF!</v>
      </c>
      <c r="O712" s="315" t="e">
        <f>#REF!-#REF!</f>
        <v>#REF!</v>
      </c>
      <c r="P712" s="315" t="e">
        <f>#REF!-#REF!</f>
        <v>#REF!</v>
      </c>
      <c r="Q712" s="315" t="e">
        <f>#REF!-#REF!</f>
        <v>#REF!</v>
      </c>
      <c r="R712" s="315" t="e">
        <f>#REF!-#REF!</f>
        <v>#REF!</v>
      </c>
      <c r="S712" s="315" t="e">
        <f>#REF!-#REF!</f>
        <v>#REF!</v>
      </c>
      <c r="T712" s="315" t="e">
        <f>#REF!-#REF!</f>
        <v>#REF!</v>
      </c>
      <c r="U712" s="315" t="e">
        <f>#REF!-#REF!</f>
        <v>#REF!</v>
      </c>
      <c r="V712" s="315" t="e">
        <f>#REF!-#REF!</f>
        <v>#REF!</v>
      </c>
      <c r="W712" s="315" t="e">
        <f>#REF!-#REF!</f>
        <v>#REF!</v>
      </c>
      <c r="X712" s="315" t="e">
        <f>#REF!-#REF!</f>
        <v>#REF!</v>
      </c>
      <c r="Y712" s="315" t="e">
        <f>#REF!-#REF!</f>
        <v>#REF!</v>
      </c>
      <c r="Z712" s="315" t="e">
        <f>#REF!-#REF!</f>
        <v>#REF!</v>
      </c>
      <c r="AA712" s="315" t="e">
        <f>#REF!-#REF!</f>
        <v>#REF!</v>
      </c>
      <c r="AB712" s="315" t="e">
        <f>#REF!-#REF!</f>
        <v>#REF!</v>
      </c>
      <c r="AC712" s="315" t="e">
        <f>#REF!-#REF!</f>
        <v>#REF!</v>
      </c>
      <c r="AD712" s="315" t="e">
        <f>#REF!-#REF!</f>
        <v>#REF!</v>
      </c>
      <c r="AE712" s="315" t="e">
        <f>#REF!-#REF!</f>
        <v>#REF!</v>
      </c>
      <c r="AF712" s="315" t="e">
        <f>#REF!-#REF!</f>
        <v>#REF!</v>
      </c>
      <c r="AG712" s="315" t="e">
        <f>#REF!-#REF!</f>
        <v>#REF!</v>
      </c>
      <c r="AH712" s="315" t="e">
        <f>#REF!-#REF!</f>
        <v>#REF!</v>
      </c>
      <c r="AI712" s="315" t="e">
        <f>#REF!-#REF!</f>
        <v>#REF!</v>
      </c>
      <c r="AJ712" s="315" t="e">
        <f>#REF!-#REF!</f>
        <v>#REF!</v>
      </c>
      <c r="AK712" s="315" t="e">
        <f>#REF!-#REF!</f>
        <v>#REF!</v>
      </c>
      <c r="AL712" s="315" t="e">
        <f>#REF!-#REF!</f>
        <v>#REF!</v>
      </c>
      <c r="AM712" s="315" t="e">
        <f>#REF!-#REF!</f>
        <v>#REF!</v>
      </c>
      <c r="AN712" s="315" t="e">
        <f>#REF!-#REF!</f>
        <v>#REF!</v>
      </c>
      <c r="AO712" s="315" t="e">
        <f>#REF!-#REF!</f>
        <v>#REF!</v>
      </c>
      <c r="AP712" s="315" t="e">
        <f>#REF!-#REF!</f>
        <v>#REF!</v>
      </c>
      <c r="AQ712" s="315" t="e">
        <f>#REF!-#REF!</f>
        <v>#REF!</v>
      </c>
      <c r="AR712" s="315" t="e">
        <f>#REF!-#REF!</f>
        <v>#REF!</v>
      </c>
      <c r="AS712" s="315" t="e">
        <f>#REF!-#REF!</f>
        <v>#REF!</v>
      </c>
      <c r="AT712" s="315" t="e">
        <f>#REF!-#REF!</f>
        <v>#REF!</v>
      </c>
      <c r="AU712" s="315" t="e">
        <f>#REF!-#REF!</f>
        <v>#REF!</v>
      </c>
      <c r="AV712" s="315" t="e">
        <f>#REF!-#REF!</f>
        <v>#REF!</v>
      </c>
      <c r="AW712" s="315" t="e">
        <f>#REF!-#REF!</f>
        <v>#REF!</v>
      </c>
      <c r="AX712" s="315" t="e">
        <f>#REF!-#REF!</f>
        <v>#REF!</v>
      </c>
      <c r="AY712" s="315" t="e">
        <f>#REF!-#REF!</f>
        <v>#REF!</v>
      </c>
      <c r="AZ712" s="315" t="e">
        <f>#REF!-#REF!</f>
        <v>#REF!</v>
      </c>
      <c r="BA712" s="315" t="e">
        <f>#REF!-#REF!</f>
        <v>#REF!</v>
      </c>
      <c r="BB712" s="315" t="e">
        <f>#REF!-#REF!</f>
        <v>#REF!</v>
      </c>
      <c r="BC712" s="315" t="e">
        <f>#REF!-#REF!</f>
        <v>#REF!</v>
      </c>
      <c r="BD712" s="315" t="e">
        <f>#REF!-#REF!</f>
        <v>#REF!</v>
      </c>
      <c r="BE712" s="315" t="e">
        <f>#REF!-#REF!</f>
        <v>#REF!</v>
      </c>
      <c r="BF712" s="315" t="e">
        <f>#REF!-#REF!</f>
        <v>#REF!</v>
      </c>
      <c r="BG712" s="315" t="e">
        <f>#REF!-#REF!</f>
        <v>#REF!</v>
      </c>
      <c r="BH712" s="315" t="e">
        <f>#REF!-#REF!</f>
        <v>#REF!</v>
      </c>
      <c r="BI712" s="315" t="e">
        <f>#REF!-#REF!</f>
        <v>#REF!</v>
      </c>
      <c r="BJ712" s="315" t="e">
        <f>#REF!-#REF!</f>
        <v>#REF!</v>
      </c>
      <c r="BK712" s="315" t="e">
        <f>#REF!-#REF!</f>
        <v>#REF!</v>
      </c>
      <c r="BL712" s="315" t="e">
        <f>#REF!-#REF!</f>
        <v>#REF!</v>
      </c>
      <c r="BM712" s="315" t="e">
        <f>#REF!-#REF!</f>
        <v>#REF!</v>
      </c>
      <c r="BN712" s="315" t="e">
        <f>#REF!-#REF!</f>
        <v>#REF!</v>
      </c>
      <c r="BO712" s="315" t="e">
        <f>#REF!-#REF!</f>
        <v>#REF!</v>
      </c>
      <c r="BP712" s="315" t="e">
        <f>#REF!-#REF!</f>
        <v>#REF!</v>
      </c>
      <c r="BQ712" s="315" t="e">
        <f>#REF!-#REF!</f>
        <v>#REF!</v>
      </c>
      <c r="BR712" s="315" t="e">
        <f>#REF!-#REF!</f>
        <v>#REF!</v>
      </c>
      <c r="BS712" s="315" t="e">
        <f>#REF!-#REF!</f>
        <v>#REF!</v>
      </c>
      <c r="BT712" s="315" t="e">
        <f>#REF!-#REF!</f>
        <v>#REF!</v>
      </c>
      <c r="BU712" s="315" t="e">
        <f>#REF!-#REF!</f>
        <v>#REF!</v>
      </c>
      <c r="BV712" s="315" t="e">
        <f>#REF!-#REF!</f>
        <v>#REF!</v>
      </c>
      <c r="BW712" s="315" t="e">
        <f>#REF!-#REF!</f>
        <v>#REF!</v>
      </c>
      <c r="BX712" s="315" t="e">
        <f>#REF!-#REF!</f>
        <v>#REF!</v>
      </c>
      <c r="BZ712" s="315" t="e">
        <f>#REF!-#REF!</f>
        <v>#REF!</v>
      </c>
      <c r="CA712" s="315" t="e">
        <f>#REF!-#REF!</f>
        <v>#REF!</v>
      </c>
    </row>
    <row r="713" spans="7:79" hidden="1" x14ac:dyDescent="0.2">
      <c r="G713" s="315">
        <f t="shared" ref="G713:BR715" si="195">G354-BY354</f>
        <v>0</v>
      </c>
      <c r="H713" s="315">
        <f t="shared" si="195"/>
        <v>0</v>
      </c>
      <c r="I713" s="315">
        <f t="shared" si="195"/>
        <v>0</v>
      </c>
      <c r="J713" s="315">
        <f t="shared" si="195"/>
        <v>0</v>
      </c>
      <c r="K713" s="315">
        <f t="shared" si="195"/>
        <v>0</v>
      </c>
      <c r="L713" s="315">
        <f t="shared" si="195"/>
        <v>0</v>
      </c>
      <c r="M713" s="315">
        <f t="shared" si="195"/>
        <v>0</v>
      </c>
      <c r="N713" s="315">
        <f t="shared" si="195"/>
        <v>0</v>
      </c>
      <c r="O713" s="315">
        <f t="shared" si="195"/>
        <v>0</v>
      </c>
      <c r="P713" s="315">
        <f t="shared" si="195"/>
        <v>0</v>
      </c>
      <c r="Q713" s="315">
        <f t="shared" si="195"/>
        <v>0</v>
      </c>
      <c r="R713" s="315">
        <f t="shared" si="195"/>
        <v>0</v>
      </c>
      <c r="S713" s="315">
        <f t="shared" si="195"/>
        <v>0</v>
      </c>
      <c r="T713" s="315">
        <f t="shared" si="195"/>
        <v>0</v>
      </c>
      <c r="U713" s="315">
        <f t="shared" si="195"/>
        <v>0</v>
      </c>
      <c r="V713" s="315">
        <f t="shared" si="195"/>
        <v>0</v>
      </c>
      <c r="W713" s="315">
        <f t="shared" si="195"/>
        <v>0</v>
      </c>
      <c r="X713" s="315">
        <f t="shared" si="195"/>
        <v>0</v>
      </c>
      <c r="Y713" s="315">
        <f t="shared" si="195"/>
        <v>0</v>
      </c>
      <c r="Z713" s="315">
        <f t="shared" si="195"/>
        <v>0</v>
      </c>
      <c r="AA713" s="315">
        <f t="shared" si="195"/>
        <v>0</v>
      </c>
      <c r="AB713" s="315">
        <f t="shared" si="195"/>
        <v>0</v>
      </c>
      <c r="AC713" s="315">
        <f t="shared" si="195"/>
        <v>0</v>
      </c>
      <c r="AD713" s="315">
        <f t="shared" si="195"/>
        <v>0</v>
      </c>
      <c r="AE713" s="315">
        <f t="shared" si="195"/>
        <v>0</v>
      </c>
      <c r="AF713" s="315">
        <f t="shared" si="195"/>
        <v>0</v>
      </c>
      <c r="AG713" s="315">
        <f t="shared" si="195"/>
        <v>0</v>
      </c>
      <c r="AH713" s="315">
        <f t="shared" si="195"/>
        <v>0</v>
      </c>
      <c r="AI713" s="315">
        <f t="shared" si="195"/>
        <v>0</v>
      </c>
      <c r="AJ713" s="315">
        <f t="shared" si="195"/>
        <v>0</v>
      </c>
      <c r="AK713" s="315">
        <f t="shared" si="195"/>
        <v>0</v>
      </c>
      <c r="AL713" s="315">
        <f t="shared" si="195"/>
        <v>0</v>
      </c>
      <c r="AM713" s="315">
        <f t="shared" si="195"/>
        <v>0</v>
      </c>
      <c r="AN713" s="315">
        <f t="shared" si="195"/>
        <v>0</v>
      </c>
      <c r="AO713" s="315">
        <f t="shared" si="195"/>
        <v>0</v>
      </c>
      <c r="AP713" s="315">
        <f t="shared" si="195"/>
        <v>0</v>
      </c>
      <c r="AQ713" s="315">
        <f t="shared" si="195"/>
        <v>0</v>
      </c>
      <c r="AR713" s="315">
        <f t="shared" si="195"/>
        <v>0</v>
      </c>
      <c r="AS713" s="315">
        <f t="shared" si="195"/>
        <v>0</v>
      </c>
      <c r="AT713" s="315">
        <f t="shared" si="195"/>
        <v>0</v>
      </c>
      <c r="AU713" s="315">
        <f t="shared" si="195"/>
        <v>0</v>
      </c>
      <c r="AV713" s="315">
        <f t="shared" si="195"/>
        <v>0</v>
      </c>
      <c r="AW713" s="315">
        <f t="shared" si="195"/>
        <v>0</v>
      </c>
      <c r="AX713" s="315">
        <f t="shared" si="195"/>
        <v>0</v>
      </c>
      <c r="AY713" s="315">
        <f t="shared" si="195"/>
        <v>0</v>
      </c>
      <c r="AZ713" s="315">
        <f t="shared" si="195"/>
        <v>0</v>
      </c>
      <c r="BA713" s="315">
        <f t="shared" si="195"/>
        <v>0</v>
      </c>
      <c r="BB713" s="315">
        <f t="shared" si="195"/>
        <v>0</v>
      </c>
      <c r="BC713" s="315">
        <f t="shared" si="195"/>
        <v>0</v>
      </c>
      <c r="BD713" s="315">
        <f t="shared" si="195"/>
        <v>0</v>
      </c>
      <c r="BE713" s="315">
        <f t="shared" si="195"/>
        <v>0</v>
      </c>
      <c r="BF713" s="315">
        <f t="shared" si="195"/>
        <v>0</v>
      </c>
      <c r="BG713" s="315">
        <f t="shared" si="195"/>
        <v>0</v>
      </c>
      <c r="BH713" s="315">
        <f t="shared" si="195"/>
        <v>0</v>
      </c>
      <c r="BI713" s="315">
        <f t="shared" si="195"/>
        <v>0</v>
      </c>
      <c r="BJ713" s="315">
        <f t="shared" si="195"/>
        <v>0</v>
      </c>
      <c r="BK713" s="315">
        <f t="shared" si="195"/>
        <v>0</v>
      </c>
      <c r="BL713" s="315">
        <f t="shared" si="195"/>
        <v>0</v>
      </c>
      <c r="BM713" s="315">
        <f t="shared" si="195"/>
        <v>0</v>
      </c>
      <c r="BN713" s="315">
        <f t="shared" si="195"/>
        <v>0</v>
      </c>
      <c r="BO713" s="315">
        <f t="shared" si="195"/>
        <v>0</v>
      </c>
      <c r="BP713" s="315">
        <f t="shared" si="195"/>
        <v>0</v>
      </c>
      <c r="BQ713" s="315">
        <f t="shared" si="195"/>
        <v>0</v>
      </c>
      <c r="BR713" s="315">
        <f t="shared" si="195"/>
        <v>0</v>
      </c>
      <c r="BS713" s="315">
        <f t="shared" ref="BO713:BX715" si="196">BS354-EK354</f>
        <v>0</v>
      </c>
      <c r="BT713" s="315">
        <f t="shared" si="196"/>
        <v>0</v>
      </c>
      <c r="BU713" s="315">
        <f t="shared" si="196"/>
        <v>0</v>
      </c>
      <c r="BV713" s="315">
        <f t="shared" si="196"/>
        <v>0</v>
      </c>
      <c r="BW713" s="315">
        <f t="shared" si="196"/>
        <v>0</v>
      </c>
      <c r="BX713" s="315">
        <f t="shared" si="196"/>
        <v>0</v>
      </c>
      <c r="BZ713" s="315">
        <f t="shared" ref="BZ713:CA715" si="197">BZ354-ER354</f>
        <v>0</v>
      </c>
      <c r="CA713" s="315">
        <f t="shared" si="197"/>
        <v>0</v>
      </c>
    </row>
    <row r="714" spans="7:79" hidden="1" x14ac:dyDescent="0.2">
      <c r="G714" s="315">
        <f t="shared" si="195"/>
        <v>0</v>
      </c>
      <c r="H714" s="315">
        <f t="shared" si="195"/>
        <v>0</v>
      </c>
      <c r="I714" s="315">
        <f t="shared" si="195"/>
        <v>0</v>
      </c>
      <c r="J714" s="315">
        <f t="shared" si="195"/>
        <v>0</v>
      </c>
      <c r="K714" s="315">
        <f t="shared" si="195"/>
        <v>0</v>
      </c>
      <c r="L714" s="315">
        <f t="shared" si="195"/>
        <v>0</v>
      </c>
      <c r="M714" s="315">
        <f t="shared" si="195"/>
        <v>0</v>
      </c>
      <c r="N714" s="315">
        <f t="shared" si="195"/>
        <v>0</v>
      </c>
      <c r="O714" s="315">
        <f t="shared" si="195"/>
        <v>0</v>
      </c>
      <c r="P714" s="315">
        <f t="shared" si="195"/>
        <v>0</v>
      </c>
      <c r="Q714" s="315">
        <f t="shared" si="195"/>
        <v>0</v>
      </c>
      <c r="R714" s="315">
        <f t="shared" si="195"/>
        <v>0</v>
      </c>
      <c r="S714" s="315">
        <f t="shared" si="195"/>
        <v>0</v>
      </c>
      <c r="T714" s="315">
        <f t="shared" si="195"/>
        <v>0</v>
      </c>
      <c r="U714" s="315">
        <f t="shared" si="195"/>
        <v>0</v>
      </c>
      <c r="V714" s="315">
        <f t="shared" si="195"/>
        <v>0</v>
      </c>
      <c r="W714" s="315">
        <f t="shared" si="195"/>
        <v>0</v>
      </c>
      <c r="X714" s="315">
        <f t="shared" si="195"/>
        <v>0</v>
      </c>
      <c r="Y714" s="315">
        <f t="shared" si="195"/>
        <v>0</v>
      </c>
      <c r="Z714" s="315">
        <f t="shared" si="195"/>
        <v>0</v>
      </c>
      <c r="AA714" s="315">
        <f t="shared" si="195"/>
        <v>0</v>
      </c>
      <c r="AB714" s="315">
        <f t="shared" si="195"/>
        <v>0</v>
      </c>
      <c r="AC714" s="315">
        <f t="shared" si="195"/>
        <v>0</v>
      </c>
      <c r="AD714" s="315">
        <f t="shared" si="195"/>
        <v>0</v>
      </c>
      <c r="AE714" s="315">
        <f t="shared" si="195"/>
        <v>0</v>
      </c>
      <c r="AF714" s="315">
        <f t="shared" si="195"/>
        <v>0</v>
      </c>
      <c r="AG714" s="315">
        <f t="shared" si="195"/>
        <v>0</v>
      </c>
      <c r="AH714" s="315">
        <f t="shared" si="195"/>
        <v>0</v>
      </c>
      <c r="AI714" s="315">
        <f t="shared" si="195"/>
        <v>0</v>
      </c>
      <c r="AJ714" s="315">
        <f t="shared" si="195"/>
        <v>0</v>
      </c>
      <c r="AK714" s="315">
        <f t="shared" si="195"/>
        <v>0</v>
      </c>
      <c r="AL714" s="315">
        <f t="shared" si="195"/>
        <v>0</v>
      </c>
      <c r="AM714" s="315">
        <f t="shared" si="195"/>
        <v>0</v>
      </c>
      <c r="AN714" s="315">
        <f t="shared" si="195"/>
        <v>0</v>
      </c>
      <c r="AO714" s="315">
        <f t="shared" si="195"/>
        <v>0</v>
      </c>
      <c r="AP714" s="315">
        <f t="shared" si="195"/>
        <v>0</v>
      </c>
      <c r="AQ714" s="315">
        <f t="shared" si="195"/>
        <v>0</v>
      </c>
      <c r="AR714" s="315">
        <f t="shared" si="195"/>
        <v>0</v>
      </c>
      <c r="AS714" s="315">
        <f t="shared" si="195"/>
        <v>0</v>
      </c>
      <c r="AT714" s="315">
        <f t="shared" si="195"/>
        <v>0</v>
      </c>
      <c r="AU714" s="315">
        <f t="shared" si="195"/>
        <v>0</v>
      </c>
      <c r="AV714" s="315">
        <f t="shared" si="195"/>
        <v>0</v>
      </c>
      <c r="AW714" s="315">
        <f t="shared" si="195"/>
        <v>0</v>
      </c>
      <c r="AX714" s="315">
        <f t="shared" si="195"/>
        <v>0</v>
      </c>
      <c r="AY714" s="315">
        <f t="shared" si="195"/>
        <v>0</v>
      </c>
      <c r="AZ714" s="315">
        <f t="shared" si="195"/>
        <v>0</v>
      </c>
      <c r="BA714" s="315">
        <f t="shared" si="195"/>
        <v>0</v>
      </c>
      <c r="BB714" s="315">
        <f t="shared" si="195"/>
        <v>0</v>
      </c>
      <c r="BC714" s="315">
        <f t="shared" si="195"/>
        <v>0</v>
      </c>
      <c r="BD714" s="315">
        <f t="shared" si="195"/>
        <v>0</v>
      </c>
      <c r="BE714" s="315">
        <f t="shared" si="195"/>
        <v>0</v>
      </c>
      <c r="BF714" s="315">
        <f t="shared" si="195"/>
        <v>0</v>
      </c>
      <c r="BG714" s="315">
        <f t="shared" si="195"/>
        <v>0</v>
      </c>
      <c r="BH714" s="315">
        <f t="shared" si="195"/>
        <v>0</v>
      </c>
      <c r="BI714" s="315">
        <f t="shared" si="195"/>
        <v>0</v>
      </c>
      <c r="BJ714" s="315">
        <f t="shared" si="195"/>
        <v>0</v>
      </c>
      <c r="BK714" s="315">
        <f t="shared" si="195"/>
        <v>0</v>
      </c>
      <c r="BL714" s="315">
        <f t="shared" si="195"/>
        <v>0</v>
      </c>
      <c r="BM714" s="315">
        <f t="shared" si="195"/>
        <v>0</v>
      </c>
      <c r="BN714" s="315">
        <f t="shared" si="195"/>
        <v>0</v>
      </c>
      <c r="BO714" s="315">
        <f t="shared" si="196"/>
        <v>0</v>
      </c>
      <c r="BP714" s="315">
        <f t="shared" si="196"/>
        <v>0</v>
      </c>
      <c r="BQ714" s="315">
        <f t="shared" si="196"/>
        <v>0</v>
      </c>
      <c r="BR714" s="315">
        <f t="shared" si="196"/>
        <v>0</v>
      </c>
      <c r="BS714" s="315">
        <f t="shared" si="196"/>
        <v>0</v>
      </c>
      <c r="BT714" s="315">
        <f t="shared" si="196"/>
        <v>0</v>
      </c>
      <c r="BU714" s="315">
        <f t="shared" si="196"/>
        <v>0</v>
      </c>
      <c r="BV714" s="315">
        <f t="shared" si="196"/>
        <v>0</v>
      </c>
      <c r="BW714" s="315">
        <f t="shared" si="196"/>
        <v>0</v>
      </c>
      <c r="BX714" s="315">
        <f t="shared" si="196"/>
        <v>0</v>
      </c>
      <c r="BZ714" s="315">
        <f t="shared" si="197"/>
        <v>0</v>
      </c>
      <c r="CA714" s="315">
        <f t="shared" si="197"/>
        <v>0</v>
      </c>
    </row>
    <row r="715" spans="7:79" hidden="1" x14ac:dyDescent="0.2">
      <c r="G715" s="315">
        <f t="shared" si="195"/>
        <v>0</v>
      </c>
      <c r="H715" s="315">
        <f t="shared" si="195"/>
        <v>0</v>
      </c>
      <c r="I715" s="315">
        <f t="shared" si="195"/>
        <v>0</v>
      </c>
      <c r="J715" s="315">
        <f t="shared" si="195"/>
        <v>0</v>
      </c>
      <c r="K715" s="315">
        <f t="shared" si="195"/>
        <v>0</v>
      </c>
      <c r="L715" s="315">
        <f t="shared" si="195"/>
        <v>0</v>
      </c>
      <c r="M715" s="315">
        <f t="shared" si="195"/>
        <v>0</v>
      </c>
      <c r="N715" s="315">
        <f t="shared" si="195"/>
        <v>0</v>
      </c>
      <c r="O715" s="315">
        <f t="shared" si="195"/>
        <v>0</v>
      </c>
      <c r="P715" s="315">
        <f t="shared" si="195"/>
        <v>0</v>
      </c>
      <c r="Q715" s="315">
        <f t="shared" si="195"/>
        <v>0</v>
      </c>
      <c r="R715" s="315">
        <f t="shared" si="195"/>
        <v>0</v>
      </c>
      <c r="S715" s="315">
        <f t="shared" si="195"/>
        <v>0</v>
      </c>
      <c r="T715" s="315">
        <f t="shared" si="195"/>
        <v>0</v>
      </c>
      <c r="U715" s="315">
        <f t="shared" si="195"/>
        <v>0</v>
      </c>
      <c r="V715" s="315">
        <f t="shared" si="195"/>
        <v>0</v>
      </c>
      <c r="W715" s="315">
        <f t="shared" si="195"/>
        <v>0</v>
      </c>
      <c r="X715" s="315">
        <f t="shared" si="195"/>
        <v>0</v>
      </c>
      <c r="Y715" s="315">
        <f t="shared" si="195"/>
        <v>0</v>
      </c>
      <c r="Z715" s="315">
        <f t="shared" si="195"/>
        <v>0</v>
      </c>
      <c r="AA715" s="315">
        <f t="shared" si="195"/>
        <v>0</v>
      </c>
      <c r="AB715" s="315">
        <f t="shared" si="195"/>
        <v>0</v>
      </c>
      <c r="AC715" s="315">
        <f t="shared" si="195"/>
        <v>0</v>
      </c>
      <c r="AD715" s="315">
        <f t="shared" si="195"/>
        <v>0</v>
      </c>
      <c r="AE715" s="315">
        <f t="shared" si="195"/>
        <v>0</v>
      </c>
      <c r="AF715" s="315">
        <f t="shared" si="195"/>
        <v>0</v>
      </c>
      <c r="AG715" s="315">
        <f t="shared" si="195"/>
        <v>0</v>
      </c>
      <c r="AH715" s="315">
        <f t="shared" si="195"/>
        <v>0</v>
      </c>
      <c r="AI715" s="315">
        <f t="shared" si="195"/>
        <v>0</v>
      </c>
      <c r="AJ715" s="315">
        <f t="shared" si="195"/>
        <v>0</v>
      </c>
      <c r="AK715" s="315">
        <f t="shared" si="195"/>
        <v>0</v>
      </c>
      <c r="AL715" s="315">
        <f t="shared" si="195"/>
        <v>0</v>
      </c>
      <c r="AM715" s="315">
        <f t="shared" si="195"/>
        <v>0</v>
      </c>
      <c r="AN715" s="315">
        <f t="shared" si="195"/>
        <v>0</v>
      </c>
      <c r="AO715" s="315">
        <f t="shared" si="195"/>
        <v>0</v>
      </c>
      <c r="AP715" s="315">
        <f t="shared" si="195"/>
        <v>0</v>
      </c>
      <c r="AQ715" s="315">
        <f t="shared" si="195"/>
        <v>0</v>
      </c>
      <c r="AR715" s="315">
        <f t="shared" si="195"/>
        <v>0</v>
      </c>
      <c r="AS715" s="315">
        <f t="shared" si="195"/>
        <v>0</v>
      </c>
      <c r="AT715" s="315">
        <f t="shared" si="195"/>
        <v>0</v>
      </c>
      <c r="AU715" s="315">
        <f t="shared" si="195"/>
        <v>0</v>
      </c>
      <c r="AV715" s="315">
        <f t="shared" si="195"/>
        <v>0</v>
      </c>
      <c r="AW715" s="315">
        <f t="shared" si="195"/>
        <v>0</v>
      </c>
      <c r="AX715" s="315">
        <f t="shared" si="195"/>
        <v>0</v>
      </c>
      <c r="AY715" s="315">
        <f t="shared" si="195"/>
        <v>0</v>
      </c>
      <c r="AZ715" s="315">
        <f t="shared" si="195"/>
        <v>0</v>
      </c>
      <c r="BA715" s="315">
        <f t="shared" si="195"/>
        <v>0</v>
      </c>
      <c r="BB715" s="315">
        <f t="shared" si="195"/>
        <v>0</v>
      </c>
      <c r="BC715" s="315">
        <f t="shared" si="195"/>
        <v>0</v>
      </c>
      <c r="BD715" s="315">
        <f t="shared" si="195"/>
        <v>0</v>
      </c>
      <c r="BE715" s="315">
        <f t="shared" si="195"/>
        <v>0</v>
      </c>
      <c r="BF715" s="315">
        <f t="shared" si="195"/>
        <v>0</v>
      </c>
      <c r="BG715" s="315">
        <f t="shared" si="195"/>
        <v>0</v>
      </c>
      <c r="BH715" s="315">
        <f t="shared" si="195"/>
        <v>0</v>
      </c>
      <c r="BI715" s="315">
        <f t="shared" si="195"/>
        <v>0</v>
      </c>
      <c r="BJ715" s="315">
        <f t="shared" si="195"/>
        <v>0</v>
      </c>
      <c r="BK715" s="315">
        <f t="shared" si="195"/>
        <v>0</v>
      </c>
      <c r="BL715" s="315">
        <f t="shared" si="195"/>
        <v>0</v>
      </c>
      <c r="BM715" s="315">
        <f t="shared" si="195"/>
        <v>0</v>
      </c>
      <c r="BN715" s="315">
        <f t="shared" si="195"/>
        <v>0</v>
      </c>
      <c r="BO715" s="315">
        <f t="shared" si="196"/>
        <v>0</v>
      </c>
      <c r="BP715" s="315">
        <f t="shared" si="196"/>
        <v>0</v>
      </c>
      <c r="BQ715" s="315">
        <f t="shared" si="196"/>
        <v>0</v>
      </c>
      <c r="BR715" s="315">
        <f t="shared" si="196"/>
        <v>0</v>
      </c>
      <c r="BS715" s="315">
        <f t="shared" si="196"/>
        <v>0</v>
      </c>
      <c r="BT715" s="315">
        <f t="shared" si="196"/>
        <v>0</v>
      </c>
      <c r="BU715" s="315">
        <f t="shared" si="196"/>
        <v>0</v>
      </c>
      <c r="BV715" s="315">
        <f t="shared" si="196"/>
        <v>0</v>
      </c>
      <c r="BW715" s="315">
        <f t="shared" si="196"/>
        <v>0</v>
      </c>
      <c r="BX715" s="315">
        <f t="shared" si="196"/>
        <v>0</v>
      </c>
      <c r="BZ715" s="315">
        <f t="shared" si="197"/>
        <v>0</v>
      </c>
      <c r="CA715" s="315">
        <f t="shared" si="197"/>
        <v>0</v>
      </c>
    </row>
    <row r="716" spans="7:79" hidden="1" x14ac:dyDescent="0.2">
      <c r="G716" s="315">
        <f t="shared" ref="G716:BR719" si="198">G360-BY360</f>
        <v>1706784</v>
      </c>
      <c r="H716" s="315">
        <f t="shared" si="198"/>
        <v>0</v>
      </c>
      <c r="I716" s="315">
        <f t="shared" si="198"/>
        <v>0</v>
      </c>
      <c r="J716" s="315">
        <f t="shared" si="198"/>
        <v>0</v>
      </c>
      <c r="K716" s="315">
        <f t="shared" si="198"/>
        <v>0</v>
      </c>
      <c r="L716" s="315">
        <f t="shared" si="198"/>
        <v>354961</v>
      </c>
      <c r="M716" s="315">
        <f t="shared" si="198"/>
        <v>0</v>
      </c>
      <c r="N716" s="315">
        <f t="shared" si="198"/>
        <v>0</v>
      </c>
      <c r="O716" s="315">
        <f t="shared" si="198"/>
        <v>0</v>
      </c>
      <c r="P716" s="315">
        <f t="shared" si="198"/>
        <v>0</v>
      </c>
      <c r="Q716" s="315">
        <f t="shared" si="198"/>
        <v>1469964</v>
      </c>
      <c r="R716" s="315">
        <f t="shared" si="198"/>
        <v>0</v>
      </c>
      <c r="S716" s="315">
        <f t="shared" si="198"/>
        <v>0</v>
      </c>
      <c r="T716" s="315">
        <f t="shared" si="198"/>
        <v>0</v>
      </c>
      <c r="U716" s="315">
        <f t="shared" si="198"/>
        <v>0</v>
      </c>
      <c r="V716" s="315">
        <f t="shared" si="198"/>
        <v>362091</v>
      </c>
      <c r="W716" s="315">
        <f t="shared" si="198"/>
        <v>0</v>
      </c>
      <c r="X716" s="315">
        <f t="shared" si="198"/>
        <v>0</v>
      </c>
      <c r="Y716" s="315">
        <f t="shared" si="198"/>
        <v>0</v>
      </c>
      <c r="Z716" s="315">
        <f t="shared" si="198"/>
        <v>0</v>
      </c>
      <c r="AA716" s="315">
        <f t="shared" si="198"/>
        <v>0</v>
      </c>
      <c r="AB716" s="315">
        <f t="shared" si="198"/>
        <v>0</v>
      </c>
      <c r="AC716" s="315">
        <f t="shared" si="198"/>
        <v>0</v>
      </c>
      <c r="AD716" s="315">
        <f t="shared" si="198"/>
        <v>0</v>
      </c>
      <c r="AE716" s="315">
        <f t="shared" si="198"/>
        <v>0</v>
      </c>
      <c r="AF716" s="315">
        <f t="shared" si="198"/>
        <v>107401</v>
      </c>
      <c r="AG716" s="315">
        <f t="shared" si="198"/>
        <v>0</v>
      </c>
      <c r="AH716" s="315">
        <f t="shared" si="198"/>
        <v>0</v>
      </c>
      <c r="AI716" s="315">
        <f t="shared" si="198"/>
        <v>0</v>
      </c>
      <c r="AJ716" s="315">
        <f t="shared" si="198"/>
        <v>0</v>
      </c>
      <c r="AK716" s="315">
        <f t="shared" si="198"/>
        <v>46213</v>
      </c>
      <c r="AL716" s="315">
        <f t="shared" si="198"/>
        <v>0</v>
      </c>
      <c r="AM716" s="315">
        <f t="shared" si="198"/>
        <v>0</v>
      </c>
      <c r="AN716" s="315">
        <f t="shared" si="198"/>
        <v>0</v>
      </c>
      <c r="AO716" s="315">
        <f t="shared" si="198"/>
        <v>0</v>
      </c>
      <c r="AP716" s="315">
        <f t="shared" si="198"/>
        <v>0</v>
      </c>
      <c r="AQ716" s="315">
        <f t="shared" si="198"/>
        <v>0</v>
      </c>
      <c r="AR716" s="315">
        <f t="shared" si="198"/>
        <v>0</v>
      </c>
      <c r="AS716" s="315">
        <f t="shared" si="198"/>
        <v>0</v>
      </c>
      <c r="AT716" s="315">
        <f t="shared" si="198"/>
        <v>0</v>
      </c>
      <c r="AU716" s="315">
        <f t="shared" si="198"/>
        <v>0</v>
      </c>
      <c r="AV716" s="315">
        <f t="shared" si="198"/>
        <v>0</v>
      </c>
      <c r="AW716" s="315">
        <f t="shared" si="198"/>
        <v>0</v>
      </c>
      <c r="AX716" s="315">
        <f t="shared" si="198"/>
        <v>0</v>
      </c>
      <c r="AY716" s="315">
        <f t="shared" si="198"/>
        <v>0</v>
      </c>
      <c r="AZ716" s="315">
        <f t="shared" si="198"/>
        <v>-115323</v>
      </c>
      <c r="BA716" s="315">
        <f t="shared" si="198"/>
        <v>0</v>
      </c>
      <c r="BB716" s="315">
        <f t="shared" si="198"/>
        <v>0</v>
      </c>
      <c r="BC716" s="315">
        <f t="shared" si="198"/>
        <v>0</v>
      </c>
      <c r="BD716" s="315">
        <f t="shared" si="198"/>
        <v>0</v>
      </c>
      <c r="BE716" s="315">
        <f t="shared" si="198"/>
        <v>0</v>
      </c>
      <c r="BF716" s="315">
        <f t="shared" si="198"/>
        <v>0</v>
      </c>
      <c r="BG716" s="315">
        <f t="shared" si="198"/>
        <v>0</v>
      </c>
      <c r="BH716" s="315">
        <f t="shared" si="198"/>
        <v>0</v>
      </c>
      <c r="BI716" s="315">
        <f t="shared" si="198"/>
        <v>0</v>
      </c>
      <c r="BJ716" s="315">
        <f t="shared" si="198"/>
        <v>0</v>
      </c>
      <c r="BK716" s="315">
        <f t="shared" si="198"/>
        <v>0</v>
      </c>
      <c r="BL716" s="315">
        <f t="shared" si="198"/>
        <v>0</v>
      </c>
      <c r="BM716" s="315">
        <f t="shared" si="198"/>
        <v>0</v>
      </c>
      <c r="BN716" s="315">
        <f t="shared" si="198"/>
        <v>0</v>
      </c>
      <c r="BO716" s="315">
        <f t="shared" si="198"/>
        <v>-518523</v>
      </c>
      <c r="BP716" s="315">
        <f t="shared" si="198"/>
        <v>0</v>
      </c>
      <c r="BQ716" s="315">
        <f t="shared" si="198"/>
        <v>0</v>
      </c>
      <c r="BR716" s="315">
        <f t="shared" si="198"/>
        <v>0</v>
      </c>
      <c r="BS716" s="315">
        <f t="shared" ref="BS716:BX731" si="199">BS360-EK360</f>
        <v>0</v>
      </c>
      <c r="BT716" s="315">
        <f t="shared" si="199"/>
        <v>2340630</v>
      </c>
      <c r="BU716" s="315">
        <f t="shared" si="199"/>
        <v>0</v>
      </c>
      <c r="BV716" s="315">
        <f t="shared" si="199"/>
        <v>0</v>
      </c>
      <c r="BW716" s="315">
        <f t="shared" si="199"/>
        <v>0</v>
      </c>
      <c r="BX716" s="315">
        <f t="shared" si="199"/>
        <v>0</v>
      </c>
      <c r="BZ716" s="315">
        <f t="shared" ref="BZ716:CA731" si="200">BZ360-ER360</f>
        <v>0</v>
      </c>
      <c r="CA716" s="315">
        <f t="shared" si="200"/>
        <v>0</v>
      </c>
    </row>
    <row r="717" spans="7:79" hidden="1" x14ac:dyDescent="0.2">
      <c r="G717" s="315">
        <f t="shared" si="198"/>
        <v>1706784</v>
      </c>
      <c r="H717" s="315">
        <f t="shared" si="198"/>
        <v>0</v>
      </c>
      <c r="I717" s="315">
        <f t="shared" si="198"/>
        <v>0</v>
      </c>
      <c r="J717" s="315">
        <f t="shared" si="198"/>
        <v>0</v>
      </c>
      <c r="K717" s="315">
        <f t="shared" si="198"/>
        <v>0</v>
      </c>
      <c r="L717" s="315">
        <f t="shared" si="198"/>
        <v>354961</v>
      </c>
      <c r="M717" s="315">
        <f t="shared" si="198"/>
        <v>0</v>
      </c>
      <c r="N717" s="315">
        <f t="shared" si="198"/>
        <v>0</v>
      </c>
      <c r="O717" s="315">
        <f t="shared" si="198"/>
        <v>0</v>
      </c>
      <c r="P717" s="315">
        <f t="shared" si="198"/>
        <v>0</v>
      </c>
      <c r="Q717" s="315">
        <f t="shared" si="198"/>
        <v>1469964</v>
      </c>
      <c r="R717" s="315">
        <f t="shared" si="198"/>
        <v>0</v>
      </c>
      <c r="S717" s="315">
        <f t="shared" si="198"/>
        <v>0</v>
      </c>
      <c r="T717" s="315">
        <f t="shared" si="198"/>
        <v>0</v>
      </c>
      <c r="U717" s="315">
        <f t="shared" si="198"/>
        <v>0</v>
      </c>
      <c r="V717" s="315">
        <f t="shared" si="198"/>
        <v>362091</v>
      </c>
      <c r="W717" s="315">
        <f t="shared" si="198"/>
        <v>0</v>
      </c>
      <c r="X717" s="315">
        <f t="shared" si="198"/>
        <v>0</v>
      </c>
      <c r="Y717" s="315">
        <f t="shared" si="198"/>
        <v>0</v>
      </c>
      <c r="Z717" s="315">
        <f t="shared" si="198"/>
        <v>0</v>
      </c>
      <c r="AA717" s="315">
        <f t="shared" si="198"/>
        <v>0</v>
      </c>
      <c r="AB717" s="315">
        <f t="shared" si="198"/>
        <v>0</v>
      </c>
      <c r="AC717" s="315">
        <f t="shared" si="198"/>
        <v>0</v>
      </c>
      <c r="AD717" s="315">
        <f t="shared" si="198"/>
        <v>0</v>
      </c>
      <c r="AE717" s="315">
        <f t="shared" si="198"/>
        <v>0</v>
      </c>
      <c r="AF717" s="315">
        <f t="shared" si="198"/>
        <v>107401</v>
      </c>
      <c r="AG717" s="315">
        <f t="shared" si="198"/>
        <v>0</v>
      </c>
      <c r="AH717" s="315">
        <f t="shared" si="198"/>
        <v>0</v>
      </c>
      <c r="AI717" s="315">
        <f t="shared" si="198"/>
        <v>0</v>
      </c>
      <c r="AJ717" s="315">
        <f t="shared" si="198"/>
        <v>0</v>
      </c>
      <c r="AK717" s="315">
        <f t="shared" si="198"/>
        <v>46213</v>
      </c>
      <c r="AL717" s="315">
        <f t="shared" si="198"/>
        <v>0</v>
      </c>
      <c r="AM717" s="315">
        <f t="shared" si="198"/>
        <v>0</v>
      </c>
      <c r="AN717" s="315">
        <f t="shared" si="198"/>
        <v>0</v>
      </c>
      <c r="AO717" s="315">
        <f t="shared" si="198"/>
        <v>0</v>
      </c>
      <c r="AP717" s="315">
        <f t="shared" si="198"/>
        <v>0</v>
      </c>
      <c r="AQ717" s="315">
        <f t="shared" si="198"/>
        <v>0</v>
      </c>
      <c r="AR717" s="315">
        <f t="shared" si="198"/>
        <v>0</v>
      </c>
      <c r="AS717" s="315">
        <f t="shared" si="198"/>
        <v>0</v>
      </c>
      <c r="AT717" s="315">
        <f t="shared" si="198"/>
        <v>0</v>
      </c>
      <c r="AU717" s="315">
        <f t="shared" si="198"/>
        <v>0</v>
      </c>
      <c r="AV717" s="315">
        <f t="shared" si="198"/>
        <v>0</v>
      </c>
      <c r="AW717" s="315">
        <f t="shared" si="198"/>
        <v>0</v>
      </c>
      <c r="AX717" s="315">
        <f t="shared" si="198"/>
        <v>0</v>
      </c>
      <c r="AY717" s="315">
        <f t="shared" si="198"/>
        <v>0</v>
      </c>
      <c r="AZ717" s="315">
        <f t="shared" si="198"/>
        <v>-115323</v>
      </c>
      <c r="BA717" s="315">
        <f t="shared" si="198"/>
        <v>0</v>
      </c>
      <c r="BB717" s="315">
        <f t="shared" si="198"/>
        <v>0</v>
      </c>
      <c r="BC717" s="315">
        <f t="shared" si="198"/>
        <v>0</v>
      </c>
      <c r="BD717" s="315">
        <f t="shared" si="198"/>
        <v>0</v>
      </c>
      <c r="BE717" s="315">
        <f t="shared" si="198"/>
        <v>0</v>
      </c>
      <c r="BF717" s="315">
        <f t="shared" si="198"/>
        <v>0</v>
      </c>
      <c r="BG717" s="315">
        <f t="shared" si="198"/>
        <v>0</v>
      </c>
      <c r="BH717" s="315">
        <f t="shared" si="198"/>
        <v>0</v>
      </c>
      <c r="BI717" s="315">
        <f t="shared" si="198"/>
        <v>0</v>
      </c>
      <c r="BJ717" s="315">
        <f t="shared" si="198"/>
        <v>0</v>
      </c>
      <c r="BK717" s="315">
        <f t="shared" si="198"/>
        <v>0</v>
      </c>
      <c r="BL717" s="315">
        <f t="shared" si="198"/>
        <v>0</v>
      </c>
      <c r="BM717" s="315">
        <f t="shared" si="198"/>
        <v>0</v>
      </c>
      <c r="BN717" s="315">
        <f t="shared" si="198"/>
        <v>0</v>
      </c>
      <c r="BO717" s="315">
        <f t="shared" si="198"/>
        <v>-518523</v>
      </c>
      <c r="BP717" s="315">
        <f t="shared" si="198"/>
        <v>0</v>
      </c>
      <c r="BQ717" s="315">
        <f t="shared" si="198"/>
        <v>0</v>
      </c>
      <c r="BR717" s="315">
        <f t="shared" si="198"/>
        <v>0</v>
      </c>
      <c r="BS717" s="315">
        <f t="shared" si="199"/>
        <v>0</v>
      </c>
      <c r="BT717" s="315">
        <f t="shared" si="199"/>
        <v>2340630</v>
      </c>
      <c r="BU717" s="315">
        <f t="shared" si="199"/>
        <v>0</v>
      </c>
      <c r="BV717" s="315">
        <f t="shared" si="199"/>
        <v>0</v>
      </c>
      <c r="BW717" s="315">
        <f t="shared" si="199"/>
        <v>0</v>
      </c>
      <c r="BX717" s="315">
        <f t="shared" si="199"/>
        <v>0</v>
      </c>
      <c r="BZ717" s="315">
        <f t="shared" si="200"/>
        <v>0</v>
      </c>
      <c r="CA717" s="315">
        <f t="shared" si="200"/>
        <v>0</v>
      </c>
    </row>
    <row r="718" spans="7:79" hidden="1" x14ac:dyDescent="0.2">
      <c r="G718" s="315">
        <f t="shared" si="198"/>
        <v>0</v>
      </c>
      <c r="H718" s="315">
        <f t="shared" si="198"/>
        <v>0</v>
      </c>
      <c r="I718" s="315">
        <f t="shared" si="198"/>
        <v>0</v>
      </c>
      <c r="J718" s="315">
        <f t="shared" si="198"/>
        <v>0</v>
      </c>
      <c r="K718" s="315">
        <f t="shared" si="198"/>
        <v>0</v>
      </c>
      <c r="L718" s="315">
        <f t="shared" si="198"/>
        <v>0</v>
      </c>
      <c r="M718" s="315">
        <f t="shared" si="198"/>
        <v>0</v>
      </c>
      <c r="N718" s="315">
        <f t="shared" si="198"/>
        <v>0</v>
      </c>
      <c r="O718" s="315">
        <f t="shared" si="198"/>
        <v>0</v>
      </c>
      <c r="P718" s="315">
        <f t="shared" si="198"/>
        <v>0</v>
      </c>
      <c r="Q718" s="315">
        <f t="shared" si="198"/>
        <v>0</v>
      </c>
      <c r="R718" s="315">
        <f t="shared" si="198"/>
        <v>0</v>
      </c>
      <c r="S718" s="315">
        <f t="shared" si="198"/>
        <v>0</v>
      </c>
      <c r="T718" s="315">
        <f t="shared" si="198"/>
        <v>0</v>
      </c>
      <c r="U718" s="315">
        <f t="shared" si="198"/>
        <v>0</v>
      </c>
      <c r="V718" s="315">
        <f t="shared" si="198"/>
        <v>0</v>
      </c>
      <c r="W718" s="315">
        <f t="shared" si="198"/>
        <v>0</v>
      </c>
      <c r="X718" s="315">
        <f t="shared" si="198"/>
        <v>0</v>
      </c>
      <c r="Y718" s="315">
        <f t="shared" si="198"/>
        <v>0</v>
      </c>
      <c r="Z718" s="315">
        <f t="shared" si="198"/>
        <v>0</v>
      </c>
      <c r="AA718" s="315">
        <f t="shared" si="198"/>
        <v>0</v>
      </c>
      <c r="AB718" s="315">
        <f t="shared" si="198"/>
        <v>0</v>
      </c>
      <c r="AC718" s="315">
        <f t="shared" si="198"/>
        <v>0</v>
      </c>
      <c r="AD718" s="315">
        <f t="shared" si="198"/>
        <v>0</v>
      </c>
      <c r="AE718" s="315">
        <f t="shared" si="198"/>
        <v>0</v>
      </c>
      <c r="AF718" s="315">
        <f t="shared" si="198"/>
        <v>0</v>
      </c>
      <c r="AG718" s="315">
        <f t="shared" si="198"/>
        <v>0</v>
      </c>
      <c r="AH718" s="315">
        <f t="shared" si="198"/>
        <v>0</v>
      </c>
      <c r="AI718" s="315">
        <f t="shared" si="198"/>
        <v>0</v>
      </c>
      <c r="AJ718" s="315">
        <f t="shared" si="198"/>
        <v>0</v>
      </c>
      <c r="AK718" s="315">
        <f t="shared" si="198"/>
        <v>0</v>
      </c>
      <c r="AL718" s="315">
        <f t="shared" si="198"/>
        <v>0</v>
      </c>
      <c r="AM718" s="315">
        <f t="shared" si="198"/>
        <v>0</v>
      </c>
      <c r="AN718" s="315">
        <f t="shared" si="198"/>
        <v>0</v>
      </c>
      <c r="AO718" s="315">
        <f t="shared" si="198"/>
        <v>0</v>
      </c>
      <c r="AP718" s="315">
        <f t="shared" si="198"/>
        <v>0</v>
      </c>
      <c r="AQ718" s="315">
        <f t="shared" si="198"/>
        <v>0</v>
      </c>
      <c r="AR718" s="315">
        <f t="shared" si="198"/>
        <v>0</v>
      </c>
      <c r="AS718" s="315">
        <f t="shared" si="198"/>
        <v>0</v>
      </c>
      <c r="AT718" s="315">
        <f t="shared" si="198"/>
        <v>0</v>
      </c>
      <c r="AU718" s="315">
        <f t="shared" si="198"/>
        <v>0</v>
      </c>
      <c r="AV718" s="315">
        <f t="shared" si="198"/>
        <v>0</v>
      </c>
      <c r="AW718" s="315">
        <f t="shared" si="198"/>
        <v>0</v>
      </c>
      <c r="AX718" s="315">
        <f t="shared" si="198"/>
        <v>0</v>
      </c>
      <c r="AY718" s="315">
        <f t="shared" si="198"/>
        <v>0</v>
      </c>
      <c r="AZ718" s="315">
        <f t="shared" si="198"/>
        <v>0</v>
      </c>
      <c r="BA718" s="315">
        <f t="shared" si="198"/>
        <v>0</v>
      </c>
      <c r="BB718" s="315">
        <f t="shared" si="198"/>
        <v>0</v>
      </c>
      <c r="BC718" s="315">
        <f t="shared" si="198"/>
        <v>0</v>
      </c>
      <c r="BD718" s="315">
        <f t="shared" si="198"/>
        <v>0</v>
      </c>
      <c r="BE718" s="315">
        <f t="shared" si="198"/>
        <v>0</v>
      </c>
      <c r="BF718" s="315">
        <f t="shared" si="198"/>
        <v>0</v>
      </c>
      <c r="BG718" s="315">
        <f t="shared" si="198"/>
        <v>0</v>
      </c>
      <c r="BH718" s="315">
        <f t="shared" si="198"/>
        <v>0</v>
      </c>
      <c r="BI718" s="315">
        <f t="shared" si="198"/>
        <v>0</v>
      </c>
      <c r="BJ718" s="315">
        <f t="shared" si="198"/>
        <v>0</v>
      </c>
      <c r="BK718" s="315">
        <f t="shared" si="198"/>
        <v>0</v>
      </c>
      <c r="BL718" s="315">
        <f t="shared" si="198"/>
        <v>0</v>
      </c>
      <c r="BM718" s="315">
        <f t="shared" si="198"/>
        <v>0</v>
      </c>
      <c r="BN718" s="315">
        <f t="shared" si="198"/>
        <v>0</v>
      </c>
      <c r="BO718" s="315">
        <f t="shared" si="198"/>
        <v>0</v>
      </c>
      <c r="BP718" s="315">
        <f t="shared" si="198"/>
        <v>0</v>
      </c>
      <c r="BQ718" s="315">
        <f t="shared" si="198"/>
        <v>0</v>
      </c>
      <c r="BR718" s="315">
        <f t="shared" si="198"/>
        <v>0</v>
      </c>
      <c r="BS718" s="315">
        <f t="shared" si="199"/>
        <v>0</v>
      </c>
      <c r="BT718" s="315">
        <f t="shared" si="199"/>
        <v>0</v>
      </c>
      <c r="BU718" s="315">
        <f t="shared" si="199"/>
        <v>0</v>
      </c>
      <c r="BV718" s="315">
        <f t="shared" si="199"/>
        <v>0</v>
      </c>
      <c r="BW718" s="315">
        <f t="shared" si="199"/>
        <v>0</v>
      </c>
      <c r="BX718" s="315">
        <f t="shared" si="199"/>
        <v>0</v>
      </c>
      <c r="BZ718" s="315">
        <f t="shared" si="200"/>
        <v>0</v>
      </c>
      <c r="CA718" s="315">
        <f t="shared" si="200"/>
        <v>0</v>
      </c>
    </row>
    <row r="719" spans="7:79" hidden="1" x14ac:dyDescent="0.2">
      <c r="G719" s="315">
        <f t="shared" si="198"/>
        <v>-864939</v>
      </c>
      <c r="H719" s="315">
        <f t="shared" si="198"/>
        <v>0</v>
      </c>
      <c r="I719" s="315">
        <f t="shared" si="198"/>
        <v>0</v>
      </c>
      <c r="J719" s="315">
        <f t="shared" si="198"/>
        <v>0</v>
      </c>
      <c r="K719" s="315">
        <f t="shared" si="198"/>
        <v>0</v>
      </c>
      <c r="L719" s="315">
        <f t="shared" si="198"/>
        <v>-15296</v>
      </c>
      <c r="M719" s="315">
        <f t="shared" si="198"/>
        <v>0</v>
      </c>
      <c r="N719" s="315">
        <f t="shared" si="198"/>
        <v>0</v>
      </c>
      <c r="O719" s="315">
        <f t="shared" si="198"/>
        <v>0</v>
      </c>
      <c r="P719" s="315">
        <f t="shared" si="198"/>
        <v>0</v>
      </c>
      <c r="Q719" s="315">
        <f t="shared" si="198"/>
        <v>55166</v>
      </c>
      <c r="R719" s="315">
        <f t="shared" si="198"/>
        <v>0</v>
      </c>
      <c r="S719" s="315">
        <f t="shared" si="198"/>
        <v>0</v>
      </c>
      <c r="T719" s="315">
        <f t="shared" si="198"/>
        <v>0</v>
      </c>
      <c r="U719" s="315">
        <f t="shared" si="198"/>
        <v>0</v>
      </c>
      <c r="V719" s="315">
        <f t="shared" si="198"/>
        <v>16994</v>
      </c>
      <c r="W719" s="315">
        <f t="shared" si="198"/>
        <v>0</v>
      </c>
      <c r="X719" s="315">
        <f t="shared" si="198"/>
        <v>0</v>
      </c>
      <c r="Y719" s="315">
        <f t="shared" si="198"/>
        <v>0</v>
      </c>
      <c r="Z719" s="315">
        <f t="shared" si="198"/>
        <v>0</v>
      </c>
      <c r="AA719" s="315">
        <f t="shared" si="198"/>
        <v>213073</v>
      </c>
      <c r="AB719" s="315">
        <f t="shared" si="198"/>
        <v>0</v>
      </c>
      <c r="AC719" s="315">
        <f t="shared" si="198"/>
        <v>0</v>
      </c>
      <c r="AD719" s="315">
        <f t="shared" si="198"/>
        <v>0</v>
      </c>
      <c r="AE719" s="315">
        <f t="shared" si="198"/>
        <v>0</v>
      </c>
      <c r="AF719" s="315">
        <f t="shared" si="198"/>
        <v>106768</v>
      </c>
      <c r="AG719" s="315">
        <f t="shared" si="198"/>
        <v>0</v>
      </c>
      <c r="AH719" s="315">
        <f t="shared" si="198"/>
        <v>0</v>
      </c>
      <c r="AI719" s="315">
        <f t="shared" si="198"/>
        <v>0</v>
      </c>
      <c r="AJ719" s="315">
        <f t="shared" si="198"/>
        <v>0</v>
      </c>
      <c r="AK719" s="315">
        <f t="shared" si="198"/>
        <v>0</v>
      </c>
      <c r="AL719" s="315">
        <f t="shared" si="198"/>
        <v>0</v>
      </c>
      <c r="AM719" s="315">
        <f t="shared" si="198"/>
        <v>0</v>
      </c>
      <c r="AN719" s="315">
        <f t="shared" si="198"/>
        <v>0</v>
      </c>
      <c r="AO719" s="315">
        <f t="shared" si="198"/>
        <v>0</v>
      </c>
      <c r="AP719" s="315">
        <f t="shared" si="198"/>
        <v>176497</v>
      </c>
      <c r="AQ719" s="315">
        <f t="shared" si="198"/>
        <v>0</v>
      </c>
      <c r="AR719" s="315">
        <f t="shared" si="198"/>
        <v>0</v>
      </c>
      <c r="AS719" s="315">
        <f t="shared" si="198"/>
        <v>0</v>
      </c>
      <c r="AT719" s="315">
        <f t="shared" si="198"/>
        <v>0</v>
      </c>
      <c r="AU719" s="315">
        <f t="shared" si="198"/>
        <v>0</v>
      </c>
      <c r="AV719" s="315">
        <f t="shared" si="198"/>
        <v>0</v>
      </c>
      <c r="AW719" s="315">
        <f t="shared" si="198"/>
        <v>0</v>
      </c>
      <c r="AX719" s="315">
        <f t="shared" si="198"/>
        <v>0</v>
      </c>
      <c r="AY719" s="315">
        <f t="shared" si="198"/>
        <v>0</v>
      </c>
      <c r="AZ719" s="315">
        <f t="shared" si="198"/>
        <v>-227461</v>
      </c>
      <c r="BA719" s="315">
        <f t="shared" si="198"/>
        <v>0</v>
      </c>
      <c r="BB719" s="315">
        <f t="shared" si="198"/>
        <v>0</v>
      </c>
      <c r="BC719" s="315">
        <f t="shared" si="198"/>
        <v>0</v>
      </c>
      <c r="BD719" s="315">
        <f t="shared" si="198"/>
        <v>0</v>
      </c>
      <c r="BE719" s="315">
        <f t="shared" si="198"/>
        <v>0</v>
      </c>
      <c r="BF719" s="315">
        <f t="shared" si="198"/>
        <v>0</v>
      </c>
      <c r="BG719" s="315">
        <f t="shared" si="198"/>
        <v>0</v>
      </c>
      <c r="BH719" s="315">
        <f t="shared" si="198"/>
        <v>0</v>
      </c>
      <c r="BI719" s="315">
        <f t="shared" si="198"/>
        <v>0</v>
      </c>
      <c r="BJ719" s="315">
        <f t="shared" si="198"/>
        <v>-232101</v>
      </c>
      <c r="BK719" s="315">
        <f t="shared" si="198"/>
        <v>0</v>
      </c>
      <c r="BL719" s="315">
        <f t="shared" si="198"/>
        <v>0</v>
      </c>
      <c r="BM719" s="315">
        <f t="shared" si="198"/>
        <v>0</v>
      </c>
      <c r="BN719" s="315">
        <f t="shared" si="198"/>
        <v>0</v>
      </c>
      <c r="BO719" s="315">
        <f t="shared" si="198"/>
        <v>-782082</v>
      </c>
      <c r="BP719" s="315">
        <f t="shared" si="198"/>
        <v>0</v>
      </c>
      <c r="BQ719" s="315">
        <f t="shared" si="198"/>
        <v>0</v>
      </c>
      <c r="BR719" s="315">
        <f t="shared" ref="BR719:BX734" si="201">BR363-EJ363</f>
        <v>0</v>
      </c>
      <c r="BS719" s="315">
        <f t="shared" si="199"/>
        <v>0</v>
      </c>
      <c r="BT719" s="315">
        <f t="shared" si="199"/>
        <v>553202</v>
      </c>
      <c r="BU719" s="315">
        <f t="shared" si="199"/>
        <v>0</v>
      </c>
      <c r="BV719" s="315">
        <f t="shared" si="199"/>
        <v>0</v>
      </c>
      <c r="BW719" s="315">
        <f t="shared" si="199"/>
        <v>0</v>
      </c>
      <c r="BX719" s="315">
        <f t="shared" si="199"/>
        <v>0</v>
      </c>
      <c r="BZ719" s="315">
        <f t="shared" si="200"/>
        <v>0</v>
      </c>
      <c r="CA719" s="315">
        <f t="shared" si="200"/>
        <v>0</v>
      </c>
    </row>
    <row r="720" spans="7:79" hidden="1" x14ac:dyDescent="0.2">
      <c r="G720" s="315">
        <f t="shared" ref="G720:BQ724" si="202">G364-BY364</f>
        <v>-864939</v>
      </c>
      <c r="H720" s="315">
        <f t="shared" si="202"/>
        <v>0</v>
      </c>
      <c r="I720" s="315">
        <f t="shared" si="202"/>
        <v>0</v>
      </c>
      <c r="J720" s="315">
        <f t="shared" si="202"/>
        <v>0</v>
      </c>
      <c r="K720" s="315">
        <f t="shared" si="202"/>
        <v>0</v>
      </c>
      <c r="L720" s="315">
        <f t="shared" si="202"/>
        <v>-15296</v>
      </c>
      <c r="M720" s="315">
        <f t="shared" si="202"/>
        <v>0</v>
      </c>
      <c r="N720" s="315">
        <f t="shared" si="202"/>
        <v>0</v>
      </c>
      <c r="O720" s="315">
        <f t="shared" si="202"/>
        <v>0</v>
      </c>
      <c r="P720" s="315">
        <f t="shared" si="202"/>
        <v>0</v>
      </c>
      <c r="Q720" s="315">
        <f t="shared" si="202"/>
        <v>55166</v>
      </c>
      <c r="R720" s="315">
        <f t="shared" si="202"/>
        <v>0</v>
      </c>
      <c r="S720" s="315">
        <f t="shared" si="202"/>
        <v>0</v>
      </c>
      <c r="T720" s="315">
        <f t="shared" si="202"/>
        <v>0</v>
      </c>
      <c r="U720" s="315">
        <f t="shared" si="202"/>
        <v>0</v>
      </c>
      <c r="V720" s="315">
        <f t="shared" si="202"/>
        <v>16994</v>
      </c>
      <c r="W720" s="315">
        <f t="shared" si="202"/>
        <v>0</v>
      </c>
      <c r="X720" s="315">
        <f t="shared" si="202"/>
        <v>0</v>
      </c>
      <c r="Y720" s="315">
        <f t="shared" si="202"/>
        <v>0</v>
      </c>
      <c r="Z720" s="315">
        <f t="shared" si="202"/>
        <v>0</v>
      </c>
      <c r="AA720" s="315">
        <f t="shared" si="202"/>
        <v>213073</v>
      </c>
      <c r="AB720" s="315">
        <f t="shared" si="202"/>
        <v>0</v>
      </c>
      <c r="AC720" s="315">
        <f t="shared" si="202"/>
        <v>0</v>
      </c>
      <c r="AD720" s="315">
        <f t="shared" si="202"/>
        <v>0</v>
      </c>
      <c r="AE720" s="315">
        <f t="shared" si="202"/>
        <v>0</v>
      </c>
      <c r="AF720" s="315">
        <f t="shared" si="202"/>
        <v>106768</v>
      </c>
      <c r="AG720" s="315">
        <f t="shared" si="202"/>
        <v>0</v>
      </c>
      <c r="AH720" s="315">
        <f t="shared" si="202"/>
        <v>0</v>
      </c>
      <c r="AI720" s="315">
        <f t="shared" si="202"/>
        <v>0</v>
      </c>
      <c r="AJ720" s="315">
        <f t="shared" si="202"/>
        <v>0</v>
      </c>
      <c r="AK720" s="315">
        <f t="shared" si="202"/>
        <v>0</v>
      </c>
      <c r="AL720" s="315">
        <f t="shared" si="202"/>
        <v>0</v>
      </c>
      <c r="AM720" s="315">
        <f t="shared" si="202"/>
        <v>0</v>
      </c>
      <c r="AN720" s="315">
        <f t="shared" si="202"/>
        <v>0</v>
      </c>
      <c r="AO720" s="315">
        <f t="shared" si="202"/>
        <v>0</v>
      </c>
      <c r="AP720" s="315">
        <f t="shared" si="202"/>
        <v>176497</v>
      </c>
      <c r="AQ720" s="315">
        <f t="shared" si="202"/>
        <v>0</v>
      </c>
      <c r="AR720" s="315">
        <f t="shared" si="202"/>
        <v>0</v>
      </c>
      <c r="AS720" s="315">
        <f t="shared" si="202"/>
        <v>0</v>
      </c>
      <c r="AT720" s="315">
        <f t="shared" si="202"/>
        <v>0</v>
      </c>
      <c r="AU720" s="315">
        <f t="shared" si="202"/>
        <v>0</v>
      </c>
      <c r="AV720" s="315">
        <f t="shared" si="202"/>
        <v>0</v>
      </c>
      <c r="AW720" s="315">
        <f t="shared" si="202"/>
        <v>0</v>
      </c>
      <c r="AX720" s="315">
        <f t="shared" si="202"/>
        <v>0</v>
      </c>
      <c r="AY720" s="315">
        <f t="shared" si="202"/>
        <v>0</v>
      </c>
      <c r="AZ720" s="315">
        <f t="shared" si="202"/>
        <v>-227461</v>
      </c>
      <c r="BA720" s="315">
        <f t="shared" si="202"/>
        <v>0</v>
      </c>
      <c r="BB720" s="315">
        <f t="shared" si="202"/>
        <v>0</v>
      </c>
      <c r="BC720" s="315">
        <f t="shared" si="202"/>
        <v>0</v>
      </c>
      <c r="BD720" s="315">
        <f t="shared" si="202"/>
        <v>0</v>
      </c>
      <c r="BE720" s="315">
        <f t="shared" si="202"/>
        <v>0</v>
      </c>
      <c r="BF720" s="315">
        <f t="shared" si="202"/>
        <v>0</v>
      </c>
      <c r="BG720" s="315">
        <f t="shared" si="202"/>
        <v>0</v>
      </c>
      <c r="BH720" s="315">
        <f t="shared" si="202"/>
        <v>0</v>
      </c>
      <c r="BI720" s="315">
        <f t="shared" si="202"/>
        <v>0</v>
      </c>
      <c r="BJ720" s="315">
        <f t="shared" si="202"/>
        <v>-232101</v>
      </c>
      <c r="BK720" s="315">
        <f t="shared" si="202"/>
        <v>0</v>
      </c>
      <c r="BL720" s="315">
        <f t="shared" si="202"/>
        <v>0</v>
      </c>
      <c r="BM720" s="315">
        <f t="shared" si="202"/>
        <v>0</v>
      </c>
      <c r="BN720" s="315">
        <f t="shared" si="202"/>
        <v>0</v>
      </c>
      <c r="BO720" s="315">
        <f t="shared" si="202"/>
        <v>-782082</v>
      </c>
      <c r="BP720" s="315">
        <f t="shared" si="202"/>
        <v>0</v>
      </c>
      <c r="BQ720" s="315">
        <f t="shared" si="202"/>
        <v>0</v>
      </c>
      <c r="BR720" s="315">
        <f t="shared" si="201"/>
        <v>0</v>
      </c>
      <c r="BS720" s="315">
        <f t="shared" si="199"/>
        <v>0</v>
      </c>
      <c r="BT720" s="315">
        <f t="shared" si="199"/>
        <v>553202</v>
      </c>
      <c r="BU720" s="315">
        <f t="shared" si="199"/>
        <v>0</v>
      </c>
      <c r="BV720" s="315">
        <f t="shared" si="199"/>
        <v>0</v>
      </c>
      <c r="BW720" s="315">
        <f t="shared" si="199"/>
        <v>0</v>
      </c>
      <c r="BX720" s="315">
        <f t="shared" si="199"/>
        <v>0</v>
      </c>
      <c r="BZ720" s="315">
        <f t="shared" si="200"/>
        <v>0</v>
      </c>
      <c r="CA720" s="315">
        <f t="shared" si="200"/>
        <v>0</v>
      </c>
    </row>
    <row r="721" spans="7:79" hidden="1" x14ac:dyDescent="0.2">
      <c r="G721" s="315">
        <f t="shared" si="202"/>
        <v>0</v>
      </c>
      <c r="H721" s="315">
        <f t="shared" si="202"/>
        <v>0</v>
      </c>
      <c r="I721" s="315">
        <f t="shared" si="202"/>
        <v>0</v>
      </c>
      <c r="J721" s="315">
        <f t="shared" si="202"/>
        <v>0</v>
      </c>
      <c r="K721" s="315">
        <f t="shared" si="202"/>
        <v>0</v>
      </c>
      <c r="L721" s="315">
        <f t="shared" si="202"/>
        <v>0</v>
      </c>
      <c r="M721" s="315">
        <f t="shared" si="202"/>
        <v>0</v>
      </c>
      <c r="N721" s="315">
        <f t="shared" si="202"/>
        <v>0</v>
      </c>
      <c r="O721" s="315">
        <f t="shared" si="202"/>
        <v>0</v>
      </c>
      <c r="P721" s="315">
        <f t="shared" si="202"/>
        <v>0</v>
      </c>
      <c r="Q721" s="315">
        <f t="shared" si="202"/>
        <v>0</v>
      </c>
      <c r="R721" s="315">
        <f t="shared" si="202"/>
        <v>0</v>
      </c>
      <c r="S721" s="315">
        <f t="shared" si="202"/>
        <v>0</v>
      </c>
      <c r="T721" s="315">
        <f t="shared" si="202"/>
        <v>0</v>
      </c>
      <c r="U721" s="315">
        <f t="shared" si="202"/>
        <v>0</v>
      </c>
      <c r="V721" s="315">
        <f t="shared" si="202"/>
        <v>0</v>
      </c>
      <c r="W721" s="315">
        <f t="shared" si="202"/>
        <v>0</v>
      </c>
      <c r="X721" s="315">
        <f t="shared" si="202"/>
        <v>0</v>
      </c>
      <c r="Y721" s="315">
        <f t="shared" si="202"/>
        <v>0</v>
      </c>
      <c r="Z721" s="315">
        <f t="shared" si="202"/>
        <v>0</v>
      </c>
      <c r="AA721" s="315">
        <f t="shared" si="202"/>
        <v>0</v>
      </c>
      <c r="AB721" s="315">
        <f t="shared" si="202"/>
        <v>0</v>
      </c>
      <c r="AC721" s="315">
        <f t="shared" si="202"/>
        <v>0</v>
      </c>
      <c r="AD721" s="315">
        <f t="shared" si="202"/>
        <v>0</v>
      </c>
      <c r="AE721" s="315">
        <f t="shared" si="202"/>
        <v>0</v>
      </c>
      <c r="AF721" s="315">
        <f t="shared" si="202"/>
        <v>0</v>
      </c>
      <c r="AG721" s="315">
        <f t="shared" si="202"/>
        <v>0</v>
      </c>
      <c r="AH721" s="315">
        <f t="shared" si="202"/>
        <v>0</v>
      </c>
      <c r="AI721" s="315">
        <f t="shared" si="202"/>
        <v>0</v>
      </c>
      <c r="AJ721" s="315">
        <f t="shared" si="202"/>
        <v>0</v>
      </c>
      <c r="AK721" s="315">
        <f t="shared" si="202"/>
        <v>0</v>
      </c>
      <c r="AL721" s="315">
        <f t="shared" si="202"/>
        <v>0</v>
      </c>
      <c r="AM721" s="315">
        <f t="shared" si="202"/>
        <v>0</v>
      </c>
      <c r="AN721" s="315">
        <f t="shared" si="202"/>
        <v>0</v>
      </c>
      <c r="AO721" s="315">
        <f t="shared" si="202"/>
        <v>0</v>
      </c>
      <c r="AP721" s="315">
        <f t="shared" si="202"/>
        <v>0</v>
      </c>
      <c r="AQ721" s="315">
        <f t="shared" si="202"/>
        <v>0</v>
      </c>
      <c r="AR721" s="315">
        <f t="shared" si="202"/>
        <v>0</v>
      </c>
      <c r="AS721" s="315">
        <f t="shared" si="202"/>
        <v>0</v>
      </c>
      <c r="AT721" s="315">
        <f t="shared" si="202"/>
        <v>0</v>
      </c>
      <c r="AU721" s="315">
        <f t="shared" si="202"/>
        <v>0</v>
      </c>
      <c r="AV721" s="315">
        <f t="shared" si="202"/>
        <v>0</v>
      </c>
      <c r="AW721" s="315">
        <f t="shared" si="202"/>
        <v>0</v>
      </c>
      <c r="AX721" s="315">
        <f t="shared" si="202"/>
        <v>0</v>
      </c>
      <c r="AY721" s="315">
        <f t="shared" si="202"/>
        <v>0</v>
      </c>
      <c r="AZ721" s="315">
        <f t="shared" si="202"/>
        <v>0</v>
      </c>
      <c r="BA721" s="315">
        <f t="shared" si="202"/>
        <v>0</v>
      </c>
      <c r="BB721" s="315">
        <f t="shared" si="202"/>
        <v>0</v>
      </c>
      <c r="BC721" s="315">
        <f t="shared" si="202"/>
        <v>0</v>
      </c>
      <c r="BD721" s="315">
        <f t="shared" si="202"/>
        <v>0</v>
      </c>
      <c r="BE721" s="315">
        <f t="shared" si="202"/>
        <v>0</v>
      </c>
      <c r="BF721" s="315">
        <f t="shared" si="202"/>
        <v>0</v>
      </c>
      <c r="BG721" s="315">
        <f t="shared" si="202"/>
        <v>0</v>
      </c>
      <c r="BH721" s="315">
        <f t="shared" si="202"/>
        <v>0</v>
      </c>
      <c r="BI721" s="315">
        <f t="shared" si="202"/>
        <v>0</v>
      </c>
      <c r="BJ721" s="315">
        <f t="shared" si="202"/>
        <v>0</v>
      </c>
      <c r="BK721" s="315">
        <f t="shared" si="202"/>
        <v>0</v>
      </c>
      <c r="BL721" s="315">
        <f t="shared" si="202"/>
        <v>0</v>
      </c>
      <c r="BM721" s="315">
        <f t="shared" si="202"/>
        <v>0</v>
      </c>
      <c r="BN721" s="315">
        <f t="shared" si="202"/>
        <v>0</v>
      </c>
      <c r="BO721" s="315">
        <f t="shared" si="202"/>
        <v>0</v>
      </c>
      <c r="BP721" s="315">
        <f t="shared" si="202"/>
        <v>0</v>
      </c>
      <c r="BQ721" s="315">
        <f t="shared" si="202"/>
        <v>0</v>
      </c>
      <c r="BR721" s="315">
        <f t="shared" si="201"/>
        <v>0</v>
      </c>
      <c r="BS721" s="315">
        <f t="shared" si="199"/>
        <v>0</v>
      </c>
      <c r="BT721" s="315">
        <f t="shared" si="199"/>
        <v>0</v>
      </c>
      <c r="BU721" s="315">
        <f t="shared" si="199"/>
        <v>0</v>
      </c>
      <c r="BV721" s="315">
        <f t="shared" si="199"/>
        <v>0</v>
      </c>
      <c r="BW721" s="315">
        <f t="shared" si="199"/>
        <v>0</v>
      </c>
      <c r="BX721" s="315">
        <f t="shared" si="199"/>
        <v>0</v>
      </c>
      <c r="BZ721" s="315">
        <f t="shared" si="200"/>
        <v>0</v>
      </c>
      <c r="CA721" s="315">
        <f t="shared" si="200"/>
        <v>0</v>
      </c>
    </row>
    <row r="722" spans="7:79" hidden="1" x14ac:dyDescent="0.2">
      <c r="G722" s="315">
        <f t="shared" si="202"/>
        <v>-203060</v>
      </c>
      <c r="H722" s="315">
        <f t="shared" si="202"/>
        <v>0</v>
      </c>
      <c r="I722" s="315">
        <f t="shared" si="202"/>
        <v>0</v>
      </c>
      <c r="J722" s="315">
        <f t="shared" si="202"/>
        <v>0</v>
      </c>
      <c r="K722" s="315">
        <f t="shared" si="202"/>
        <v>0</v>
      </c>
      <c r="L722" s="315">
        <f t="shared" si="202"/>
        <v>-41836</v>
      </c>
      <c r="M722" s="315">
        <f t="shared" si="202"/>
        <v>0</v>
      </c>
      <c r="N722" s="315">
        <f t="shared" si="202"/>
        <v>0</v>
      </c>
      <c r="O722" s="315">
        <f t="shared" si="202"/>
        <v>0</v>
      </c>
      <c r="P722" s="315">
        <f t="shared" si="202"/>
        <v>0</v>
      </c>
      <c r="Q722" s="315">
        <f t="shared" si="202"/>
        <v>0</v>
      </c>
      <c r="R722" s="315">
        <f t="shared" si="202"/>
        <v>0</v>
      </c>
      <c r="S722" s="315">
        <f t="shared" si="202"/>
        <v>0</v>
      </c>
      <c r="T722" s="315">
        <f t="shared" si="202"/>
        <v>0</v>
      </c>
      <c r="U722" s="315">
        <f t="shared" si="202"/>
        <v>0</v>
      </c>
      <c r="V722" s="315">
        <f t="shared" si="202"/>
        <v>0</v>
      </c>
      <c r="W722" s="315">
        <f t="shared" si="202"/>
        <v>0</v>
      </c>
      <c r="X722" s="315">
        <f t="shared" si="202"/>
        <v>0</v>
      </c>
      <c r="Y722" s="315">
        <f t="shared" si="202"/>
        <v>0</v>
      </c>
      <c r="Z722" s="315">
        <f t="shared" si="202"/>
        <v>0</v>
      </c>
      <c r="AA722" s="315">
        <f t="shared" si="202"/>
        <v>0</v>
      </c>
      <c r="AB722" s="315">
        <f t="shared" si="202"/>
        <v>0</v>
      </c>
      <c r="AC722" s="315">
        <f t="shared" si="202"/>
        <v>0</v>
      </c>
      <c r="AD722" s="315">
        <f t="shared" si="202"/>
        <v>0</v>
      </c>
      <c r="AE722" s="315">
        <f t="shared" si="202"/>
        <v>0</v>
      </c>
      <c r="AF722" s="315">
        <f t="shared" si="202"/>
        <v>0</v>
      </c>
      <c r="AG722" s="315">
        <f t="shared" si="202"/>
        <v>0</v>
      </c>
      <c r="AH722" s="315">
        <f t="shared" si="202"/>
        <v>0</v>
      </c>
      <c r="AI722" s="315">
        <f t="shared" si="202"/>
        <v>0</v>
      </c>
      <c r="AJ722" s="315">
        <f t="shared" si="202"/>
        <v>0</v>
      </c>
      <c r="AK722" s="315">
        <f t="shared" si="202"/>
        <v>0</v>
      </c>
      <c r="AL722" s="315">
        <f t="shared" si="202"/>
        <v>0</v>
      </c>
      <c r="AM722" s="315">
        <f t="shared" si="202"/>
        <v>0</v>
      </c>
      <c r="AN722" s="315">
        <f t="shared" si="202"/>
        <v>0</v>
      </c>
      <c r="AO722" s="315">
        <f t="shared" si="202"/>
        <v>0</v>
      </c>
      <c r="AP722" s="315">
        <f t="shared" si="202"/>
        <v>0</v>
      </c>
      <c r="AQ722" s="315">
        <f t="shared" si="202"/>
        <v>0</v>
      </c>
      <c r="AR722" s="315">
        <f t="shared" si="202"/>
        <v>0</v>
      </c>
      <c r="AS722" s="315">
        <f t="shared" si="202"/>
        <v>0</v>
      </c>
      <c r="AT722" s="315">
        <f t="shared" si="202"/>
        <v>0</v>
      </c>
      <c r="AU722" s="315">
        <f t="shared" si="202"/>
        <v>0</v>
      </c>
      <c r="AV722" s="315">
        <f t="shared" si="202"/>
        <v>0</v>
      </c>
      <c r="AW722" s="315">
        <f t="shared" si="202"/>
        <v>0</v>
      </c>
      <c r="AX722" s="315">
        <f t="shared" si="202"/>
        <v>0</v>
      </c>
      <c r="AY722" s="315">
        <f t="shared" si="202"/>
        <v>0</v>
      </c>
      <c r="AZ722" s="315">
        <f t="shared" si="202"/>
        <v>0</v>
      </c>
      <c r="BA722" s="315">
        <f t="shared" si="202"/>
        <v>0</v>
      </c>
      <c r="BB722" s="315">
        <f t="shared" si="202"/>
        <v>0</v>
      </c>
      <c r="BC722" s="315">
        <f t="shared" si="202"/>
        <v>0</v>
      </c>
      <c r="BD722" s="315">
        <f t="shared" si="202"/>
        <v>0</v>
      </c>
      <c r="BE722" s="315">
        <f t="shared" si="202"/>
        <v>0</v>
      </c>
      <c r="BF722" s="315">
        <f t="shared" si="202"/>
        <v>0</v>
      </c>
      <c r="BG722" s="315">
        <f t="shared" si="202"/>
        <v>0</v>
      </c>
      <c r="BH722" s="315">
        <f t="shared" si="202"/>
        <v>0</v>
      </c>
      <c r="BI722" s="315">
        <f t="shared" si="202"/>
        <v>0</v>
      </c>
      <c r="BJ722" s="315">
        <f t="shared" si="202"/>
        <v>0</v>
      </c>
      <c r="BK722" s="315">
        <f t="shared" si="202"/>
        <v>0</v>
      </c>
      <c r="BL722" s="315">
        <f t="shared" si="202"/>
        <v>0</v>
      </c>
      <c r="BM722" s="315">
        <f t="shared" si="202"/>
        <v>0</v>
      </c>
      <c r="BN722" s="315">
        <f t="shared" si="202"/>
        <v>0</v>
      </c>
      <c r="BO722" s="315">
        <f t="shared" si="202"/>
        <v>-161224</v>
      </c>
      <c r="BP722" s="315">
        <f t="shared" si="202"/>
        <v>0</v>
      </c>
      <c r="BQ722" s="315">
        <f t="shared" si="202"/>
        <v>0</v>
      </c>
      <c r="BR722" s="315">
        <f t="shared" si="201"/>
        <v>0</v>
      </c>
      <c r="BS722" s="315">
        <f t="shared" si="199"/>
        <v>0</v>
      </c>
      <c r="BT722" s="315">
        <f t="shared" si="199"/>
        <v>-41836</v>
      </c>
      <c r="BU722" s="315">
        <f t="shared" si="199"/>
        <v>0</v>
      </c>
      <c r="BV722" s="315">
        <f t="shared" si="199"/>
        <v>0</v>
      </c>
      <c r="BW722" s="315">
        <f t="shared" si="199"/>
        <v>0</v>
      </c>
      <c r="BX722" s="315">
        <f t="shared" si="199"/>
        <v>0</v>
      </c>
      <c r="BZ722" s="315">
        <f t="shared" si="200"/>
        <v>0</v>
      </c>
      <c r="CA722" s="315">
        <f t="shared" si="200"/>
        <v>0</v>
      </c>
    </row>
    <row r="723" spans="7:79" hidden="1" x14ac:dyDescent="0.2">
      <c r="G723" s="315">
        <f t="shared" si="202"/>
        <v>-203060</v>
      </c>
      <c r="H723" s="315">
        <f t="shared" si="202"/>
        <v>0</v>
      </c>
      <c r="I723" s="315">
        <f t="shared" si="202"/>
        <v>0</v>
      </c>
      <c r="J723" s="315">
        <f t="shared" si="202"/>
        <v>0</v>
      </c>
      <c r="K723" s="315">
        <f t="shared" si="202"/>
        <v>0</v>
      </c>
      <c r="L723" s="315">
        <f t="shared" si="202"/>
        <v>-41836</v>
      </c>
      <c r="M723" s="315">
        <f t="shared" si="202"/>
        <v>0</v>
      </c>
      <c r="N723" s="315">
        <f t="shared" si="202"/>
        <v>0</v>
      </c>
      <c r="O723" s="315">
        <f t="shared" si="202"/>
        <v>0</v>
      </c>
      <c r="P723" s="315">
        <f t="shared" si="202"/>
        <v>0</v>
      </c>
      <c r="Q723" s="315">
        <f t="shared" si="202"/>
        <v>0</v>
      </c>
      <c r="R723" s="315">
        <f t="shared" si="202"/>
        <v>0</v>
      </c>
      <c r="S723" s="315">
        <f t="shared" si="202"/>
        <v>0</v>
      </c>
      <c r="T723" s="315">
        <f t="shared" si="202"/>
        <v>0</v>
      </c>
      <c r="U723" s="315">
        <f t="shared" si="202"/>
        <v>0</v>
      </c>
      <c r="V723" s="315">
        <f t="shared" si="202"/>
        <v>0</v>
      </c>
      <c r="W723" s="315">
        <f t="shared" si="202"/>
        <v>0</v>
      </c>
      <c r="X723" s="315">
        <f t="shared" si="202"/>
        <v>0</v>
      </c>
      <c r="Y723" s="315">
        <f t="shared" si="202"/>
        <v>0</v>
      </c>
      <c r="Z723" s="315">
        <f t="shared" si="202"/>
        <v>0</v>
      </c>
      <c r="AA723" s="315">
        <f t="shared" si="202"/>
        <v>0</v>
      </c>
      <c r="AB723" s="315">
        <f t="shared" si="202"/>
        <v>0</v>
      </c>
      <c r="AC723" s="315">
        <f t="shared" si="202"/>
        <v>0</v>
      </c>
      <c r="AD723" s="315">
        <f t="shared" si="202"/>
        <v>0</v>
      </c>
      <c r="AE723" s="315">
        <f t="shared" si="202"/>
        <v>0</v>
      </c>
      <c r="AF723" s="315">
        <f t="shared" si="202"/>
        <v>0</v>
      </c>
      <c r="AG723" s="315">
        <f t="shared" si="202"/>
        <v>0</v>
      </c>
      <c r="AH723" s="315">
        <f t="shared" si="202"/>
        <v>0</v>
      </c>
      <c r="AI723" s="315">
        <f t="shared" si="202"/>
        <v>0</v>
      </c>
      <c r="AJ723" s="315">
        <f t="shared" si="202"/>
        <v>0</v>
      </c>
      <c r="AK723" s="315">
        <f t="shared" si="202"/>
        <v>0</v>
      </c>
      <c r="AL723" s="315">
        <f t="shared" si="202"/>
        <v>0</v>
      </c>
      <c r="AM723" s="315">
        <f t="shared" si="202"/>
        <v>0</v>
      </c>
      <c r="AN723" s="315">
        <f t="shared" si="202"/>
        <v>0</v>
      </c>
      <c r="AO723" s="315">
        <f t="shared" si="202"/>
        <v>0</v>
      </c>
      <c r="AP723" s="315">
        <f t="shared" si="202"/>
        <v>0</v>
      </c>
      <c r="AQ723" s="315">
        <f t="shared" si="202"/>
        <v>0</v>
      </c>
      <c r="AR723" s="315">
        <f t="shared" si="202"/>
        <v>0</v>
      </c>
      <c r="AS723" s="315">
        <f t="shared" si="202"/>
        <v>0</v>
      </c>
      <c r="AT723" s="315">
        <f t="shared" si="202"/>
        <v>0</v>
      </c>
      <c r="AU723" s="315">
        <f t="shared" si="202"/>
        <v>0</v>
      </c>
      <c r="AV723" s="315">
        <f t="shared" si="202"/>
        <v>0</v>
      </c>
      <c r="AW723" s="315">
        <f t="shared" si="202"/>
        <v>0</v>
      </c>
      <c r="AX723" s="315">
        <f t="shared" si="202"/>
        <v>0</v>
      </c>
      <c r="AY723" s="315">
        <f t="shared" si="202"/>
        <v>0</v>
      </c>
      <c r="AZ723" s="315">
        <f t="shared" si="202"/>
        <v>0</v>
      </c>
      <c r="BA723" s="315">
        <f t="shared" si="202"/>
        <v>0</v>
      </c>
      <c r="BB723" s="315">
        <f t="shared" si="202"/>
        <v>0</v>
      </c>
      <c r="BC723" s="315">
        <f t="shared" si="202"/>
        <v>0</v>
      </c>
      <c r="BD723" s="315">
        <f t="shared" si="202"/>
        <v>0</v>
      </c>
      <c r="BE723" s="315">
        <f t="shared" si="202"/>
        <v>0</v>
      </c>
      <c r="BF723" s="315">
        <f t="shared" si="202"/>
        <v>0</v>
      </c>
      <c r="BG723" s="315">
        <f t="shared" si="202"/>
        <v>0</v>
      </c>
      <c r="BH723" s="315">
        <f t="shared" si="202"/>
        <v>0</v>
      </c>
      <c r="BI723" s="315">
        <f t="shared" si="202"/>
        <v>0</v>
      </c>
      <c r="BJ723" s="315">
        <f t="shared" si="202"/>
        <v>0</v>
      </c>
      <c r="BK723" s="315">
        <f t="shared" si="202"/>
        <v>0</v>
      </c>
      <c r="BL723" s="315">
        <f t="shared" si="202"/>
        <v>0</v>
      </c>
      <c r="BM723" s="315">
        <f t="shared" si="202"/>
        <v>0</v>
      </c>
      <c r="BN723" s="315">
        <f t="shared" si="202"/>
        <v>0</v>
      </c>
      <c r="BO723" s="315">
        <f t="shared" si="202"/>
        <v>-161224</v>
      </c>
      <c r="BP723" s="315">
        <f t="shared" si="202"/>
        <v>0</v>
      </c>
      <c r="BQ723" s="315">
        <f t="shared" si="202"/>
        <v>0</v>
      </c>
      <c r="BR723" s="315">
        <f t="shared" si="201"/>
        <v>0</v>
      </c>
      <c r="BS723" s="315">
        <f t="shared" si="199"/>
        <v>0</v>
      </c>
      <c r="BT723" s="315">
        <f t="shared" si="199"/>
        <v>-41836</v>
      </c>
      <c r="BU723" s="315">
        <f t="shared" si="199"/>
        <v>0</v>
      </c>
      <c r="BV723" s="315">
        <f t="shared" si="199"/>
        <v>0</v>
      </c>
      <c r="BW723" s="315">
        <f t="shared" si="199"/>
        <v>0</v>
      </c>
      <c r="BX723" s="315">
        <f t="shared" si="199"/>
        <v>0</v>
      </c>
      <c r="BZ723" s="315">
        <f t="shared" si="200"/>
        <v>0</v>
      </c>
      <c r="CA723" s="315">
        <f t="shared" si="200"/>
        <v>0</v>
      </c>
    </row>
    <row r="724" spans="7:79" hidden="1" x14ac:dyDescent="0.2">
      <c r="G724" s="315">
        <f t="shared" si="202"/>
        <v>0</v>
      </c>
      <c r="H724" s="315">
        <f t="shared" si="202"/>
        <v>0</v>
      </c>
      <c r="I724" s="315">
        <f t="shared" si="202"/>
        <v>0</v>
      </c>
      <c r="J724" s="315">
        <f t="shared" ref="J724:BQ728" si="203">J368-CB368</f>
        <v>0</v>
      </c>
      <c r="K724" s="315">
        <f t="shared" si="203"/>
        <v>0</v>
      </c>
      <c r="L724" s="315">
        <f t="shared" si="203"/>
        <v>0</v>
      </c>
      <c r="M724" s="315">
        <f t="shared" si="203"/>
        <v>0</v>
      </c>
      <c r="N724" s="315">
        <f t="shared" si="203"/>
        <v>0</v>
      </c>
      <c r="O724" s="315">
        <f t="shared" si="203"/>
        <v>0</v>
      </c>
      <c r="P724" s="315">
        <f t="shared" si="203"/>
        <v>0</v>
      </c>
      <c r="Q724" s="315">
        <f t="shared" si="203"/>
        <v>0</v>
      </c>
      <c r="R724" s="315">
        <f t="shared" si="203"/>
        <v>0</v>
      </c>
      <c r="S724" s="315">
        <f t="shared" si="203"/>
        <v>0</v>
      </c>
      <c r="T724" s="315">
        <f t="shared" si="203"/>
        <v>0</v>
      </c>
      <c r="U724" s="315">
        <f t="shared" si="203"/>
        <v>0</v>
      </c>
      <c r="V724" s="315">
        <f t="shared" si="203"/>
        <v>0</v>
      </c>
      <c r="W724" s="315">
        <f t="shared" si="203"/>
        <v>0</v>
      </c>
      <c r="X724" s="315">
        <f t="shared" si="203"/>
        <v>0</v>
      </c>
      <c r="Y724" s="315">
        <f t="shared" si="203"/>
        <v>0</v>
      </c>
      <c r="Z724" s="315">
        <f t="shared" si="203"/>
        <v>0</v>
      </c>
      <c r="AA724" s="315">
        <f t="shared" si="203"/>
        <v>0</v>
      </c>
      <c r="AB724" s="315">
        <f t="shared" si="203"/>
        <v>0</v>
      </c>
      <c r="AC724" s="315">
        <f t="shared" si="203"/>
        <v>0</v>
      </c>
      <c r="AD724" s="315">
        <f t="shared" si="203"/>
        <v>0</v>
      </c>
      <c r="AE724" s="315">
        <f t="shared" si="203"/>
        <v>0</v>
      </c>
      <c r="AF724" s="315">
        <f t="shared" si="203"/>
        <v>0</v>
      </c>
      <c r="AG724" s="315">
        <f t="shared" si="203"/>
        <v>0</v>
      </c>
      <c r="AH724" s="315">
        <f t="shared" si="203"/>
        <v>0</v>
      </c>
      <c r="AI724" s="315">
        <f t="shared" si="203"/>
        <v>0</v>
      </c>
      <c r="AJ724" s="315">
        <f t="shared" si="203"/>
        <v>0</v>
      </c>
      <c r="AK724" s="315">
        <f t="shared" si="203"/>
        <v>0</v>
      </c>
      <c r="AL724" s="315">
        <f t="shared" si="203"/>
        <v>0</v>
      </c>
      <c r="AM724" s="315">
        <f t="shared" si="203"/>
        <v>0</v>
      </c>
      <c r="AN724" s="315">
        <f t="shared" si="203"/>
        <v>0</v>
      </c>
      <c r="AO724" s="315">
        <f t="shared" si="203"/>
        <v>0</v>
      </c>
      <c r="AP724" s="315">
        <f t="shared" si="203"/>
        <v>0</v>
      </c>
      <c r="AQ724" s="315">
        <f t="shared" si="203"/>
        <v>0</v>
      </c>
      <c r="AR724" s="315">
        <f t="shared" si="203"/>
        <v>0</v>
      </c>
      <c r="AS724" s="315">
        <f t="shared" si="203"/>
        <v>0</v>
      </c>
      <c r="AT724" s="315">
        <f t="shared" si="203"/>
        <v>0</v>
      </c>
      <c r="AU724" s="315">
        <f t="shared" si="203"/>
        <v>0</v>
      </c>
      <c r="AV724" s="315">
        <f t="shared" si="203"/>
        <v>0</v>
      </c>
      <c r="AW724" s="315">
        <f t="shared" si="203"/>
        <v>0</v>
      </c>
      <c r="AX724" s="315">
        <f t="shared" si="203"/>
        <v>0</v>
      </c>
      <c r="AY724" s="315">
        <f t="shared" si="203"/>
        <v>0</v>
      </c>
      <c r="AZ724" s="315">
        <f t="shared" si="203"/>
        <v>0</v>
      </c>
      <c r="BA724" s="315">
        <f t="shared" si="203"/>
        <v>0</v>
      </c>
      <c r="BB724" s="315">
        <f t="shared" si="203"/>
        <v>0</v>
      </c>
      <c r="BC724" s="315">
        <f t="shared" si="203"/>
        <v>0</v>
      </c>
      <c r="BD724" s="315">
        <f t="shared" si="203"/>
        <v>0</v>
      </c>
      <c r="BE724" s="315">
        <f t="shared" si="203"/>
        <v>0</v>
      </c>
      <c r="BF724" s="315">
        <f t="shared" si="203"/>
        <v>0</v>
      </c>
      <c r="BG724" s="315">
        <f t="shared" si="203"/>
        <v>0</v>
      </c>
      <c r="BH724" s="315">
        <f t="shared" si="203"/>
        <v>0</v>
      </c>
      <c r="BI724" s="315">
        <f t="shared" si="203"/>
        <v>0</v>
      </c>
      <c r="BJ724" s="315">
        <f t="shared" si="203"/>
        <v>0</v>
      </c>
      <c r="BK724" s="315">
        <f t="shared" si="203"/>
        <v>0</v>
      </c>
      <c r="BL724" s="315">
        <f t="shared" si="203"/>
        <v>0</v>
      </c>
      <c r="BM724" s="315">
        <f t="shared" si="203"/>
        <v>0</v>
      </c>
      <c r="BN724" s="315">
        <f t="shared" si="203"/>
        <v>0</v>
      </c>
      <c r="BO724" s="315">
        <f t="shared" si="203"/>
        <v>0</v>
      </c>
      <c r="BP724" s="315">
        <f t="shared" si="203"/>
        <v>0</v>
      </c>
      <c r="BQ724" s="315">
        <f t="shared" si="203"/>
        <v>0</v>
      </c>
      <c r="BR724" s="315">
        <f t="shared" si="201"/>
        <v>0</v>
      </c>
      <c r="BS724" s="315">
        <f t="shared" si="199"/>
        <v>0</v>
      </c>
      <c r="BT724" s="315">
        <f t="shared" si="199"/>
        <v>0</v>
      </c>
      <c r="BU724" s="315">
        <f t="shared" si="199"/>
        <v>0</v>
      </c>
      <c r="BV724" s="315">
        <f t="shared" si="199"/>
        <v>0</v>
      </c>
      <c r="BW724" s="315">
        <f t="shared" si="199"/>
        <v>0</v>
      </c>
      <c r="BX724" s="315">
        <f t="shared" si="199"/>
        <v>0</v>
      </c>
      <c r="BZ724" s="315">
        <f t="shared" si="200"/>
        <v>0</v>
      </c>
      <c r="CA724" s="315">
        <f t="shared" si="200"/>
        <v>0</v>
      </c>
    </row>
    <row r="725" spans="7:79" hidden="1" x14ac:dyDescent="0.2">
      <c r="G725" s="315">
        <f t="shared" ref="G725:V738" si="204">G369-BY369</f>
        <v>-443361</v>
      </c>
      <c r="H725" s="315">
        <f t="shared" si="204"/>
        <v>0</v>
      </c>
      <c r="I725" s="315">
        <f t="shared" si="204"/>
        <v>0</v>
      </c>
      <c r="J725" s="315">
        <f t="shared" si="203"/>
        <v>0</v>
      </c>
      <c r="K725" s="315">
        <f t="shared" si="203"/>
        <v>0</v>
      </c>
      <c r="L725" s="315">
        <f t="shared" si="203"/>
        <v>0</v>
      </c>
      <c r="M725" s="315">
        <f t="shared" si="203"/>
        <v>0</v>
      </c>
      <c r="N725" s="315">
        <f t="shared" si="203"/>
        <v>0</v>
      </c>
      <c r="O725" s="315">
        <f t="shared" si="203"/>
        <v>0</v>
      </c>
      <c r="P725" s="315">
        <f t="shared" si="203"/>
        <v>0</v>
      </c>
      <c r="Q725" s="315">
        <f t="shared" si="203"/>
        <v>87218</v>
      </c>
      <c r="R725" s="315">
        <f t="shared" si="203"/>
        <v>0</v>
      </c>
      <c r="S725" s="315">
        <f t="shared" si="203"/>
        <v>0</v>
      </c>
      <c r="T725" s="315">
        <f t="shared" si="203"/>
        <v>0</v>
      </c>
      <c r="U725" s="315">
        <f t="shared" si="203"/>
        <v>0</v>
      </c>
      <c r="V725" s="315">
        <f t="shared" si="203"/>
        <v>0</v>
      </c>
      <c r="W725" s="315">
        <f t="shared" si="203"/>
        <v>0</v>
      </c>
      <c r="X725" s="315">
        <f t="shared" si="203"/>
        <v>0</v>
      </c>
      <c r="Y725" s="315">
        <f t="shared" si="203"/>
        <v>0</v>
      </c>
      <c r="Z725" s="315">
        <f t="shared" si="203"/>
        <v>0</v>
      </c>
      <c r="AA725" s="315">
        <f t="shared" si="203"/>
        <v>0</v>
      </c>
      <c r="AB725" s="315">
        <f t="shared" si="203"/>
        <v>0</v>
      </c>
      <c r="AC725" s="315">
        <f t="shared" si="203"/>
        <v>0</v>
      </c>
      <c r="AD725" s="315">
        <f t="shared" si="203"/>
        <v>0</v>
      </c>
      <c r="AE725" s="315">
        <f t="shared" si="203"/>
        <v>0</v>
      </c>
      <c r="AF725" s="315">
        <f t="shared" si="203"/>
        <v>0</v>
      </c>
      <c r="AG725" s="315">
        <f t="shared" si="203"/>
        <v>0</v>
      </c>
      <c r="AH725" s="315">
        <f t="shared" si="203"/>
        <v>0</v>
      </c>
      <c r="AI725" s="315">
        <f t="shared" si="203"/>
        <v>0</v>
      </c>
      <c r="AJ725" s="315">
        <f t="shared" si="203"/>
        <v>0</v>
      </c>
      <c r="AK725" s="315">
        <f t="shared" si="203"/>
        <v>0</v>
      </c>
      <c r="AL725" s="315">
        <f t="shared" si="203"/>
        <v>0</v>
      </c>
      <c r="AM725" s="315">
        <f t="shared" si="203"/>
        <v>0</v>
      </c>
      <c r="AN725" s="315">
        <f t="shared" si="203"/>
        <v>0</v>
      </c>
      <c r="AO725" s="315">
        <f t="shared" si="203"/>
        <v>0</v>
      </c>
      <c r="AP725" s="315">
        <f t="shared" si="203"/>
        <v>0</v>
      </c>
      <c r="AQ725" s="315">
        <f t="shared" si="203"/>
        <v>0</v>
      </c>
      <c r="AR725" s="315">
        <f t="shared" si="203"/>
        <v>0</v>
      </c>
      <c r="AS725" s="315">
        <f t="shared" si="203"/>
        <v>0</v>
      </c>
      <c r="AT725" s="315">
        <f t="shared" si="203"/>
        <v>0</v>
      </c>
      <c r="AU725" s="315">
        <f t="shared" si="203"/>
        <v>-530579</v>
      </c>
      <c r="AV725" s="315">
        <f t="shared" si="203"/>
        <v>0</v>
      </c>
      <c r="AW725" s="315">
        <f t="shared" si="203"/>
        <v>0</v>
      </c>
      <c r="AX725" s="315">
        <f t="shared" si="203"/>
        <v>0</v>
      </c>
      <c r="AY725" s="315">
        <f t="shared" si="203"/>
        <v>0</v>
      </c>
      <c r="AZ725" s="315">
        <f t="shared" si="203"/>
        <v>0</v>
      </c>
      <c r="BA725" s="315">
        <f t="shared" si="203"/>
        <v>0</v>
      </c>
      <c r="BB725" s="315">
        <f t="shared" si="203"/>
        <v>0</v>
      </c>
      <c r="BC725" s="315">
        <f t="shared" si="203"/>
        <v>0</v>
      </c>
      <c r="BD725" s="315">
        <f t="shared" si="203"/>
        <v>0</v>
      </c>
      <c r="BE725" s="315">
        <f t="shared" si="203"/>
        <v>0</v>
      </c>
      <c r="BF725" s="315">
        <f t="shared" si="203"/>
        <v>0</v>
      </c>
      <c r="BG725" s="315">
        <f t="shared" si="203"/>
        <v>0</v>
      </c>
      <c r="BH725" s="315">
        <f t="shared" si="203"/>
        <v>0</v>
      </c>
      <c r="BI725" s="315">
        <f t="shared" si="203"/>
        <v>0</v>
      </c>
      <c r="BJ725" s="315">
        <f t="shared" si="203"/>
        <v>0</v>
      </c>
      <c r="BK725" s="315">
        <f t="shared" si="203"/>
        <v>0</v>
      </c>
      <c r="BL725" s="315">
        <f t="shared" si="203"/>
        <v>0</v>
      </c>
      <c r="BM725" s="315">
        <f t="shared" si="203"/>
        <v>0</v>
      </c>
      <c r="BN725" s="315">
        <f t="shared" si="203"/>
        <v>0</v>
      </c>
      <c r="BO725" s="315">
        <f t="shared" si="203"/>
        <v>0</v>
      </c>
      <c r="BP725" s="315">
        <f t="shared" si="203"/>
        <v>0</v>
      </c>
      <c r="BQ725" s="315">
        <f t="shared" si="203"/>
        <v>0</v>
      </c>
      <c r="BR725" s="315">
        <f t="shared" si="201"/>
        <v>0</v>
      </c>
      <c r="BS725" s="315">
        <f t="shared" si="199"/>
        <v>0</v>
      </c>
      <c r="BT725" s="315">
        <f t="shared" si="199"/>
        <v>87218</v>
      </c>
      <c r="BU725" s="315">
        <f t="shared" si="199"/>
        <v>0</v>
      </c>
      <c r="BV725" s="315">
        <f t="shared" si="199"/>
        <v>0</v>
      </c>
      <c r="BW725" s="315">
        <f t="shared" si="199"/>
        <v>0</v>
      </c>
      <c r="BX725" s="315">
        <f t="shared" si="199"/>
        <v>0</v>
      </c>
      <c r="BZ725" s="315">
        <f t="shared" si="200"/>
        <v>0</v>
      </c>
      <c r="CA725" s="315">
        <f t="shared" si="200"/>
        <v>0</v>
      </c>
    </row>
    <row r="726" spans="7:79" hidden="1" x14ac:dyDescent="0.2">
      <c r="G726" s="315">
        <f t="shared" si="204"/>
        <v>-443361</v>
      </c>
      <c r="H726" s="315">
        <f t="shared" si="204"/>
        <v>0</v>
      </c>
      <c r="I726" s="315">
        <f t="shared" si="204"/>
        <v>0</v>
      </c>
      <c r="J726" s="315">
        <f t="shared" si="203"/>
        <v>0</v>
      </c>
      <c r="K726" s="315">
        <f t="shared" si="203"/>
        <v>0</v>
      </c>
      <c r="L726" s="315">
        <f t="shared" si="203"/>
        <v>0</v>
      </c>
      <c r="M726" s="315">
        <f t="shared" si="203"/>
        <v>0</v>
      </c>
      <c r="N726" s="315">
        <f t="shared" si="203"/>
        <v>0</v>
      </c>
      <c r="O726" s="315">
        <f t="shared" si="203"/>
        <v>0</v>
      </c>
      <c r="P726" s="315">
        <f t="shared" si="203"/>
        <v>0</v>
      </c>
      <c r="Q726" s="315">
        <f t="shared" si="203"/>
        <v>87218</v>
      </c>
      <c r="R726" s="315">
        <f t="shared" si="203"/>
        <v>0</v>
      </c>
      <c r="S726" s="315">
        <f t="shared" si="203"/>
        <v>0</v>
      </c>
      <c r="T726" s="315">
        <f t="shared" si="203"/>
        <v>0</v>
      </c>
      <c r="U726" s="315">
        <f t="shared" si="203"/>
        <v>0</v>
      </c>
      <c r="V726" s="315">
        <f t="shared" si="203"/>
        <v>0</v>
      </c>
      <c r="W726" s="315">
        <f t="shared" si="203"/>
        <v>0</v>
      </c>
      <c r="X726" s="315">
        <f t="shared" si="203"/>
        <v>0</v>
      </c>
      <c r="Y726" s="315">
        <f t="shared" si="203"/>
        <v>0</v>
      </c>
      <c r="Z726" s="315">
        <f t="shared" si="203"/>
        <v>0</v>
      </c>
      <c r="AA726" s="315">
        <f t="shared" si="203"/>
        <v>0</v>
      </c>
      <c r="AB726" s="315">
        <f t="shared" si="203"/>
        <v>0</v>
      </c>
      <c r="AC726" s="315">
        <f t="shared" si="203"/>
        <v>0</v>
      </c>
      <c r="AD726" s="315">
        <f t="shared" si="203"/>
        <v>0</v>
      </c>
      <c r="AE726" s="315">
        <f t="shared" si="203"/>
        <v>0</v>
      </c>
      <c r="AF726" s="315">
        <f t="shared" si="203"/>
        <v>0</v>
      </c>
      <c r="AG726" s="315">
        <f t="shared" si="203"/>
        <v>0</v>
      </c>
      <c r="AH726" s="315">
        <f t="shared" si="203"/>
        <v>0</v>
      </c>
      <c r="AI726" s="315">
        <f t="shared" si="203"/>
        <v>0</v>
      </c>
      <c r="AJ726" s="315">
        <f t="shared" si="203"/>
        <v>0</v>
      </c>
      <c r="AK726" s="315">
        <f t="shared" si="203"/>
        <v>0</v>
      </c>
      <c r="AL726" s="315">
        <f t="shared" si="203"/>
        <v>0</v>
      </c>
      <c r="AM726" s="315">
        <f t="shared" si="203"/>
        <v>0</v>
      </c>
      <c r="AN726" s="315">
        <f t="shared" si="203"/>
        <v>0</v>
      </c>
      <c r="AO726" s="315">
        <f t="shared" si="203"/>
        <v>0</v>
      </c>
      <c r="AP726" s="315">
        <f t="shared" si="203"/>
        <v>0</v>
      </c>
      <c r="AQ726" s="315">
        <f t="shared" si="203"/>
        <v>0</v>
      </c>
      <c r="AR726" s="315">
        <f t="shared" si="203"/>
        <v>0</v>
      </c>
      <c r="AS726" s="315">
        <f t="shared" si="203"/>
        <v>0</v>
      </c>
      <c r="AT726" s="315">
        <f t="shared" si="203"/>
        <v>0</v>
      </c>
      <c r="AU726" s="315">
        <f t="shared" si="203"/>
        <v>-530579</v>
      </c>
      <c r="AV726" s="315">
        <f t="shared" si="203"/>
        <v>0</v>
      </c>
      <c r="AW726" s="315">
        <f t="shared" si="203"/>
        <v>0</v>
      </c>
      <c r="AX726" s="315">
        <f t="shared" si="203"/>
        <v>0</v>
      </c>
      <c r="AY726" s="315">
        <f t="shared" si="203"/>
        <v>0</v>
      </c>
      <c r="AZ726" s="315">
        <f t="shared" si="203"/>
        <v>0</v>
      </c>
      <c r="BA726" s="315">
        <f t="shared" si="203"/>
        <v>0</v>
      </c>
      <c r="BB726" s="315">
        <f t="shared" si="203"/>
        <v>0</v>
      </c>
      <c r="BC726" s="315">
        <f t="shared" si="203"/>
        <v>0</v>
      </c>
      <c r="BD726" s="315">
        <f t="shared" si="203"/>
        <v>0</v>
      </c>
      <c r="BE726" s="315">
        <f t="shared" si="203"/>
        <v>0</v>
      </c>
      <c r="BF726" s="315">
        <f t="shared" si="203"/>
        <v>0</v>
      </c>
      <c r="BG726" s="315">
        <f t="shared" si="203"/>
        <v>0</v>
      </c>
      <c r="BH726" s="315">
        <f t="shared" si="203"/>
        <v>0</v>
      </c>
      <c r="BI726" s="315">
        <f t="shared" si="203"/>
        <v>0</v>
      </c>
      <c r="BJ726" s="315">
        <f t="shared" si="203"/>
        <v>0</v>
      </c>
      <c r="BK726" s="315">
        <f t="shared" si="203"/>
        <v>0</v>
      </c>
      <c r="BL726" s="315">
        <f t="shared" si="203"/>
        <v>0</v>
      </c>
      <c r="BM726" s="315">
        <f t="shared" si="203"/>
        <v>0</v>
      </c>
      <c r="BN726" s="315">
        <f t="shared" si="203"/>
        <v>0</v>
      </c>
      <c r="BO726" s="315">
        <f t="shared" si="203"/>
        <v>0</v>
      </c>
      <c r="BP726" s="315">
        <f t="shared" si="203"/>
        <v>0</v>
      </c>
      <c r="BQ726" s="315">
        <f t="shared" si="203"/>
        <v>0</v>
      </c>
      <c r="BR726" s="315">
        <f t="shared" si="201"/>
        <v>0</v>
      </c>
      <c r="BS726" s="315">
        <f t="shared" si="199"/>
        <v>0</v>
      </c>
      <c r="BT726" s="315">
        <f t="shared" si="199"/>
        <v>87218</v>
      </c>
      <c r="BU726" s="315">
        <f t="shared" si="199"/>
        <v>0</v>
      </c>
      <c r="BV726" s="315">
        <f t="shared" si="199"/>
        <v>0</v>
      </c>
      <c r="BW726" s="315">
        <f t="shared" si="199"/>
        <v>0</v>
      </c>
      <c r="BX726" s="315">
        <f t="shared" si="199"/>
        <v>0</v>
      </c>
      <c r="BZ726" s="315">
        <f t="shared" si="200"/>
        <v>0</v>
      </c>
      <c r="CA726" s="315">
        <f t="shared" si="200"/>
        <v>0</v>
      </c>
    </row>
    <row r="727" spans="7:79" hidden="1" x14ac:dyDescent="0.2">
      <c r="G727" s="315">
        <f t="shared" si="204"/>
        <v>0</v>
      </c>
      <c r="H727" s="315">
        <f t="shared" si="204"/>
        <v>0</v>
      </c>
      <c r="I727" s="315">
        <f t="shared" si="204"/>
        <v>0</v>
      </c>
      <c r="J727" s="315">
        <f t="shared" si="203"/>
        <v>0</v>
      </c>
      <c r="K727" s="315">
        <f t="shared" si="203"/>
        <v>0</v>
      </c>
      <c r="L727" s="315">
        <f t="shared" si="203"/>
        <v>0</v>
      </c>
      <c r="M727" s="315">
        <f t="shared" si="203"/>
        <v>0</v>
      </c>
      <c r="N727" s="315">
        <f t="shared" si="203"/>
        <v>0</v>
      </c>
      <c r="O727" s="315">
        <f t="shared" si="203"/>
        <v>0</v>
      </c>
      <c r="P727" s="315">
        <f t="shared" si="203"/>
        <v>0</v>
      </c>
      <c r="Q727" s="315">
        <f t="shared" si="203"/>
        <v>0</v>
      </c>
      <c r="R727" s="315">
        <f t="shared" si="203"/>
        <v>0</v>
      </c>
      <c r="S727" s="315">
        <f t="shared" si="203"/>
        <v>0</v>
      </c>
      <c r="T727" s="315">
        <f t="shared" si="203"/>
        <v>0</v>
      </c>
      <c r="U727" s="315">
        <f t="shared" si="203"/>
        <v>0</v>
      </c>
      <c r="V727" s="315">
        <f t="shared" si="203"/>
        <v>0</v>
      </c>
      <c r="W727" s="315">
        <f t="shared" si="203"/>
        <v>0</v>
      </c>
      <c r="X727" s="315">
        <f t="shared" si="203"/>
        <v>0</v>
      </c>
      <c r="Y727" s="315">
        <f t="shared" si="203"/>
        <v>0</v>
      </c>
      <c r="Z727" s="315">
        <f t="shared" si="203"/>
        <v>0</v>
      </c>
      <c r="AA727" s="315">
        <f t="shared" si="203"/>
        <v>0</v>
      </c>
      <c r="AB727" s="315">
        <f t="shared" si="203"/>
        <v>0</v>
      </c>
      <c r="AC727" s="315">
        <f t="shared" si="203"/>
        <v>0</v>
      </c>
      <c r="AD727" s="315">
        <f t="shared" si="203"/>
        <v>0</v>
      </c>
      <c r="AE727" s="315">
        <f t="shared" si="203"/>
        <v>0</v>
      </c>
      <c r="AF727" s="315">
        <f t="shared" si="203"/>
        <v>0</v>
      </c>
      <c r="AG727" s="315">
        <f t="shared" si="203"/>
        <v>0</v>
      </c>
      <c r="AH727" s="315">
        <f t="shared" si="203"/>
        <v>0</v>
      </c>
      <c r="AI727" s="315">
        <f t="shared" si="203"/>
        <v>0</v>
      </c>
      <c r="AJ727" s="315">
        <f t="shared" si="203"/>
        <v>0</v>
      </c>
      <c r="AK727" s="315">
        <f t="shared" si="203"/>
        <v>0</v>
      </c>
      <c r="AL727" s="315">
        <f t="shared" si="203"/>
        <v>0</v>
      </c>
      <c r="AM727" s="315">
        <f t="shared" si="203"/>
        <v>0</v>
      </c>
      <c r="AN727" s="315">
        <f t="shared" si="203"/>
        <v>0</v>
      </c>
      <c r="AO727" s="315">
        <f t="shared" si="203"/>
        <v>0</v>
      </c>
      <c r="AP727" s="315">
        <f t="shared" si="203"/>
        <v>0</v>
      </c>
      <c r="AQ727" s="315">
        <f t="shared" si="203"/>
        <v>0</v>
      </c>
      <c r="AR727" s="315">
        <f t="shared" si="203"/>
        <v>0</v>
      </c>
      <c r="AS727" s="315">
        <f t="shared" si="203"/>
        <v>0</v>
      </c>
      <c r="AT727" s="315">
        <f t="shared" si="203"/>
        <v>0</v>
      </c>
      <c r="AU727" s="315">
        <f t="shared" si="203"/>
        <v>0</v>
      </c>
      <c r="AV727" s="315">
        <f t="shared" si="203"/>
        <v>0</v>
      </c>
      <c r="AW727" s="315">
        <f t="shared" si="203"/>
        <v>0</v>
      </c>
      <c r="AX727" s="315">
        <f t="shared" si="203"/>
        <v>0</v>
      </c>
      <c r="AY727" s="315">
        <f t="shared" si="203"/>
        <v>0</v>
      </c>
      <c r="AZ727" s="315">
        <f t="shared" si="203"/>
        <v>0</v>
      </c>
      <c r="BA727" s="315">
        <f t="shared" si="203"/>
        <v>0</v>
      </c>
      <c r="BB727" s="315">
        <f t="shared" si="203"/>
        <v>0</v>
      </c>
      <c r="BC727" s="315">
        <f t="shared" si="203"/>
        <v>0</v>
      </c>
      <c r="BD727" s="315">
        <f t="shared" si="203"/>
        <v>0</v>
      </c>
      <c r="BE727" s="315">
        <f t="shared" si="203"/>
        <v>0</v>
      </c>
      <c r="BF727" s="315">
        <f t="shared" si="203"/>
        <v>0</v>
      </c>
      <c r="BG727" s="315">
        <f t="shared" si="203"/>
        <v>0</v>
      </c>
      <c r="BH727" s="315">
        <f t="shared" si="203"/>
        <v>0</v>
      </c>
      <c r="BI727" s="315">
        <f t="shared" si="203"/>
        <v>0</v>
      </c>
      <c r="BJ727" s="315">
        <f t="shared" si="203"/>
        <v>0</v>
      </c>
      <c r="BK727" s="315">
        <f t="shared" si="203"/>
        <v>0</v>
      </c>
      <c r="BL727" s="315">
        <f t="shared" si="203"/>
        <v>0</v>
      </c>
      <c r="BM727" s="315">
        <f t="shared" si="203"/>
        <v>0</v>
      </c>
      <c r="BN727" s="315">
        <f t="shared" si="203"/>
        <v>0</v>
      </c>
      <c r="BO727" s="315">
        <f t="shared" si="203"/>
        <v>0</v>
      </c>
      <c r="BP727" s="315">
        <f t="shared" si="203"/>
        <v>0</v>
      </c>
      <c r="BQ727" s="315">
        <f t="shared" si="203"/>
        <v>0</v>
      </c>
      <c r="BR727" s="315">
        <f t="shared" si="201"/>
        <v>0</v>
      </c>
      <c r="BS727" s="315">
        <f t="shared" si="199"/>
        <v>0</v>
      </c>
      <c r="BT727" s="315">
        <f t="shared" si="199"/>
        <v>0</v>
      </c>
      <c r="BU727" s="315">
        <f t="shared" si="199"/>
        <v>0</v>
      </c>
      <c r="BV727" s="315">
        <f t="shared" si="199"/>
        <v>0</v>
      </c>
      <c r="BW727" s="315">
        <f t="shared" si="199"/>
        <v>0</v>
      </c>
      <c r="BX727" s="315">
        <f t="shared" si="199"/>
        <v>0</v>
      </c>
      <c r="BZ727" s="315">
        <f t="shared" si="200"/>
        <v>0</v>
      </c>
      <c r="CA727" s="315">
        <f t="shared" si="200"/>
        <v>0</v>
      </c>
    </row>
    <row r="728" spans="7:79" hidden="1" x14ac:dyDescent="0.2">
      <c r="G728" s="315">
        <f t="shared" si="204"/>
        <v>-534385</v>
      </c>
      <c r="H728" s="315">
        <f t="shared" si="204"/>
        <v>0</v>
      </c>
      <c r="I728" s="315">
        <f t="shared" si="204"/>
        <v>0</v>
      </c>
      <c r="J728" s="315">
        <f t="shared" si="203"/>
        <v>0</v>
      </c>
      <c r="K728" s="315">
        <f t="shared" si="203"/>
        <v>0</v>
      </c>
      <c r="L728" s="315">
        <f t="shared" si="203"/>
        <v>0</v>
      </c>
      <c r="M728" s="315">
        <f t="shared" si="203"/>
        <v>0</v>
      </c>
      <c r="N728" s="315">
        <f t="shared" si="203"/>
        <v>0</v>
      </c>
      <c r="O728" s="315">
        <f t="shared" si="203"/>
        <v>0</v>
      </c>
      <c r="P728" s="315">
        <f t="shared" si="203"/>
        <v>0</v>
      </c>
      <c r="Q728" s="315">
        <f t="shared" si="203"/>
        <v>88771</v>
      </c>
      <c r="R728" s="315">
        <f t="shared" si="203"/>
        <v>0</v>
      </c>
      <c r="S728" s="315">
        <f t="shared" si="203"/>
        <v>0</v>
      </c>
      <c r="T728" s="315">
        <f t="shared" si="203"/>
        <v>0</v>
      </c>
      <c r="U728" s="315">
        <f t="shared" si="203"/>
        <v>0</v>
      </c>
      <c r="V728" s="315">
        <f t="shared" si="203"/>
        <v>0</v>
      </c>
      <c r="W728" s="315">
        <f t="shared" si="203"/>
        <v>0</v>
      </c>
      <c r="X728" s="315">
        <f t="shared" si="203"/>
        <v>0</v>
      </c>
      <c r="Y728" s="315">
        <f t="shared" ref="Y728:BQ733" si="205">Y372-CQ372</f>
        <v>0</v>
      </c>
      <c r="Z728" s="315">
        <f t="shared" si="205"/>
        <v>0</v>
      </c>
      <c r="AA728" s="315">
        <f t="shared" si="205"/>
        <v>0</v>
      </c>
      <c r="AB728" s="315">
        <f t="shared" si="205"/>
        <v>0</v>
      </c>
      <c r="AC728" s="315">
        <f t="shared" si="205"/>
        <v>0</v>
      </c>
      <c r="AD728" s="315">
        <f t="shared" si="205"/>
        <v>0</v>
      </c>
      <c r="AE728" s="315">
        <f t="shared" si="205"/>
        <v>0</v>
      </c>
      <c r="AF728" s="315">
        <f t="shared" si="205"/>
        <v>0</v>
      </c>
      <c r="AG728" s="315">
        <f t="shared" si="205"/>
        <v>0</v>
      </c>
      <c r="AH728" s="315">
        <f t="shared" si="205"/>
        <v>0</v>
      </c>
      <c r="AI728" s="315">
        <f t="shared" si="205"/>
        <v>0</v>
      </c>
      <c r="AJ728" s="315">
        <f t="shared" si="205"/>
        <v>0</v>
      </c>
      <c r="AK728" s="315">
        <f t="shared" si="205"/>
        <v>258046</v>
      </c>
      <c r="AL728" s="315">
        <f t="shared" si="205"/>
        <v>0</v>
      </c>
      <c r="AM728" s="315">
        <f t="shared" si="205"/>
        <v>0</v>
      </c>
      <c r="AN728" s="315">
        <f t="shared" si="205"/>
        <v>0</v>
      </c>
      <c r="AO728" s="315">
        <f t="shared" si="205"/>
        <v>0</v>
      </c>
      <c r="AP728" s="315">
        <f t="shared" si="205"/>
        <v>0</v>
      </c>
      <c r="AQ728" s="315">
        <f t="shared" si="205"/>
        <v>0</v>
      </c>
      <c r="AR728" s="315">
        <f t="shared" si="205"/>
        <v>0</v>
      </c>
      <c r="AS728" s="315">
        <f t="shared" si="205"/>
        <v>0</v>
      </c>
      <c r="AT728" s="315">
        <f t="shared" si="205"/>
        <v>0</v>
      </c>
      <c r="AU728" s="315">
        <f t="shared" si="205"/>
        <v>-179611</v>
      </c>
      <c r="AV728" s="315">
        <f t="shared" si="205"/>
        <v>0</v>
      </c>
      <c r="AW728" s="315">
        <f t="shared" si="205"/>
        <v>0</v>
      </c>
      <c r="AX728" s="315">
        <f t="shared" si="205"/>
        <v>0</v>
      </c>
      <c r="AY728" s="315">
        <f t="shared" si="205"/>
        <v>0</v>
      </c>
      <c r="AZ728" s="315">
        <f t="shared" si="205"/>
        <v>0</v>
      </c>
      <c r="BA728" s="315">
        <f t="shared" si="205"/>
        <v>0</v>
      </c>
      <c r="BB728" s="315">
        <f t="shared" si="205"/>
        <v>0</v>
      </c>
      <c r="BC728" s="315">
        <f t="shared" si="205"/>
        <v>0</v>
      </c>
      <c r="BD728" s="315">
        <f t="shared" si="205"/>
        <v>0</v>
      </c>
      <c r="BE728" s="315">
        <f t="shared" si="205"/>
        <v>0</v>
      </c>
      <c r="BF728" s="315">
        <f t="shared" si="205"/>
        <v>0</v>
      </c>
      <c r="BG728" s="315">
        <f t="shared" si="205"/>
        <v>0</v>
      </c>
      <c r="BH728" s="315">
        <f t="shared" si="205"/>
        <v>0</v>
      </c>
      <c r="BI728" s="315">
        <f t="shared" si="205"/>
        <v>0</v>
      </c>
      <c r="BJ728" s="315">
        <f t="shared" si="205"/>
        <v>0</v>
      </c>
      <c r="BK728" s="315">
        <f t="shared" si="205"/>
        <v>0</v>
      </c>
      <c r="BL728" s="315">
        <f t="shared" si="205"/>
        <v>0</v>
      </c>
      <c r="BM728" s="315">
        <f t="shared" si="205"/>
        <v>0</v>
      </c>
      <c r="BN728" s="315">
        <f t="shared" si="205"/>
        <v>0</v>
      </c>
      <c r="BO728" s="315">
        <f t="shared" si="205"/>
        <v>-701591</v>
      </c>
      <c r="BP728" s="315">
        <f t="shared" si="205"/>
        <v>0</v>
      </c>
      <c r="BQ728" s="315">
        <f t="shared" si="205"/>
        <v>0</v>
      </c>
      <c r="BR728" s="315">
        <f t="shared" si="201"/>
        <v>0</v>
      </c>
      <c r="BS728" s="315">
        <f t="shared" si="199"/>
        <v>0</v>
      </c>
      <c r="BT728" s="315">
        <f t="shared" si="199"/>
        <v>346817</v>
      </c>
      <c r="BU728" s="315">
        <f t="shared" si="199"/>
        <v>0</v>
      </c>
      <c r="BV728" s="315">
        <f t="shared" si="199"/>
        <v>0</v>
      </c>
      <c r="BW728" s="315">
        <f t="shared" si="199"/>
        <v>0</v>
      </c>
      <c r="BX728" s="315">
        <f t="shared" si="199"/>
        <v>0</v>
      </c>
      <c r="BZ728" s="315">
        <f t="shared" si="200"/>
        <v>0</v>
      </c>
      <c r="CA728" s="315">
        <f t="shared" si="200"/>
        <v>0</v>
      </c>
    </row>
    <row r="729" spans="7:79" hidden="1" x14ac:dyDescent="0.2">
      <c r="G729" s="315">
        <f t="shared" si="204"/>
        <v>-534385</v>
      </c>
      <c r="H729" s="315">
        <f t="shared" si="204"/>
        <v>0</v>
      </c>
      <c r="I729" s="315">
        <f t="shared" si="204"/>
        <v>0</v>
      </c>
      <c r="J729" s="315">
        <f t="shared" si="204"/>
        <v>0</v>
      </c>
      <c r="K729" s="315">
        <f t="shared" si="204"/>
        <v>0</v>
      </c>
      <c r="L729" s="315">
        <f t="shared" si="204"/>
        <v>0</v>
      </c>
      <c r="M729" s="315">
        <f t="shared" si="204"/>
        <v>0</v>
      </c>
      <c r="N729" s="315">
        <f t="shared" si="204"/>
        <v>0</v>
      </c>
      <c r="O729" s="315">
        <f t="shared" si="204"/>
        <v>0</v>
      </c>
      <c r="P729" s="315">
        <f t="shared" si="204"/>
        <v>0</v>
      </c>
      <c r="Q729" s="315">
        <f t="shared" si="204"/>
        <v>88771</v>
      </c>
      <c r="R729" s="315">
        <f t="shared" si="204"/>
        <v>0</v>
      </c>
      <c r="S729" s="315">
        <f t="shared" si="204"/>
        <v>0</v>
      </c>
      <c r="T729" s="315">
        <f t="shared" si="204"/>
        <v>0</v>
      </c>
      <c r="U729" s="315">
        <f t="shared" si="204"/>
        <v>0</v>
      </c>
      <c r="V729" s="315">
        <f t="shared" si="204"/>
        <v>0</v>
      </c>
      <c r="W729" s="315">
        <f t="shared" ref="W729:AL738" si="206">W373-CO373</f>
        <v>0</v>
      </c>
      <c r="X729" s="315">
        <f t="shared" si="206"/>
        <v>0</v>
      </c>
      <c r="Y729" s="315">
        <f t="shared" si="205"/>
        <v>0</v>
      </c>
      <c r="Z729" s="315">
        <f t="shared" si="205"/>
        <v>0</v>
      </c>
      <c r="AA729" s="315">
        <f t="shared" si="205"/>
        <v>0</v>
      </c>
      <c r="AB729" s="315">
        <f t="shared" si="205"/>
        <v>0</v>
      </c>
      <c r="AC729" s="315">
        <f t="shared" si="205"/>
        <v>0</v>
      </c>
      <c r="AD729" s="315">
        <f t="shared" si="205"/>
        <v>0</v>
      </c>
      <c r="AE729" s="315">
        <f t="shared" si="205"/>
        <v>0</v>
      </c>
      <c r="AF729" s="315">
        <f t="shared" si="205"/>
        <v>0</v>
      </c>
      <c r="AG729" s="315">
        <f t="shared" si="205"/>
        <v>0</v>
      </c>
      <c r="AH729" s="315">
        <f t="shared" si="205"/>
        <v>0</v>
      </c>
      <c r="AI729" s="315">
        <f t="shared" si="205"/>
        <v>0</v>
      </c>
      <c r="AJ729" s="315">
        <f t="shared" si="205"/>
        <v>0</v>
      </c>
      <c r="AK729" s="315">
        <f t="shared" si="205"/>
        <v>258046</v>
      </c>
      <c r="AL729" s="315">
        <f t="shared" si="205"/>
        <v>0</v>
      </c>
      <c r="AM729" s="315">
        <f t="shared" si="205"/>
        <v>0</v>
      </c>
      <c r="AN729" s="315">
        <f t="shared" si="205"/>
        <v>0</v>
      </c>
      <c r="AO729" s="315">
        <f t="shared" si="205"/>
        <v>0</v>
      </c>
      <c r="AP729" s="315">
        <f t="shared" si="205"/>
        <v>0</v>
      </c>
      <c r="AQ729" s="315">
        <f t="shared" si="205"/>
        <v>0</v>
      </c>
      <c r="AR729" s="315">
        <f t="shared" si="205"/>
        <v>0</v>
      </c>
      <c r="AS729" s="315">
        <f t="shared" si="205"/>
        <v>0</v>
      </c>
      <c r="AT729" s="315">
        <f t="shared" si="205"/>
        <v>0</v>
      </c>
      <c r="AU729" s="315">
        <f t="shared" si="205"/>
        <v>-179611</v>
      </c>
      <c r="AV729" s="315">
        <f t="shared" si="205"/>
        <v>0</v>
      </c>
      <c r="AW729" s="315">
        <f t="shared" si="205"/>
        <v>0</v>
      </c>
      <c r="AX729" s="315">
        <f t="shared" si="205"/>
        <v>0</v>
      </c>
      <c r="AY729" s="315">
        <f t="shared" si="205"/>
        <v>0</v>
      </c>
      <c r="AZ729" s="315">
        <f t="shared" si="205"/>
        <v>0</v>
      </c>
      <c r="BA729" s="315">
        <f t="shared" si="205"/>
        <v>0</v>
      </c>
      <c r="BB729" s="315">
        <f t="shared" si="205"/>
        <v>0</v>
      </c>
      <c r="BC729" s="315">
        <f t="shared" si="205"/>
        <v>0</v>
      </c>
      <c r="BD729" s="315">
        <f t="shared" si="205"/>
        <v>0</v>
      </c>
      <c r="BE729" s="315">
        <f t="shared" si="205"/>
        <v>0</v>
      </c>
      <c r="BF729" s="315">
        <f t="shared" si="205"/>
        <v>0</v>
      </c>
      <c r="BG729" s="315">
        <f t="shared" si="205"/>
        <v>0</v>
      </c>
      <c r="BH729" s="315">
        <f t="shared" si="205"/>
        <v>0</v>
      </c>
      <c r="BI729" s="315">
        <f t="shared" si="205"/>
        <v>0</v>
      </c>
      <c r="BJ729" s="315">
        <f t="shared" si="205"/>
        <v>0</v>
      </c>
      <c r="BK729" s="315">
        <f t="shared" si="205"/>
        <v>0</v>
      </c>
      <c r="BL729" s="315">
        <f t="shared" si="205"/>
        <v>0</v>
      </c>
      <c r="BM729" s="315">
        <f t="shared" si="205"/>
        <v>0</v>
      </c>
      <c r="BN729" s="315">
        <f t="shared" si="205"/>
        <v>0</v>
      </c>
      <c r="BO729" s="315">
        <f t="shared" si="205"/>
        <v>-701591</v>
      </c>
      <c r="BP729" s="315">
        <f t="shared" si="205"/>
        <v>0</v>
      </c>
      <c r="BQ729" s="315">
        <f t="shared" si="205"/>
        <v>0</v>
      </c>
      <c r="BR729" s="315">
        <f t="shared" si="201"/>
        <v>0</v>
      </c>
      <c r="BS729" s="315">
        <f t="shared" si="199"/>
        <v>0</v>
      </c>
      <c r="BT729" s="315">
        <f t="shared" si="199"/>
        <v>346817</v>
      </c>
      <c r="BU729" s="315">
        <f t="shared" si="199"/>
        <v>0</v>
      </c>
      <c r="BV729" s="315">
        <f t="shared" si="199"/>
        <v>0</v>
      </c>
      <c r="BW729" s="315">
        <f t="shared" si="199"/>
        <v>0</v>
      </c>
      <c r="BX729" s="315">
        <f t="shared" si="199"/>
        <v>0</v>
      </c>
      <c r="BZ729" s="315">
        <f t="shared" si="200"/>
        <v>0</v>
      </c>
      <c r="CA729" s="315">
        <f t="shared" si="200"/>
        <v>0</v>
      </c>
    </row>
    <row r="730" spans="7:79" hidden="1" x14ac:dyDescent="0.2">
      <c r="G730" s="315">
        <f t="shared" si="204"/>
        <v>0</v>
      </c>
      <c r="H730" s="315">
        <f t="shared" si="204"/>
        <v>0</v>
      </c>
      <c r="I730" s="315">
        <f t="shared" si="204"/>
        <v>0</v>
      </c>
      <c r="J730" s="315">
        <f t="shared" si="204"/>
        <v>0</v>
      </c>
      <c r="K730" s="315">
        <f t="shared" si="204"/>
        <v>0</v>
      </c>
      <c r="L730" s="315">
        <f t="shared" si="204"/>
        <v>0</v>
      </c>
      <c r="M730" s="315">
        <f t="shared" si="204"/>
        <v>0</v>
      </c>
      <c r="N730" s="315">
        <f t="shared" si="204"/>
        <v>0</v>
      </c>
      <c r="O730" s="315">
        <f t="shared" si="204"/>
        <v>0</v>
      </c>
      <c r="P730" s="315">
        <f t="shared" si="204"/>
        <v>0</v>
      </c>
      <c r="Q730" s="315">
        <f t="shared" si="204"/>
        <v>0</v>
      </c>
      <c r="R730" s="315">
        <f t="shared" si="204"/>
        <v>0</v>
      </c>
      <c r="S730" s="315">
        <f t="shared" si="204"/>
        <v>0</v>
      </c>
      <c r="T730" s="315">
        <f t="shared" si="204"/>
        <v>0</v>
      </c>
      <c r="U730" s="315">
        <f t="shared" si="204"/>
        <v>0</v>
      </c>
      <c r="V730" s="315">
        <f t="shared" si="204"/>
        <v>0</v>
      </c>
      <c r="W730" s="315">
        <f t="shared" si="206"/>
        <v>0</v>
      </c>
      <c r="X730" s="315">
        <f t="shared" si="206"/>
        <v>0</v>
      </c>
      <c r="Y730" s="315">
        <f t="shared" si="205"/>
        <v>0</v>
      </c>
      <c r="Z730" s="315">
        <f t="shared" si="205"/>
        <v>0</v>
      </c>
      <c r="AA730" s="315">
        <f t="shared" si="205"/>
        <v>0</v>
      </c>
      <c r="AB730" s="315">
        <f t="shared" si="205"/>
        <v>0</v>
      </c>
      <c r="AC730" s="315">
        <f t="shared" si="205"/>
        <v>0</v>
      </c>
      <c r="AD730" s="315">
        <f t="shared" si="205"/>
        <v>0</v>
      </c>
      <c r="AE730" s="315">
        <f t="shared" si="205"/>
        <v>0</v>
      </c>
      <c r="AF730" s="315">
        <f t="shared" si="205"/>
        <v>0</v>
      </c>
      <c r="AG730" s="315">
        <f t="shared" si="205"/>
        <v>0</v>
      </c>
      <c r="AH730" s="315">
        <f t="shared" si="205"/>
        <v>0</v>
      </c>
      <c r="AI730" s="315">
        <f t="shared" si="205"/>
        <v>0</v>
      </c>
      <c r="AJ730" s="315">
        <f t="shared" si="205"/>
        <v>0</v>
      </c>
      <c r="AK730" s="315">
        <f t="shared" si="205"/>
        <v>0</v>
      </c>
      <c r="AL730" s="315">
        <f t="shared" si="205"/>
        <v>0</v>
      </c>
      <c r="AM730" s="315">
        <f t="shared" si="205"/>
        <v>0</v>
      </c>
      <c r="AN730" s="315">
        <f t="shared" si="205"/>
        <v>0</v>
      </c>
      <c r="AO730" s="315">
        <f t="shared" si="205"/>
        <v>0</v>
      </c>
      <c r="AP730" s="315">
        <f t="shared" si="205"/>
        <v>0</v>
      </c>
      <c r="AQ730" s="315">
        <f t="shared" si="205"/>
        <v>0</v>
      </c>
      <c r="AR730" s="315">
        <f t="shared" si="205"/>
        <v>0</v>
      </c>
      <c r="AS730" s="315">
        <f t="shared" si="205"/>
        <v>0</v>
      </c>
      <c r="AT730" s="315">
        <f t="shared" si="205"/>
        <v>0</v>
      </c>
      <c r="AU730" s="315">
        <f t="shared" si="205"/>
        <v>0</v>
      </c>
      <c r="AV730" s="315">
        <f t="shared" si="205"/>
        <v>0</v>
      </c>
      <c r="AW730" s="315">
        <f t="shared" si="205"/>
        <v>0</v>
      </c>
      <c r="AX730" s="315">
        <f t="shared" si="205"/>
        <v>0</v>
      </c>
      <c r="AY730" s="315">
        <f t="shared" si="205"/>
        <v>0</v>
      </c>
      <c r="AZ730" s="315">
        <f t="shared" si="205"/>
        <v>0</v>
      </c>
      <c r="BA730" s="315">
        <f t="shared" si="205"/>
        <v>0</v>
      </c>
      <c r="BB730" s="315">
        <f t="shared" si="205"/>
        <v>0</v>
      </c>
      <c r="BC730" s="315">
        <f t="shared" si="205"/>
        <v>0</v>
      </c>
      <c r="BD730" s="315">
        <f t="shared" si="205"/>
        <v>0</v>
      </c>
      <c r="BE730" s="315">
        <f t="shared" si="205"/>
        <v>0</v>
      </c>
      <c r="BF730" s="315">
        <f t="shared" si="205"/>
        <v>0</v>
      </c>
      <c r="BG730" s="315">
        <f t="shared" si="205"/>
        <v>0</v>
      </c>
      <c r="BH730" s="315">
        <f t="shared" si="205"/>
        <v>0</v>
      </c>
      <c r="BI730" s="315">
        <f t="shared" si="205"/>
        <v>0</v>
      </c>
      <c r="BJ730" s="315">
        <f t="shared" si="205"/>
        <v>0</v>
      </c>
      <c r="BK730" s="315">
        <f t="shared" si="205"/>
        <v>0</v>
      </c>
      <c r="BL730" s="315">
        <f t="shared" si="205"/>
        <v>0</v>
      </c>
      <c r="BM730" s="315">
        <f t="shared" si="205"/>
        <v>0</v>
      </c>
      <c r="BN730" s="315">
        <f t="shared" si="205"/>
        <v>0</v>
      </c>
      <c r="BO730" s="315">
        <f t="shared" si="205"/>
        <v>0</v>
      </c>
      <c r="BP730" s="315">
        <f t="shared" si="205"/>
        <v>0</v>
      </c>
      <c r="BQ730" s="315">
        <f t="shared" si="205"/>
        <v>0</v>
      </c>
      <c r="BR730" s="315">
        <f t="shared" si="201"/>
        <v>0</v>
      </c>
      <c r="BS730" s="315">
        <f t="shared" si="199"/>
        <v>0</v>
      </c>
      <c r="BT730" s="315">
        <f t="shared" si="199"/>
        <v>0</v>
      </c>
      <c r="BU730" s="315">
        <f t="shared" si="199"/>
        <v>0</v>
      </c>
      <c r="BV730" s="315">
        <f t="shared" si="199"/>
        <v>0</v>
      </c>
      <c r="BW730" s="315">
        <f t="shared" si="199"/>
        <v>0</v>
      </c>
      <c r="BX730" s="315">
        <f t="shared" si="199"/>
        <v>0</v>
      </c>
      <c r="BZ730" s="315">
        <f t="shared" si="200"/>
        <v>0</v>
      </c>
      <c r="CA730" s="315">
        <f t="shared" si="200"/>
        <v>0</v>
      </c>
    </row>
    <row r="731" spans="7:79" hidden="1" x14ac:dyDescent="0.2">
      <c r="G731" s="315">
        <f t="shared" si="204"/>
        <v>-185576</v>
      </c>
      <c r="H731" s="315">
        <f t="shared" si="204"/>
        <v>0</v>
      </c>
      <c r="I731" s="315">
        <f t="shared" si="204"/>
        <v>0</v>
      </c>
      <c r="J731" s="315">
        <f t="shared" si="204"/>
        <v>0</v>
      </c>
      <c r="K731" s="315">
        <f t="shared" si="204"/>
        <v>0</v>
      </c>
      <c r="L731" s="315">
        <f t="shared" si="204"/>
        <v>0</v>
      </c>
      <c r="M731" s="315">
        <f t="shared" si="204"/>
        <v>0</v>
      </c>
      <c r="N731" s="315">
        <f t="shared" si="204"/>
        <v>0</v>
      </c>
      <c r="O731" s="315">
        <f t="shared" si="204"/>
        <v>0</v>
      </c>
      <c r="P731" s="315">
        <f t="shared" si="204"/>
        <v>0</v>
      </c>
      <c r="Q731" s="315">
        <f t="shared" si="204"/>
        <v>0</v>
      </c>
      <c r="R731" s="315">
        <f t="shared" si="204"/>
        <v>0</v>
      </c>
      <c r="S731" s="315">
        <f t="shared" si="204"/>
        <v>0</v>
      </c>
      <c r="T731" s="315">
        <f t="shared" si="204"/>
        <v>0</v>
      </c>
      <c r="U731" s="315">
        <f t="shared" si="204"/>
        <v>0</v>
      </c>
      <c r="V731" s="315">
        <f t="shared" si="204"/>
        <v>0</v>
      </c>
      <c r="W731" s="315">
        <f t="shared" si="206"/>
        <v>0</v>
      </c>
      <c r="X731" s="315">
        <f t="shared" si="206"/>
        <v>0</v>
      </c>
      <c r="Y731" s="315">
        <f t="shared" si="205"/>
        <v>0</v>
      </c>
      <c r="Z731" s="315">
        <f t="shared" si="205"/>
        <v>0</v>
      </c>
      <c r="AA731" s="315">
        <f t="shared" si="205"/>
        <v>0</v>
      </c>
      <c r="AB731" s="315">
        <f t="shared" si="205"/>
        <v>0</v>
      </c>
      <c r="AC731" s="315">
        <f t="shared" si="205"/>
        <v>0</v>
      </c>
      <c r="AD731" s="315">
        <f t="shared" si="205"/>
        <v>0</v>
      </c>
      <c r="AE731" s="315">
        <f t="shared" si="205"/>
        <v>0</v>
      </c>
      <c r="AF731" s="315">
        <f t="shared" si="205"/>
        <v>0</v>
      </c>
      <c r="AG731" s="315">
        <f t="shared" si="205"/>
        <v>0</v>
      </c>
      <c r="AH731" s="315">
        <f t="shared" si="205"/>
        <v>0</v>
      </c>
      <c r="AI731" s="315">
        <f t="shared" si="205"/>
        <v>0</v>
      </c>
      <c r="AJ731" s="315">
        <f t="shared" si="205"/>
        <v>0</v>
      </c>
      <c r="AK731" s="315">
        <f t="shared" si="205"/>
        <v>0</v>
      </c>
      <c r="AL731" s="315">
        <f t="shared" si="205"/>
        <v>0</v>
      </c>
      <c r="AM731" s="315">
        <f t="shared" si="205"/>
        <v>0</v>
      </c>
      <c r="AN731" s="315">
        <f t="shared" si="205"/>
        <v>0</v>
      </c>
      <c r="AO731" s="315">
        <f t="shared" si="205"/>
        <v>0</v>
      </c>
      <c r="AP731" s="315">
        <f t="shared" si="205"/>
        <v>-55605</v>
      </c>
      <c r="AQ731" s="315">
        <f t="shared" si="205"/>
        <v>0</v>
      </c>
      <c r="AR731" s="315">
        <f t="shared" si="205"/>
        <v>0</v>
      </c>
      <c r="AS731" s="315">
        <f t="shared" si="205"/>
        <v>0</v>
      </c>
      <c r="AT731" s="315">
        <f t="shared" si="205"/>
        <v>0</v>
      </c>
      <c r="AU731" s="315">
        <f t="shared" si="205"/>
        <v>-129971</v>
      </c>
      <c r="AV731" s="315">
        <f t="shared" si="205"/>
        <v>0</v>
      </c>
      <c r="AW731" s="315">
        <f t="shared" si="205"/>
        <v>0</v>
      </c>
      <c r="AX731" s="315">
        <f t="shared" si="205"/>
        <v>0</v>
      </c>
      <c r="AY731" s="315">
        <f t="shared" si="205"/>
        <v>0</v>
      </c>
      <c r="AZ731" s="315">
        <f t="shared" si="205"/>
        <v>0</v>
      </c>
      <c r="BA731" s="315">
        <f t="shared" si="205"/>
        <v>0</v>
      </c>
      <c r="BB731" s="315">
        <f t="shared" si="205"/>
        <v>0</v>
      </c>
      <c r="BC731" s="315">
        <f t="shared" si="205"/>
        <v>0</v>
      </c>
      <c r="BD731" s="315">
        <f t="shared" si="205"/>
        <v>0</v>
      </c>
      <c r="BE731" s="315">
        <f t="shared" si="205"/>
        <v>0</v>
      </c>
      <c r="BF731" s="315">
        <f t="shared" si="205"/>
        <v>0</v>
      </c>
      <c r="BG731" s="315">
        <f t="shared" si="205"/>
        <v>0</v>
      </c>
      <c r="BH731" s="315">
        <f t="shared" si="205"/>
        <v>0</v>
      </c>
      <c r="BI731" s="315">
        <f t="shared" si="205"/>
        <v>0</v>
      </c>
      <c r="BJ731" s="315">
        <f t="shared" si="205"/>
        <v>0</v>
      </c>
      <c r="BK731" s="315">
        <f t="shared" si="205"/>
        <v>0</v>
      </c>
      <c r="BL731" s="315">
        <f t="shared" si="205"/>
        <v>0</v>
      </c>
      <c r="BM731" s="315">
        <f t="shared" si="205"/>
        <v>0</v>
      </c>
      <c r="BN731" s="315">
        <f t="shared" si="205"/>
        <v>0</v>
      </c>
      <c r="BO731" s="315">
        <f t="shared" si="205"/>
        <v>0</v>
      </c>
      <c r="BP731" s="315">
        <f t="shared" si="205"/>
        <v>0</v>
      </c>
      <c r="BQ731" s="315">
        <f t="shared" si="205"/>
        <v>0</v>
      </c>
      <c r="BR731" s="315">
        <f t="shared" si="201"/>
        <v>0</v>
      </c>
      <c r="BS731" s="315">
        <f t="shared" si="199"/>
        <v>0</v>
      </c>
      <c r="BT731" s="315">
        <f t="shared" si="199"/>
        <v>-55605</v>
      </c>
      <c r="BU731" s="315">
        <f t="shared" si="199"/>
        <v>0</v>
      </c>
      <c r="BV731" s="315">
        <f t="shared" si="199"/>
        <v>0</v>
      </c>
      <c r="BW731" s="315">
        <f t="shared" si="199"/>
        <v>0</v>
      </c>
      <c r="BX731" s="315">
        <f t="shared" si="199"/>
        <v>0</v>
      </c>
      <c r="BZ731" s="315">
        <f t="shared" si="200"/>
        <v>0</v>
      </c>
      <c r="CA731" s="315">
        <f t="shared" si="200"/>
        <v>0</v>
      </c>
    </row>
    <row r="732" spans="7:79" hidden="1" x14ac:dyDescent="0.2">
      <c r="G732" s="315">
        <f t="shared" si="204"/>
        <v>-185576</v>
      </c>
      <c r="H732" s="315">
        <f t="shared" si="204"/>
        <v>0</v>
      </c>
      <c r="I732" s="315">
        <f t="shared" si="204"/>
        <v>0</v>
      </c>
      <c r="J732" s="315">
        <f t="shared" si="204"/>
        <v>0</v>
      </c>
      <c r="K732" s="315">
        <f t="shared" si="204"/>
        <v>0</v>
      </c>
      <c r="L732" s="315">
        <f t="shared" si="204"/>
        <v>0</v>
      </c>
      <c r="M732" s="315">
        <f t="shared" si="204"/>
        <v>0</v>
      </c>
      <c r="N732" s="315">
        <f t="shared" si="204"/>
        <v>0</v>
      </c>
      <c r="O732" s="315">
        <f t="shared" si="204"/>
        <v>0</v>
      </c>
      <c r="P732" s="315">
        <f t="shared" si="204"/>
        <v>0</v>
      </c>
      <c r="Q732" s="315">
        <f t="shared" si="204"/>
        <v>0</v>
      </c>
      <c r="R732" s="315">
        <f t="shared" si="204"/>
        <v>0</v>
      </c>
      <c r="S732" s="315">
        <f t="shared" si="204"/>
        <v>0</v>
      </c>
      <c r="T732" s="315">
        <f t="shared" si="204"/>
        <v>0</v>
      </c>
      <c r="U732" s="315">
        <f t="shared" si="204"/>
        <v>0</v>
      </c>
      <c r="V732" s="315">
        <f t="shared" si="204"/>
        <v>0</v>
      </c>
      <c r="W732" s="315">
        <f t="shared" si="206"/>
        <v>0</v>
      </c>
      <c r="X732" s="315">
        <f t="shared" si="206"/>
        <v>0</v>
      </c>
      <c r="Y732" s="315">
        <f t="shared" si="205"/>
        <v>0</v>
      </c>
      <c r="Z732" s="315">
        <f t="shared" si="205"/>
        <v>0</v>
      </c>
      <c r="AA732" s="315">
        <f t="shared" si="205"/>
        <v>0</v>
      </c>
      <c r="AB732" s="315">
        <f t="shared" si="205"/>
        <v>0</v>
      </c>
      <c r="AC732" s="315">
        <f t="shared" si="205"/>
        <v>0</v>
      </c>
      <c r="AD732" s="315">
        <f t="shared" si="205"/>
        <v>0</v>
      </c>
      <c r="AE732" s="315">
        <f t="shared" si="205"/>
        <v>0</v>
      </c>
      <c r="AF732" s="315">
        <f t="shared" si="205"/>
        <v>0</v>
      </c>
      <c r="AG732" s="315">
        <f t="shared" si="205"/>
        <v>0</v>
      </c>
      <c r="AH732" s="315">
        <f t="shared" si="205"/>
        <v>0</v>
      </c>
      <c r="AI732" s="315">
        <f t="shared" si="205"/>
        <v>0</v>
      </c>
      <c r="AJ732" s="315">
        <f t="shared" si="205"/>
        <v>0</v>
      </c>
      <c r="AK732" s="315">
        <f t="shared" si="205"/>
        <v>0</v>
      </c>
      <c r="AL732" s="315">
        <f t="shared" si="205"/>
        <v>0</v>
      </c>
      <c r="AM732" s="315">
        <f t="shared" si="205"/>
        <v>0</v>
      </c>
      <c r="AN732" s="315">
        <f t="shared" si="205"/>
        <v>0</v>
      </c>
      <c r="AO732" s="315">
        <f t="shared" si="205"/>
        <v>0</v>
      </c>
      <c r="AP732" s="315">
        <f t="shared" si="205"/>
        <v>-55605</v>
      </c>
      <c r="AQ732" s="315">
        <f t="shared" si="205"/>
        <v>0</v>
      </c>
      <c r="AR732" s="315">
        <f t="shared" si="205"/>
        <v>0</v>
      </c>
      <c r="AS732" s="315">
        <f t="shared" si="205"/>
        <v>0</v>
      </c>
      <c r="AT732" s="315">
        <f t="shared" si="205"/>
        <v>0</v>
      </c>
      <c r="AU732" s="315">
        <f t="shared" si="205"/>
        <v>-129971</v>
      </c>
      <c r="AV732" s="315">
        <f t="shared" si="205"/>
        <v>0</v>
      </c>
      <c r="AW732" s="315">
        <f t="shared" si="205"/>
        <v>0</v>
      </c>
      <c r="AX732" s="315">
        <f t="shared" si="205"/>
        <v>0</v>
      </c>
      <c r="AY732" s="315">
        <f t="shared" si="205"/>
        <v>0</v>
      </c>
      <c r="AZ732" s="315">
        <f t="shared" si="205"/>
        <v>0</v>
      </c>
      <c r="BA732" s="315">
        <f t="shared" si="205"/>
        <v>0</v>
      </c>
      <c r="BB732" s="315">
        <f t="shared" si="205"/>
        <v>0</v>
      </c>
      <c r="BC732" s="315">
        <f t="shared" si="205"/>
        <v>0</v>
      </c>
      <c r="BD732" s="315">
        <f t="shared" si="205"/>
        <v>0</v>
      </c>
      <c r="BE732" s="315">
        <f t="shared" si="205"/>
        <v>0</v>
      </c>
      <c r="BF732" s="315">
        <f t="shared" si="205"/>
        <v>0</v>
      </c>
      <c r="BG732" s="315">
        <f t="shared" si="205"/>
        <v>0</v>
      </c>
      <c r="BH732" s="315">
        <f t="shared" si="205"/>
        <v>0</v>
      </c>
      <c r="BI732" s="315">
        <f t="shared" si="205"/>
        <v>0</v>
      </c>
      <c r="BJ732" s="315">
        <f t="shared" si="205"/>
        <v>0</v>
      </c>
      <c r="BK732" s="315">
        <f t="shared" si="205"/>
        <v>0</v>
      </c>
      <c r="BL732" s="315">
        <f t="shared" si="205"/>
        <v>0</v>
      </c>
      <c r="BM732" s="315">
        <f t="shared" si="205"/>
        <v>0</v>
      </c>
      <c r="BN732" s="315">
        <f t="shared" si="205"/>
        <v>0</v>
      </c>
      <c r="BO732" s="315">
        <f t="shared" si="205"/>
        <v>0</v>
      </c>
      <c r="BP732" s="315">
        <f t="shared" si="205"/>
        <v>0</v>
      </c>
      <c r="BQ732" s="315">
        <f t="shared" si="205"/>
        <v>0</v>
      </c>
      <c r="BR732" s="315">
        <f t="shared" si="201"/>
        <v>0</v>
      </c>
      <c r="BS732" s="315">
        <f t="shared" si="201"/>
        <v>0</v>
      </c>
      <c r="BT732" s="315">
        <f t="shared" si="201"/>
        <v>-55605</v>
      </c>
      <c r="BU732" s="315">
        <f t="shared" si="201"/>
        <v>0</v>
      </c>
      <c r="BV732" s="315">
        <f t="shared" si="201"/>
        <v>0</v>
      </c>
      <c r="BW732" s="315">
        <f t="shared" si="201"/>
        <v>0</v>
      </c>
      <c r="BX732" s="315">
        <f t="shared" si="201"/>
        <v>0</v>
      </c>
      <c r="BZ732" s="315">
        <f t="shared" ref="BZ732:CA738" si="207">BZ376-ER376</f>
        <v>0</v>
      </c>
      <c r="CA732" s="315">
        <f t="shared" si="207"/>
        <v>0</v>
      </c>
    </row>
    <row r="733" spans="7:79" hidden="1" x14ac:dyDescent="0.2">
      <c r="G733" s="315">
        <f t="shared" si="204"/>
        <v>0</v>
      </c>
      <c r="H733" s="315">
        <f t="shared" si="204"/>
        <v>0</v>
      </c>
      <c r="I733" s="315">
        <f t="shared" si="204"/>
        <v>0</v>
      </c>
      <c r="J733" s="315">
        <f t="shared" si="204"/>
        <v>0</v>
      </c>
      <c r="K733" s="315">
        <f t="shared" si="204"/>
        <v>0</v>
      </c>
      <c r="L733" s="315">
        <f t="shared" si="204"/>
        <v>0</v>
      </c>
      <c r="M733" s="315">
        <f t="shared" si="204"/>
        <v>0</v>
      </c>
      <c r="N733" s="315">
        <f t="shared" si="204"/>
        <v>0</v>
      </c>
      <c r="O733" s="315">
        <f t="shared" si="204"/>
        <v>0</v>
      </c>
      <c r="P733" s="315">
        <f t="shared" si="204"/>
        <v>0</v>
      </c>
      <c r="Q733" s="315">
        <f t="shared" si="204"/>
        <v>0</v>
      </c>
      <c r="R733" s="315">
        <f t="shared" si="204"/>
        <v>0</v>
      </c>
      <c r="S733" s="315">
        <f t="shared" si="204"/>
        <v>0</v>
      </c>
      <c r="T733" s="315">
        <f t="shared" si="204"/>
        <v>0</v>
      </c>
      <c r="U733" s="315">
        <f t="shared" si="204"/>
        <v>0</v>
      </c>
      <c r="V733" s="315">
        <f t="shared" si="204"/>
        <v>0</v>
      </c>
      <c r="W733" s="315">
        <f t="shared" si="206"/>
        <v>0</v>
      </c>
      <c r="X733" s="315">
        <f t="shared" si="206"/>
        <v>0</v>
      </c>
      <c r="Y733" s="315">
        <f t="shared" si="205"/>
        <v>0</v>
      </c>
      <c r="Z733" s="315">
        <f t="shared" si="205"/>
        <v>0</v>
      </c>
      <c r="AA733" s="315">
        <f t="shared" si="205"/>
        <v>0</v>
      </c>
      <c r="AB733" s="315">
        <f t="shared" si="205"/>
        <v>0</v>
      </c>
      <c r="AC733" s="315">
        <f t="shared" si="205"/>
        <v>0</v>
      </c>
      <c r="AD733" s="315">
        <f t="shared" si="205"/>
        <v>0</v>
      </c>
      <c r="AE733" s="315">
        <f t="shared" si="205"/>
        <v>0</v>
      </c>
      <c r="AF733" s="315">
        <f t="shared" si="205"/>
        <v>0</v>
      </c>
      <c r="AG733" s="315">
        <f t="shared" si="205"/>
        <v>0</v>
      </c>
      <c r="AH733" s="315">
        <f t="shared" si="205"/>
        <v>0</v>
      </c>
      <c r="AI733" s="315">
        <f t="shared" si="205"/>
        <v>0</v>
      </c>
      <c r="AJ733" s="315">
        <f t="shared" si="205"/>
        <v>0</v>
      </c>
      <c r="AK733" s="315">
        <f t="shared" si="205"/>
        <v>0</v>
      </c>
      <c r="AL733" s="315">
        <f t="shared" si="205"/>
        <v>0</v>
      </c>
      <c r="AM733" s="315">
        <f t="shared" si="205"/>
        <v>0</v>
      </c>
      <c r="AN733" s="315">
        <f t="shared" si="205"/>
        <v>0</v>
      </c>
      <c r="AO733" s="315">
        <f t="shared" si="205"/>
        <v>0</v>
      </c>
      <c r="AP733" s="315">
        <f t="shared" si="205"/>
        <v>0</v>
      </c>
      <c r="AQ733" s="315">
        <f t="shared" si="205"/>
        <v>0</v>
      </c>
      <c r="AR733" s="315">
        <f t="shared" si="205"/>
        <v>0</v>
      </c>
      <c r="AS733" s="315">
        <f t="shared" si="205"/>
        <v>0</v>
      </c>
      <c r="AT733" s="315">
        <f t="shared" si="205"/>
        <v>0</v>
      </c>
      <c r="AU733" s="315">
        <f t="shared" si="205"/>
        <v>0</v>
      </c>
      <c r="AV733" s="315">
        <f t="shared" si="205"/>
        <v>0</v>
      </c>
      <c r="AW733" s="315">
        <f t="shared" si="205"/>
        <v>0</v>
      </c>
      <c r="AX733" s="315">
        <f t="shared" si="205"/>
        <v>0</v>
      </c>
      <c r="AY733" s="315">
        <f t="shared" si="205"/>
        <v>0</v>
      </c>
      <c r="AZ733" s="315">
        <f t="shared" si="205"/>
        <v>0</v>
      </c>
      <c r="BA733" s="315">
        <f t="shared" si="205"/>
        <v>0</v>
      </c>
      <c r="BB733" s="315">
        <f t="shared" si="205"/>
        <v>0</v>
      </c>
      <c r="BC733" s="315">
        <f t="shared" ref="BC733:BR738" si="208">BC377-DU377</f>
        <v>0</v>
      </c>
      <c r="BD733" s="315">
        <f t="shared" si="208"/>
        <v>0</v>
      </c>
      <c r="BE733" s="315">
        <f t="shared" si="208"/>
        <v>0</v>
      </c>
      <c r="BF733" s="315">
        <f t="shared" si="208"/>
        <v>0</v>
      </c>
      <c r="BG733" s="315">
        <f t="shared" si="208"/>
        <v>0</v>
      </c>
      <c r="BH733" s="315">
        <f t="shared" si="208"/>
        <v>0</v>
      </c>
      <c r="BI733" s="315">
        <f t="shared" si="208"/>
        <v>0</v>
      </c>
      <c r="BJ733" s="315">
        <f t="shared" si="208"/>
        <v>0</v>
      </c>
      <c r="BK733" s="315">
        <f t="shared" si="208"/>
        <v>0</v>
      </c>
      <c r="BL733" s="315">
        <f t="shared" si="208"/>
        <v>0</v>
      </c>
      <c r="BM733" s="315">
        <f t="shared" si="208"/>
        <v>0</v>
      </c>
      <c r="BN733" s="315">
        <f t="shared" si="208"/>
        <v>0</v>
      </c>
      <c r="BO733" s="315">
        <f t="shared" si="208"/>
        <v>0</v>
      </c>
      <c r="BP733" s="315">
        <f t="shared" si="208"/>
        <v>0</v>
      </c>
      <c r="BQ733" s="315">
        <f t="shared" si="208"/>
        <v>0</v>
      </c>
      <c r="BR733" s="315">
        <f t="shared" si="201"/>
        <v>0</v>
      </c>
      <c r="BS733" s="315">
        <f t="shared" si="201"/>
        <v>0</v>
      </c>
      <c r="BT733" s="315">
        <f t="shared" si="201"/>
        <v>0</v>
      </c>
      <c r="BU733" s="315">
        <f t="shared" si="201"/>
        <v>0</v>
      </c>
      <c r="BV733" s="315">
        <f t="shared" si="201"/>
        <v>0</v>
      </c>
      <c r="BW733" s="315">
        <f t="shared" si="201"/>
        <v>0</v>
      </c>
      <c r="BX733" s="315">
        <f t="shared" si="201"/>
        <v>0</v>
      </c>
      <c r="BZ733" s="315">
        <f t="shared" si="207"/>
        <v>0</v>
      </c>
      <c r="CA733" s="315">
        <f t="shared" si="207"/>
        <v>0</v>
      </c>
    </row>
    <row r="734" spans="7:79" hidden="1" x14ac:dyDescent="0.2">
      <c r="G734" s="315">
        <f t="shared" si="204"/>
        <v>36176</v>
      </c>
      <c r="H734" s="315">
        <f t="shared" si="204"/>
        <v>0</v>
      </c>
      <c r="I734" s="315">
        <f t="shared" si="204"/>
        <v>0</v>
      </c>
      <c r="J734" s="315">
        <f t="shared" si="204"/>
        <v>0</v>
      </c>
      <c r="K734" s="315">
        <f t="shared" si="204"/>
        <v>0</v>
      </c>
      <c r="L734" s="315">
        <f t="shared" si="204"/>
        <v>0</v>
      </c>
      <c r="M734" s="315">
        <f t="shared" si="204"/>
        <v>0</v>
      </c>
      <c r="N734" s="315">
        <f t="shared" si="204"/>
        <v>0</v>
      </c>
      <c r="O734" s="315">
        <f t="shared" si="204"/>
        <v>0</v>
      </c>
      <c r="P734" s="315">
        <f t="shared" si="204"/>
        <v>0</v>
      </c>
      <c r="Q734" s="315">
        <f t="shared" si="204"/>
        <v>46261</v>
      </c>
      <c r="R734" s="315">
        <f t="shared" si="204"/>
        <v>0</v>
      </c>
      <c r="S734" s="315">
        <f t="shared" si="204"/>
        <v>0</v>
      </c>
      <c r="T734" s="315">
        <f t="shared" si="204"/>
        <v>0</v>
      </c>
      <c r="U734" s="315">
        <f t="shared" si="204"/>
        <v>0</v>
      </c>
      <c r="V734" s="315">
        <f t="shared" si="204"/>
        <v>46376</v>
      </c>
      <c r="W734" s="315">
        <f t="shared" si="206"/>
        <v>0</v>
      </c>
      <c r="X734" s="315">
        <f t="shared" si="206"/>
        <v>0</v>
      </c>
      <c r="Y734" s="315">
        <f t="shared" si="206"/>
        <v>0</v>
      </c>
      <c r="Z734" s="315">
        <f t="shared" si="206"/>
        <v>0</v>
      </c>
      <c r="AA734" s="315">
        <f t="shared" si="206"/>
        <v>0</v>
      </c>
      <c r="AB734" s="315">
        <f t="shared" si="206"/>
        <v>0</v>
      </c>
      <c r="AC734" s="315">
        <f t="shared" si="206"/>
        <v>0</v>
      </c>
      <c r="AD734" s="315">
        <f t="shared" si="206"/>
        <v>0</v>
      </c>
      <c r="AE734" s="315">
        <f t="shared" si="206"/>
        <v>0</v>
      </c>
      <c r="AF734" s="315">
        <f t="shared" si="206"/>
        <v>0</v>
      </c>
      <c r="AG734" s="315">
        <f t="shared" si="206"/>
        <v>0</v>
      </c>
      <c r="AH734" s="315">
        <f t="shared" si="206"/>
        <v>0</v>
      </c>
      <c r="AI734" s="315">
        <f t="shared" si="206"/>
        <v>0</v>
      </c>
      <c r="AJ734" s="315">
        <f t="shared" si="206"/>
        <v>0</v>
      </c>
      <c r="AK734" s="315">
        <f t="shared" si="206"/>
        <v>0</v>
      </c>
      <c r="AL734" s="315">
        <f t="shared" si="206"/>
        <v>0</v>
      </c>
      <c r="AM734" s="315">
        <f t="shared" ref="AM734:BB738" si="209">AM378-DE378</f>
        <v>0</v>
      </c>
      <c r="AN734" s="315">
        <f t="shared" si="209"/>
        <v>0</v>
      </c>
      <c r="AO734" s="315">
        <f t="shared" si="209"/>
        <v>0</v>
      </c>
      <c r="AP734" s="315">
        <f t="shared" si="209"/>
        <v>0</v>
      </c>
      <c r="AQ734" s="315">
        <f t="shared" si="209"/>
        <v>0</v>
      </c>
      <c r="AR734" s="315">
        <f t="shared" si="209"/>
        <v>0</v>
      </c>
      <c r="AS734" s="315">
        <f t="shared" si="209"/>
        <v>0</v>
      </c>
      <c r="AT734" s="315">
        <f t="shared" si="209"/>
        <v>0</v>
      </c>
      <c r="AU734" s="315">
        <f t="shared" si="209"/>
        <v>0</v>
      </c>
      <c r="AV734" s="315">
        <f t="shared" si="209"/>
        <v>0</v>
      </c>
      <c r="AW734" s="315">
        <f t="shared" si="209"/>
        <v>0</v>
      </c>
      <c r="AX734" s="315">
        <f t="shared" si="209"/>
        <v>0</v>
      </c>
      <c r="AY734" s="315">
        <f t="shared" si="209"/>
        <v>0</v>
      </c>
      <c r="AZ734" s="315">
        <f t="shared" si="209"/>
        <v>0</v>
      </c>
      <c r="BA734" s="315">
        <f t="shared" si="209"/>
        <v>0</v>
      </c>
      <c r="BB734" s="315">
        <f t="shared" si="209"/>
        <v>0</v>
      </c>
      <c r="BC734" s="315">
        <f t="shared" si="208"/>
        <v>0</v>
      </c>
      <c r="BD734" s="315">
        <f t="shared" si="208"/>
        <v>0</v>
      </c>
      <c r="BE734" s="315">
        <f t="shared" si="208"/>
        <v>0</v>
      </c>
      <c r="BF734" s="315">
        <f t="shared" si="208"/>
        <v>0</v>
      </c>
      <c r="BG734" s="315">
        <f t="shared" si="208"/>
        <v>0</v>
      </c>
      <c r="BH734" s="315">
        <f t="shared" si="208"/>
        <v>0</v>
      </c>
      <c r="BI734" s="315">
        <f t="shared" si="208"/>
        <v>0</v>
      </c>
      <c r="BJ734" s="315">
        <f t="shared" si="208"/>
        <v>0</v>
      </c>
      <c r="BK734" s="315">
        <f t="shared" si="208"/>
        <v>0</v>
      </c>
      <c r="BL734" s="315">
        <f t="shared" si="208"/>
        <v>0</v>
      </c>
      <c r="BM734" s="315">
        <f t="shared" si="208"/>
        <v>0</v>
      </c>
      <c r="BN734" s="315">
        <f t="shared" si="208"/>
        <v>0</v>
      </c>
      <c r="BO734" s="315">
        <f t="shared" si="208"/>
        <v>-56461</v>
      </c>
      <c r="BP734" s="315">
        <f t="shared" si="208"/>
        <v>0</v>
      </c>
      <c r="BQ734" s="315">
        <f t="shared" si="208"/>
        <v>0</v>
      </c>
      <c r="BR734" s="315">
        <f t="shared" si="201"/>
        <v>0</v>
      </c>
      <c r="BS734" s="315">
        <f t="shared" si="201"/>
        <v>0</v>
      </c>
      <c r="BT734" s="315">
        <f t="shared" si="201"/>
        <v>92637</v>
      </c>
      <c r="BU734" s="315">
        <f t="shared" si="201"/>
        <v>0</v>
      </c>
      <c r="BV734" s="315">
        <f t="shared" si="201"/>
        <v>0</v>
      </c>
      <c r="BW734" s="315">
        <f t="shared" si="201"/>
        <v>0</v>
      </c>
      <c r="BX734" s="315">
        <f t="shared" si="201"/>
        <v>0</v>
      </c>
      <c r="BZ734" s="315">
        <f t="shared" si="207"/>
        <v>0</v>
      </c>
      <c r="CA734" s="315">
        <f t="shared" si="207"/>
        <v>0</v>
      </c>
    </row>
    <row r="735" spans="7:79" hidden="1" x14ac:dyDescent="0.2">
      <c r="G735" s="315">
        <f t="shared" si="204"/>
        <v>36176</v>
      </c>
      <c r="H735" s="315">
        <f t="shared" si="204"/>
        <v>0</v>
      </c>
      <c r="I735" s="315">
        <f t="shared" si="204"/>
        <v>0</v>
      </c>
      <c r="J735" s="315">
        <f t="shared" si="204"/>
        <v>0</v>
      </c>
      <c r="K735" s="315">
        <f t="shared" si="204"/>
        <v>0</v>
      </c>
      <c r="L735" s="315">
        <f t="shared" si="204"/>
        <v>0</v>
      </c>
      <c r="M735" s="315">
        <f t="shared" si="204"/>
        <v>0</v>
      </c>
      <c r="N735" s="315">
        <f t="shared" si="204"/>
        <v>0</v>
      </c>
      <c r="O735" s="315">
        <f t="shared" si="204"/>
        <v>0</v>
      </c>
      <c r="P735" s="315">
        <f t="shared" si="204"/>
        <v>0</v>
      </c>
      <c r="Q735" s="315">
        <f t="shared" si="204"/>
        <v>46261</v>
      </c>
      <c r="R735" s="315">
        <f t="shared" si="204"/>
        <v>0</v>
      </c>
      <c r="S735" s="315">
        <f t="shared" si="204"/>
        <v>0</v>
      </c>
      <c r="T735" s="315">
        <f t="shared" si="204"/>
        <v>0</v>
      </c>
      <c r="U735" s="315">
        <f t="shared" si="204"/>
        <v>0</v>
      </c>
      <c r="V735" s="315">
        <f t="shared" si="204"/>
        <v>46376</v>
      </c>
      <c r="W735" s="315">
        <f t="shared" si="206"/>
        <v>0</v>
      </c>
      <c r="X735" s="315">
        <f t="shared" si="206"/>
        <v>0</v>
      </c>
      <c r="Y735" s="315">
        <f t="shared" si="206"/>
        <v>0</v>
      </c>
      <c r="Z735" s="315">
        <f t="shared" si="206"/>
        <v>0</v>
      </c>
      <c r="AA735" s="315">
        <f t="shared" si="206"/>
        <v>0</v>
      </c>
      <c r="AB735" s="315">
        <f t="shared" si="206"/>
        <v>0</v>
      </c>
      <c r="AC735" s="315">
        <f t="shared" si="206"/>
        <v>0</v>
      </c>
      <c r="AD735" s="315">
        <f t="shared" si="206"/>
        <v>0</v>
      </c>
      <c r="AE735" s="315">
        <f t="shared" si="206"/>
        <v>0</v>
      </c>
      <c r="AF735" s="315">
        <f t="shared" si="206"/>
        <v>0</v>
      </c>
      <c r="AG735" s="315">
        <f t="shared" si="206"/>
        <v>0</v>
      </c>
      <c r="AH735" s="315">
        <f t="shared" si="206"/>
        <v>0</v>
      </c>
      <c r="AI735" s="315">
        <f t="shared" si="206"/>
        <v>0</v>
      </c>
      <c r="AJ735" s="315">
        <f t="shared" si="206"/>
        <v>0</v>
      </c>
      <c r="AK735" s="315">
        <f t="shared" si="206"/>
        <v>0</v>
      </c>
      <c r="AL735" s="315">
        <f t="shared" si="206"/>
        <v>0</v>
      </c>
      <c r="AM735" s="315">
        <f t="shared" si="209"/>
        <v>0</v>
      </c>
      <c r="AN735" s="315">
        <f t="shared" si="209"/>
        <v>0</v>
      </c>
      <c r="AO735" s="315">
        <f t="shared" si="209"/>
        <v>0</v>
      </c>
      <c r="AP735" s="315">
        <f t="shared" si="209"/>
        <v>0</v>
      </c>
      <c r="AQ735" s="315">
        <f t="shared" si="209"/>
        <v>0</v>
      </c>
      <c r="AR735" s="315">
        <f t="shared" si="209"/>
        <v>0</v>
      </c>
      <c r="AS735" s="315">
        <f t="shared" si="209"/>
        <v>0</v>
      </c>
      <c r="AT735" s="315">
        <f t="shared" si="209"/>
        <v>0</v>
      </c>
      <c r="AU735" s="315">
        <f t="shared" si="209"/>
        <v>0</v>
      </c>
      <c r="AV735" s="315">
        <f t="shared" si="209"/>
        <v>0</v>
      </c>
      <c r="AW735" s="315">
        <f t="shared" si="209"/>
        <v>0</v>
      </c>
      <c r="AX735" s="315">
        <f t="shared" si="209"/>
        <v>0</v>
      </c>
      <c r="AY735" s="315">
        <f t="shared" si="209"/>
        <v>0</v>
      </c>
      <c r="AZ735" s="315">
        <f t="shared" si="209"/>
        <v>0</v>
      </c>
      <c r="BA735" s="315">
        <f t="shared" si="209"/>
        <v>0</v>
      </c>
      <c r="BB735" s="315">
        <f t="shared" si="209"/>
        <v>0</v>
      </c>
      <c r="BC735" s="315">
        <f t="shared" si="208"/>
        <v>0</v>
      </c>
      <c r="BD735" s="315">
        <f t="shared" si="208"/>
        <v>0</v>
      </c>
      <c r="BE735" s="315">
        <f t="shared" si="208"/>
        <v>0</v>
      </c>
      <c r="BF735" s="315">
        <f t="shared" si="208"/>
        <v>0</v>
      </c>
      <c r="BG735" s="315">
        <f t="shared" si="208"/>
        <v>0</v>
      </c>
      <c r="BH735" s="315">
        <f t="shared" si="208"/>
        <v>0</v>
      </c>
      <c r="BI735" s="315">
        <f t="shared" si="208"/>
        <v>0</v>
      </c>
      <c r="BJ735" s="315">
        <f t="shared" si="208"/>
        <v>0</v>
      </c>
      <c r="BK735" s="315">
        <f t="shared" si="208"/>
        <v>0</v>
      </c>
      <c r="BL735" s="315">
        <f t="shared" si="208"/>
        <v>0</v>
      </c>
      <c r="BM735" s="315">
        <f t="shared" si="208"/>
        <v>0</v>
      </c>
      <c r="BN735" s="315">
        <f t="shared" si="208"/>
        <v>0</v>
      </c>
      <c r="BO735" s="315">
        <f t="shared" si="208"/>
        <v>-56461</v>
      </c>
      <c r="BP735" s="315">
        <f t="shared" si="208"/>
        <v>0</v>
      </c>
      <c r="BQ735" s="315">
        <f t="shared" si="208"/>
        <v>0</v>
      </c>
      <c r="BR735" s="315">
        <f t="shared" si="208"/>
        <v>0</v>
      </c>
      <c r="BS735" s="315">
        <f t="shared" ref="BS735:BX738" si="210">BS379-EK379</f>
        <v>0</v>
      </c>
      <c r="BT735" s="315">
        <f t="shared" si="210"/>
        <v>92637</v>
      </c>
      <c r="BU735" s="315">
        <f t="shared" si="210"/>
        <v>0</v>
      </c>
      <c r="BV735" s="315">
        <f t="shared" si="210"/>
        <v>0</v>
      </c>
      <c r="BW735" s="315">
        <f t="shared" si="210"/>
        <v>0</v>
      </c>
      <c r="BX735" s="315">
        <f t="shared" si="210"/>
        <v>0</v>
      </c>
      <c r="BZ735" s="315">
        <f t="shared" si="207"/>
        <v>0</v>
      </c>
      <c r="CA735" s="315">
        <f t="shared" si="207"/>
        <v>0</v>
      </c>
    </row>
    <row r="736" spans="7:79" hidden="1" x14ac:dyDescent="0.2">
      <c r="G736" s="315">
        <f t="shared" si="204"/>
        <v>0</v>
      </c>
      <c r="H736" s="315">
        <f t="shared" si="204"/>
        <v>0</v>
      </c>
      <c r="I736" s="315">
        <f t="shared" si="204"/>
        <v>0</v>
      </c>
      <c r="J736" s="315">
        <f t="shared" si="204"/>
        <v>0</v>
      </c>
      <c r="K736" s="315">
        <f t="shared" si="204"/>
        <v>0</v>
      </c>
      <c r="L736" s="315">
        <f t="shared" si="204"/>
        <v>0</v>
      </c>
      <c r="M736" s="315">
        <f t="shared" si="204"/>
        <v>0</v>
      </c>
      <c r="N736" s="315">
        <f t="shared" si="204"/>
        <v>0</v>
      </c>
      <c r="O736" s="315">
        <f t="shared" si="204"/>
        <v>0</v>
      </c>
      <c r="P736" s="315">
        <f t="shared" si="204"/>
        <v>0</v>
      </c>
      <c r="Q736" s="315">
        <f t="shared" si="204"/>
        <v>0</v>
      </c>
      <c r="R736" s="315">
        <f t="shared" si="204"/>
        <v>0</v>
      </c>
      <c r="S736" s="315">
        <f t="shared" si="204"/>
        <v>0</v>
      </c>
      <c r="T736" s="315">
        <f t="shared" si="204"/>
        <v>0</v>
      </c>
      <c r="U736" s="315">
        <f t="shared" si="204"/>
        <v>0</v>
      </c>
      <c r="V736" s="315">
        <f t="shared" si="204"/>
        <v>0</v>
      </c>
      <c r="W736" s="315">
        <f t="shared" si="206"/>
        <v>0</v>
      </c>
      <c r="X736" s="315">
        <f t="shared" si="206"/>
        <v>0</v>
      </c>
      <c r="Y736" s="315">
        <f t="shared" si="206"/>
        <v>0</v>
      </c>
      <c r="Z736" s="315">
        <f t="shared" si="206"/>
        <v>0</v>
      </c>
      <c r="AA736" s="315">
        <f t="shared" si="206"/>
        <v>0</v>
      </c>
      <c r="AB736" s="315">
        <f t="shared" si="206"/>
        <v>0</v>
      </c>
      <c r="AC736" s="315">
        <f t="shared" si="206"/>
        <v>0</v>
      </c>
      <c r="AD736" s="315">
        <f t="shared" si="206"/>
        <v>0</v>
      </c>
      <c r="AE736" s="315">
        <f t="shared" si="206"/>
        <v>0</v>
      </c>
      <c r="AF736" s="315">
        <f t="shared" si="206"/>
        <v>0</v>
      </c>
      <c r="AG736" s="315">
        <f t="shared" si="206"/>
        <v>0</v>
      </c>
      <c r="AH736" s="315">
        <f t="shared" si="206"/>
        <v>0</v>
      </c>
      <c r="AI736" s="315">
        <f t="shared" si="206"/>
        <v>0</v>
      </c>
      <c r="AJ736" s="315">
        <f t="shared" si="206"/>
        <v>0</v>
      </c>
      <c r="AK736" s="315">
        <f t="shared" si="206"/>
        <v>0</v>
      </c>
      <c r="AL736" s="315">
        <f t="shared" si="206"/>
        <v>0</v>
      </c>
      <c r="AM736" s="315">
        <f t="shared" si="209"/>
        <v>0</v>
      </c>
      <c r="AN736" s="315">
        <f t="shared" si="209"/>
        <v>0</v>
      </c>
      <c r="AO736" s="315">
        <f t="shared" si="209"/>
        <v>0</v>
      </c>
      <c r="AP736" s="315">
        <f t="shared" si="209"/>
        <v>0</v>
      </c>
      <c r="AQ736" s="315">
        <f t="shared" si="209"/>
        <v>0</v>
      </c>
      <c r="AR736" s="315">
        <f t="shared" si="209"/>
        <v>0</v>
      </c>
      <c r="AS736" s="315">
        <f t="shared" si="209"/>
        <v>0</v>
      </c>
      <c r="AT736" s="315">
        <f t="shared" si="209"/>
        <v>0</v>
      </c>
      <c r="AU736" s="315">
        <f t="shared" si="209"/>
        <v>0</v>
      </c>
      <c r="AV736" s="315">
        <f t="shared" si="209"/>
        <v>0</v>
      </c>
      <c r="AW736" s="315">
        <f t="shared" si="209"/>
        <v>0</v>
      </c>
      <c r="AX736" s="315">
        <f t="shared" si="209"/>
        <v>0</v>
      </c>
      <c r="AY736" s="315">
        <f t="shared" si="209"/>
        <v>0</v>
      </c>
      <c r="AZ736" s="315">
        <f t="shared" si="209"/>
        <v>0</v>
      </c>
      <c r="BA736" s="315">
        <f t="shared" si="209"/>
        <v>0</v>
      </c>
      <c r="BB736" s="315">
        <f t="shared" si="209"/>
        <v>0</v>
      </c>
      <c r="BC736" s="315">
        <f t="shared" si="208"/>
        <v>0</v>
      </c>
      <c r="BD736" s="315">
        <f t="shared" si="208"/>
        <v>0</v>
      </c>
      <c r="BE736" s="315">
        <f t="shared" si="208"/>
        <v>0</v>
      </c>
      <c r="BF736" s="315">
        <f t="shared" si="208"/>
        <v>0</v>
      </c>
      <c r="BG736" s="315">
        <f t="shared" si="208"/>
        <v>0</v>
      </c>
      <c r="BH736" s="315">
        <f t="shared" si="208"/>
        <v>0</v>
      </c>
      <c r="BI736" s="315">
        <f t="shared" si="208"/>
        <v>0</v>
      </c>
      <c r="BJ736" s="315">
        <f t="shared" si="208"/>
        <v>0</v>
      </c>
      <c r="BK736" s="315">
        <f t="shared" si="208"/>
        <v>0</v>
      </c>
      <c r="BL736" s="315">
        <f t="shared" si="208"/>
        <v>0</v>
      </c>
      <c r="BM736" s="315">
        <f t="shared" si="208"/>
        <v>0</v>
      </c>
      <c r="BN736" s="315">
        <f t="shared" si="208"/>
        <v>0</v>
      </c>
      <c r="BO736" s="315">
        <f t="shared" si="208"/>
        <v>0</v>
      </c>
      <c r="BP736" s="315">
        <f t="shared" si="208"/>
        <v>0</v>
      </c>
      <c r="BQ736" s="315">
        <f t="shared" si="208"/>
        <v>0</v>
      </c>
      <c r="BR736" s="315">
        <f t="shared" si="208"/>
        <v>0</v>
      </c>
      <c r="BS736" s="315">
        <f t="shared" si="210"/>
        <v>0</v>
      </c>
      <c r="BT736" s="315">
        <f t="shared" si="210"/>
        <v>0</v>
      </c>
      <c r="BU736" s="315">
        <f t="shared" si="210"/>
        <v>0</v>
      </c>
      <c r="BV736" s="315">
        <f t="shared" si="210"/>
        <v>0</v>
      </c>
      <c r="BW736" s="315">
        <f t="shared" si="210"/>
        <v>0</v>
      </c>
      <c r="BX736" s="315">
        <f t="shared" si="210"/>
        <v>0</v>
      </c>
      <c r="BZ736" s="315">
        <f t="shared" si="207"/>
        <v>0</v>
      </c>
      <c r="CA736" s="315">
        <f t="shared" si="207"/>
        <v>0</v>
      </c>
    </row>
    <row r="737" spans="7:79" hidden="1" x14ac:dyDescent="0.2">
      <c r="G737" s="315">
        <f t="shared" si="204"/>
        <v>-24728</v>
      </c>
      <c r="H737" s="315">
        <f t="shared" si="204"/>
        <v>0</v>
      </c>
      <c r="I737" s="315">
        <f t="shared" si="204"/>
        <v>0</v>
      </c>
      <c r="J737" s="315">
        <f t="shared" si="204"/>
        <v>0</v>
      </c>
      <c r="K737" s="315">
        <f t="shared" si="204"/>
        <v>0</v>
      </c>
      <c r="L737" s="315">
        <f t="shared" si="204"/>
        <v>259191</v>
      </c>
      <c r="M737" s="315">
        <f t="shared" si="204"/>
        <v>0</v>
      </c>
      <c r="N737" s="315">
        <f t="shared" si="204"/>
        <v>0</v>
      </c>
      <c r="O737" s="315">
        <f t="shared" si="204"/>
        <v>0</v>
      </c>
      <c r="P737" s="315">
        <f t="shared" si="204"/>
        <v>0</v>
      </c>
      <c r="Q737" s="315">
        <f t="shared" si="204"/>
        <v>0</v>
      </c>
      <c r="R737" s="315">
        <f t="shared" si="204"/>
        <v>0</v>
      </c>
      <c r="S737" s="315">
        <f t="shared" si="204"/>
        <v>0</v>
      </c>
      <c r="T737" s="315">
        <f t="shared" si="204"/>
        <v>0</v>
      </c>
      <c r="U737" s="315">
        <f t="shared" si="204"/>
        <v>0</v>
      </c>
      <c r="V737" s="315">
        <f t="shared" si="204"/>
        <v>0</v>
      </c>
      <c r="W737" s="315">
        <f t="shared" si="206"/>
        <v>0</v>
      </c>
      <c r="X737" s="315">
        <f t="shared" si="206"/>
        <v>0</v>
      </c>
      <c r="Y737" s="315">
        <f t="shared" si="206"/>
        <v>0</v>
      </c>
      <c r="Z737" s="315">
        <f t="shared" si="206"/>
        <v>0</v>
      </c>
      <c r="AA737" s="315">
        <f t="shared" si="206"/>
        <v>0</v>
      </c>
      <c r="AB737" s="315">
        <f t="shared" si="206"/>
        <v>0</v>
      </c>
      <c r="AC737" s="315">
        <f t="shared" si="206"/>
        <v>0</v>
      </c>
      <c r="AD737" s="315">
        <f t="shared" si="206"/>
        <v>0</v>
      </c>
      <c r="AE737" s="315">
        <f t="shared" si="206"/>
        <v>0</v>
      </c>
      <c r="AF737" s="315">
        <f t="shared" si="206"/>
        <v>0</v>
      </c>
      <c r="AG737" s="315">
        <f t="shared" si="206"/>
        <v>0</v>
      </c>
      <c r="AH737" s="315">
        <f t="shared" si="206"/>
        <v>0</v>
      </c>
      <c r="AI737" s="315">
        <f t="shared" si="206"/>
        <v>0</v>
      </c>
      <c r="AJ737" s="315">
        <f t="shared" si="206"/>
        <v>0</v>
      </c>
      <c r="AK737" s="315">
        <f t="shared" si="206"/>
        <v>126747</v>
      </c>
      <c r="AL737" s="315">
        <f t="shared" si="206"/>
        <v>0</v>
      </c>
      <c r="AM737" s="315">
        <f t="shared" si="209"/>
        <v>0</v>
      </c>
      <c r="AN737" s="315">
        <f t="shared" si="209"/>
        <v>0</v>
      </c>
      <c r="AO737" s="315">
        <f t="shared" si="209"/>
        <v>0</v>
      </c>
      <c r="AP737" s="315">
        <f t="shared" si="209"/>
        <v>55193</v>
      </c>
      <c r="AQ737" s="315">
        <f t="shared" si="209"/>
        <v>0</v>
      </c>
      <c r="AR737" s="315">
        <f t="shared" si="209"/>
        <v>0</v>
      </c>
      <c r="AS737" s="315">
        <f t="shared" si="209"/>
        <v>0</v>
      </c>
      <c r="AT737" s="315">
        <f t="shared" si="209"/>
        <v>0</v>
      </c>
      <c r="AU737" s="315">
        <f t="shared" si="209"/>
        <v>0</v>
      </c>
      <c r="AV737" s="315">
        <f t="shared" si="209"/>
        <v>0</v>
      </c>
      <c r="AW737" s="315">
        <f t="shared" si="209"/>
        <v>0</v>
      </c>
      <c r="AX737" s="315">
        <f t="shared" si="209"/>
        <v>0</v>
      </c>
      <c r="AY737" s="315">
        <f t="shared" si="209"/>
        <v>0</v>
      </c>
      <c r="AZ737" s="315">
        <f t="shared" si="209"/>
        <v>0</v>
      </c>
      <c r="BA737" s="315">
        <f t="shared" si="209"/>
        <v>0</v>
      </c>
      <c r="BB737" s="315">
        <f t="shared" si="209"/>
        <v>0</v>
      </c>
      <c r="BC737" s="315">
        <f t="shared" si="208"/>
        <v>0</v>
      </c>
      <c r="BD737" s="315">
        <f t="shared" si="208"/>
        <v>0</v>
      </c>
      <c r="BE737" s="315">
        <f t="shared" si="208"/>
        <v>0</v>
      </c>
      <c r="BF737" s="315">
        <f t="shared" si="208"/>
        <v>0</v>
      </c>
      <c r="BG737" s="315">
        <f t="shared" si="208"/>
        <v>0</v>
      </c>
      <c r="BH737" s="315">
        <f t="shared" si="208"/>
        <v>0</v>
      </c>
      <c r="BI737" s="315">
        <f t="shared" si="208"/>
        <v>0</v>
      </c>
      <c r="BJ737" s="315">
        <f t="shared" si="208"/>
        <v>0</v>
      </c>
      <c r="BK737" s="315">
        <f t="shared" si="208"/>
        <v>0</v>
      </c>
      <c r="BL737" s="315">
        <f t="shared" si="208"/>
        <v>0</v>
      </c>
      <c r="BM737" s="315">
        <f t="shared" si="208"/>
        <v>0</v>
      </c>
      <c r="BN737" s="315">
        <f t="shared" si="208"/>
        <v>0</v>
      </c>
      <c r="BO737" s="315">
        <f t="shared" si="208"/>
        <v>-410666</v>
      </c>
      <c r="BP737" s="315">
        <f t="shared" si="208"/>
        <v>0</v>
      </c>
      <c r="BQ737" s="315">
        <f t="shared" si="208"/>
        <v>0</v>
      </c>
      <c r="BR737" s="315">
        <f t="shared" si="208"/>
        <v>0</v>
      </c>
      <c r="BS737" s="315">
        <f t="shared" si="210"/>
        <v>0</v>
      </c>
      <c r="BT737" s="315">
        <f t="shared" si="210"/>
        <v>441131</v>
      </c>
      <c r="BU737" s="315">
        <f t="shared" si="210"/>
        <v>0</v>
      </c>
      <c r="BV737" s="315">
        <f t="shared" si="210"/>
        <v>0</v>
      </c>
      <c r="BW737" s="315">
        <f t="shared" si="210"/>
        <v>0</v>
      </c>
      <c r="BX737" s="315">
        <f t="shared" si="210"/>
        <v>0</v>
      </c>
      <c r="BZ737" s="315">
        <f t="shared" si="207"/>
        <v>0</v>
      </c>
      <c r="CA737" s="315">
        <f t="shared" si="207"/>
        <v>0</v>
      </c>
    </row>
    <row r="738" spans="7:79" hidden="1" x14ac:dyDescent="0.2">
      <c r="G738" s="315">
        <f t="shared" si="204"/>
        <v>-24728</v>
      </c>
      <c r="H738" s="315">
        <f t="shared" si="204"/>
        <v>0</v>
      </c>
      <c r="I738" s="315">
        <f t="shared" si="204"/>
        <v>0</v>
      </c>
      <c r="J738" s="315">
        <f t="shared" si="204"/>
        <v>0</v>
      </c>
      <c r="K738" s="315">
        <f t="shared" si="204"/>
        <v>0</v>
      </c>
      <c r="L738" s="315">
        <f t="shared" si="204"/>
        <v>259191</v>
      </c>
      <c r="M738" s="315">
        <f t="shared" si="204"/>
        <v>0</v>
      </c>
      <c r="N738" s="315">
        <f t="shared" si="204"/>
        <v>0</v>
      </c>
      <c r="O738" s="315">
        <f t="shared" si="204"/>
        <v>0</v>
      </c>
      <c r="P738" s="315">
        <f t="shared" si="204"/>
        <v>0</v>
      </c>
      <c r="Q738" s="315">
        <f t="shared" si="204"/>
        <v>0</v>
      </c>
      <c r="R738" s="315">
        <f t="shared" si="204"/>
        <v>0</v>
      </c>
      <c r="S738" s="315">
        <f t="shared" si="204"/>
        <v>0</v>
      </c>
      <c r="T738" s="315">
        <f t="shared" si="204"/>
        <v>0</v>
      </c>
      <c r="U738" s="315">
        <f t="shared" si="204"/>
        <v>0</v>
      </c>
      <c r="V738" s="315">
        <f t="shared" si="204"/>
        <v>0</v>
      </c>
      <c r="W738" s="315">
        <f t="shared" si="206"/>
        <v>0</v>
      </c>
      <c r="X738" s="315">
        <f t="shared" si="206"/>
        <v>0</v>
      </c>
      <c r="Y738" s="315">
        <f t="shared" si="206"/>
        <v>0</v>
      </c>
      <c r="Z738" s="315">
        <f t="shared" si="206"/>
        <v>0</v>
      </c>
      <c r="AA738" s="315">
        <f t="shared" si="206"/>
        <v>0</v>
      </c>
      <c r="AB738" s="315">
        <f t="shared" si="206"/>
        <v>0</v>
      </c>
      <c r="AC738" s="315">
        <f t="shared" si="206"/>
        <v>0</v>
      </c>
      <c r="AD738" s="315">
        <f t="shared" si="206"/>
        <v>0</v>
      </c>
      <c r="AE738" s="315">
        <f t="shared" si="206"/>
        <v>0</v>
      </c>
      <c r="AF738" s="315">
        <f t="shared" si="206"/>
        <v>0</v>
      </c>
      <c r="AG738" s="315">
        <f t="shared" si="206"/>
        <v>0</v>
      </c>
      <c r="AH738" s="315">
        <f t="shared" si="206"/>
        <v>0</v>
      </c>
      <c r="AI738" s="315">
        <f t="shared" si="206"/>
        <v>0</v>
      </c>
      <c r="AJ738" s="315">
        <f t="shared" si="206"/>
        <v>0</v>
      </c>
      <c r="AK738" s="315">
        <f t="shared" si="206"/>
        <v>126747</v>
      </c>
      <c r="AL738" s="315">
        <f t="shared" si="206"/>
        <v>0</v>
      </c>
      <c r="AM738" s="315">
        <f t="shared" si="209"/>
        <v>0</v>
      </c>
      <c r="AN738" s="315">
        <f t="shared" si="209"/>
        <v>0</v>
      </c>
      <c r="AO738" s="315">
        <f t="shared" si="209"/>
        <v>0</v>
      </c>
      <c r="AP738" s="315">
        <f t="shared" si="209"/>
        <v>55193</v>
      </c>
      <c r="AQ738" s="315">
        <f t="shared" si="209"/>
        <v>0</v>
      </c>
      <c r="AR738" s="315">
        <f t="shared" si="209"/>
        <v>0</v>
      </c>
      <c r="AS738" s="315">
        <f t="shared" si="209"/>
        <v>0</v>
      </c>
      <c r="AT738" s="315">
        <f t="shared" si="209"/>
        <v>0</v>
      </c>
      <c r="AU738" s="315">
        <f t="shared" si="209"/>
        <v>0</v>
      </c>
      <c r="AV738" s="315">
        <f t="shared" si="209"/>
        <v>0</v>
      </c>
      <c r="AW738" s="315">
        <f t="shared" si="209"/>
        <v>0</v>
      </c>
      <c r="AX738" s="315">
        <f t="shared" si="209"/>
        <v>0</v>
      </c>
      <c r="AY738" s="315">
        <f t="shared" si="209"/>
        <v>0</v>
      </c>
      <c r="AZ738" s="315">
        <f t="shared" si="209"/>
        <v>0</v>
      </c>
      <c r="BA738" s="315">
        <f t="shared" si="209"/>
        <v>0</v>
      </c>
      <c r="BB738" s="315">
        <f t="shared" si="209"/>
        <v>0</v>
      </c>
      <c r="BC738" s="315">
        <f t="shared" si="208"/>
        <v>0</v>
      </c>
      <c r="BD738" s="315">
        <f t="shared" si="208"/>
        <v>0</v>
      </c>
      <c r="BE738" s="315">
        <f t="shared" si="208"/>
        <v>0</v>
      </c>
      <c r="BF738" s="315">
        <f t="shared" si="208"/>
        <v>0</v>
      </c>
      <c r="BG738" s="315">
        <f t="shared" si="208"/>
        <v>0</v>
      </c>
      <c r="BH738" s="315">
        <f t="shared" si="208"/>
        <v>0</v>
      </c>
      <c r="BI738" s="315">
        <f t="shared" si="208"/>
        <v>0</v>
      </c>
      <c r="BJ738" s="315">
        <f t="shared" si="208"/>
        <v>0</v>
      </c>
      <c r="BK738" s="315">
        <f t="shared" si="208"/>
        <v>0</v>
      </c>
      <c r="BL738" s="315">
        <f t="shared" si="208"/>
        <v>0</v>
      </c>
      <c r="BM738" s="315">
        <f t="shared" si="208"/>
        <v>0</v>
      </c>
      <c r="BN738" s="315">
        <f t="shared" si="208"/>
        <v>0</v>
      </c>
      <c r="BO738" s="315">
        <f t="shared" si="208"/>
        <v>-410666</v>
      </c>
      <c r="BP738" s="315">
        <f t="shared" si="208"/>
        <v>0</v>
      </c>
      <c r="BQ738" s="315">
        <f t="shared" si="208"/>
        <v>0</v>
      </c>
      <c r="BR738" s="315">
        <f t="shared" si="208"/>
        <v>0</v>
      </c>
      <c r="BS738" s="315">
        <f t="shared" si="210"/>
        <v>0</v>
      </c>
      <c r="BT738" s="315">
        <f t="shared" si="210"/>
        <v>441131</v>
      </c>
      <c r="BU738" s="315">
        <f t="shared" si="210"/>
        <v>0</v>
      </c>
      <c r="BV738" s="315">
        <f t="shared" si="210"/>
        <v>0</v>
      </c>
      <c r="BW738" s="315">
        <f t="shared" si="210"/>
        <v>0</v>
      </c>
      <c r="BX738" s="315">
        <f t="shared" si="210"/>
        <v>0</v>
      </c>
      <c r="BZ738" s="315">
        <f t="shared" si="207"/>
        <v>0</v>
      </c>
      <c r="CA738" s="315">
        <f t="shared" si="207"/>
        <v>0</v>
      </c>
    </row>
    <row r="739" spans="7:79" hidden="1" x14ac:dyDescent="0.2">
      <c r="G739" s="315">
        <f t="shared" ref="G739:BR740" si="211">G398-BY398</f>
        <v>0</v>
      </c>
      <c r="H739" s="315">
        <f t="shared" si="211"/>
        <v>0</v>
      </c>
      <c r="I739" s="315">
        <f t="shared" si="211"/>
        <v>0</v>
      </c>
      <c r="J739" s="315">
        <f t="shared" si="211"/>
        <v>0</v>
      </c>
      <c r="K739" s="315">
        <f t="shared" si="211"/>
        <v>0</v>
      </c>
      <c r="L739" s="315">
        <f t="shared" si="211"/>
        <v>0</v>
      </c>
      <c r="M739" s="315">
        <f t="shared" si="211"/>
        <v>0</v>
      </c>
      <c r="N739" s="315">
        <f t="shared" si="211"/>
        <v>0</v>
      </c>
      <c r="O739" s="315">
        <f t="shared" si="211"/>
        <v>0</v>
      </c>
      <c r="P739" s="315">
        <f t="shared" si="211"/>
        <v>0</v>
      </c>
      <c r="Q739" s="315">
        <f t="shared" si="211"/>
        <v>0</v>
      </c>
      <c r="R739" s="315">
        <f t="shared" si="211"/>
        <v>0</v>
      </c>
      <c r="S739" s="315">
        <f t="shared" si="211"/>
        <v>0</v>
      </c>
      <c r="T739" s="315">
        <f t="shared" si="211"/>
        <v>0</v>
      </c>
      <c r="U739" s="315">
        <f t="shared" si="211"/>
        <v>0</v>
      </c>
      <c r="V739" s="315">
        <f t="shared" si="211"/>
        <v>0</v>
      </c>
      <c r="W739" s="315">
        <f t="shared" si="211"/>
        <v>0</v>
      </c>
      <c r="X739" s="315">
        <f t="shared" si="211"/>
        <v>0</v>
      </c>
      <c r="Y739" s="315">
        <f t="shared" si="211"/>
        <v>0</v>
      </c>
      <c r="Z739" s="315">
        <f t="shared" si="211"/>
        <v>0</v>
      </c>
      <c r="AA739" s="315">
        <f t="shared" si="211"/>
        <v>0</v>
      </c>
      <c r="AB739" s="315">
        <f t="shared" si="211"/>
        <v>0</v>
      </c>
      <c r="AC739" s="315">
        <f t="shared" si="211"/>
        <v>0</v>
      </c>
      <c r="AD739" s="315">
        <f t="shared" si="211"/>
        <v>0</v>
      </c>
      <c r="AE739" s="315">
        <f t="shared" si="211"/>
        <v>0</v>
      </c>
      <c r="AF739" s="315">
        <f t="shared" si="211"/>
        <v>0</v>
      </c>
      <c r="AG739" s="315">
        <f t="shared" si="211"/>
        <v>0</v>
      </c>
      <c r="AH739" s="315">
        <f t="shared" si="211"/>
        <v>0</v>
      </c>
      <c r="AI739" s="315">
        <f t="shared" si="211"/>
        <v>0</v>
      </c>
      <c r="AJ739" s="315">
        <f t="shared" si="211"/>
        <v>0</v>
      </c>
      <c r="AK739" s="315">
        <f t="shared" si="211"/>
        <v>0</v>
      </c>
      <c r="AL739" s="315">
        <f t="shared" si="211"/>
        <v>0</v>
      </c>
      <c r="AM739" s="315">
        <f t="shared" si="211"/>
        <v>0</v>
      </c>
      <c r="AN739" s="315">
        <f t="shared" si="211"/>
        <v>0</v>
      </c>
      <c r="AO739" s="315">
        <f t="shared" si="211"/>
        <v>0</v>
      </c>
      <c r="AP739" s="315">
        <f t="shared" si="211"/>
        <v>0</v>
      </c>
      <c r="AQ739" s="315">
        <f t="shared" si="211"/>
        <v>0</v>
      </c>
      <c r="AR739" s="315">
        <f t="shared" si="211"/>
        <v>0</v>
      </c>
      <c r="AS739" s="315">
        <f t="shared" si="211"/>
        <v>0</v>
      </c>
      <c r="AT739" s="315">
        <f t="shared" si="211"/>
        <v>0</v>
      </c>
      <c r="AU739" s="315">
        <f t="shared" si="211"/>
        <v>0</v>
      </c>
      <c r="AV739" s="315">
        <f t="shared" si="211"/>
        <v>0</v>
      </c>
      <c r="AW739" s="315">
        <f t="shared" si="211"/>
        <v>0</v>
      </c>
      <c r="AX739" s="315">
        <f t="shared" si="211"/>
        <v>0</v>
      </c>
      <c r="AY739" s="315">
        <f t="shared" si="211"/>
        <v>0</v>
      </c>
      <c r="AZ739" s="315">
        <f t="shared" si="211"/>
        <v>0</v>
      </c>
      <c r="BA739" s="315">
        <f t="shared" si="211"/>
        <v>0</v>
      </c>
      <c r="BB739" s="315">
        <f t="shared" si="211"/>
        <v>0</v>
      </c>
      <c r="BC739" s="315">
        <f t="shared" si="211"/>
        <v>0</v>
      </c>
      <c r="BD739" s="315">
        <f t="shared" si="211"/>
        <v>0</v>
      </c>
      <c r="BE739" s="315">
        <f t="shared" si="211"/>
        <v>0</v>
      </c>
      <c r="BF739" s="315">
        <f t="shared" si="211"/>
        <v>0</v>
      </c>
      <c r="BG739" s="315">
        <f t="shared" si="211"/>
        <v>0</v>
      </c>
      <c r="BH739" s="315">
        <f t="shared" si="211"/>
        <v>0</v>
      </c>
      <c r="BI739" s="315">
        <f t="shared" si="211"/>
        <v>0</v>
      </c>
      <c r="BJ739" s="315">
        <f t="shared" si="211"/>
        <v>0</v>
      </c>
      <c r="BK739" s="315">
        <f t="shared" si="211"/>
        <v>0</v>
      </c>
      <c r="BL739" s="315">
        <f t="shared" si="211"/>
        <v>0</v>
      </c>
      <c r="BM739" s="315">
        <f t="shared" si="211"/>
        <v>0</v>
      </c>
      <c r="BN739" s="315">
        <f t="shared" si="211"/>
        <v>0</v>
      </c>
      <c r="BO739" s="315">
        <f t="shared" si="211"/>
        <v>0</v>
      </c>
      <c r="BP739" s="315">
        <f t="shared" si="211"/>
        <v>0</v>
      </c>
      <c r="BQ739" s="315">
        <f t="shared" si="211"/>
        <v>0</v>
      </c>
      <c r="BR739" s="315">
        <f t="shared" si="211"/>
        <v>0</v>
      </c>
      <c r="BS739" s="315">
        <f t="shared" ref="BO739:BX740" si="212">BS398-EK398</f>
        <v>0</v>
      </c>
      <c r="BT739" s="315">
        <f t="shared" si="212"/>
        <v>0</v>
      </c>
      <c r="BU739" s="315">
        <f t="shared" si="212"/>
        <v>0</v>
      </c>
      <c r="BV739" s="315">
        <f t="shared" si="212"/>
        <v>0</v>
      </c>
      <c r="BW739" s="315">
        <f t="shared" si="212"/>
        <v>0</v>
      </c>
      <c r="BX739" s="315">
        <f t="shared" si="212"/>
        <v>0</v>
      </c>
      <c r="BZ739" s="315">
        <f>BZ398-ER398</f>
        <v>0</v>
      </c>
      <c r="CA739" s="315">
        <f>CA398-ES398</f>
        <v>0</v>
      </c>
    </row>
    <row r="740" spans="7:79" hidden="1" x14ac:dyDescent="0.2">
      <c r="G740" s="315">
        <f t="shared" si="211"/>
        <v>0</v>
      </c>
      <c r="H740" s="315">
        <f t="shared" si="211"/>
        <v>0</v>
      </c>
      <c r="I740" s="315">
        <f t="shared" si="211"/>
        <v>0</v>
      </c>
      <c r="J740" s="315">
        <f t="shared" si="211"/>
        <v>0</v>
      </c>
      <c r="K740" s="315">
        <f t="shared" si="211"/>
        <v>0</v>
      </c>
      <c r="L740" s="315">
        <f t="shared" si="211"/>
        <v>0</v>
      </c>
      <c r="M740" s="315">
        <f t="shared" si="211"/>
        <v>0</v>
      </c>
      <c r="N740" s="315">
        <f t="shared" si="211"/>
        <v>0</v>
      </c>
      <c r="O740" s="315">
        <f t="shared" si="211"/>
        <v>0</v>
      </c>
      <c r="P740" s="315">
        <f t="shared" si="211"/>
        <v>0</v>
      </c>
      <c r="Q740" s="315">
        <f t="shared" si="211"/>
        <v>0</v>
      </c>
      <c r="R740" s="315">
        <f t="shared" si="211"/>
        <v>0</v>
      </c>
      <c r="S740" s="315">
        <f t="shared" si="211"/>
        <v>0</v>
      </c>
      <c r="T740" s="315">
        <f t="shared" si="211"/>
        <v>0</v>
      </c>
      <c r="U740" s="315">
        <f t="shared" si="211"/>
        <v>0</v>
      </c>
      <c r="V740" s="315">
        <f t="shared" si="211"/>
        <v>0</v>
      </c>
      <c r="W740" s="315">
        <f t="shared" si="211"/>
        <v>0</v>
      </c>
      <c r="X740" s="315">
        <f t="shared" si="211"/>
        <v>0</v>
      </c>
      <c r="Y740" s="315">
        <f t="shared" si="211"/>
        <v>0</v>
      </c>
      <c r="Z740" s="315">
        <f t="shared" si="211"/>
        <v>0</v>
      </c>
      <c r="AA740" s="315">
        <f t="shared" si="211"/>
        <v>0</v>
      </c>
      <c r="AB740" s="315">
        <f t="shared" si="211"/>
        <v>0</v>
      </c>
      <c r="AC740" s="315">
        <f t="shared" si="211"/>
        <v>0</v>
      </c>
      <c r="AD740" s="315">
        <f t="shared" si="211"/>
        <v>0</v>
      </c>
      <c r="AE740" s="315">
        <f t="shared" si="211"/>
        <v>0</v>
      </c>
      <c r="AF740" s="315">
        <f t="shared" si="211"/>
        <v>0</v>
      </c>
      <c r="AG740" s="315">
        <f t="shared" si="211"/>
        <v>0</v>
      </c>
      <c r="AH740" s="315">
        <f t="shared" si="211"/>
        <v>0</v>
      </c>
      <c r="AI740" s="315">
        <f t="shared" si="211"/>
        <v>0</v>
      </c>
      <c r="AJ740" s="315">
        <f t="shared" si="211"/>
        <v>0</v>
      </c>
      <c r="AK740" s="315">
        <f t="shared" si="211"/>
        <v>0</v>
      </c>
      <c r="AL740" s="315">
        <f t="shared" si="211"/>
        <v>0</v>
      </c>
      <c r="AM740" s="315">
        <f t="shared" si="211"/>
        <v>0</v>
      </c>
      <c r="AN740" s="315">
        <f t="shared" si="211"/>
        <v>0</v>
      </c>
      <c r="AO740" s="315">
        <f t="shared" si="211"/>
        <v>0</v>
      </c>
      <c r="AP740" s="315">
        <f t="shared" si="211"/>
        <v>0</v>
      </c>
      <c r="AQ740" s="315">
        <f t="shared" si="211"/>
        <v>0</v>
      </c>
      <c r="AR740" s="315">
        <f t="shared" si="211"/>
        <v>0</v>
      </c>
      <c r="AS740" s="315">
        <f t="shared" si="211"/>
        <v>0</v>
      </c>
      <c r="AT740" s="315">
        <f t="shared" si="211"/>
        <v>0</v>
      </c>
      <c r="AU740" s="315">
        <f t="shared" si="211"/>
        <v>0</v>
      </c>
      <c r="AV740" s="315">
        <f t="shared" si="211"/>
        <v>0</v>
      </c>
      <c r="AW740" s="315">
        <f t="shared" si="211"/>
        <v>0</v>
      </c>
      <c r="AX740" s="315">
        <f t="shared" si="211"/>
        <v>0</v>
      </c>
      <c r="AY740" s="315">
        <f t="shared" si="211"/>
        <v>0</v>
      </c>
      <c r="AZ740" s="315">
        <f t="shared" si="211"/>
        <v>0</v>
      </c>
      <c r="BA740" s="315">
        <f t="shared" si="211"/>
        <v>0</v>
      </c>
      <c r="BB740" s="315">
        <f t="shared" si="211"/>
        <v>0</v>
      </c>
      <c r="BC740" s="315">
        <f t="shared" si="211"/>
        <v>0</v>
      </c>
      <c r="BD740" s="315">
        <f t="shared" si="211"/>
        <v>0</v>
      </c>
      <c r="BE740" s="315">
        <f t="shared" si="211"/>
        <v>0</v>
      </c>
      <c r="BF740" s="315">
        <f t="shared" si="211"/>
        <v>0</v>
      </c>
      <c r="BG740" s="315">
        <f t="shared" si="211"/>
        <v>0</v>
      </c>
      <c r="BH740" s="315">
        <f t="shared" si="211"/>
        <v>0</v>
      </c>
      <c r="BI740" s="315">
        <f t="shared" si="211"/>
        <v>0</v>
      </c>
      <c r="BJ740" s="315">
        <f t="shared" si="211"/>
        <v>0</v>
      </c>
      <c r="BK740" s="315">
        <f t="shared" si="211"/>
        <v>0</v>
      </c>
      <c r="BL740" s="315">
        <f t="shared" si="211"/>
        <v>0</v>
      </c>
      <c r="BM740" s="315">
        <f t="shared" si="211"/>
        <v>0</v>
      </c>
      <c r="BN740" s="315">
        <f t="shared" si="211"/>
        <v>0</v>
      </c>
      <c r="BO740" s="315">
        <f t="shared" si="212"/>
        <v>0</v>
      </c>
      <c r="BP740" s="315">
        <f t="shared" si="212"/>
        <v>0</v>
      </c>
      <c r="BQ740" s="315">
        <f t="shared" si="212"/>
        <v>0</v>
      </c>
      <c r="BR740" s="315">
        <f t="shared" si="212"/>
        <v>0</v>
      </c>
      <c r="BS740" s="315">
        <f t="shared" si="212"/>
        <v>0</v>
      </c>
      <c r="BT740" s="315">
        <f t="shared" si="212"/>
        <v>0</v>
      </c>
      <c r="BU740" s="315">
        <f t="shared" si="212"/>
        <v>0</v>
      </c>
      <c r="BV740" s="315">
        <f t="shared" si="212"/>
        <v>0</v>
      </c>
      <c r="BW740" s="315">
        <f t="shared" si="212"/>
        <v>0</v>
      </c>
      <c r="BX740" s="315">
        <f t="shared" si="212"/>
        <v>0</v>
      </c>
      <c r="BZ740" s="315">
        <f>BZ399-ER399</f>
        <v>0</v>
      </c>
      <c r="CA740" s="315">
        <f>CA399-ES399</f>
        <v>0</v>
      </c>
    </row>
    <row r="741" spans="7:79" hidden="1" x14ac:dyDescent="0.2"/>
    <row r="742" spans="7:79" hidden="1" x14ac:dyDescent="0.2"/>
  </sheetData>
  <mergeCells count="4">
    <mergeCell ref="E164:BV164"/>
    <mergeCell ref="BY164:EN164"/>
    <mergeCell ref="G8:BV8"/>
    <mergeCell ref="BY8:EM8"/>
  </mergeCells>
  <pageMargins left="0.7" right="0.7" top="0.75" bottom="0.75" header="0.3" footer="0.3"/>
  <pageSetup paperSize="9" scale="2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H296"/>
  <sheetViews>
    <sheetView view="pageBreakPreview" zoomScale="118" zoomScaleNormal="100" zoomScaleSheetLayoutView="118" workbookViewId="0">
      <selection activeCell="G351" sqref="G351"/>
    </sheetView>
  </sheetViews>
  <sheetFormatPr defaultColWidth="10" defaultRowHeight="12.75" x14ac:dyDescent="0.2"/>
  <cols>
    <col min="1" max="1" width="1.85546875" style="315" customWidth="1"/>
    <col min="2" max="3" width="1" style="315" customWidth="1"/>
    <col min="4" max="4" width="34" style="315" customWidth="1"/>
    <col min="5" max="6" width="1" style="315" customWidth="1"/>
    <col min="7" max="7" width="17.85546875" style="315" customWidth="1"/>
    <col min="8" max="11" width="1" style="315" customWidth="1"/>
    <col min="12" max="12" width="17.85546875" style="315" customWidth="1"/>
    <col min="13" max="16" width="1" style="315" customWidth="1"/>
    <col min="17" max="17" width="17.85546875" style="315" customWidth="1"/>
    <col min="18" max="21" width="1" style="315" customWidth="1"/>
    <col min="22" max="22" width="17.85546875" style="315" customWidth="1"/>
    <col min="23" max="26" width="1" style="315" customWidth="1"/>
    <col min="27" max="27" width="17.85546875" style="315" customWidth="1"/>
    <col min="28" max="31" width="1" style="315" customWidth="1"/>
    <col min="32" max="32" width="17.85546875" style="315" customWidth="1"/>
    <col min="33" max="36" width="1" style="315" customWidth="1"/>
    <col min="37" max="37" width="17.85546875" style="315" customWidth="1"/>
    <col min="38" max="41" width="1" style="315" customWidth="1"/>
    <col min="42" max="42" width="17.85546875" style="315" customWidth="1"/>
    <col min="43" max="44" width="1" style="315" customWidth="1"/>
    <col min="45" max="46" width="1" style="315" hidden="1" customWidth="1"/>
    <col min="47" max="47" width="17.85546875" style="315" hidden="1" customWidth="1"/>
    <col min="48" max="50" width="1" style="315" hidden="1" customWidth="1"/>
    <col min="51" max="51" width="1.140625" style="315" hidden="1" customWidth="1"/>
    <col min="52" max="52" width="17.85546875" style="315" hidden="1" customWidth="1"/>
    <col min="53" max="56" width="1" style="315" hidden="1" customWidth="1"/>
    <col min="57" max="57" width="17.85546875" style="315" hidden="1" customWidth="1"/>
    <col min="58" max="61" width="1" style="315" hidden="1" customWidth="1"/>
    <col min="62" max="62" width="17.85546875" style="315" hidden="1" customWidth="1"/>
    <col min="63" max="66" width="1" style="315" hidden="1" customWidth="1"/>
    <col min="67" max="67" width="17.85546875" style="315" hidden="1" customWidth="1"/>
    <col min="68" max="69" width="1" style="315" hidden="1" customWidth="1"/>
    <col min="70" max="71" width="1" style="315" customWidth="1"/>
    <col min="72" max="72" width="17.85546875" style="315" customWidth="1"/>
    <col min="73" max="73" width="1" style="315" customWidth="1"/>
    <col min="74" max="74" width="3.5703125" style="315" customWidth="1"/>
    <col min="75" max="75" width="2" style="315" customWidth="1"/>
    <col min="76" max="76" width="12.28515625" style="315" customWidth="1"/>
    <col min="77" max="16384" width="10" style="315"/>
  </cols>
  <sheetData>
    <row r="1" spans="1:76" x14ac:dyDescent="0.2"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>
        <v>14109076861</v>
      </c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</row>
    <row r="2" spans="1:76" ht="5.25" customHeight="1" x14ac:dyDescent="0.2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</row>
    <row r="3" spans="1:76" x14ac:dyDescent="0.2">
      <c r="A3" s="317"/>
      <c r="B3" s="317"/>
      <c r="D3" s="317"/>
    </row>
    <row r="4" spans="1:76" x14ac:dyDescent="0.2">
      <c r="A4" s="317"/>
      <c r="B4" s="317"/>
      <c r="D4" s="39"/>
      <c r="E4" s="39"/>
      <c r="F4" s="39"/>
    </row>
    <row r="5" spans="1:76" x14ac:dyDescent="0.2">
      <c r="A5" s="317"/>
      <c r="B5" s="317"/>
    </row>
    <row r="6" spans="1:76" x14ac:dyDescent="0.2">
      <c r="A6" s="317"/>
      <c r="B6" s="317"/>
    </row>
    <row r="7" spans="1:76" ht="15.75" x14ac:dyDescent="0.25">
      <c r="A7" s="317"/>
      <c r="B7" s="317"/>
      <c r="D7" s="470" t="s">
        <v>228</v>
      </c>
      <c r="E7" s="410"/>
      <c r="F7" s="410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</row>
    <row r="8" spans="1:76" ht="15" customHeight="1" x14ac:dyDescent="0.2">
      <c r="A8" s="317"/>
      <c r="B8" s="317"/>
      <c r="D8" s="332"/>
      <c r="E8" s="371"/>
      <c r="F8" s="374"/>
      <c r="G8" s="675" t="s">
        <v>1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5"/>
      <c r="AI8" s="675"/>
      <c r="AJ8" s="675"/>
      <c r="AK8" s="675"/>
      <c r="AL8" s="675"/>
      <c r="AM8" s="675"/>
      <c r="AN8" s="675"/>
      <c r="AO8" s="675"/>
      <c r="AP8" s="675"/>
      <c r="AQ8" s="675"/>
      <c r="AR8" s="675"/>
      <c r="AS8" s="675"/>
      <c r="AT8" s="675"/>
      <c r="AU8" s="675"/>
      <c r="AV8" s="675"/>
      <c r="AW8" s="675"/>
      <c r="AX8" s="675"/>
      <c r="AY8" s="675"/>
      <c r="AZ8" s="675"/>
      <c r="BA8" s="675"/>
      <c r="BB8" s="675"/>
      <c r="BC8" s="675"/>
      <c r="BD8" s="675"/>
      <c r="BE8" s="675"/>
      <c r="BF8" s="675"/>
      <c r="BG8" s="675"/>
      <c r="BH8" s="675"/>
      <c r="BI8" s="675"/>
      <c r="BJ8" s="675"/>
      <c r="BK8" s="675"/>
      <c r="BL8" s="675"/>
      <c r="BM8" s="675"/>
      <c r="BN8" s="675"/>
      <c r="BO8" s="675"/>
      <c r="BP8" s="675"/>
      <c r="BQ8" s="675"/>
      <c r="BR8" s="675"/>
      <c r="BS8" s="675"/>
      <c r="BT8" s="675"/>
      <c r="BU8" s="675"/>
      <c r="BV8" s="720"/>
    </row>
    <row r="9" spans="1:76" ht="18" customHeight="1" x14ac:dyDescent="0.2">
      <c r="A9" s="317"/>
      <c r="B9" s="317"/>
      <c r="D9" s="340"/>
      <c r="E9" s="347"/>
      <c r="F9" s="317"/>
      <c r="G9" s="44" t="s">
        <v>3</v>
      </c>
      <c r="H9" s="44"/>
      <c r="I9" s="44"/>
      <c r="J9" s="268"/>
      <c r="K9" s="44"/>
      <c r="L9" s="44" t="s">
        <v>4</v>
      </c>
      <c r="M9" s="44"/>
      <c r="N9" s="44"/>
      <c r="O9" s="268"/>
      <c r="P9" s="44"/>
      <c r="Q9" s="44" t="s">
        <v>5</v>
      </c>
      <c r="R9" s="44"/>
      <c r="S9" s="44"/>
      <c r="T9" s="268"/>
      <c r="U9" s="44"/>
      <c r="V9" s="44" t="s">
        <v>6</v>
      </c>
      <c r="W9" s="44"/>
      <c r="X9" s="44"/>
      <c r="Y9" s="268"/>
      <c r="Z9" s="44"/>
      <c r="AA9" s="44" t="s">
        <v>7</v>
      </c>
      <c r="AB9" s="44"/>
      <c r="AC9" s="44"/>
      <c r="AD9" s="268"/>
      <c r="AE9" s="44"/>
      <c r="AF9" s="44" t="s">
        <v>8</v>
      </c>
      <c r="AG9" s="44"/>
      <c r="AH9" s="44"/>
      <c r="AI9" s="268"/>
      <c r="AJ9" s="44"/>
      <c r="AK9" s="44" t="s">
        <v>9</v>
      </c>
      <c r="AL9" s="44"/>
      <c r="AM9" s="44"/>
      <c r="AN9" s="268"/>
      <c r="AO9" s="44"/>
      <c r="AP9" s="44" t="s">
        <v>10</v>
      </c>
      <c r="AQ9" s="44"/>
      <c r="AR9" s="44"/>
      <c r="AS9" s="268"/>
      <c r="AT9" s="44"/>
      <c r="AU9" s="44" t="s">
        <v>11</v>
      </c>
      <c r="AV9" s="44"/>
      <c r="AW9" s="44"/>
      <c r="AX9" s="268"/>
      <c r="AY9" s="44"/>
      <c r="AZ9" s="44" t="s">
        <v>12</v>
      </c>
      <c r="BA9" s="44"/>
      <c r="BB9" s="44"/>
      <c r="BC9" s="268"/>
      <c r="BD9" s="44"/>
      <c r="BE9" s="44" t="s">
        <v>13</v>
      </c>
      <c r="BF9" s="44"/>
      <c r="BG9" s="44"/>
      <c r="BH9" s="268"/>
      <c r="BI9" s="44"/>
      <c r="BJ9" s="44" t="s">
        <v>14</v>
      </c>
      <c r="BK9" s="44"/>
      <c r="BL9" s="44"/>
      <c r="BM9" s="268"/>
      <c r="BN9" s="44"/>
      <c r="BO9" s="44" t="s">
        <v>15</v>
      </c>
      <c r="BP9" s="44"/>
      <c r="BQ9" s="44"/>
      <c r="BR9" s="268"/>
      <c r="BS9" s="44"/>
      <c r="BT9" s="44" t="s">
        <v>16</v>
      </c>
      <c r="BU9" s="269"/>
      <c r="BV9" s="491"/>
    </row>
    <row r="10" spans="1:76" x14ac:dyDescent="0.2">
      <c r="A10" s="317"/>
      <c r="B10" s="317"/>
      <c r="D10" s="341" t="s">
        <v>17</v>
      </c>
      <c r="E10" s="417"/>
      <c r="F10" s="418"/>
      <c r="G10" s="344" t="s">
        <v>19</v>
      </c>
      <c r="H10" s="344"/>
      <c r="I10" s="344"/>
      <c r="J10" s="343"/>
      <c r="K10" s="344"/>
      <c r="L10" s="344"/>
      <c r="M10" s="344"/>
      <c r="N10" s="344"/>
      <c r="O10" s="343"/>
      <c r="P10" s="344"/>
      <c r="Q10" s="344"/>
      <c r="R10" s="344"/>
      <c r="S10" s="344"/>
      <c r="T10" s="343"/>
      <c r="U10" s="344"/>
      <c r="V10" s="344"/>
      <c r="W10" s="344"/>
      <c r="X10" s="344"/>
      <c r="Y10" s="343"/>
      <c r="Z10" s="344"/>
      <c r="AA10" s="344"/>
      <c r="AB10" s="344"/>
      <c r="AC10" s="344"/>
      <c r="AD10" s="343"/>
      <c r="AE10" s="344"/>
      <c r="AF10" s="344"/>
      <c r="AG10" s="344"/>
      <c r="AH10" s="344"/>
      <c r="AI10" s="343"/>
      <c r="AJ10" s="344"/>
      <c r="AK10" s="344"/>
      <c r="AL10" s="344"/>
      <c r="AM10" s="344"/>
      <c r="AN10" s="343"/>
      <c r="AO10" s="344"/>
      <c r="AP10" s="344"/>
      <c r="AQ10" s="344"/>
      <c r="AR10" s="344"/>
      <c r="AS10" s="343"/>
      <c r="AT10" s="344"/>
      <c r="AU10" s="344"/>
      <c r="AV10" s="344"/>
      <c r="AW10" s="344"/>
      <c r="AX10" s="343"/>
      <c r="AY10" s="344"/>
      <c r="AZ10" s="344"/>
      <c r="BA10" s="344"/>
      <c r="BB10" s="344"/>
      <c r="BC10" s="343"/>
      <c r="BD10" s="344"/>
      <c r="BE10" s="344"/>
      <c r="BF10" s="344"/>
      <c r="BG10" s="344"/>
      <c r="BH10" s="343"/>
      <c r="BI10" s="344"/>
      <c r="BJ10" s="344"/>
      <c r="BK10" s="344"/>
      <c r="BL10" s="344"/>
      <c r="BM10" s="343"/>
      <c r="BN10" s="344"/>
      <c r="BO10" s="344"/>
      <c r="BP10" s="344"/>
      <c r="BQ10" s="344"/>
      <c r="BR10" s="343"/>
      <c r="BS10" s="344"/>
      <c r="BT10" s="344"/>
      <c r="BU10" s="344"/>
      <c r="BV10" s="345"/>
    </row>
    <row r="11" spans="1:76" x14ac:dyDescent="0.2">
      <c r="A11" s="317"/>
      <c r="B11" s="317"/>
      <c r="D11" s="421"/>
      <c r="E11" s="375"/>
      <c r="F11" s="376"/>
      <c r="G11" s="376"/>
      <c r="H11" s="376"/>
      <c r="I11" s="376"/>
      <c r="J11" s="375"/>
      <c r="K11" s="376"/>
      <c r="L11" s="376"/>
      <c r="M11" s="376"/>
      <c r="N11" s="376"/>
      <c r="O11" s="375"/>
      <c r="P11" s="376"/>
      <c r="Q11" s="376"/>
      <c r="R11" s="376"/>
      <c r="S11" s="376"/>
      <c r="T11" s="375"/>
      <c r="U11" s="376"/>
      <c r="V11" s="376"/>
      <c r="W11" s="376"/>
      <c r="X11" s="376"/>
      <c r="Y11" s="375"/>
      <c r="Z11" s="376"/>
      <c r="AA11" s="376"/>
      <c r="AB11" s="376"/>
      <c r="AC11" s="376"/>
      <c r="AD11" s="375"/>
      <c r="AE11" s="376"/>
      <c r="AF11" s="376"/>
      <c r="AG11" s="376"/>
      <c r="AH11" s="376"/>
      <c r="AI11" s="375"/>
      <c r="AJ11" s="376"/>
      <c r="AK11" s="376"/>
      <c r="AL11" s="376"/>
      <c r="AM11" s="376"/>
      <c r="AN11" s="375"/>
      <c r="AO11" s="376"/>
      <c r="AP11" s="376"/>
      <c r="AQ11" s="376"/>
      <c r="AR11" s="376"/>
      <c r="AS11" s="375"/>
      <c r="AT11" s="376"/>
      <c r="AU11" s="376"/>
      <c r="AV11" s="376"/>
      <c r="AW11" s="376"/>
      <c r="AX11" s="375"/>
      <c r="AY11" s="376"/>
      <c r="AZ11" s="376"/>
      <c r="BA11" s="376"/>
      <c r="BB11" s="376"/>
      <c r="BC11" s="375"/>
      <c r="BD11" s="376"/>
      <c r="BE11" s="376"/>
      <c r="BF11" s="376"/>
      <c r="BG11" s="376"/>
      <c r="BH11" s="375"/>
      <c r="BI11" s="376"/>
      <c r="BJ11" s="376"/>
      <c r="BK11" s="376"/>
      <c r="BL11" s="376"/>
      <c r="BM11" s="375"/>
      <c r="BN11" s="376"/>
      <c r="BO11" s="376"/>
      <c r="BP11" s="376"/>
      <c r="BQ11" s="376"/>
      <c r="BR11" s="375"/>
      <c r="BS11" s="376"/>
      <c r="BT11" s="317"/>
      <c r="BU11" s="317"/>
      <c r="BV11" s="444"/>
    </row>
    <row r="12" spans="1:76" s="39" customFormat="1" x14ac:dyDescent="0.2">
      <c r="A12" s="329"/>
      <c r="B12" s="329"/>
      <c r="D12" s="348" t="s">
        <v>229</v>
      </c>
      <c r="E12" s="350"/>
      <c r="F12" s="329"/>
      <c r="G12" s="56">
        <v>87756673</v>
      </c>
      <c r="H12" s="56"/>
      <c r="I12" s="56"/>
      <c r="J12" s="205"/>
      <c r="K12" s="56"/>
      <c r="L12" s="378">
        <v>4376147</v>
      </c>
      <c r="M12" s="378"/>
      <c r="N12" s="378"/>
      <c r="O12" s="377"/>
      <c r="P12" s="378"/>
      <c r="Q12" s="378">
        <v>6862829</v>
      </c>
      <c r="R12" s="378"/>
      <c r="S12" s="378"/>
      <c r="T12" s="377"/>
      <c r="U12" s="378"/>
      <c r="V12" s="378">
        <v>2573850</v>
      </c>
      <c r="W12" s="378"/>
      <c r="X12" s="378"/>
      <c r="Y12" s="377"/>
      <c r="Z12" s="378"/>
      <c r="AA12" s="378">
        <v>591849</v>
      </c>
      <c r="AB12" s="378"/>
      <c r="AC12" s="378"/>
      <c r="AD12" s="377"/>
      <c r="AE12" s="378"/>
      <c r="AF12" s="378">
        <v>3602980</v>
      </c>
      <c r="AG12" s="378"/>
      <c r="AH12" s="378"/>
      <c r="AI12" s="377"/>
      <c r="AJ12" s="378"/>
      <c r="AK12" s="378">
        <v>1125584</v>
      </c>
      <c r="AL12" s="378"/>
      <c r="AM12" s="378"/>
      <c r="AN12" s="377"/>
      <c r="AO12" s="378"/>
      <c r="AP12" s="378">
        <v>1150952</v>
      </c>
      <c r="AQ12" s="378"/>
      <c r="AR12" s="378"/>
      <c r="AS12" s="377"/>
      <c r="AT12" s="378"/>
      <c r="AU12" s="378">
        <v>0</v>
      </c>
      <c r="AV12" s="378"/>
      <c r="AW12" s="378"/>
      <c r="AX12" s="377"/>
      <c r="AY12" s="378"/>
      <c r="AZ12" s="378">
        <v>0</v>
      </c>
      <c r="BA12" s="378"/>
      <c r="BB12" s="378"/>
      <c r="BC12" s="377"/>
      <c r="BD12" s="378"/>
      <c r="BE12" s="378">
        <v>0</v>
      </c>
      <c r="BF12" s="378"/>
      <c r="BG12" s="378"/>
      <c r="BH12" s="377"/>
      <c r="BI12" s="378"/>
      <c r="BJ12" s="378">
        <v>0</v>
      </c>
      <c r="BK12" s="378"/>
      <c r="BL12" s="378"/>
      <c r="BM12" s="377"/>
      <c r="BN12" s="378"/>
      <c r="BO12" s="378">
        <v>0</v>
      </c>
      <c r="BP12" s="378"/>
      <c r="BQ12" s="378"/>
      <c r="BR12" s="377"/>
      <c r="BS12" s="378"/>
      <c r="BT12" s="378">
        <v>20284191</v>
      </c>
      <c r="BU12" s="378"/>
      <c r="BV12" s="724"/>
    </row>
    <row r="13" spans="1:76" x14ac:dyDescent="0.2">
      <c r="A13" s="317"/>
      <c r="B13" s="317"/>
      <c r="D13" s="340" t="s">
        <v>230</v>
      </c>
      <c r="E13" s="347"/>
      <c r="F13" s="379"/>
      <c r="G13" s="422">
        <v>71712000</v>
      </c>
      <c r="H13" s="424"/>
      <c r="I13" s="80"/>
      <c r="J13" s="208"/>
      <c r="K13" s="379"/>
      <c r="L13" s="422">
        <v>513949</v>
      </c>
      <c r="M13" s="424"/>
      <c r="N13" s="376"/>
      <c r="O13" s="375"/>
      <c r="P13" s="379"/>
      <c r="Q13" s="422">
        <v>384648</v>
      </c>
      <c r="R13" s="424"/>
      <c r="S13" s="376"/>
      <c r="T13" s="375"/>
      <c r="U13" s="379"/>
      <c r="V13" s="422">
        <v>416656</v>
      </c>
      <c r="W13" s="424"/>
      <c r="X13" s="376"/>
      <c r="Y13" s="375"/>
      <c r="Z13" s="379"/>
      <c r="AA13" s="422">
        <v>496510</v>
      </c>
      <c r="AB13" s="424"/>
      <c r="AC13" s="376"/>
      <c r="AD13" s="375"/>
      <c r="AE13" s="379"/>
      <c r="AF13" s="422">
        <v>802735</v>
      </c>
      <c r="AG13" s="424"/>
      <c r="AH13" s="376"/>
      <c r="AI13" s="375"/>
      <c r="AJ13" s="379"/>
      <c r="AK13" s="422">
        <v>474068</v>
      </c>
      <c r="AL13" s="424"/>
      <c r="AM13" s="376"/>
      <c r="AN13" s="375"/>
      <c r="AO13" s="379"/>
      <c r="AP13" s="422">
        <v>692919</v>
      </c>
      <c r="AQ13" s="424"/>
      <c r="AR13" s="376"/>
      <c r="AS13" s="375"/>
      <c r="AT13" s="379"/>
      <c r="AU13" s="422">
        <v>0</v>
      </c>
      <c r="AV13" s="424"/>
      <c r="AW13" s="376"/>
      <c r="AX13" s="375"/>
      <c r="AY13" s="379"/>
      <c r="AZ13" s="422">
        <v>0</v>
      </c>
      <c r="BA13" s="424"/>
      <c r="BB13" s="376"/>
      <c r="BC13" s="375"/>
      <c r="BD13" s="379"/>
      <c r="BE13" s="422">
        <v>0</v>
      </c>
      <c r="BF13" s="424"/>
      <c r="BG13" s="376"/>
      <c r="BH13" s="375"/>
      <c r="BI13" s="379"/>
      <c r="BJ13" s="422">
        <v>0</v>
      </c>
      <c r="BK13" s="424"/>
      <c r="BL13" s="376"/>
      <c r="BM13" s="375"/>
      <c r="BN13" s="379"/>
      <c r="BO13" s="422">
        <v>0</v>
      </c>
      <c r="BP13" s="424"/>
      <c r="BQ13" s="375"/>
      <c r="BR13" s="375"/>
      <c r="BS13" s="379"/>
      <c r="BT13" s="422">
        <v>3781485</v>
      </c>
      <c r="BU13" s="424"/>
      <c r="BV13" s="725"/>
      <c r="BW13" s="39"/>
      <c r="BX13" s="39"/>
    </row>
    <row r="14" spans="1:76" x14ac:dyDescent="0.2">
      <c r="A14" s="317"/>
      <c r="B14" s="317"/>
      <c r="D14" s="340" t="s">
        <v>231</v>
      </c>
      <c r="E14" s="347"/>
      <c r="F14" s="375"/>
      <c r="G14" s="376">
        <v>7695000</v>
      </c>
      <c r="H14" s="425"/>
      <c r="I14" s="376"/>
      <c r="J14" s="375"/>
      <c r="K14" s="375"/>
      <c r="L14" s="376">
        <v>3035000</v>
      </c>
      <c r="M14" s="425"/>
      <c r="N14" s="376"/>
      <c r="O14" s="375"/>
      <c r="P14" s="375"/>
      <c r="Q14" s="376">
        <v>3410000</v>
      </c>
      <c r="R14" s="425"/>
      <c r="S14" s="376"/>
      <c r="T14" s="375"/>
      <c r="U14" s="375"/>
      <c r="V14" s="376">
        <v>1250000</v>
      </c>
      <c r="W14" s="425"/>
      <c r="X14" s="376"/>
      <c r="Y14" s="375"/>
      <c r="Z14" s="375"/>
      <c r="AA14" s="376">
        <v>0</v>
      </c>
      <c r="AB14" s="425"/>
      <c r="AC14" s="376"/>
      <c r="AD14" s="375"/>
      <c r="AE14" s="375"/>
      <c r="AF14" s="376">
        <v>0</v>
      </c>
      <c r="AG14" s="425"/>
      <c r="AH14" s="376"/>
      <c r="AI14" s="375"/>
      <c r="AJ14" s="375"/>
      <c r="AK14" s="376">
        <v>0</v>
      </c>
      <c r="AL14" s="425"/>
      <c r="AM14" s="376"/>
      <c r="AN14" s="375"/>
      <c r="AO14" s="375"/>
      <c r="AP14" s="376">
        <v>0</v>
      </c>
      <c r="AQ14" s="425"/>
      <c r="AR14" s="376"/>
      <c r="AS14" s="375"/>
      <c r="AT14" s="375"/>
      <c r="AU14" s="376">
        <v>0</v>
      </c>
      <c r="AV14" s="425"/>
      <c r="AW14" s="376"/>
      <c r="AX14" s="375"/>
      <c r="AY14" s="375"/>
      <c r="AZ14" s="376">
        <v>0</v>
      </c>
      <c r="BA14" s="425"/>
      <c r="BB14" s="376"/>
      <c r="BC14" s="375"/>
      <c r="BD14" s="375"/>
      <c r="BE14" s="376">
        <v>0</v>
      </c>
      <c r="BF14" s="425"/>
      <c r="BG14" s="376"/>
      <c r="BH14" s="375"/>
      <c r="BI14" s="375"/>
      <c r="BJ14" s="376">
        <v>0</v>
      </c>
      <c r="BK14" s="425"/>
      <c r="BL14" s="376"/>
      <c r="BM14" s="375"/>
      <c r="BN14" s="375"/>
      <c r="BO14" s="376">
        <v>0</v>
      </c>
      <c r="BP14" s="425"/>
      <c r="BQ14" s="375"/>
      <c r="BR14" s="375"/>
      <c r="BS14" s="375"/>
      <c r="BT14" s="376">
        <v>7695000</v>
      </c>
      <c r="BU14" s="425"/>
      <c r="BV14" s="725"/>
      <c r="BW14" s="39"/>
      <c r="BX14" s="39"/>
    </row>
    <row r="15" spans="1:76" x14ac:dyDescent="0.2">
      <c r="A15" s="317"/>
      <c r="B15" s="317"/>
      <c r="D15" s="340" t="s">
        <v>232</v>
      </c>
      <c r="E15" s="347"/>
      <c r="F15" s="375"/>
      <c r="G15" s="376">
        <v>8349673</v>
      </c>
      <c r="H15" s="425"/>
      <c r="I15" s="80"/>
      <c r="J15" s="208"/>
      <c r="K15" s="375"/>
      <c r="L15" s="376">
        <v>827198</v>
      </c>
      <c r="M15" s="425"/>
      <c r="N15" s="80"/>
      <c r="O15" s="208"/>
      <c r="P15" s="375"/>
      <c r="Q15" s="376">
        <v>3068181</v>
      </c>
      <c r="R15" s="425"/>
      <c r="S15" s="376"/>
      <c r="T15" s="375"/>
      <c r="U15" s="375"/>
      <c r="V15" s="376">
        <v>907194</v>
      </c>
      <c r="W15" s="425"/>
      <c r="X15" s="376"/>
      <c r="Y15" s="375"/>
      <c r="Z15" s="375"/>
      <c r="AA15" s="376">
        <v>95339</v>
      </c>
      <c r="AB15" s="425"/>
      <c r="AC15" s="376"/>
      <c r="AD15" s="375"/>
      <c r="AE15" s="375"/>
      <c r="AF15" s="376">
        <v>2800245</v>
      </c>
      <c r="AG15" s="425"/>
      <c r="AH15" s="376"/>
      <c r="AI15" s="375"/>
      <c r="AJ15" s="375"/>
      <c r="AK15" s="376">
        <v>651516</v>
      </c>
      <c r="AL15" s="425"/>
      <c r="AM15" s="376"/>
      <c r="AN15" s="375"/>
      <c r="AO15" s="375"/>
      <c r="AP15" s="376">
        <v>458033</v>
      </c>
      <c r="AQ15" s="425"/>
      <c r="AR15" s="376"/>
      <c r="AS15" s="375"/>
      <c r="AT15" s="375"/>
      <c r="AU15" s="376">
        <v>0</v>
      </c>
      <c r="AV15" s="425"/>
      <c r="AW15" s="376"/>
      <c r="AX15" s="375"/>
      <c r="AY15" s="375"/>
      <c r="AZ15" s="376">
        <v>0</v>
      </c>
      <c r="BA15" s="425"/>
      <c r="BB15" s="376"/>
      <c r="BC15" s="375"/>
      <c r="BD15" s="375"/>
      <c r="BE15" s="376">
        <v>0</v>
      </c>
      <c r="BF15" s="425"/>
      <c r="BG15" s="376"/>
      <c r="BH15" s="375"/>
      <c r="BI15" s="375"/>
      <c r="BJ15" s="376">
        <v>0</v>
      </c>
      <c r="BK15" s="425"/>
      <c r="BL15" s="376"/>
      <c r="BM15" s="375"/>
      <c r="BN15" s="375"/>
      <c r="BO15" s="376">
        <v>0</v>
      </c>
      <c r="BP15" s="425"/>
      <c r="BQ15" s="375"/>
      <c r="BR15" s="375"/>
      <c r="BS15" s="375"/>
      <c r="BT15" s="376">
        <v>8807706</v>
      </c>
      <c r="BU15" s="425"/>
      <c r="BV15" s="725"/>
      <c r="BW15" s="39"/>
      <c r="BX15" s="39"/>
    </row>
    <row r="16" spans="1:76" ht="12.75" customHeight="1" x14ac:dyDescent="0.2">
      <c r="A16" s="317"/>
      <c r="B16" s="317"/>
      <c r="D16" s="340" t="s">
        <v>233</v>
      </c>
      <c r="E16" s="347"/>
      <c r="F16" s="388"/>
      <c r="G16" s="426">
        <v>0</v>
      </c>
      <c r="H16" s="427"/>
      <c r="I16" s="80"/>
      <c r="J16" s="208"/>
      <c r="K16" s="388"/>
      <c r="L16" s="426">
        <v>0</v>
      </c>
      <c r="M16" s="427"/>
      <c r="N16" s="80"/>
      <c r="O16" s="208"/>
      <c r="P16" s="388"/>
      <c r="Q16" s="426">
        <v>0</v>
      </c>
      <c r="R16" s="427"/>
      <c r="S16" s="376"/>
      <c r="T16" s="375"/>
      <c r="U16" s="388"/>
      <c r="V16" s="426">
        <v>0</v>
      </c>
      <c r="W16" s="427"/>
      <c r="X16" s="376"/>
      <c r="Y16" s="375"/>
      <c r="Z16" s="388"/>
      <c r="AA16" s="426">
        <v>0</v>
      </c>
      <c r="AB16" s="427"/>
      <c r="AC16" s="376"/>
      <c r="AD16" s="375"/>
      <c r="AE16" s="388"/>
      <c r="AF16" s="426">
        <v>0</v>
      </c>
      <c r="AG16" s="427"/>
      <c r="AH16" s="376"/>
      <c r="AI16" s="375"/>
      <c r="AJ16" s="388"/>
      <c r="AK16" s="426">
        <v>0</v>
      </c>
      <c r="AL16" s="427"/>
      <c r="AM16" s="376"/>
      <c r="AN16" s="375"/>
      <c r="AO16" s="388"/>
      <c r="AP16" s="426">
        <v>0</v>
      </c>
      <c r="AQ16" s="427"/>
      <c r="AR16" s="376"/>
      <c r="AS16" s="375"/>
      <c r="AT16" s="388"/>
      <c r="AU16" s="426">
        <v>0</v>
      </c>
      <c r="AV16" s="427"/>
      <c r="AW16" s="376"/>
      <c r="AX16" s="375"/>
      <c r="AY16" s="388"/>
      <c r="AZ16" s="426">
        <v>0</v>
      </c>
      <c r="BA16" s="427"/>
      <c r="BB16" s="376"/>
      <c r="BC16" s="375"/>
      <c r="BD16" s="388"/>
      <c r="BE16" s="426">
        <v>0</v>
      </c>
      <c r="BF16" s="427"/>
      <c r="BG16" s="376"/>
      <c r="BH16" s="375"/>
      <c r="BI16" s="388"/>
      <c r="BJ16" s="426">
        <v>0</v>
      </c>
      <c r="BK16" s="427"/>
      <c r="BL16" s="376"/>
      <c r="BM16" s="375"/>
      <c r="BN16" s="388"/>
      <c r="BO16" s="426">
        <v>0</v>
      </c>
      <c r="BP16" s="427"/>
      <c r="BQ16" s="376"/>
      <c r="BR16" s="375"/>
      <c r="BS16" s="388"/>
      <c r="BT16" s="426">
        <v>0</v>
      </c>
      <c r="BU16" s="427"/>
      <c r="BV16" s="725"/>
      <c r="BW16" s="39"/>
      <c r="BX16" s="39"/>
    </row>
    <row r="17" spans="1:76" x14ac:dyDescent="0.2">
      <c r="A17" s="317"/>
      <c r="B17" s="317"/>
      <c r="D17" s="340"/>
      <c r="E17" s="347"/>
      <c r="F17" s="317"/>
      <c r="G17" s="471"/>
      <c r="H17" s="376"/>
      <c r="I17" s="376"/>
      <c r="J17" s="375"/>
      <c r="K17" s="376"/>
      <c r="L17" s="376"/>
      <c r="M17" s="376"/>
      <c r="N17" s="376"/>
      <c r="O17" s="375"/>
      <c r="P17" s="422"/>
      <c r="Q17" s="376"/>
      <c r="R17" s="422"/>
      <c r="S17" s="376"/>
      <c r="T17" s="375"/>
      <c r="U17" s="422"/>
      <c r="V17" s="376"/>
      <c r="W17" s="422"/>
      <c r="X17" s="376"/>
      <c r="Y17" s="375"/>
      <c r="Z17" s="422"/>
      <c r="AA17" s="376"/>
      <c r="AB17" s="422"/>
      <c r="AC17" s="376"/>
      <c r="AD17" s="375"/>
      <c r="AE17" s="422"/>
      <c r="AF17" s="376"/>
      <c r="AG17" s="422"/>
      <c r="AH17" s="376"/>
      <c r="AI17" s="375"/>
      <c r="AJ17" s="422"/>
      <c r="AK17" s="376"/>
      <c r="AL17" s="422"/>
      <c r="AM17" s="376"/>
      <c r="AN17" s="375"/>
      <c r="AO17" s="422"/>
      <c r="AP17" s="376"/>
      <c r="AQ17" s="422"/>
      <c r="AR17" s="376"/>
      <c r="AS17" s="375"/>
      <c r="AT17" s="376"/>
      <c r="AU17" s="376"/>
      <c r="AV17" s="376"/>
      <c r="AW17" s="376"/>
      <c r="AX17" s="375"/>
      <c r="AY17" s="376"/>
      <c r="AZ17" s="376"/>
      <c r="BA17" s="422"/>
      <c r="BB17" s="376"/>
      <c r="BC17" s="375"/>
      <c r="BD17" s="376"/>
      <c r="BE17" s="376"/>
      <c r="BF17" s="376"/>
      <c r="BG17" s="376"/>
      <c r="BH17" s="375"/>
      <c r="BI17" s="422"/>
      <c r="BJ17" s="376"/>
      <c r="BK17" s="422"/>
      <c r="BL17" s="376"/>
      <c r="BM17" s="375"/>
      <c r="BN17" s="422"/>
      <c r="BO17" s="376"/>
      <c r="BP17" s="422"/>
      <c r="BQ17" s="376"/>
      <c r="BR17" s="375"/>
      <c r="BS17" s="376"/>
      <c r="BT17" s="376"/>
      <c r="BU17" s="376"/>
      <c r="BV17" s="725"/>
      <c r="BW17" s="39"/>
      <c r="BX17" s="39"/>
    </row>
    <row r="18" spans="1:76" s="39" customFormat="1" ht="12.75" customHeight="1" x14ac:dyDescent="0.2">
      <c r="A18" s="329"/>
      <c r="B18" s="329"/>
      <c r="D18" s="348" t="s">
        <v>234</v>
      </c>
      <c r="E18" s="350"/>
      <c r="F18" s="472"/>
      <c r="G18" s="473">
        <v>71712000</v>
      </c>
      <c r="H18" s="473"/>
      <c r="I18" s="41"/>
      <c r="J18" s="428"/>
      <c r="K18" s="473"/>
      <c r="L18" s="473">
        <v>513949</v>
      </c>
      <c r="M18" s="473"/>
      <c r="N18" s="41"/>
      <c r="O18" s="428"/>
      <c r="P18" s="473"/>
      <c r="Q18" s="473">
        <v>384648</v>
      </c>
      <c r="R18" s="473"/>
      <c r="S18" s="41"/>
      <c r="T18" s="428"/>
      <c r="U18" s="473"/>
      <c r="V18" s="473">
        <v>416656</v>
      </c>
      <c r="W18" s="473"/>
      <c r="X18" s="41"/>
      <c r="Y18" s="428"/>
      <c r="Z18" s="473"/>
      <c r="AA18" s="473">
        <v>496510</v>
      </c>
      <c r="AB18" s="473"/>
      <c r="AC18" s="41"/>
      <c r="AD18" s="428"/>
      <c r="AE18" s="473"/>
      <c r="AF18" s="473">
        <v>802735</v>
      </c>
      <c r="AG18" s="473"/>
      <c r="AH18" s="41"/>
      <c r="AI18" s="428"/>
      <c r="AJ18" s="473"/>
      <c r="AK18" s="473">
        <v>474068</v>
      </c>
      <c r="AL18" s="473"/>
      <c r="AM18" s="41"/>
      <c r="AN18" s="428"/>
      <c r="AO18" s="473"/>
      <c r="AP18" s="473">
        <v>692919</v>
      </c>
      <c r="AQ18" s="473"/>
      <c r="AR18" s="41"/>
      <c r="AS18" s="428"/>
      <c r="AT18" s="473"/>
      <c r="AU18" s="473">
        <v>0</v>
      </c>
      <c r="AV18" s="473"/>
      <c r="AW18" s="41"/>
      <c r="AX18" s="428"/>
      <c r="AY18" s="473"/>
      <c r="AZ18" s="473">
        <v>0</v>
      </c>
      <c r="BA18" s="473"/>
      <c r="BB18" s="41"/>
      <c r="BC18" s="428"/>
      <c r="BD18" s="473"/>
      <c r="BE18" s="473">
        <v>0</v>
      </c>
      <c r="BF18" s="473"/>
      <c r="BG18" s="41"/>
      <c r="BH18" s="428"/>
      <c r="BI18" s="473"/>
      <c r="BJ18" s="473">
        <v>0</v>
      </c>
      <c r="BK18" s="473"/>
      <c r="BL18" s="41"/>
      <c r="BM18" s="428"/>
      <c r="BN18" s="473"/>
      <c r="BO18" s="473">
        <v>0</v>
      </c>
      <c r="BP18" s="473"/>
      <c r="BQ18" s="41"/>
      <c r="BR18" s="428"/>
      <c r="BS18" s="473"/>
      <c r="BT18" s="473">
        <v>3781485</v>
      </c>
      <c r="BU18" s="473"/>
      <c r="BV18" s="722"/>
    </row>
    <row r="19" spans="1:76" ht="12.75" customHeight="1" x14ac:dyDescent="0.2">
      <c r="A19" s="317"/>
      <c r="B19" s="317"/>
      <c r="D19" s="340" t="s">
        <v>235</v>
      </c>
      <c r="E19" s="347"/>
      <c r="F19" s="347"/>
      <c r="G19" s="422">
        <v>68212000</v>
      </c>
      <c r="H19" s="50"/>
      <c r="I19" s="51"/>
      <c r="J19" s="144"/>
      <c r="K19" s="144"/>
      <c r="L19" s="51">
        <v>0</v>
      </c>
      <c r="M19" s="50"/>
      <c r="N19" s="51"/>
      <c r="O19" s="144"/>
      <c r="P19" s="144"/>
      <c r="Q19" s="51">
        <v>0</v>
      </c>
      <c r="R19" s="50"/>
      <c r="S19" s="51"/>
      <c r="T19" s="144"/>
      <c r="U19" s="144"/>
      <c r="V19" s="51">
        <v>0</v>
      </c>
      <c r="W19" s="50"/>
      <c r="X19" s="51"/>
      <c r="Y19" s="144"/>
      <c r="Z19" s="144"/>
      <c r="AA19" s="51">
        <v>0</v>
      </c>
      <c r="AB19" s="50"/>
      <c r="AC19" s="51"/>
      <c r="AD19" s="144"/>
      <c r="AE19" s="144"/>
      <c r="AF19" s="51">
        <v>0</v>
      </c>
      <c r="AG19" s="50"/>
      <c r="AH19" s="51"/>
      <c r="AI19" s="144"/>
      <c r="AJ19" s="144"/>
      <c r="AK19" s="51">
        <v>0</v>
      </c>
      <c r="AL19" s="50"/>
      <c r="AM19" s="51"/>
      <c r="AN19" s="144"/>
      <c r="AO19" s="144"/>
      <c r="AP19" s="51">
        <v>0</v>
      </c>
      <c r="AQ19" s="50"/>
      <c r="AR19" s="51"/>
      <c r="AS19" s="144"/>
      <c r="AT19" s="144"/>
      <c r="AU19" s="51">
        <v>0</v>
      </c>
      <c r="AV19" s="50"/>
      <c r="AW19" s="51"/>
      <c r="AX19" s="144"/>
      <c r="AY19" s="144"/>
      <c r="AZ19" s="51">
        <v>0</v>
      </c>
      <c r="BA19" s="50"/>
      <c r="BB19" s="51"/>
      <c r="BC19" s="144"/>
      <c r="BD19" s="144"/>
      <c r="BE19" s="51">
        <v>0</v>
      </c>
      <c r="BF19" s="50"/>
      <c r="BG19" s="51"/>
      <c r="BH19" s="144"/>
      <c r="BI19" s="144"/>
      <c r="BJ19" s="51">
        <v>0</v>
      </c>
      <c r="BK19" s="50"/>
      <c r="BL19" s="51"/>
      <c r="BM19" s="144"/>
      <c r="BN19" s="144"/>
      <c r="BO19" s="51">
        <v>0</v>
      </c>
      <c r="BP19" s="50"/>
      <c r="BQ19" s="51"/>
      <c r="BR19" s="144"/>
      <c r="BS19" s="144"/>
      <c r="BT19" s="51">
        <v>0</v>
      </c>
      <c r="BU19" s="50"/>
      <c r="BV19" s="721"/>
      <c r="BW19" s="39"/>
      <c r="BX19" s="39"/>
    </row>
    <row r="20" spans="1:76" ht="12.75" customHeight="1" x14ac:dyDescent="0.2">
      <c r="A20" s="317"/>
      <c r="B20" s="317"/>
      <c r="D20" s="340" t="s">
        <v>236</v>
      </c>
      <c r="E20" s="347"/>
      <c r="F20" s="347"/>
      <c r="G20" s="51">
        <v>0</v>
      </c>
      <c r="H20" s="50"/>
      <c r="I20" s="51"/>
      <c r="J20" s="144"/>
      <c r="K20" s="144"/>
      <c r="L20" s="51">
        <v>0</v>
      </c>
      <c r="M20" s="50"/>
      <c r="N20" s="51"/>
      <c r="O20" s="144"/>
      <c r="P20" s="144"/>
      <c r="Q20" s="51">
        <v>6</v>
      </c>
      <c r="R20" s="50"/>
      <c r="S20" s="51"/>
      <c r="T20" s="144"/>
      <c r="U20" s="144"/>
      <c r="V20" s="51">
        <v>0</v>
      </c>
      <c r="W20" s="50"/>
      <c r="X20" s="51"/>
      <c r="Y20" s="144"/>
      <c r="Z20" s="144"/>
      <c r="AA20" s="51">
        <v>0</v>
      </c>
      <c r="AB20" s="50"/>
      <c r="AC20" s="51"/>
      <c r="AD20" s="144"/>
      <c r="AE20" s="144"/>
      <c r="AF20" s="51">
        <v>0</v>
      </c>
      <c r="AG20" s="50"/>
      <c r="AH20" s="51"/>
      <c r="AI20" s="144"/>
      <c r="AJ20" s="144"/>
      <c r="AK20" s="51">
        <v>0</v>
      </c>
      <c r="AL20" s="50"/>
      <c r="AM20" s="51"/>
      <c r="AN20" s="144"/>
      <c r="AO20" s="144"/>
      <c r="AP20" s="51">
        <v>0</v>
      </c>
      <c r="AQ20" s="50"/>
      <c r="AR20" s="51"/>
      <c r="AS20" s="144"/>
      <c r="AT20" s="144"/>
      <c r="AU20" s="51">
        <v>0</v>
      </c>
      <c r="AV20" s="50"/>
      <c r="AW20" s="51"/>
      <c r="AX20" s="144"/>
      <c r="AY20" s="144"/>
      <c r="AZ20" s="51">
        <v>0</v>
      </c>
      <c r="BA20" s="50"/>
      <c r="BB20" s="51"/>
      <c r="BC20" s="144"/>
      <c r="BD20" s="144"/>
      <c r="BE20" s="51">
        <v>0</v>
      </c>
      <c r="BF20" s="50"/>
      <c r="BG20" s="51"/>
      <c r="BH20" s="144"/>
      <c r="BI20" s="144"/>
      <c r="BJ20" s="51">
        <v>0</v>
      </c>
      <c r="BK20" s="50"/>
      <c r="BL20" s="51"/>
      <c r="BM20" s="144"/>
      <c r="BN20" s="144"/>
      <c r="BO20" s="51">
        <v>0</v>
      </c>
      <c r="BP20" s="50"/>
      <c r="BQ20" s="51"/>
      <c r="BR20" s="144"/>
      <c r="BS20" s="144"/>
      <c r="BT20" s="51">
        <v>6</v>
      </c>
      <c r="BU20" s="50"/>
      <c r="BV20" s="721"/>
      <c r="BW20" s="39"/>
      <c r="BX20" s="39"/>
    </row>
    <row r="21" spans="1:76" ht="12.75" customHeight="1" x14ac:dyDescent="0.2">
      <c r="A21" s="317"/>
      <c r="B21" s="317"/>
      <c r="D21" s="340" t="s">
        <v>182</v>
      </c>
      <c r="E21" s="347"/>
      <c r="F21" s="347"/>
      <c r="G21" s="51">
        <v>3500000</v>
      </c>
      <c r="H21" s="50"/>
      <c r="I21" s="51"/>
      <c r="J21" s="144"/>
      <c r="K21" s="144"/>
      <c r="L21" s="51">
        <v>513949</v>
      </c>
      <c r="M21" s="50"/>
      <c r="N21" s="51"/>
      <c r="O21" s="144"/>
      <c r="P21" s="144"/>
      <c r="Q21" s="51">
        <v>384642</v>
      </c>
      <c r="R21" s="50"/>
      <c r="S21" s="51"/>
      <c r="T21" s="144"/>
      <c r="U21" s="144"/>
      <c r="V21" s="51">
        <v>416656</v>
      </c>
      <c r="W21" s="50"/>
      <c r="X21" s="51"/>
      <c r="Y21" s="144"/>
      <c r="Z21" s="144"/>
      <c r="AA21" s="51">
        <v>496510</v>
      </c>
      <c r="AB21" s="50"/>
      <c r="AC21" s="51"/>
      <c r="AD21" s="144"/>
      <c r="AE21" s="144"/>
      <c r="AF21" s="51">
        <v>802735</v>
      </c>
      <c r="AG21" s="50"/>
      <c r="AH21" s="51"/>
      <c r="AI21" s="144"/>
      <c r="AJ21" s="144"/>
      <c r="AK21" s="51">
        <v>474068</v>
      </c>
      <c r="AL21" s="50"/>
      <c r="AM21" s="51"/>
      <c r="AN21" s="144"/>
      <c r="AO21" s="144"/>
      <c r="AP21" s="51">
        <v>692919</v>
      </c>
      <c r="AQ21" s="50"/>
      <c r="AR21" s="51"/>
      <c r="AS21" s="144"/>
      <c r="AT21" s="144"/>
      <c r="AU21" s="51">
        <v>0</v>
      </c>
      <c r="AV21" s="50"/>
      <c r="AW21" s="51"/>
      <c r="AX21" s="144"/>
      <c r="AY21" s="144"/>
      <c r="AZ21" s="51">
        <v>0</v>
      </c>
      <c r="BA21" s="50"/>
      <c r="BB21" s="51"/>
      <c r="BC21" s="144"/>
      <c r="BD21" s="144"/>
      <c r="BE21" s="51">
        <v>0</v>
      </c>
      <c r="BF21" s="50"/>
      <c r="BG21" s="51"/>
      <c r="BH21" s="144"/>
      <c r="BI21" s="144"/>
      <c r="BJ21" s="51">
        <v>0</v>
      </c>
      <c r="BK21" s="50"/>
      <c r="BL21" s="51"/>
      <c r="BM21" s="144"/>
      <c r="BN21" s="144"/>
      <c r="BO21" s="51">
        <v>0</v>
      </c>
      <c r="BP21" s="50"/>
      <c r="BQ21" s="51"/>
      <c r="BR21" s="144"/>
      <c r="BS21" s="144"/>
      <c r="BT21" s="51">
        <v>3781479</v>
      </c>
      <c r="BU21" s="50"/>
      <c r="BV21" s="721"/>
      <c r="BW21" s="39"/>
      <c r="BX21" s="39"/>
    </row>
    <row r="22" spans="1:76" x14ac:dyDescent="0.2">
      <c r="A22" s="317"/>
      <c r="B22" s="317"/>
      <c r="D22" s="340" t="s">
        <v>237</v>
      </c>
      <c r="E22" s="347"/>
      <c r="F22" s="371"/>
      <c r="G22" s="95">
        <v>0</v>
      </c>
      <c r="H22" s="94"/>
      <c r="I22" s="51"/>
      <c r="J22" s="144"/>
      <c r="K22" s="187"/>
      <c r="L22" s="95">
        <v>0</v>
      </c>
      <c r="M22" s="94"/>
      <c r="N22" s="51"/>
      <c r="O22" s="144"/>
      <c r="P22" s="187"/>
      <c r="Q22" s="95">
        <v>0</v>
      </c>
      <c r="R22" s="94"/>
      <c r="S22" s="51"/>
      <c r="T22" s="144"/>
      <c r="U22" s="187"/>
      <c r="V22" s="95">
        <v>0</v>
      </c>
      <c r="W22" s="94"/>
      <c r="X22" s="51"/>
      <c r="Y22" s="144"/>
      <c r="Z22" s="187"/>
      <c r="AA22" s="95">
        <v>0</v>
      </c>
      <c r="AB22" s="94"/>
      <c r="AC22" s="51"/>
      <c r="AD22" s="144"/>
      <c r="AE22" s="187"/>
      <c r="AF22" s="95">
        <v>0</v>
      </c>
      <c r="AG22" s="94"/>
      <c r="AH22" s="51"/>
      <c r="AI22" s="144"/>
      <c r="AJ22" s="187"/>
      <c r="AK22" s="95">
        <v>0</v>
      </c>
      <c r="AL22" s="94"/>
      <c r="AM22" s="51"/>
      <c r="AN22" s="144"/>
      <c r="AO22" s="187"/>
      <c r="AP22" s="95">
        <v>0</v>
      </c>
      <c r="AQ22" s="94"/>
      <c r="AR22" s="51"/>
      <c r="AS22" s="144"/>
      <c r="AT22" s="187"/>
      <c r="AU22" s="95">
        <v>0</v>
      </c>
      <c r="AV22" s="94"/>
      <c r="AW22" s="51"/>
      <c r="AX22" s="144"/>
      <c r="AY22" s="187"/>
      <c r="AZ22" s="95">
        <v>0</v>
      </c>
      <c r="BA22" s="94"/>
      <c r="BB22" s="51"/>
      <c r="BC22" s="144"/>
      <c r="BD22" s="187"/>
      <c r="BE22" s="95">
        <v>0</v>
      </c>
      <c r="BF22" s="94"/>
      <c r="BG22" s="51"/>
      <c r="BH22" s="144"/>
      <c r="BI22" s="187"/>
      <c r="BJ22" s="95">
        <v>0</v>
      </c>
      <c r="BK22" s="94"/>
      <c r="BL22" s="51"/>
      <c r="BM22" s="144"/>
      <c r="BN22" s="187"/>
      <c r="BO22" s="95">
        <v>0</v>
      </c>
      <c r="BP22" s="94"/>
      <c r="BQ22" s="51"/>
      <c r="BR22" s="144"/>
      <c r="BS22" s="187"/>
      <c r="BT22" s="95">
        <v>0</v>
      </c>
      <c r="BU22" s="94"/>
      <c r="BV22" s="721"/>
      <c r="BW22" s="39"/>
      <c r="BX22" s="39"/>
    </row>
    <row r="23" spans="1:76" x14ac:dyDescent="0.2">
      <c r="A23" s="317"/>
      <c r="B23" s="317"/>
      <c r="D23" s="340"/>
      <c r="E23" s="347"/>
      <c r="F23" s="317"/>
      <c r="G23" s="51"/>
      <c r="H23" s="51"/>
      <c r="I23" s="51"/>
      <c r="J23" s="144"/>
      <c r="K23" s="51"/>
      <c r="L23" s="51"/>
      <c r="M23" s="51"/>
      <c r="N23" s="51"/>
      <c r="O23" s="144"/>
      <c r="P23" s="51"/>
      <c r="Q23" s="51"/>
      <c r="R23" s="51"/>
      <c r="S23" s="51"/>
      <c r="T23" s="144"/>
      <c r="U23" s="51"/>
      <c r="V23" s="51"/>
      <c r="W23" s="51"/>
      <c r="X23" s="51"/>
      <c r="Y23" s="144"/>
      <c r="Z23" s="51"/>
      <c r="AA23" s="51"/>
      <c r="AB23" s="51"/>
      <c r="AC23" s="51"/>
      <c r="AD23" s="144"/>
      <c r="AE23" s="51"/>
      <c r="AF23" s="51"/>
      <c r="AG23" s="51"/>
      <c r="AH23" s="51"/>
      <c r="AI23" s="144"/>
      <c r="AJ23" s="51"/>
      <c r="AK23" s="51"/>
      <c r="AL23" s="51"/>
      <c r="AM23" s="51"/>
      <c r="AN23" s="144"/>
      <c r="AO23" s="51"/>
      <c r="AP23" s="51"/>
      <c r="AQ23" s="51"/>
      <c r="AR23" s="51"/>
      <c r="AS23" s="144"/>
      <c r="AT23" s="51"/>
      <c r="AU23" s="51"/>
      <c r="AV23" s="51"/>
      <c r="AW23" s="51"/>
      <c r="AX23" s="144"/>
      <c r="AY23" s="51"/>
      <c r="AZ23" s="51"/>
      <c r="BA23" s="51"/>
      <c r="BB23" s="51"/>
      <c r="BC23" s="144"/>
      <c r="BD23" s="51"/>
      <c r="BE23" s="51"/>
      <c r="BF23" s="51"/>
      <c r="BG23" s="51"/>
      <c r="BH23" s="144"/>
      <c r="BI23" s="51"/>
      <c r="BJ23" s="51"/>
      <c r="BK23" s="51"/>
      <c r="BL23" s="51"/>
      <c r="BM23" s="144"/>
      <c r="BN23" s="51"/>
      <c r="BO23" s="51"/>
      <c r="BP23" s="51"/>
      <c r="BQ23" s="51"/>
      <c r="BR23" s="144"/>
      <c r="BS23" s="51"/>
      <c r="BT23" s="51"/>
      <c r="BU23" s="51"/>
      <c r="BV23" s="721"/>
      <c r="BW23" s="39"/>
      <c r="BX23" s="39"/>
    </row>
    <row r="24" spans="1:76" s="39" customFormat="1" x14ac:dyDescent="0.2">
      <c r="A24" s="329"/>
      <c r="B24" s="329"/>
      <c r="D24" s="348" t="s">
        <v>184</v>
      </c>
      <c r="E24" s="350"/>
      <c r="F24" s="329"/>
      <c r="G24" s="41">
        <v>0</v>
      </c>
      <c r="H24" s="41"/>
      <c r="I24" s="41"/>
      <c r="J24" s="428"/>
      <c r="K24" s="41"/>
      <c r="L24" s="41">
        <v>0</v>
      </c>
      <c r="M24" s="41"/>
      <c r="N24" s="41"/>
      <c r="O24" s="428"/>
      <c r="P24" s="41"/>
      <c r="Q24" s="41">
        <v>0</v>
      </c>
      <c r="R24" s="41"/>
      <c r="S24" s="41"/>
      <c r="T24" s="428"/>
      <c r="U24" s="41"/>
      <c r="V24" s="41">
        <v>0</v>
      </c>
      <c r="W24" s="41"/>
      <c r="X24" s="41"/>
      <c r="Y24" s="428"/>
      <c r="Z24" s="41"/>
      <c r="AA24" s="41">
        <v>0</v>
      </c>
      <c r="AB24" s="41"/>
      <c r="AC24" s="41"/>
      <c r="AD24" s="428"/>
      <c r="AE24" s="41"/>
      <c r="AF24" s="41">
        <v>0</v>
      </c>
      <c r="AG24" s="41"/>
      <c r="AH24" s="41"/>
      <c r="AI24" s="428"/>
      <c r="AJ24" s="41"/>
      <c r="AK24" s="41">
        <v>0</v>
      </c>
      <c r="AL24" s="41"/>
      <c r="AM24" s="41"/>
      <c r="AN24" s="428"/>
      <c r="AO24" s="41"/>
      <c r="AP24" s="41">
        <v>0</v>
      </c>
      <c r="AQ24" s="41"/>
      <c r="AR24" s="41"/>
      <c r="AS24" s="428"/>
      <c r="AT24" s="41"/>
      <c r="AU24" s="41">
        <v>0</v>
      </c>
      <c r="AV24" s="41"/>
      <c r="AW24" s="41"/>
      <c r="AX24" s="428"/>
      <c r="AY24" s="41"/>
      <c r="AZ24" s="41">
        <v>0</v>
      </c>
      <c r="BA24" s="41"/>
      <c r="BB24" s="41"/>
      <c r="BC24" s="428"/>
      <c r="BD24" s="41"/>
      <c r="BE24" s="41">
        <v>0</v>
      </c>
      <c r="BF24" s="41"/>
      <c r="BG24" s="41"/>
      <c r="BH24" s="428"/>
      <c r="BI24" s="41"/>
      <c r="BJ24" s="41">
        <v>0</v>
      </c>
      <c r="BK24" s="41"/>
      <c r="BL24" s="41"/>
      <c r="BM24" s="428"/>
      <c r="BN24" s="41"/>
      <c r="BO24" s="41">
        <v>0</v>
      </c>
      <c r="BP24" s="41"/>
      <c r="BQ24" s="41"/>
      <c r="BR24" s="428"/>
      <c r="BS24" s="317"/>
      <c r="BT24" s="41">
        <v>0</v>
      </c>
      <c r="BU24" s="51"/>
      <c r="BV24" s="722"/>
    </row>
    <row r="25" spans="1:76" x14ac:dyDescent="0.2">
      <c r="A25" s="317"/>
      <c r="B25" s="317"/>
      <c r="D25" s="340" t="s">
        <v>238</v>
      </c>
      <c r="E25" s="347"/>
      <c r="F25" s="354"/>
      <c r="G25" s="430">
        <v>0</v>
      </c>
      <c r="H25" s="431"/>
      <c r="I25" s="51"/>
      <c r="J25" s="144"/>
      <c r="K25" s="432"/>
      <c r="L25" s="430">
        <v>0</v>
      </c>
      <c r="M25" s="431"/>
      <c r="N25" s="51"/>
      <c r="O25" s="144"/>
      <c r="P25" s="432"/>
      <c r="Q25" s="430">
        <v>0</v>
      </c>
      <c r="R25" s="431"/>
      <c r="S25" s="51"/>
      <c r="T25" s="47"/>
      <c r="U25" s="432"/>
      <c r="V25" s="430">
        <v>0</v>
      </c>
      <c r="W25" s="431"/>
      <c r="X25" s="51"/>
      <c r="Y25" s="144"/>
      <c r="Z25" s="432"/>
      <c r="AA25" s="430">
        <v>0</v>
      </c>
      <c r="AB25" s="431"/>
      <c r="AC25" s="51"/>
      <c r="AD25" s="144"/>
      <c r="AE25" s="432"/>
      <c r="AF25" s="430">
        <v>0</v>
      </c>
      <c r="AG25" s="431"/>
      <c r="AH25" s="51"/>
      <c r="AI25" s="144"/>
      <c r="AJ25" s="432"/>
      <c r="AK25" s="430">
        <v>0</v>
      </c>
      <c r="AL25" s="431"/>
      <c r="AM25" s="51"/>
      <c r="AN25" s="144"/>
      <c r="AO25" s="432"/>
      <c r="AP25" s="430">
        <v>0</v>
      </c>
      <c r="AQ25" s="431"/>
      <c r="AR25" s="51"/>
      <c r="AS25" s="144"/>
      <c r="AT25" s="432"/>
      <c r="AU25" s="430">
        <v>0</v>
      </c>
      <c r="AV25" s="431"/>
      <c r="AW25" s="51"/>
      <c r="AX25" s="144"/>
      <c r="AY25" s="432"/>
      <c r="AZ25" s="430">
        <v>0</v>
      </c>
      <c r="BA25" s="431"/>
      <c r="BB25" s="51"/>
      <c r="BC25" s="144"/>
      <c r="BD25" s="432"/>
      <c r="BE25" s="430">
        <v>0</v>
      </c>
      <c r="BF25" s="431"/>
      <c r="BG25" s="51"/>
      <c r="BH25" s="144"/>
      <c r="BI25" s="432"/>
      <c r="BJ25" s="430">
        <v>0</v>
      </c>
      <c r="BK25" s="431"/>
      <c r="BL25" s="51"/>
      <c r="BM25" s="144"/>
      <c r="BN25" s="432"/>
      <c r="BO25" s="430">
        <v>0</v>
      </c>
      <c r="BP25" s="431"/>
      <c r="BQ25" s="51"/>
      <c r="BR25" s="144"/>
      <c r="BS25" s="354"/>
      <c r="BT25" s="430">
        <v>0</v>
      </c>
      <c r="BU25" s="431"/>
      <c r="BV25" s="721"/>
      <c r="BW25" s="39"/>
      <c r="BX25" s="39"/>
    </row>
    <row r="26" spans="1:76" x14ac:dyDescent="0.2">
      <c r="A26" s="317"/>
      <c r="B26" s="317"/>
      <c r="D26" s="340" t="s">
        <v>188</v>
      </c>
      <c r="E26" s="347"/>
      <c r="F26" s="371"/>
      <c r="G26" s="95">
        <v>0</v>
      </c>
      <c r="H26" s="94"/>
      <c r="I26" s="51"/>
      <c r="J26" s="144"/>
      <c r="K26" s="187"/>
      <c r="L26" s="95">
        <v>0</v>
      </c>
      <c r="M26" s="94"/>
      <c r="N26" s="51"/>
      <c r="O26" s="144"/>
      <c r="P26" s="187"/>
      <c r="Q26" s="95">
        <v>0</v>
      </c>
      <c r="R26" s="94"/>
      <c r="S26" s="51"/>
      <c r="T26" s="47"/>
      <c r="U26" s="187"/>
      <c r="V26" s="95">
        <v>0</v>
      </c>
      <c r="W26" s="94"/>
      <c r="X26" s="51"/>
      <c r="Y26" s="144"/>
      <c r="Z26" s="187"/>
      <c r="AA26" s="95">
        <v>0</v>
      </c>
      <c r="AB26" s="94"/>
      <c r="AC26" s="51"/>
      <c r="AD26" s="144"/>
      <c r="AE26" s="187"/>
      <c r="AF26" s="95">
        <v>0</v>
      </c>
      <c r="AG26" s="94"/>
      <c r="AH26" s="51"/>
      <c r="AI26" s="144"/>
      <c r="AJ26" s="187"/>
      <c r="AK26" s="95">
        <v>0</v>
      </c>
      <c r="AL26" s="94"/>
      <c r="AM26" s="51"/>
      <c r="AN26" s="144"/>
      <c r="AO26" s="187"/>
      <c r="AP26" s="95">
        <v>0</v>
      </c>
      <c r="AQ26" s="94"/>
      <c r="AR26" s="51"/>
      <c r="AS26" s="144"/>
      <c r="AT26" s="187"/>
      <c r="AU26" s="95">
        <v>0</v>
      </c>
      <c r="AV26" s="94"/>
      <c r="AW26" s="51"/>
      <c r="AX26" s="144"/>
      <c r="AY26" s="187"/>
      <c r="AZ26" s="95">
        <v>0</v>
      </c>
      <c r="BA26" s="94"/>
      <c r="BB26" s="51"/>
      <c r="BC26" s="144"/>
      <c r="BD26" s="187"/>
      <c r="BE26" s="95">
        <v>0</v>
      </c>
      <c r="BF26" s="94"/>
      <c r="BG26" s="51"/>
      <c r="BH26" s="144"/>
      <c r="BI26" s="187"/>
      <c r="BJ26" s="95">
        <v>0</v>
      </c>
      <c r="BK26" s="94"/>
      <c r="BL26" s="51"/>
      <c r="BM26" s="144"/>
      <c r="BN26" s="187"/>
      <c r="BO26" s="95">
        <v>0</v>
      </c>
      <c r="BP26" s="94"/>
      <c r="BQ26" s="51"/>
      <c r="BR26" s="144"/>
      <c r="BS26" s="371"/>
      <c r="BT26" s="95">
        <v>0</v>
      </c>
      <c r="BU26" s="94"/>
      <c r="BV26" s="721"/>
      <c r="BW26" s="39"/>
      <c r="BX26" s="39"/>
    </row>
    <row r="27" spans="1:76" x14ac:dyDescent="0.2">
      <c r="A27" s="317"/>
      <c r="B27" s="317"/>
      <c r="D27" s="340"/>
      <c r="E27" s="347"/>
      <c r="F27" s="317"/>
      <c r="G27" s="51"/>
      <c r="H27" s="51"/>
      <c r="I27" s="51"/>
      <c r="J27" s="144"/>
      <c r="K27" s="51"/>
      <c r="L27" s="51"/>
      <c r="M27" s="51"/>
      <c r="N27" s="51"/>
      <c r="O27" s="144"/>
      <c r="P27" s="51"/>
      <c r="Q27" s="51"/>
      <c r="R27" s="51"/>
      <c r="S27" s="51"/>
      <c r="T27" s="144"/>
      <c r="U27" s="51"/>
      <c r="V27" s="51"/>
      <c r="W27" s="51"/>
      <c r="X27" s="51"/>
      <c r="Y27" s="144"/>
      <c r="Z27" s="51"/>
      <c r="AA27" s="51"/>
      <c r="AB27" s="51"/>
      <c r="AC27" s="51"/>
      <c r="AD27" s="144"/>
      <c r="AE27" s="51"/>
      <c r="AF27" s="51"/>
      <c r="AG27" s="51"/>
      <c r="AH27" s="51"/>
      <c r="AI27" s="144"/>
      <c r="AJ27" s="51"/>
      <c r="AK27" s="51"/>
      <c r="AL27" s="51"/>
      <c r="AM27" s="51"/>
      <c r="AN27" s="144"/>
      <c r="AO27" s="51"/>
      <c r="AP27" s="51"/>
      <c r="AQ27" s="51"/>
      <c r="AR27" s="51"/>
      <c r="AS27" s="144"/>
      <c r="AT27" s="51"/>
      <c r="AU27" s="51"/>
      <c r="AV27" s="51"/>
      <c r="AW27" s="51"/>
      <c r="AX27" s="144"/>
      <c r="AY27" s="51"/>
      <c r="AZ27" s="51"/>
      <c r="BA27" s="51"/>
      <c r="BB27" s="51"/>
      <c r="BC27" s="144"/>
      <c r="BD27" s="51"/>
      <c r="BE27" s="51"/>
      <c r="BF27" s="51"/>
      <c r="BG27" s="51"/>
      <c r="BH27" s="144"/>
      <c r="BI27" s="51"/>
      <c r="BJ27" s="51"/>
      <c r="BK27" s="51"/>
      <c r="BL27" s="51"/>
      <c r="BM27" s="144"/>
      <c r="BN27" s="51"/>
      <c r="BO27" s="51"/>
      <c r="BP27" s="51"/>
      <c r="BQ27" s="51"/>
      <c r="BR27" s="144"/>
      <c r="BS27" s="317"/>
      <c r="BT27" s="51"/>
      <c r="BU27" s="51"/>
      <c r="BV27" s="721"/>
      <c r="BW27" s="39"/>
      <c r="BX27" s="39"/>
    </row>
    <row r="28" spans="1:76" ht="12.75" customHeight="1" x14ac:dyDescent="0.2">
      <c r="A28" s="317"/>
      <c r="B28" s="317"/>
      <c r="D28" s="340" t="s">
        <v>239</v>
      </c>
      <c r="E28" s="347"/>
      <c r="F28" s="317"/>
      <c r="G28" s="51">
        <v>0</v>
      </c>
      <c r="H28" s="51"/>
      <c r="I28" s="51"/>
      <c r="J28" s="144"/>
      <c r="K28" s="317"/>
      <c r="L28" s="51">
        <v>0</v>
      </c>
      <c r="M28" s="51"/>
      <c r="N28" s="51"/>
      <c r="O28" s="144"/>
      <c r="P28" s="317"/>
      <c r="Q28" s="51">
        <v>0</v>
      </c>
      <c r="R28" s="51"/>
      <c r="S28" s="51"/>
      <c r="T28" s="144"/>
      <c r="U28" s="317"/>
      <c r="V28" s="51">
        <v>0</v>
      </c>
      <c r="W28" s="51"/>
      <c r="X28" s="51"/>
      <c r="Y28" s="144"/>
      <c r="Z28" s="317"/>
      <c r="AA28" s="51">
        <v>0</v>
      </c>
      <c r="AB28" s="51"/>
      <c r="AC28" s="51"/>
      <c r="AD28" s="144"/>
      <c r="AE28" s="317"/>
      <c r="AF28" s="51">
        <v>0</v>
      </c>
      <c r="AG28" s="51"/>
      <c r="AH28" s="51"/>
      <c r="AI28" s="144"/>
      <c r="AJ28" s="317"/>
      <c r="AK28" s="51">
        <v>0</v>
      </c>
      <c r="AL28" s="51"/>
      <c r="AM28" s="51"/>
      <c r="AN28" s="144"/>
      <c r="AO28" s="317"/>
      <c r="AP28" s="51">
        <v>0</v>
      </c>
      <c r="AQ28" s="51"/>
      <c r="AR28" s="51"/>
      <c r="AS28" s="144"/>
      <c r="AT28" s="317"/>
      <c r="AU28" s="51">
        <v>0</v>
      </c>
      <c r="AV28" s="51"/>
      <c r="AW28" s="51"/>
      <c r="AX28" s="144"/>
      <c r="AY28" s="317"/>
      <c r="AZ28" s="51">
        <v>0</v>
      </c>
      <c r="BA28" s="51"/>
      <c r="BB28" s="51"/>
      <c r="BC28" s="144"/>
      <c r="BD28" s="317"/>
      <c r="BE28" s="51">
        <v>0</v>
      </c>
      <c r="BF28" s="51"/>
      <c r="BG28" s="51"/>
      <c r="BH28" s="144"/>
      <c r="BI28" s="317"/>
      <c r="BJ28" s="51">
        <v>0</v>
      </c>
      <c r="BK28" s="51"/>
      <c r="BL28" s="51"/>
      <c r="BM28" s="144"/>
      <c r="BN28" s="317"/>
      <c r="BO28" s="51">
        <v>0</v>
      </c>
      <c r="BP28" s="51"/>
      <c r="BQ28" s="51"/>
      <c r="BR28" s="144"/>
      <c r="BS28" s="317"/>
      <c r="BT28" s="95">
        <v>0</v>
      </c>
      <c r="BU28" s="51"/>
      <c r="BV28" s="721"/>
      <c r="BW28" s="39"/>
      <c r="BX28" s="39"/>
    </row>
    <row r="29" spans="1:76" ht="12.75" customHeight="1" x14ac:dyDescent="0.2">
      <c r="A29" s="317"/>
      <c r="B29" s="317"/>
      <c r="D29" s="340" t="s">
        <v>238</v>
      </c>
      <c r="E29" s="347"/>
      <c r="F29" s="354"/>
      <c r="G29" s="430">
        <v>0</v>
      </c>
      <c r="H29" s="431"/>
      <c r="I29" s="51"/>
      <c r="J29" s="144"/>
      <c r="K29" s="354"/>
      <c r="L29" s="430">
        <v>0</v>
      </c>
      <c r="M29" s="431"/>
      <c r="N29" s="51"/>
      <c r="O29" s="144"/>
      <c r="P29" s="354"/>
      <c r="Q29" s="430">
        <v>0</v>
      </c>
      <c r="R29" s="431"/>
      <c r="S29" s="51"/>
      <c r="T29" s="144"/>
      <c r="U29" s="354"/>
      <c r="V29" s="430">
        <v>0</v>
      </c>
      <c r="W29" s="431"/>
      <c r="X29" s="51"/>
      <c r="Y29" s="144"/>
      <c r="Z29" s="354"/>
      <c r="AA29" s="430">
        <v>0</v>
      </c>
      <c r="AB29" s="431"/>
      <c r="AC29" s="51"/>
      <c r="AD29" s="144"/>
      <c r="AE29" s="354"/>
      <c r="AF29" s="430">
        <v>0</v>
      </c>
      <c r="AG29" s="431"/>
      <c r="AH29" s="51"/>
      <c r="AI29" s="144"/>
      <c r="AJ29" s="354"/>
      <c r="AK29" s="430">
        <v>0</v>
      </c>
      <c r="AL29" s="431"/>
      <c r="AM29" s="51"/>
      <c r="AN29" s="144"/>
      <c r="AO29" s="354"/>
      <c r="AP29" s="430">
        <v>0</v>
      </c>
      <c r="AQ29" s="431"/>
      <c r="AR29" s="51"/>
      <c r="AS29" s="144"/>
      <c r="AT29" s="354"/>
      <c r="AU29" s="430">
        <v>0</v>
      </c>
      <c r="AV29" s="431"/>
      <c r="AW29" s="51"/>
      <c r="AX29" s="144"/>
      <c r="AY29" s="354"/>
      <c r="AZ29" s="430">
        <v>0</v>
      </c>
      <c r="BA29" s="431"/>
      <c r="BB29" s="51"/>
      <c r="BC29" s="144"/>
      <c r="BD29" s="354"/>
      <c r="BE29" s="430">
        <v>0</v>
      </c>
      <c r="BF29" s="431"/>
      <c r="BG29" s="51"/>
      <c r="BH29" s="144"/>
      <c r="BI29" s="354"/>
      <c r="BJ29" s="430">
        <v>0</v>
      </c>
      <c r="BK29" s="431"/>
      <c r="BL29" s="51"/>
      <c r="BM29" s="144"/>
      <c r="BN29" s="354"/>
      <c r="BO29" s="430">
        <v>0</v>
      </c>
      <c r="BP29" s="431"/>
      <c r="BQ29" s="51"/>
      <c r="BR29" s="144"/>
      <c r="BS29" s="354"/>
      <c r="BT29" s="51">
        <v>0</v>
      </c>
      <c r="BU29" s="431"/>
      <c r="BV29" s="721"/>
      <c r="BW29" s="39"/>
      <c r="BX29" s="39"/>
    </row>
    <row r="30" spans="1:76" ht="12.75" customHeight="1" x14ac:dyDescent="0.2">
      <c r="A30" s="317"/>
      <c r="B30" s="317"/>
      <c r="D30" s="340" t="s">
        <v>188</v>
      </c>
      <c r="E30" s="347"/>
      <c r="F30" s="371"/>
      <c r="G30" s="95">
        <v>0</v>
      </c>
      <c r="H30" s="94"/>
      <c r="I30" s="51"/>
      <c r="J30" s="144"/>
      <c r="K30" s="371"/>
      <c r="L30" s="95">
        <v>0</v>
      </c>
      <c r="M30" s="94"/>
      <c r="N30" s="51"/>
      <c r="O30" s="144"/>
      <c r="P30" s="371"/>
      <c r="Q30" s="95">
        <v>0</v>
      </c>
      <c r="R30" s="94"/>
      <c r="S30" s="51"/>
      <c r="T30" s="144"/>
      <c r="U30" s="371"/>
      <c r="V30" s="95">
        <v>0</v>
      </c>
      <c r="W30" s="94"/>
      <c r="X30" s="51"/>
      <c r="Y30" s="144"/>
      <c r="Z30" s="371"/>
      <c r="AA30" s="95">
        <v>0</v>
      </c>
      <c r="AB30" s="94"/>
      <c r="AC30" s="51"/>
      <c r="AD30" s="144"/>
      <c r="AE30" s="371"/>
      <c r="AF30" s="95">
        <v>0</v>
      </c>
      <c r="AG30" s="94"/>
      <c r="AH30" s="51"/>
      <c r="AI30" s="144"/>
      <c r="AJ30" s="371"/>
      <c r="AK30" s="95">
        <v>0</v>
      </c>
      <c r="AL30" s="94"/>
      <c r="AM30" s="51"/>
      <c r="AN30" s="144"/>
      <c r="AO30" s="371"/>
      <c r="AP30" s="95">
        <v>0</v>
      </c>
      <c r="AQ30" s="94"/>
      <c r="AR30" s="51"/>
      <c r="AS30" s="144"/>
      <c r="AT30" s="371"/>
      <c r="AU30" s="95">
        <v>0</v>
      </c>
      <c r="AV30" s="94"/>
      <c r="AW30" s="51"/>
      <c r="AX30" s="144"/>
      <c r="AY30" s="371"/>
      <c r="AZ30" s="95">
        <v>0</v>
      </c>
      <c r="BA30" s="94"/>
      <c r="BB30" s="51"/>
      <c r="BC30" s="144"/>
      <c r="BD30" s="371"/>
      <c r="BE30" s="95">
        <v>0</v>
      </c>
      <c r="BF30" s="94"/>
      <c r="BG30" s="51"/>
      <c r="BH30" s="144"/>
      <c r="BI30" s="371"/>
      <c r="BJ30" s="95">
        <v>0</v>
      </c>
      <c r="BK30" s="94"/>
      <c r="BL30" s="51"/>
      <c r="BM30" s="144"/>
      <c r="BN30" s="371"/>
      <c r="BO30" s="95">
        <v>0</v>
      </c>
      <c r="BP30" s="94"/>
      <c r="BQ30" s="51"/>
      <c r="BR30" s="144"/>
      <c r="BS30" s="371"/>
      <c r="BT30" s="95">
        <v>0</v>
      </c>
      <c r="BU30" s="94"/>
      <c r="BV30" s="721"/>
      <c r="BW30" s="39"/>
      <c r="BX30" s="39"/>
    </row>
    <row r="31" spans="1:76" ht="12.75" hidden="1" customHeight="1" x14ac:dyDescent="0.2">
      <c r="A31" s="317"/>
      <c r="B31" s="317"/>
      <c r="D31" s="340"/>
      <c r="E31" s="347"/>
      <c r="F31" s="317"/>
      <c r="G31" s="51"/>
      <c r="H31" s="51"/>
      <c r="I31" s="51"/>
      <c r="J31" s="144"/>
      <c r="K31" s="51"/>
      <c r="L31" s="51"/>
      <c r="M31" s="51"/>
      <c r="N31" s="51"/>
      <c r="O31" s="144"/>
      <c r="P31" s="51"/>
      <c r="Q31" s="51"/>
      <c r="R31" s="51"/>
      <c r="S31" s="51"/>
      <c r="T31" s="144"/>
      <c r="U31" s="51"/>
      <c r="V31" s="51"/>
      <c r="W31" s="51"/>
      <c r="X31" s="51"/>
      <c r="Y31" s="144"/>
      <c r="Z31" s="51"/>
      <c r="AA31" s="51"/>
      <c r="AB31" s="51"/>
      <c r="AC31" s="51"/>
      <c r="AD31" s="144"/>
      <c r="AE31" s="51"/>
      <c r="AF31" s="51"/>
      <c r="AG31" s="51"/>
      <c r="AH31" s="51"/>
      <c r="AI31" s="144"/>
      <c r="AJ31" s="51"/>
      <c r="AK31" s="51"/>
      <c r="AL31" s="51"/>
      <c r="AM31" s="51"/>
      <c r="AN31" s="144"/>
      <c r="AO31" s="51"/>
      <c r="AP31" s="51"/>
      <c r="AQ31" s="51"/>
      <c r="AR31" s="51"/>
      <c r="AS31" s="144"/>
      <c r="AT31" s="51"/>
      <c r="AU31" s="51"/>
      <c r="AV31" s="51"/>
      <c r="AW31" s="51"/>
      <c r="AX31" s="144"/>
      <c r="AY31" s="51"/>
      <c r="AZ31" s="51"/>
      <c r="BA31" s="51"/>
      <c r="BB31" s="51"/>
      <c r="BC31" s="144"/>
      <c r="BD31" s="51"/>
      <c r="BE31" s="51"/>
      <c r="BF31" s="51"/>
      <c r="BG31" s="51"/>
      <c r="BH31" s="144"/>
      <c r="BI31" s="51"/>
      <c r="BJ31" s="51"/>
      <c r="BK31" s="51"/>
      <c r="BL31" s="51"/>
      <c r="BM31" s="144"/>
      <c r="BN31" s="51"/>
      <c r="BO31" s="51"/>
      <c r="BP31" s="51"/>
      <c r="BQ31" s="51"/>
      <c r="BR31" s="144"/>
      <c r="BS31" s="51"/>
      <c r="BT31" s="51"/>
      <c r="BU31" s="51"/>
      <c r="BV31" s="721"/>
      <c r="BW31" s="39"/>
      <c r="BX31" s="39"/>
    </row>
    <row r="32" spans="1:76" ht="12.75" hidden="1" customHeight="1" x14ac:dyDescent="0.2">
      <c r="A32" s="317"/>
      <c r="B32" s="317"/>
      <c r="D32" s="340" t="s">
        <v>185</v>
      </c>
      <c r="E32" s="347"/>
      <c r="F32" s="317"/>
      <c r="G32" s="51">
        <v>0</v>
      </c>
      <c r="H32" s="51"/>
      <c r="I32" s="51"/>
      <c r="J32" s="144"/>
      <c r="K32" s="317"/>
      <c r="L32" s="51">
        <v>0</v>
      </c>
      <c r="M32" s="51"/>
      <c r="N32" s="51"/>
      <c r="O32" s="144"/>
      <c r="P32" s="317"/>
      <c r="Q32" s="51">
        <v>0</v>
      </c>
      <c r="R32" s="51"/>
      <c r="S32" s="51"/>
      <c r="T32" s="144"/>
      <c r="U32" s="317"/>
      <c r="V32" s="51">
        <v>0</v>
      </c>
      <c r="W32" s="51"/>
      <c r="X32" s="51"/>
      <c r="Y32" s="144"/>
      <c r="Z32" s="317"/>
      <c r="AA32" s="51">
        <v>0</v>
      </c>
      <c r="AB32" s="51"/>
      <c r="AC32" s="51"/>
      <c r="AD32" s="144"/>
      <c r="AE32" s="317"/>
      <c r="AF32" s="51">
        <v>0</v>
      </c>
      <c r="AG32" s="51"/>
      <c r="AH32" s="51"/>
      <c r="AI32" s="144"/>
      <c r="AJ32" s="317"/>
      <c r="AK32" s="51">
        <v>0</v>
      </c>
      <c r="AL32" s="51"/>
      <c r="AM32" s="51"/>
      <c r="AN32" s="144"/>
      <c r="AO32" s="317"/>
      <c r="AP32" s="51">
        <v>0</v>
      </c>
      <c r="AQ32" s="51"/>
      <c r="AR32" s="51"/>
      <c r="AS32" s="144"/>
      <c r="AT32" s="317"/>
      <c r="AU32" s="51">
        <v>0</v>
      </c>
      <c r="AV32" s="51"/>
      <c r="AW32" s="51"/>
      <c r="AX32" s="144"/>
      <c r="AY32" s="317"/>
      <c r="AZ32" s="51">
        <v>0</v>
      </c>
      <c r="BA32" s="51"/>
      <c r="BB32" s="51"/>
      <c r="BC32" s="144"/>
      <c r="BD32" s="317"/>
      <c r="BE32" s="51">
        <v>0</v>
      </c>
      <c r="BF32" s="51"/>
      <c r="BG32" s="51"/>
      <c r="BH32" s="144"/>
      <c r="BI32" s="317"/>
      <c r="BJ32" s="51">
        <v>0</v>
      </c>
      <c r="BK32" s="51"/>
      <c r="BL32" s="51"/>
      <c r="BM32" s="144"/>
      <c r="BN32" s="317"/>
      <c r="BO32" s="51">
        <v>0</v>
      </c>
      <c r="BP32" s="51"/>
      <c r="BQ32" s="51"/>
      <c r="BR32" s="144"/>
      <c r="BS32" s="317"/>
      <c r="BT32" s="95">
        <v>0</v>
      </c>
      <c r="BU32" s="51"/>
      <c r="BV32" s="721"/>
      <c r="BW32" s="39"/>
      <c r="BX32" s="39"/>
    </row>
    <row r="33" spans="1:76" ht="12.75" hidden="1" customHeight="1" x14ac:dyDescent="0.2">
      <c r="A33" s="317"/>
      <c r="B33" s="317"/>
      <c r="D33" s="340" t="s">
        <v>238</v>
      </c>
      <c r="E33" s="347"/>
      <c r="F33" s="354"/>
      <c r="G33" s="430">
        <v>0</v>
      </c>
      <c r="H33" s="431"/>
      <c r="I33" s="51"/>
      <c r="J33" s="144"/>
      <c r="K33" s="354"/>
      <c r="L33" s="430">
        <v>0</v>
      </c>
      <c r="M33" s="431"/>
      <c r="N33" s="51"/>
      <c r="O33" s="144"/>
      <c r="P33" s="354"/>
      <c r="Q33" s="430">
        <v>0</v>
      </c>
      <c r="R33" s="431"/>
      <c r="S33" s="51"/>
      <c r="T33" s="144"/>
      <c r="U33" s="354"/>
      <c r="V33" s="430">
        <v>0</v>
      </c>
      <c r="W33" s="431"/>
      <c r="X33" s="51"/>
      <c r="Y33" s="144"/>
      <c r="Z33" s="354"/>
      <c r="AA33" s="430">
        <v>0</v>
      </c>
      <c r="AB33" s="431"/>
      <c r="AC33" s="51"/>
      <c r="AD33" s="144"/>
      <c r="AE33" s="354"/>
      <c r="AF33" s="430">
        <v>0</v>
      </c>
      <c r="AG33" s="431"/>
      <c r="AH33" s="51"/>
      <c r="AI33" s="144"/>
      <c r="AJ33" s="354"/>
      <c r="AK33" s="430">
        <v>0</v>
      </c>
      <c r="AL33" s="431"/>
      <c r="AM33" s="51"/>
      <c r="AN33" s="144"/>
      <c r="AO33" s="354"/>
      <c r="AP33" s="430">
        <v>0</v>
      </c>
      <c r="AQ33" s="431"/>
      <c r="AR33" s="51"/>
      <c r="AS33" s="144"/>
      <c r="AT33" s="354"/>
      <c r="AU33" s="430">
        <v>0</v>
      </c>
      <c r="AV33" s="431"/>
      <c r="AW33" s="51"/>
      <c r="AX33" s="144"/>
      <c r="AY33" s="354"/>
      <c r="AZ33" s="430">
        <v>0</v>
      </c>
      <c r="BA33" s="431"/>
      <c r="BB33" s="51"/>
      <c r="BC33" s="144"/>
      <c r="BD33" s="354"/>
      <c r="BE33" s="430">
        <v>0</v>
      </c>
      <c r="BF33" s="431"/>
      <c r="BG33" s="51"/>
      <c r="BH33" s="144"/>
      <c r="BI33" s="354"/>
      <c r="BJ33" s="430">
        <v>0</v>
      </c>
      <c r="BK33" s="431"/>
      <c r="BL33" s="51"/>
      <c r="BM33" s="144"/>
      <c r="BN33" s="354"/>
      <c r="BO33" s="430">
        <v>0</v>
      </c>
      <c r="BP33" s="431"/>
      <c r="BQ33" s="51"/>
      <c r="BR33" s="144"/>
      <c r="BS33" s="354"/>
      <c r="BT33" s="51">
        <v>0</v>
      </c>
      <c r="BU33" s="431"/>
      <c r="BV33" s="721"/>
      <c r="BW33" s="39"/>
      <c r="BX33" s="39"/>
    </row>
    <row r="34" spans="1:76" ht="12.75" hidden="1" customHeight="1" x14ac:dyDescent="0.2">
      <c r="A34" s="317"/>
      <c r="B34" s="317"/>
      <c r="D34" s="340" t="s">
        <v>188</v>
      </c>
      <c r="E34" s="347"/>
      <c r="F34" s="371"/>
      <c r="G34" s="95">
        <v>0</v>
      </c>
      <c r="H34" s="94"/>
      <c r="I34" s="51"/>
      <c r="J34" s="144"/>
      <c r="K34" s="371"/>
      <c r="L34" s="95">
        <v>0</v>
      </c>
      <c r="M34" s="94"/>
      <c r="N34" s="51"/>
      <c r="O34" s="144"/>
      <c r="P34" s="371"/>
      <c r="Q34" s="95">
        <v>0</v>
      </c>
      <c r="R34" s="94"/>
      <c r="S34" s="51"/>
      <c r="T34" s="144"/>
      <c r="U34" s="371"/>
      <c r="V34" s="95">
        <v>0</v>
      </c>
      <c r="W34" s="94"/>
      <c r="X34" s="51"/>
      <c r="Y34" s="144"/>
      <c r="Z34" s="371"/>
      <c r="AA34" s="95">
        <v>0</v>
      </c>
      <c r="AB34" s="94"/>
      <c r="AC34" s="51"/>
      <c r="AD34" s="144"/>
      <c r="AE34" s="371"/>
      <c r="AF34" s="95">
        <v>0</v>
      </c>
      <c r="AG34" s="94"/>
      <c r="AH34" s="51"/>
      <c r="AI34" s="144"/>
      <c r="AJ34" s="371"/>
      <c r="AK34" s="95">
        <v>0</v>
      </c>
      <c r="AL34" s="94"/>
      <c r="AM34" s="51"/>
      <c r="AN34" s="144"/>
      <c r="AO34" s="371"/>
      <c r="AP34" s="95">
        <v>0</v>
      </c>
      <c r="AQ34" s="94"/>
      <c r="AR34" s="51"/>
      <c r="AS34" s="144"/>
      <c r="AT34" s="371"/>
      <c r="AU34" s="95">
        <v>0</v>
      </c>
      <c r="AV34" s="94"/>
      <c r="AW34" s="51"/>
      <c r="AX34" s="144"/>
      <c r="AY34" s="371"/>
      <c r="AZ34" s="95">
        <v>0</v>
      </c>
      <c r="BA34" s="94"/>
      <c r="BB34" s="51"/>
      <c r="BC34" s="144"/>
      <c r="BD34" s="371"/>
      <c r="BE34" s="95">
        <v>0</v>
      </c>
      <c r="BF34" s="94"/>
      <c r="BG34" s="51"/>
      <c r="BH34" s="144"/>
      <c r="BI34" s="371"/>
      <c r="BJ34" s="95">
        <v>0</v>
      </c>
      <c r="BK34" s="94"/>
      <c r="BL34" s="51"/>
      <c r="BM34" s="144"/>
      <c r="BN34" s="371"/>
      <c r="BO34" s="95">
        <v>0</v>
      </c>
      <c r="BP34" s="94"/>
      <c r="BQ34" s="51"/>
      <c r="BR34" s="144"/>
      <c r="BS34" s="371"/>
      <c r="BT34" s="95">
        <v>0</v>
      </c>
      <c r="BU34" s="94"/>
      <c r="BV34" s="721"/>
      <c r="BW34" s="39"/>
      <c r="BX34" s="39"/>
    </row>
    <row r="35" spans="1:76" hidden="1" x14ac:dyDescent="0.2">
      <c r="A35" s="317"/>
      <c r="B35" s="317"/>
      <c r="D35" s="340"/>
      <c r="E35" s="347"/>
      <c r="F35" s="317"/>
      <c r="G35" s="51"/>
      <c r="H35" s="51"/>
      <c r="I35" s="51"/>
      <c r="J35" s="144"/>
      <c r="K35" s="51"/>
      <c r="L35" s="51"/>
      <c r="M35" s="51"/>
      <c r="N35" s="51"/>
      <c r="O35" s="144"/>
      <c r="P35" s="51"/>
      <c r="Q35" s="51"/>
      <c r="R35" s="51"/>
      <c r="S35" s="51"/>
      <c r="T35" s="144"/>
      <c r="U35" s="51"/>
      <c r="V35" s="51"/>
      <c r="W35" s="51"/>
      <c r="X35" s="51"/>
      <c r="Y35" s="144"/>
      <c r="Z35" s="51"/>
      <c r="AA35" s="51"/>
      <c r="AB35" s="51"/>
      <c r="AC35" s="51"/>
      <c r="AD35" s="144"/>
      <c r="AE35" s="51"/>
      <c r="AF35" s="51"/>
      <c r="AG35" s="51"/>
      <c r="AH35" s="51"/>
      <c r="AI35" s="144"/>
      <c r="AJ35" s="51"/>
      <c r="AK35" s="51"/>
      <c r="AL35" s="51"/>
      <c r="AM35" s="51"/>
      <c r="AN35" s="144"/>
      <c r="AO35" s="51"/>
      <c r="AP35" s="51"/>
      <c r="AQ35" s="51"/>
      <c r="AR35" s="51"/>
      <c r="AS35" s="144"/>
      <c r="AT35" s="51"/>
      <c r="AU35" s="51"/>
      <c r="AV35" s="51"/>
      <c r="AW35" s="51"/>
      <c r="AX35" s="144"/>
      <c r="AY35" s="51"/>
      <c r="AZ35" s="51"/>
      <c r="BA35" s="51"/>
      <c r="BB35" s="51"/>
      <c r="BC35" s="144"/>
      <c r="BD35" s="51"/>
      <c r="BE35" s="51"/>
      <c r="BF35" s="51"/>
      <c r="BG35" s="51"/>
      <c r="BH35" s="144"/>
      <c r="BI35" s="51"/>
      <c r="BJ35" s="51"/>
      <c r="BK35" s="51"/>
      <c r="BL35" s="51"/>
      <c r="BM35" s="144"/>
      <c r="BN35" s="51"/>
      <c r="BO35" s="51"/>
      <c r="BP35" s="51"/>
      <c r="BQ35" s="51"/>
      <c r="BR35" s="144"/>
      <c r="BS35" s="51"/>
      <c r="BT35" s="51"/>
      <c r="BU35" s="51"/>
      <c r="BV35" s="721"/>
      <c r="BW35" s="39"/>
      <c r="BX35" s="39"/>
    </row>
    <row r="36" spans="1:76" hidden="1" x14ac:dyDescent="0.2">
      <c r="A36" s="317"/>
      <c r="B36" s="317"/>
      <c r="D36" s="340" t="s">
        <v>189</v>
      </c>
      <c r="E36" s="347"/>
      <c r="F36" s="317"/>
      <c r="G36" s="51">
        <v>0</v>
      </c>
      <c r="H36" s="51"/>
      <c r="I36" s="51"/>
      <c r="J36" s="144"/>
      <c r="K36" s="317"/>
      <c r="L36" s="51">
        <v>0</v>
      </c>
      <c r="M36" s="51"/>
      <c r="N36" s="51"/>
      <c r="O36" s="144"/>
      <c r="P36" s="317"/>
      <c r="Q36" s="51">
        <v>0</v>
      </c>
      <c r="R36" s="51"/>
      <c r="S36" s="51"/>
      <c r="T36" s="144"/>
      <c r="U36" s="317"/>
      <c r="V36" s="51">
        <v>0</v>
      </c>
      <c r="W36" s="51"/>
      <c r="X36" s="51"/>
      <c r="Y36" s="144"/>
      <c r="Z36" s="317"/>
      <c r="AA36" s="51">
        <v>0</v>
      </c>
      <c r="AB36" s="51"/>
      <c r="AC36" s="51"/>
      <c r="AD36" s="144"/>
      <c r="AE36" s="317"/>
      <c r="AF36" s="51">
        <v>0</v>
      </c>
      <c r="AG36" s="51"/>
      <c r="AH36" s="51"/>
      <c r="AI36" s="144"/>
      <c r="AJ36" s="317"/>
      <c r="AK36" s="51">
        <v>0</v>
      </c>
      <c r="AL36" s="51"/>
      <c r="AM36" s="51"/>
      <c r="AN36" s="144"/>
      <c r="AO36" s="317"/>
      <c r="AP36" s="51">
        <v>0</v>
      </c>
      <c r="AQ36" s="51"/>
      <c r="AR36" s="51"/>
      <c r="AS36" s="144"/>
      <c r="AT36" s="317"/>
      <c r="AU36" s="51">
        <v>0</v>
      </c>
      <c r="AV36" s="51"/>
      <c r="AW36" s="51"/>
      <c r="AX36" s="144"/>
      <c r="AY36" s="317"/>
      <c r="AZ36" s="51">
        <v>0</v>
      </c>
      <c r="BA36" s="51"/>
      <c r="BB36" s="51"/>
      <c r="BC36" s="144"/>
      <c r="BD36" s="317"/>
      <c r="BE36" s="51">
        <v>0</v>
      </c>
      <c r="BF36" s="51"/>
      <c r="BG36" s="51"/>
      <c r="BH36" s="144"/>
      <c r="BI36" s="317"/>
      <c r="BJ36" s="51">
        <v>0</v>
      </c>
      <c r="BK36" s="51"/>
      <c r="BL36" s="51"/>
      <c r="BM36" s="144"/>
      <c r="BN36" s="317"/>
      <c r="BO36" s="51">
        <v>0</v>
      </c>
      <c r="BP36" s="51"/>
      <c r="BQ36" s="51"/>
      <c r="BR36" s="144"/>
      <c r="BS36" s="317"/>
      <c r="BT36" s="51">
        <v>0</v>
      </c>
      <c r="BU36" s="51"/>
      <c r="BV36" s="721"/>
      <c r="BW36" s="329"/>
      <c r="BX36" s="39"/>
    </row>
    <row r="37" spans="1:76" hidden="1" x14ac:dyDescent="0.2">
      <c r="A37" s="317"/>
      <c r="B37" s="317"/>
      <c r="D37" s="340" t="s">
        <v>238</v>
      </c>
      <c r="E37" s="347"/>
      <c r="F37" s="354"/>
      <c r="G37" s="430">
        <v>0</v>
      </c>
      <c r="H37" s="431"/>
      <c r="I37" s="51"/>
      <c r="J37" s="144"/>
      <c r="K37" s="354"/>
      <c r="L37" s="430">
        <v>0</v>
      </c>
      <c r="M37" s="431"/>
      <c r="N37" s="51"/>
      <c r="O37" s="144"/>
      <c r="P37" s="354"/>
      <c r="Q37" s="430">
        <v>0</v>
      </c>
      <c r="R37" s="431"/>
      <c r="S37" s="51"/>
      <c r="T37" s="144"/>
      <c r="U37" s="354"/>
      <c r="V37" s="430">
        <v>0</v>
      </c>
      <c r="W37" s="431"/>
      <c r="X37" s="51"/>
      <c r="Y37" s="144"/>
      <c r="Z37" s="354"/>
      <c r="AA37" s="430">
        <v>0</v>
      </c>
      <c r="AB37" s="431"/>
      <c r="AC37" s="51"/>
      <c r="AD37" s="144"/>
      <c r="AE37" s="354"/>
      <c r="AF37" s="430">
        <v>0</v>
      </c>
      <c r="AG37" s="431"/>
      <c r="AH37" s="51"/>
      <c r="AI37" s="144"/>
      <c r="AJ37" s="354"/>
      <c r="AK37" s="430">
        <v>0</v>
      </c>
      <c r="AL37" s="431"/>
      <c r="AM37" s="51"/>
      <c r="AN37" s="144"/>
      <c r="AO37" s="354"/>
      <c r="AP37" s="430">
        <v>0</v>
      </c>
      <c r="AQ37" s="431"/>
      <c r="AR37" s="51"/>
      <c r="AS37" s="144"/>
      <c r="AT37" s="354"/>
      <c r="AU37" s="430">
        <v>0</v>
      </c>
      <c r="AV37" s="431"/>
      <c r="AW37" s="51"/>
      <c r="AX37" s="144"/>
      <c r="AY37" s="354"/>
      <c r="AZ37" s="430">
        <v>0</v>
      </c>
      <c r="BA37" s="431"/>
      <c r="BB37" s="51"/>
      <c r="BC37" s="144"/>
      <c r="BD37" s="354"/>
      <c r="BE37" s="430">
        <v>0</v>
      </c>
      <c r="BF37" s="431"/>
      <c r="BG37" s="51"/>
      <c r="BH37" s="144"/>
      <c r="BI37" s="354"/>
      <c r="BJ37" s="430">
        <v>0</v>
      </c>
      <c r="BK37" s="431"/>
      <c r="BL37" s="51"/>
      <c r="BM37" s="144"/>
      <c r="BN37" s="354"/>
      <c r="BO37" s="430">
        <v>0</v>
      </c>
      <c r="BP37" s="431"/>
      <c r="BQ37" s="51"/>
      <c r="BR37" s="144"/>
      <c r="BS37" s="354"/>
      <c r="BT37" s="430">
        <v>0</v>
      </c>
      <c r="BU37" s="431"/>
      <c r="BV37" s="721"/>
      <c r="BW37" s="329"/>
      <c r="BX37" s="39"/>
    </row>
    <row r="38" spans="1:76" hidden="1" x14ac:dyDescent="0.2">
      <c r="A38" s="317"/>
      <c r="B38" s="317"/>
      <c r="D38" s="340" t="s">
        <v>188</v>
      </c>
      <c r="E38" s="347"/>
      <c r="F38" s="371"/>
      <c r="G38" s="95">
        <v>0</v>
      </c>
      <c r="H38" s="94"/>
      <c r="I38" s="51"/>
      <c r="J38" s="144"/>
      <c r="K38" s="371"/>
      <c r="L38" s="95">
        <v>0</v>
      </c>
      <c r="M38" s="94"/>
      <c r="N38" s="51"/>
      <c r="O38" s="144"/>
      <c r="P38" s="371"/>
      <c r="Q38" s="95">
        <v>0</v>
      </c>
      <c r="R38" s="94"/>
      <c r="S38" s="51"/>
      <c r="T38" s="144"/>
      <c r="U38" s="371"/>
      <c r="V38" s="95">
        <v>0</v>
      </c>
      <c r="W38" s="94"/>
      <c r="X38" s="51"/>
      <c r="Y38" s="144"/>
      <c r="Z38" s="371"/>
      <c r="AA38" s="95">
        <v>0</v>
      </c>
      <c r="AB38" s="94"/>
      <c r="AC38" s="51"/>
      <c r="AD38" s="144"/>
      <c r="AE38" s="371"/>
      <c r="AF38" s="95">
        <v>0</v>
      </c>
      <c r="AG38" s="94"/>
      <c r="AH38" s="51"/>
      <c r="AI38" s="144"/>
      <c r="AJ38" s="371"/>
      <c r="AK38" s="95">
        <v>0</v>
      </c>
      <c r="AL38" s="94"/>
      <c r="AM38" s="51"/>
      <c r="AN38" s="144"/>
      <c r="AO38" s="371"/>
      <c r="AP38" s="95">
        <v>0</v>
      </c>
      <c r="AQ38" s="94"/>
      <c r="AR38" s="51"/>
      <c r="AS38" s="144"/>
      <c r="AT38" s="371"/>
      <c r="AU38" s="95">
        <v>0</v>
      </c>
      <c r="AV38" s="94"/>
      <c r="AW38" s="51"/>
      <c r="AX38" s="144"/>
      <c r="AY38" s="371"/>
      <c r="AZ38" s="95">
        <v>0</v>
      </c>
      <c r="BA38" s="94"/>
      <c r="BB38" s="51"/>
      <c r="BC38" s="144"/>
      <c r="BD38" s="371"/>
      <c r="BE38" s="95">
        <v>0</v>
      </c>
      <c r="BF38" s="94"/>
      <c r="BG38" s="51"/>
      <c r="BH38" s="144"/>
      <c r="BI38" s="371"/>
      <c r="BJ38" s="95">
        <v>0</v>
      </c>
      <c r="BK38" s="94"/>
      <c r="BL38" s="51"/>
      <c r="BM38" s="144"/>
      <c r="BN38" s="371"/>
      <c r="BO38" s="95">
        <v>0</v>
      </c>
      <c r="BP38" s="94"/>
      <c r="BQ38" s="51"/>
      <c r="BR38" s="144"/>
      <c r="BS38" s="371"/>
      <c r="BT38" s="95">
        <v>0</v>
      </c>
      <c r="BU38" s="94"/>
      <c r="BV38" s="721"/>
      <c r="BW38" s="329"/>
      <c r="BX38" s="39"/>
    </row>
    <row r="39" spans="1:76" ht="12.75" hidden="1" customHeight="1" x14ac:dyDescent="0.2">
      <c r="A39" s="317"/>
      <c r="B39" s="317"/>
      <c r="D39" s="340"/>
      <c r="E39" s="347"/>
      <c r="F39" s="317"/>
      <c r="G39" s="51"/>
      <c r="H39" s="51"/>
      <c r="I39" s="51"/>
      <c r="J39" s="144"/>
      <c r="K39" s="51"/>
      <c r="L39" s="51"/>
      <c r="M39" s="51"/>
      <c r="N39" s="51"/>
      <c r="O39" s="144"/>
      <c r="P39" s="51"/>
      <c r="Q39" s="51"/>
      <c r="R39" s="51"/>
      <c r="S39" s="51"/>
      <c r="T39" s="144"/>
      <c r="U39" s="51"/>
      <c r="V39" s="51"/>
      <c r="W39" s="51"/>
      <c r="X39" s="51"/>
      <c r="Y39" s="144"/>
      <c r="Z39" s="51"/>
      <c r="AA39" s="51"/>
      <c r="AB39" s="51"/>
      <c r="AC39" s="51"/>
      <c r="AD39" s="144"/>
      <c r="AE39" s="51"/>
      <c r="AF39" s="51"/>
      <c r="AG39" s="51"/>
      <c r="AH39" s="51"/>
      <c r="AI39" s="144"/>
      <c r="AJ39" s="51"/>
      <c r="AK39" s="51"/>
      <c r="AL39" s="51"/>
      <c r="AM39" s="51"/>
      <c r="AN39" s="144"/>
      <c r="AO39" s="51"/>
      <c r="AP39" s="51"/>
      <c r="AQ39" s="51"/>
      <c r="AR39" s="51"/>
      <c r="AS39" s="144"/>
      <c r="AT39" s="51"/>
      <c r="AU39" s="51"/>
      <c r="AV39" s="51"/>
      <c r="AW39" s="51"/>
      <c r="AX39" s="144"/>
      <c r="AY39" s="51"/>
      <c r="AZ39" s="51"/>
      <c r="BA39" s="51"/>
      <c r="BB39" s="51"/>
      <c r="BC39" s="144"/>
      <c r="BD39" s="51"/>
      <c r="BE39" s="51"/>
      <c r="BF39" s="51"/>
      <c r="BG39" s="51"/>
      <c r="BH39" s="144"/>
      <c r="BI39" s="51"/>
      <c r="BJ39" s="51"/>
      <c r="BK39" s="51"/>
      <c r="BL39" s="51"/>
      <c r="BM39" s="144"/>
      <c r="BN39" s="51"/>
      <c r="BO39" s="51"/>
      <c r="BP39" s="51"/>
      <c r="BQ39" s="51"/>
      <c r="BR39" s="144"/>
      <c r="BS39" s="51"/>
      <c r="BT39" s="51"/>
      <c r="BU39" s="51"/>
      <c r="BV39" s="721"/>
      <c r="BW39" s="329"/>
      <c r="BX39" s="39"/>
    </row>
    <row r="40" spans="1:76" ht="12.75" hidden="1" customHeight="1" x14ac:dyDescent="0.2">
      <c r="A40" s="317"/>
      <c r="B40" s="317"/>
      <c r="D40" s="340" t="s">
        <v>190</v>
      </c>
      <c r="E40" s="347"/>
      <c r="F40" s="317"/>
      <c r="G40" s="51">
        <v>0</v>
      </c>
      <c r="H40" s="51"/>
      <c r="I40" s="51"/>
      <c r="J40" s="144"/>
      <c r="K40" s="51"/>
      <c r="L40" s="51">
        <v>0</v>
      </c>
      <c r="M40" s="51"/>
      <c r="N40" s="51"/>
      <c r="O40" s="144"/>
      <c r="P40" s="317"/>
      <c r="Q40" s="51">
        <v>0</v>
      </c>
      <c r="R40" s="51"/>
      <c r="S40" s="51"/>
      <c r="T40" s="144"/>
      <c r="U40" s="317"/>
      <c r="V40" s="51">
        <v>0</v>
      </c>
      <c r="W40" s="51"/>
      <c r="X40" s="51"/>
      <c r="Y40" s="144"/>
      <c r="Z40" s="317"/>
      <c r="AA40" s="51">
        <v>0</v>
      </c>
      <c r="AB40" s="51"/>
      <c r="AC40" s="51"/>
      <c r="AD40" s="144"/>
      <c r="AE40" s="317"/>
      <c r="AF40" s="51">
        <v>0</v>
      </c>
      <c r="AG40" s="51"/>
      <c r="AH40" s="51"/>
      <c r="AI40" s="144"/>
      <c r="AJ40" s="317"/>
      <c r="AK40" s="51">
        <v>0</v>
      </c>
      <c r="AL40" s="51"/>
      <c r="AM40" s="51"/>
      <c r="AN40" s="144"/>
      <c r="AO40" s="317"/>
      <c r="AP40" s="51">
        <v>0</v>
      </c>
      <c r="AQ40" s="51"/>
      <c r="AR40" s="51"/>
      <c r="AS40" s="144"/>
      <c r="AT40" s="317"/>
      <c r="AU40" s="51">
        <v>0</v>
      </c>
      <c r="AV40" s="51"/>
      <c r="AW40" s="51"/>
      <c r="AX40" s="144"/>
      <c r="AY40" s="317"/>
      <c r="AZ40" s="51">
        <v>0</v>
      </c>
      <c r="BA40" s="51"/>
      <c r="BB40" s="51"/>
      <c r="BC40" s="144"/>
      <c r="BD40" s="317"/>
      <c r="BE40" s="51">
        <v>0</v>
      </c>
      <c r="BF40" s="51"/>
      <c r="BG40" s="51"/>
      <c r="BH40" s="144"/>
      <c r="BI40" s="317"/>
      <c r="BJ40" s="51">
        <v>0</v>
      </c>
      <c r="BK40" s="51"/>
      <c r="BL40" s="51"/>
      <c r="BM40" s="144"/>
      <c r="BN40" s="317"/>
      <c r="BO40" s="51">
        <v>0</v>
      </c>
      <c r="BP40" s="51"/>
      <c r="BQ40" s="51"/>
      <c r="BR40" s="144"/>
      <c r="BS40" s="51"/>
      <c r="BT40" s="51">
        <v>0</v>
      </c>
      <c r="BU40" s="51"/>
      <c r="BV40" s="721"/>
      <c r="BW40" s="329"/>
      <c r="BX40" s="39"/>
    </row>
    <row r="41" spans="1:76" ht="12.75" hidden="1" customHeight="1" x14ac:dyDescent="0.2">
      <c r="A41" s="317"/>
      <c r="B41" s="317"/>
      <c r="D41" s="340" t="s">
        <v>238</v>
      </c>
      <c r="E41" s="347"/>
      <c r="F41" s="354"/>
      <c r="G41" s="430">
        <v>0</v>
      </c>
      <c r="H41" s="431"/>
      <c r="I41" s="51"/>
      <c r="J41" s="144"/>
      <c r="K41" s="432"/>
      <c r="L41" s="430">
        <v>0</v>
      </c>
      <c r="M41" s="431"/>
      <c r="N41" s="51"/>
      <c r="O41" s="144"/>
      <c r="P41" s="354"/>
      <c r="Q41" s="430">
        <v>0</v>
      </c>
      <c r="R41" s="431"/>
      <c r="S41" s="51"/>
      <c r="T41" s="144"/>
      <c r="U41" s="354"/>
      <c r="V41" s="430">
        <v>0</v>
      </c>
      <c r="W41" s="431"/>
      <c r="X41" s="51"/>
      <c r="Y41" s="144"/>
      <c r="Z41" s="354"/>
      <c r="AA41" s="430">
        <v>0</v>
      </c>
      <c r="AB41" s="431"/>
      <c r="AC41" s="51"/>
      <c r="AD41" s="144"/>
      <c r="AE41" s="354"/>
      <c r="AF41" s="430">
        <v>0</v>
      </c>
      <c r="AG41" s="431"/>
      <c r="AH41" s="51"/>
      <c r="AI41" s="144"/>
      <c r="AJ41" s="354"/>
      <c r="AK41" s="430">
        <v>0</v>
      </c>
      <c r="AL41" s="431"/>
      <c r="AM41" s="51"/>
      <c r="AN41" s="144"/>
      <c r="AO41" s="354"/>
      <c r="AP41" s="430">
        <v>0</v>
      </c>
      <c r="AQ41" s="431"/>
      <c r="AR41" s="51"/>
      <c r="AS41" s="144"/>
      <c r="AT41" s="354"/>
      <c r="AU41" s="430">
        <v>0</v>
      </c>
      <c r="AV41" s="431"/>
      <c r="AW41" s="51"/>
      <c r="AX41" s="144"/>
      <c r="AY41" s="354"/>
      <c r="AZ41" s="430">
        <v>0</v>
      </c>
      <c r="BA41" s="431"/>
      <c r="BB41" s="51"/>
      <c r="BC41" s="144"/>
      <c r="BD41" s="354"/>
      <c r="BE41" s="430">
        <v>0</v>
      </c>
      <c r="BF41" s="431"/>
      <c r="BG41" s="51"/>
      <c r="BH41" s="144"/>
      <c r="BI41" s="354"/>
      <c r="BJ41" s="430">
        <v>0</v>
      </c>
      <c r="BK41" s="431"/>
      <c r="BL41" s="51"/>
      <c r="BM41" s="144"/>
      <c r="BN41" s="354"/>
      <c r="BO41" s="430">
        <v>0</v>
      </c>
      <c r="BP41" s="431"/>
      <c r="BQ41" s="51"/>
      <c r="BR41" s="144"/>
      <c r="BS41" s="432"/>
      <c r="BT41" s="430">
        <v>0</v>
      </c>
      <c r="BU41" s="431"/>
      <c r="BV41" s="721"/>
      <c r="BW41" s="329"/>
      <c r="BX41" s="39"/>
    </row>
    <row r="42" spans="1:76" ht="12.75" hidden="1" customHeight="1" x14ac:dyDescent="0.2">
      <c r="A42" s="317"/>
      <c r="B42" s="317"/>
      <c r="D42" s="340" t="s">
        <v>188</v>
      </c>
      <c r="E42" s="347"/>
      <c r="F42" s="371"/>
      <c r="G42" s="95">
        <v>0</v>
      </c>
      <c r="H42" s="94"/>
      <c r="I42" s="51"/>
      <c r="J42" s="144"/>
      <c r="K42" s="187"/>
      <c r="L42" s="95">
        <v>0</v>
      </c>
      <c r="M42" s="94"/>
      <c r="N42" s="51"/>
      <c r="O42" s="144"/>
      <c r="P42" s="371"/>
      <c r="Q42" s="95">
        <v>0</v>
      </c>
      <c r="R42" s="94"/>
      <c r="S42" s="51"/>
      <c r="T42" s="144"/>
      <c r="U42" s="371"/>
      <c r="V42" s="95">
        <v>0</v>
      </c>
      <c r="W42" s="94"/>
      <c r="X42" s="51"/>
      <c r="Y42" s="144"/>
      <c r="Z42" s="371"/>
      <c r="AA42" s="95">
        <v>0</v>
      </c>
      <c r="AB42" s="94"/>
      <c r="AC42" s="51"/>
      <c r="AD42" s="144"/>
      <c r="AE42" s="371"/>
      <c r="AF42" s="95">
        <v>0</v>
      </c>
      <c r="AG42" s="94"/>
      <c r="AH42" s="51"/>
      <c r="AI42" s="144"/>
      <c r="AJ42" s="371"/>
      <c r="AK42" s="95">
        <v>0</v>
      </c>
      <c r="AL42" s="94"/>
      <c r="AM42" s="51"/>
      <c r="AN42" s="144"/>
      <c r="AO42" s="371"/>
      <c r="AP42" s="95">
        <v>0</v>
      </c>
      <c r="AQ42" s="94"/>
      <c r="AR42" s="51"/>
      <c r="AS42" s="144"/>
      <c r="AT42" s="371"/>
      <c r="AU42" s="95">
        <v>0</v>
      </c>
      <c r="AV42" s="94"/>
      <c r="AW42" s="51"/>
      <c r="AX42" s="144"/>
      <c r="AY42" s="371"/>
      <c r="AZ42" s="95">
        <v>0</v>
      </c>
      <c r="BA42" s="94"/>
      <c r="BB42" s="51"/>
      <c r="BC42" s="144"/>
      <c r="BD42" s="371"/>
      <c r="BE42" s="95">
        <v>0</v>
      </c>
      <c r="BF42" s="94"/>
      <c r="BG42" s="51"/>
      <c r="BH42" s="144"/>
      <c r="BI42" s="371"/>
      <c r="BJ42" s="95">
        <v>0</v>
      </c>
      <c r="BK42" s="94"/>
      <c r="BL42" s="51"/>
      <c r="BM42" s="144"/>
      <c r="BN42" s="371"/>
      <c r="BO42" s="95">
        <v>0</v>
      </c>
      <c r="BP42" s="94"/>
      <c r="BQ42" s="51"/>
      <c r="BR42" s="144"/>
      <c r="BS42" s="187"/>
      <c r="BT42" s="95">
        <v>0</v>
      </c>
      <c r="BU42" s="94"/>
      <c r="BV42" s="721"/>
      <c r="BW42" s="329"/>
      <c r="BX42" s="39"/>
    </row>
    <row r="43" spans="1:76" ht="12.75" hidden="1" customHeight="1" x14ac:dyDescent="0.2">
      <c r="A43" s="317"/>
      <c r="B43" s="317"/>
      <c r="D43" s="340"/>
      <c r="E43" s="347"/>
      <c r="F43" s="317"/>
      <c r="G43" s="51"/>
      <c r="H43" s="51"/>
      <c r="I43" s="51"/>
      <c r="J43" s="144"/>
      <c r="K43" s="51"/>
      <c r="L43" s="51"/>
      <c r="M43" s="51"/>
      <c r="N43" s="51"/>
      <c r="O43" s="144"/>
      <c r="P43" s="317"/>
      <c r="Q43" s="51"/>
      <c r="R43" s="51"/>
      <c r="S43" s="51"/>
      <c r="T43" s="144"/>
      <c r="U43" s="317"/>
      <c r="V43" s="51"/>
      <c r="W43" s="51"/>
      <c r="X43" s="51"/>
      <c r="Y43" s="144"/>
      <c r="Z43" s="317"/>
      <c r="AA43" s="51"/>
      <c r="AB43" s="51"/>
      <c r="AC43" s="51"/>
      <c r="AD43" s="144"/>
      <c r="AE43" s="317"/>
      <c r="AF43" s="51"/>
      <c r="AG43" s="51"/>
      <c r="AH43" s="51"/>
      <c r="AI43" s="144"/>
      <c r="AJ43" s="317"/>
      <c r="AK43" s="51"/>
      <c r="AL43" s="51"/>
      <c r="AM43" s="51"/>
      <c r="AN43" s="144"/>
      <c r="AO43" s="317"/>
      <c r="AP43" s="51"/>
      <c r="AQ43" s="51"/>
      <c r="AR43" s="51"/>
      <c r="AS43" s="144"/>
      <c r="AT43" s="317"/>
      <c r="AU43" s="51"/>
      <c r="AV43" s="51"/>
      <c r="AW43" s="51"/>
      <c r="AX43" s="144"/>
      <c r="AY43" s="317"/>
      <c r="AZ43" s="51"/>
      <c r="BA43" s="51"/>
      <c r="BB43" s="51"/>
      <c r="BC43" s="144"/>
      <c r="BD43" s="317"/>
      <c r="BE43" s="51"/>
      <c r="BF43" s="51"/>
      <c r="BG43" s="51"/>
      <c r="BH43" s="144"/>
      <c r="BI43" s="317"/>
      <c r="BJ43" s="51"/>
      <c r="BK43" s="51"/>
      <c r="BL43" s="51"/>
      <c r="BM43" s="144"/>
      <c r="BN43" s="317"/>
      <c r="BO43" s="51"/>
      <c r="BP43" s="51"/>
      <c r="BQ43" s="51"/>
      <c r="BR43" s="144"/>
      <c r="BS43" s="51"/>
      <c r="BT43" s="51"/>
      <c r="BU43" s="51"/>
      <c r="BV43" s="721"/>
      <c r="BW43" s="329"/>
      <c r="BX43" s="39"/>
    </row>
    <row r="44" spans="1:76" ht="12.75" hidden="1" customHeight="1" x14ac:dyDescent="0.2">
      <c r="A44" s="317"/>
      <c r="B44" s="317"/>
      <c r="D44" s="340" t="s">
        <v>191</v>
      </c>
      <c r="E44" s="347"/>
      <c r="F44" s="317"/>
      <c r="G44" s="51">
        <v>0</v>
      </c>
      <c r="H44" s="51"/>
      <c r="I44" s="51"/>
      <c r="J44" s="144"/>
      <c r="K44" s="317"/>
      <c r="L44" s="51">
        <v>0</v>
      </c>
      <c r="M44" s="51"/>
      <c r="N44" s="51"/>
      <c r="O44" s="144"/>
      <c r="P44" s="317"/>
      <c r="Q44" s="51">
        <v>0</v>
      </c>
      <c r="R44" s="51"/>
      <c r="S44" s="51"/>
      <c r="T44" s="144"/>
      <c r="U44" s="317"/>
      <c r="V44" s="51">
        <v>0</v>
      </c>
      <c r="W44" s="51"/>
      <c r="X44" s="51"/>
      <c r="Y44" s="144"/>
      <c r="Z44" s="317"/>
      <c r="AA44" s="51">
        <v>0</v>
      </c>
      <c r="AB44" s="51"/>
      <c r="AC44" s="51"/>
      <c r="AD44" s="144"/>
      <c r="AE44" s="317"/>
      <c r="AF44" s="51">
        <v>0</v>
      </c>
      <c r="AG44" s="51"/>
      <c r="AH44" s="51"/>
      <c r="AI44" s="144"/>
      <c r="AJ44" s="317"/>
      <c r="AK44" s="51">
        <v>0</v>
      </c>
      <c r="AL44" s="51"/>
      <c r="AM44" s="51"/>
      <c r="AN44" s="144"/>
      <c r="AO44" s="317"/>
      <c r="AP44" s="51">
        <v>0</v>
      </c>
      <c r="AQ44" s="51"/>
      <c r="AR44" s="51"/>
      <c r="AS44" s="144"/>
      <c r="AT44" s="317"/>
      <c r="AU44" s="51">
        <v>0</v>
      </c>
      <c r="AV44" s="51"/>
      <c r="AW44" s="51"/>
      <c r="AX44" s="144"/>
      <c r="AY44" s="317"/>
      <c r="AZ44" s="51">
        <v>0</v>
      </c>
      <c r="BA44" s="51"/>
      <c r="BB44" s="51"/>
      <c r="BC44" s="144"/>
      <c r="BD44" s="317"/>
      <c r="BE44" s="51">
        <v>0</v>
      </c>
      <c r="BF44" s="51"/>
      <c r="BG44" s="51"/>
      <c r="BH44" s="144"/>
      <c r="BI44" s="317"/>
      <c r="BJ44" s="51">
        <v>0</v>
      </c>
      <c r="BK44" s="51"/>
      <c r="BL44" s="51"/>
      <c r="BM44" s="144"/>
      <c r="BN44" s="317"/>
      <c r="BO44" s="51">
        <v>0</v>
      </c>
      <c r="BP44" s="51"/>
      <c r="BQ44" s="51"/>
      <c r="BR44" s="144"/>
      <c r="BS44" s="317"/>
      <c r="BT44" s="95">
        <v>0</v>
      </c>
      <c r="BU44" s="51"/>
      <c r="BV44" s="721"/>
      <c r="BW44" s="329"/>
      <c r="BX44" s="39"/>
    </row>
    <row r="45" spans="1:76" ht="12.75" hidden="1" customHeight="1" x14ac:dyDescent="0.2">
      <c r="A45" s="317"/>
      <c r="B45" s="317"/>
      <c r="D45" s="340" t="s">
        <v>238</v>
      </c>
      <c r="E45" s="347"/>
      <c r="F45" s="354"/>
      <c r="G45" s="430">
        <v>0</v>
      </c>
      <c r="H45" s="431"/>
      <c r="I45" s="51"/>
      <c r="J45" s="144"/>
      <c r="K45" s="354"/>
      <c r="L45" s="430">
        <v>0</v>
      </c>
      <c r="M45" s="431"/>
      <c r="N45" s="51"/>
      <c r="O45" s="144"/>
      <c r="P45" s="354"/>
      <c r="Q45" s="430">
        <v>0</v>
      </c>
      <c r="R45" s="431"/>
      <c r="S45" s="51"/>
      <c r="T45" s="144"/>
      <c r="U45" s="354"/>
      <c r="V45" s="430">
        <v>0</v>
      </c>
      <c r="W45" s="431"/>
      <c r="X45" s="51"/>
      <c r="Y45" s="144"/>
      <c r="Z45" s="354"/>
      <c r="AA45" s="430">
        <v>0</v>
      </c>
      <c r="AB45" s="431"/>
      <c r="AC45" s="51"/>
      <c r="AD45" s="144"/>
      <c r="AE45" s="354"/>
      <c r="AF45" s="430">
        <v>0</v>
      </c>
      <c r="AG45" s="431"/>
      <c r="AH45" s="51"/>
      <c r="AI45" s="144"/>
      <c r="AJ45" s="354"/>
      <c r="AK45" s="430">
        <v>0</v>
      </c>
      <c r="AL45" s="431"/>
      <c r="AM45" s="51"/>
      <c r="AN45" s="144"/>
      <c r="AO45" s="354"/>
      <c r="AP45" s="430">
        <v>0</v>
      </c>
      <c r="AQ45" s="431"/>
      <c r="AR45" s="51"/>
      <c r="AS45" s="144"/>
      <c r="AT45" s="354"/>
      <c r="AU45" s="430">
        <v>0</v>
      </c>
      <c r="AV45" s="431"/>
      <c r="AW45" s="51"/>
      <c r="AX45" s="144"/>
      <c r="AY45" s="354"/>
      <c r="AZ45" s="430">
        <v>0</v>
      </c>
      <c r="BA45" s="431"/>
      <c r="BB45" s="51"/>
      <c r="BC45" s="144"/>
      <c r="BD45" s="354"/>
      <c r="BE45" s="430">
        <v>0</v>
      </c>
      <c r="BF45" s="431"/>
      <c r="BG45" s="51"/>
      <c r="BH45" s="144"/>
      <c r="BI45" s="354"/>
      <c r="BJ45" s="430">
        <v>0</v>
      </c>
      <c r="BK45" s="431"/>
      <c r="BL45" s="51"/>
      <c r="BM45" s="144"/>
      <c r="BN45" s="354"/>
      <c r="BO45" s="430">
        <v>0</v>
      </c>
      <c r="BP45" s="431"/>
      <c r="BQ45" s="51"/>
      <c r="BR45" s="144"/>
      <c r="BS45" s="354"/>
      <c r="BT45" s="51">
        <v>0</v>
      </c>
      <c r="BU45" s="431"/>
      <c r="BV45" s="721"/>
      <c r="BW45" s="39"/>
      <c r="BX45" s="39"/>
    </row>
    <row r="46" spans="1:76" ht="12.75" hidden="1" customHeight="1" x14ac:dyDescent="0.2">
      <c r="A46" s="317"/>
      <c r="B46" s="317"/>
      <c r="D46" s="340" t="s">
        <v>188</v>
      </c>
      <c r="E46" s="347"/>
      <c r="F46" s="371"/>
      <c r="G46" s="95">
        <v>0</v>
      </c>
      <c r="H46" s="94"/>
      <c r="I46" s="51"/>
      <c r="J46" s="144"/>
      <c r="K46" s="371"/>
      <c r="L46" s="95">
        <v>0</v>
      </c>
      <c r="M46" s="94"/>
      <c r="N46" s="51"/>
      <c r="O46" s="144"/>
      <c r="P46" s="371"/>
      <c r="Q46" s="95">
        <v>0</v>
      </c>
      <c r="R46" s="94"/>
      <c r="S46" s="51"/>
      <c r="T46" s="144"/>
      <c r="U46" s="371"/>
      <c r="V46" s="95">
        <v>0</v>
      </c>
      <c r="W46" s="94"/>
      <c r="X46" s="51"/>
      <c r="Y46" s="144"/>
      <c r="Z46" s="371"/>
      <c r="AA46" s="95">
        <v>0</v>
      </c>
      <c r="AB46" s="94"/>
      <c r="AC46" s="51"/>
      <c r="AD46" s="144"/>
      <c r="AE46" s="371"/>
      <c r="AF46" s="95">
        <v>0</v>
      </c>
      <c r="AG46" s="94"/>
      <c r="AH46" s="51"/>
      <c r="AI46" s="144"/>
      <c r="AJ46" s="371"/>
      <c r="AK46" s="95">
        <v>0</v>
      </c>
      <c r="AL46" s="94"/>
      <c r="AM46" s="51"/>
      <c r="AN46" s="144"/>
      <c r="AO46" s="371"/>
      <c r="AP46" s="95">
        <v>0</v>
      </c>
      <c r="AQ46" s="94"/>
      <c r="AR46" s="51"/>
      <c r="AS46" s="144"/>
      <c r="AT46" s="371"/>
      <c r="AU46" s="95">
        <v>0</v>
      </c>
      <c r="AV46" s="94"/>
      <c r="AW46" s="51"/>
      <c r="AX46" s="144"/>
      <c r="AY46" s="371"/>
      <c r="AZ46" s="95">
        <v>0</v>
      </c>
      <c r="BA46" s="94"/>
      <c r="BB46" s="51"/>
      <c r="BC46" s="144"/>
      <c r="BD46" s="371"/>
      <c r="BE46" s="95">
        <v>0</v>
      </c>
      <c r="BF46" s="94"/>
      <c r="BG46" s="51"/>
      <c r="BH46" s="144"/>
      <c r="BI46" s="371"/>
      <c r="BJ46" s="95">
        <v>0</v>
      </c>
      <c r="BK46" s="94"/>
      <c r="BL46" s="51"/>
      <c r="BM46" s="144"/>
      <c r="BN46" s="371"/>
      <c r="BO46" s="95">
        <v>0</v>
      </c>
      <c r="BP46" s="94"/>
      <c r="BQ46" s="51"/>
      <c r="BR46" s="144"/>
      <c r="BS46" s="371"/>
      <c r="BT46" s="95">
        <v>0</v>
      </c>
      <c r="BU46" s="94"/>
      <c r="BV46" s="721"/>
      <c r="BW46" s="39"/>
      <c r="BX46" s="39"/>
    </row>
    <row r="47" spans="1:76" hidden="1" x14ac:dyDescent="0.2">
      <c r="A47" s="317"/>
      <c r="B47" s="317"/>
      <c r="D47" s="340"/>
      <c r="E47" s="347"/>
      <c r="F47" s="317"/>
      <c r="G47" s="51"/>
      <c r="H47" s="51"/>
      <c r="I47" s="51"/>
      <c r="J47" s="144"/>
      <c r="K47" s="51"/>
      <c r="L47" s="51"/>
      <c r="M47" s="51"/>
      <c r="N47" s="51"/>
      <c r="O47" s="144"/>
      <c r="P47" s="51"/>
      <c r="Q47" s="51"/>
      <c r="R47" s="51"/>
      <c r="S47" s="51"/>
      <c r="T47" s="144"/>
      <c r="U47" s="51"/>
      <c r="V47" s="51"/>
      <c r="W47" s="51"/>
      <c r="X47" s="51"/>
      <c r="Y47" s="144"/>
      <c r="Z47" s="51"/>
      <c r="AA47" s="51"/>
      <c r="AB47" s="51"/>
      <c r="AC47" s="51"/>
      <c r="AD47" s="144"/>
      <c r="AE47" s="51"/>
      <c r="AF47" s="51"/>
      <c r="AG47" s="51"/>
      <c r="AH47" s="51"/>
      <c r="AI47" s="144"/>
      <c r="AJ47" s="51"/>
      <c r="AK47" s="51"/>
      <c r="AL47" s="51"/>
      <c r="AM47" s="51"/>
      <c r="AN47" s="144"/>
      <c r="AO47" s="51"/>
      <c r="AP47" s="51"/>
      <c r="AQ47" s="51"/>
      <c r="AR47" s="51"/>
      <c r="AS47" s="144"/>
      <c r="AT47" s="51"/>
      <c r="AU47" s="51"/>
      <c r="AV47" s="51"/>
      <c r="AW47" s="51"/>
      <c r="AX47" s="144"/>
      <c r="AY47" s="51"/>
      <c r="AZ47" s="51"/>
      <c r="BA47" s="51"/>
      <c r="BB47" s="51"/>
      <c r="BC47" s="144"/>
      <c r="BD47" s="51"/>
      <c r="BE47" s="51"/>
      <c r="BF47" s="51"/>
      <c r="BG47" s="51"/>
      <c r="BH47" s="144"/>
      <c r="BI47" s="51"/>
      <c r="BJ47" s="51"/>
      <c r="BK47" s="51"/>
      <c r="BL47" s="51"/>
      <c r="BM47" s="144"/>
      <c r="BN47" s="51"/>
      <c r="BO47" s="51"/>
      <c r="BP47" s="51"/>
      <c r="BQ47" s="51"/>
      <c r="BR47" s="144"/>
      <c r="BS47" s="51"/>
      <c r="BT47" s="51"/>
      <c r="BU47" s="51"/>
      <c r="BV47" s="721"/>
      <c r="BW47" s="39"/>
      <c r="BX47" s="39"/>
    </row>
    <row r="48" spans="1:76" hidden="1" x14ac:dyDescent="0.2">
      <c r="A48" s="317"/>
      <c r="B48" s="317"/>
      <c r="D48" s="340" t="s">
        <v>192</v>
      </c>
      <c r="E48" s="347"/>
      <c r="F48" s="317"/>
      <c r="G48" s="51">
        <v>0</v>
      </c>
      <c r="H48" s="51"/>
      <c r="I48" s="51"/>
      <c r="J48" s="144"/>
      <c r="K48" s="317"/>
      <c r="L48" s="51">
        <v>0</v>
      </c>
      <c r="M48" s="51"/>
      <c r="N48" s="51"/>
      <c r="O48" s="144"/>
      <c r="P48" s="317"/>
      <c r="Q48" s="51">
        <v>0</v>
      </c>
      <c r="R48" s="51"/>
      <c r="S48" s="51"/>
      <c r="T48" s="144"/>
      <c r="U48" s="317"/>
      <c r="V48" s="51">
        <v>0</v>
      </c>
      <c r="W48" s="51"/>
      <c r="X48" s="51"/>
      <c r="Y48" s="144"/>
      <c r="Z48" s="317"/>
      <c r="AA48" s="51">
        <v>0</v>
      </c>
      <c r="AB48" s="51"/>
      <c r="AC48" s="51"/>
      <c r="AD48" s="144"/>
      <c r="AE48" s="317"/>
      <c r="AF48" s="51">
        <v>0</v>
      </c>
      <c r="AG48" s="51"/>
      <c r="AH48" s="51"/>
      <c r="AI48" s="144"/>
      <c r="AJ48" s="317"/>
      <c r="AK48" s="51">
        <v>0</v>
      </c>
      <c r="AL48" s="51"/>
      <c r="AM48" s="51"/>
      <c r="AN48" s="144"/>
      <c r="AO48" s="317"/>
      <c r="AP48" s="51">
        <v>0</v>
      </c>
      <c r="AQ48" s="51"/>
      <c r="AR48" s="51"/>
      <c r="AS48" s="144"/>
      <c r="AT48" s="317"/>
      <c r="AU48" s="51">
        <v>0</v>
      </c>
      <c r="AV48" s="51"/>
      <c r="AW48" s="51"/>
      <c r="AX48" s="144"/>
      <c r="AY48" s="317"/>
      <c r="AZ48" s="51">
        <v>0</v>
      </c>
      <c r="BA48" s="51"/>
      <c r="BB48" s="51"/>
      <c r="BC48" s="144"/>
      <c r="BD48" s="317"/>
      <c r="BE48" s="51">
        <v>0</v>
      </c>
      <c r="BF48" s="51"/>
      <c r="BG48" s="51"/>
      <c r="BH48" s="144"/>
      <c r="BI48" s="317"/>
      <c r="BJ48" s="51">
        <v>0</v>
      </c>
      <c r="BK48" s="51"/>
      <c r="BL48" s="51"/>
      <c r="BM48" s="144"/>
      <c r="BN48" s="317"/>
      <c r="BO48" s="51">
        <v>0</v>
      </c>
      <c r="BP48" s="51"/>
      <c r="BQ48" s="51"/>
      <c r="BR48" s="144"/>
      <c r="BS48" s="317"/>
      <c r="BT48" s="51">
        <v>0</v>
      </c>
      <c r="BU48" s="51"/>
      <c r="BV48" s="721"/>
      <c r="BW48" s="39"/>
      <c r="BX48" s="39"/>
    </row>
    <row r="49" spans="1:76" hidden="1" x14ac:dyDescent="0.2">
      <c r="A49" s="317"/>
      <c r="B49" s="317"/>
      <c r="D49" s="340" t="s">
        <v>238</v>
      </c>
      <c r="E49" s="347"/>
      <c r="F49" s="354"/>
      <c r="G49" s="430">
        <v>0</v>
      </c>
      <c r="H49" s="431"/>
      <c r="I49" s="51"/>
      <c r="J49" s="144"/>
      <c r="K49" s="354"/>
      <c r="L49" s="430">
        <v>0</v>
      </c>
      <c r="M49" s="431"/>
      <c r="N49" s="51"/>
      <c r="O49" s="144"/>
      <c r="P49" s="354"/>
      <c r="Q49" s="430">
        <v>0</v>
      </c>
      <c r="R49" s="431"/>
      <c r="S49" s="51"/>
      <c r="T49" s="144"/>
      <c r="U49" s="354"/>
      <c r="V49" s="430">
        <v>0</v>
      </c>
      <c r="W49" s="431"/>
      <c r="X49" s="51"/>
      <c r="Y49" s="144"/>
      <c r="Z49" s="354"/>
      <c r="AA49" s="430">
        <v>0</v>
      </c>
      <c r="AB49" s="431"/>
      <c r="AC49" s="51"/>
      <c r="AD49" s="144"/>
      <c r="AE49" s="354"/>
      <c r="AF49" s="430">
        <v>0</v>
      </c>
      <c r="AG49" s="431"/>
      <c r="AH49" s="51"/>
      <c r="AI49" s="144"/>
      <c r="AJ49" s="354"/>
      <c r="AK49" s="430">
        <v>0</v>
      </c>
      <c r="AL49" s="431"/>
      <c r="AM49" s="51"/>
      <c r="AN49" s="144"/>
      <c r="AO49" s="354"/>
      <c r="AP49" s="430">
        <v>0</v>
      </c>
      <c r="AQ49" s="431"/>
      <c r="AR49" s="51"/>
      <c r="AS49" s="144"/>
      <c r="AT49" s="354"/>
      <c r="AU49" s="430">
        <v>0</v>
      </c>
      <c r="AV49" s="431"/>
      <c r="AW49" s="51"/>
      <c r="AX49" s="144"/>
      <c r="AY49" s="354"/>
      <c r="AZ49" s="430">
        <v>0</v>
      </c>
      <c r="BA49" s="431"/>
      <c r="BB49" s="51"/>
      <c r="BC49" s="144"/>
      <c r="BD49" s="354"/>
      <c r="BE49" s="430">
        <v>0</v>
      </c>
      <c r="BF49" s="431"/>
      <c r="BG49" s="51"/>
      <c r="BH49" s="144"/>
      <c r="BI49" s="354"/>
      <c r="BJ49" s="430">
        <v>0</v>
      </c>
      <c r="BK49" s="431"/>
      <c r="BL49" s="51"/>
      <c r="BM49" s="144"/>
      <c r="BN49" s="354"/>
      <c r="BO49" s="430">
        <v>0</v>
      </c>
      <c r="BP49" s="431"/>
      <c r="BQ49" s="51"/>
      <c r="BR49" s="144"/>
      <c r="BS49" s="354"/>
      <c r="BT49" s="430">
        <v>0</v>
      </c>
      <c r="BU49" s="431"/>
      <c r="BV49" s="721"/>
      <c r="BW49" s="39"/>
      <c r="BX49" s="39"/>
    </row>
    <row r="50" spans="1:76" hidden="1" x14ac:dyDescent="0.2">
      <c r="A50" s="317"/>
      <c r="B50" s="317"/>
      <c r="D50" s="340" t="s">
        <v>188</v>
      </c>
      <c r="E50" s="347"/>
      <c r="F50" s="371"/>
      <c r="G50" s="95">
        <v>0</v>
      </c>
      <c r="H50" s="94"/>
      <c r="I50" s="51"/>
      <c r="J50" s="144"/>
      <c r="K50" s="371"/>
      <c r="L50" s="95">
        <v>0</v>
      </c>
      <c r="M50" s="94"/>
      <c r="N50" s="51"/>
      <c r="O50" s="144"/>
      <c r="P50" s="371"/>
      <c r="Q50" s="95">
        <v>0</v>
      </c>
      <c r="R50" s="94"/>
      <c r="S50" s="51"/>
      <c r="T50" s="144"/>
      <c r="U50" s="371"/>
      <c r="V50" s="95">
        <v>0</v>
      </c>
      <c r="W50" s="94"/>
      <c r="X50" s="51"/>
      <c r="Y50" s="144"/>
      <c r="Z50" s="371"/>
      <c r="AA50" s="95">
        <v>0</v>
      </c>
      <c r="AB50" s="94"/>
      <c r="AC50" s="51"/>
      <c r="AD50" s="144"/>
      <c r="AE50" s="371"/>
      <c r="AF50" s="95">
        <v>0</v>
      </c>
      <c r="AG50" s="94"/>
      <c r="AH50" s="51"/>
      <c r="AI50" s="144"/>
      <c r="AJ50" s="371"/>
      <c r="AK50" s="95">
        <v>0</v>
      </c>
      <c r="AL50" s="94"/>
      <c r="AM50" s="51"/>
      <c r="AN50" s="144"/>
      <c r="AO50" s="371"/>
      <c r="AP50" s="95">
        <v>0</v>
      </c>
      <c r="AQ50" s="94"/>
      <c r="AR50" s="51"/>
      <c r="AS50" s="144"/>
      <c r="AT50" s="371"/>
      <c r="AU50" s="95">
        <v>0</v>
      </c>
      <c r="AV50" s="94"/>
      <c r="AW50" s="51"/>
      <c r="AX50" s="144"/>
      <c r="AY50" s="371"/>
      <c r="AZ50" s="95">
        <v>0</v>
      </c>
      <c r="BA50" s="94"/>
      <c r="BB50" s="51"/>
      <c r="BC50" s="144"/>
      <c r="BD50" s="371"/>
      <c r="BE50" s="95">
        <v>0</v>
      </c>
      <c r="BF50" s="94"/>
      <c r="BG50" s="51"/>
      <c r="BH50" s="144"/>
      <c r="BI50" s="371"/>
      <c r="BJ50" s="95">
        <v>0</v>
      </c>
      <c r="BK50" s="94"/>
      <c r="BL50" s="51"/>
      <c r="BM50" s="144"/>
      <c r="BN50" s="371"/>
      <c r="BO50" s="95">
        <v>0</v>
      </c>
      <c r="BP50" s="94"/>
      <c r="BQ50" s="51"/>
      <c r="BR50" s="144"/>
      <c r="BS50" s="371"/>
      <c r="BT50" s="95">
        <v>0</v>
      </c>
      <c r="BU50" s="94"/>
      <c r="BV50" s="721"/>
      <c r="BW50" s="39"/>
      <c r="BX50" s="39"/>
    </row>
    <row r="51" spans="1:76" ht="12.75" hidden="1" customHeight="1" x14ac:dyDescent="0.2">
      <c r="A51" s="317"/>
      <c r="B51" s="317"/>
      <c r="D51" s="340"/>
      <c r="E51" s="347"/>
      <c r="F51" s="317"/>
      <c r="G51" s="51"/>
      <c r="H51" s="51"/>
      <c r="I51" s="51"/>
      <c r="J51" s="144"/>
      <c r="K51" s="51"/>
      <c r="L51" s="51"/>
      <c r="M51" s="51"/>
      <c r="N51" s="51"/>
      <c r="O51" s="144"/>
      <c r="P51" s="51"/>
      <c r="Q51" s="51"/>
      <c r="R51" s="51"/>
      <c r="S51" s="51"/>
      <c r="T51" s="144"/>
      <c r="U51" s="51"/>
      <c r="V51" s="51"/>
      <c r="W51" s="51"/>
      <c r="X51" s="51"/>
      <c r="Y51" s="144"/>
      <c r="Z51" s="51"/>
      <c r="AA51" s="51"/>
      <c r="AB51" s="51"/>
      <c r="AC51" s="51"/>
      <c r="AD51" s="144"/>
      <c r="AE51" s="51"/>
      <c r="AF51" s="51"/>
      <c r="AG51" s="51"/>
      <c r="AH51" s="51"/>
      <c r="AI51" s="144"/>
      <c r="AJ51" s="51"/>
      <c r="AK51" s="51"/>
      <c r="AL51" s="51"/>
      <c r="AM51" s="51"/>
      <c r="AN51" s="144"/>
      <c r="AO51" s="51"/>
      <c r="AP51" s="51"/>
      <c r="AQ51" s="51"/>
      <c r="AR51" s="51"/>
      <c r="AS51" s="144"/>
      <c r="AT51" s="51"/>
      <c r="AU51" s="51"/>
      <c r="AV51" s="51"/>
      <c r="AW51" s="51"/>
      <c r="AX51" s="144"/>
      <c r="AY51" s="51"/>
      <c r="AZ51" s="51"/>
      <c r="BA51" s="51"/>
      <c r="BB51" s="51"/>
      <c r="BC51" s="144"/>
      <c r="BD51" s="51"/>
      <c r="BE51" s="51"/>
      <c r="BF51" s="51"/>
      <c r="BG51" s="51"/>
      <c r="BH51" s="144"/>
      <c r="BI51" s="51"/>
      <c r="BJ51" s="51"/>
      <c r="BK51" s="51"/>
      <c r="BL51" s="51"/>
      <c r="BM51" s="144"/>
      <c r="BN51" s="51"/>
      <c r="BO51" s="51"/>
      <c r="BP51" s="51"/>
      <c r="BQ51" s="51"/>
      <c r="BR51" s="144"/>
      <c r="BS51" s="51"/>
      <c r="BT51" s="51"/>
      <c r="BU51" s="51"/>
      <c r="BV51" s="721"/>
      <c r="BW51" s="39"/>
      <c r="BX51" s="39"/>
    </row>
    <row r="52" spans="1:76" ht="12.75" hidden="1" customHeight="1" x14ac:dyDescent="0.2">
      <c r="A52" s="317"/>
      <c r="B52" s="317"/>
      <c r="D52" s="340" t="s">
        <v>193</v>
      </c>
      <c r="E52" s="347"/>
      <c r="F52" s="317"/>
      <c r="G52" s="51">
        <v>0</v>
      </c>
      <c r="H52" s="51"/>
      <c r="I52" s="51"/>
      <c r="J52" s="144"/>
      <c r="K52" s="51"/>
      <c r="L52" s="51">
        <v>0</v>
      </c>
      <c r="M52" s="51"/>
      <c r="N52" s="51"/>
      <c r="O52" s="144"/>
      <c r="P52" s="317"/>
      <c r="Q52" s="51">
        <v>0</v>
      </c>
      <c r="R52" s="51"/>
      <c r="S52" s="51"/>
      <c r="T52" s="144"/>
      <c r="U52" s="317"/>
      <c r="V52" s="51">
        <v>0</v>
      </c>
      <c r="W52" s="51"/>
      <c r="X52" s="51"/>
      <c r="Y52" s="144"/>
      <c r="Z52" s="317"/>
      <c r="AA52" s="51">
        <v>0</v>
      </c>
      <c r="AB52" s="51"/>
      <c r="AC52" s="51"/>
      <c r="AD52" s="144"/>
      <c r="AE52" s="317"/>
      <c r="AF52" s="51">
        <v>0</v>
      </c>
      <c r="AG52" s="51"/>
      <c r="AH52" s="51"/>
      <c r="AI52" s="144"/>
      <c r="AJ52" s="317"/>
      <c r="AK52" s="51">
        <v>0</v>
      </c>
      <c r="AL52" s="51"/>
      <c r="AM52" s="51"/>
      <c r="AN52" s="144"/>
      <c r="AO52" s="317"/>
      <c r="AP52" s="51">
        <v>0</v>
      </c>
      <c r="AQ52" s="51"/>
      <c r="AR52" s="51"/>
      <c r="AS52" s="144"/>
      <c r="AT52" s="317"/>
      <c r="AU52" s="51">
        <v>0</v>
      </c>
      <c r="AV52" s="51"/>
      <c r="AW52" s="51"/>
      <c r="AX52" s="144"/>
      <c r="AY52" s="317"/>
      <c r="AZ52" s="51">
        <v>0</v>
      </c>
      <c r="BA52" s="51"/>
      <c r="BB52" s="51"/>
      <c r="BC52" s="144"/>
      <c r="BD52" s="317"/>
      <c r="BE52" s="51">
        <v>0</v>
      </c>
      <c r="BF52" s="51"/>
      <c r="BG52" s="51"/>
      <c r="BH52" s="144"/>
      <c r="BI52" s="317"/>
      <c r="BJ52" s="51">
        <v>0</v>
      </c>
      <c r="BK52" s="51"/>
      <c r="BL52" s="51"/>
      <c r="BM52" s="144"/>
      <c r="BN52" s="317"/>
      <c r="BO52" s="51">
        <v>0</v>
      </c>
      <c r="BP52" s="51"/>
      <c r="BQ52" s="51"/>
      <c r="BR52" s="144"/>
      <c r="BS52" s="51"/>
      <c r="BT52" s="51">
        <v>0</v>
      </c>
      <c r="BU52" s="51"/>
      <c r="BV52" s="721"/>
      <c r="BW52" s="39"/>
      <c r="BX52" s="39"/>
    </row>
    <row r="53" spans="1:76" ht="12.75" hidden="1" customHeight="1" x14ac:dyDescent="0.2">
      <c r="A53" s="317"/>
      <c r="B53" s="317"/>
      <c r="D53" s="340" t="s">
        <v>238</v>
      </c>
      <c r="E53" s="347"/>
      <c r="F53" s="354"/>
      <c r="G53" s="430">
        <v>0</v>
      </c>
      <c r="H53" s="431"/>
      <c r="I53" s="51"/>
      <c r="J53" s="144"/>
      <c r="K53" s="432"/>
      <c r="L53" s="430">
        <v>0</v>
      </c>
      <c r="M53" s="431"/>
      <c r="N53" s="51"/>
      <c r="O53" s="144"/>
      <c r="P53" s="354"/>
      <c r="Q53" s="430">
        <v>0</v>
      </c>
      <c r="R53" s="431"/>
      <c r="S53" s="51"/>
      <c r="T53" s="144"/>
      <c r="U53" s="354"/>
      <c r="V53" s="430">
        <v>0</v>
      </c>
      <c r="W53" s="431"/>
      <c r="X53" s="51"/>
      <c r="Y53" s="144"/>
      <c r="Z53" s="354"/>
      <c r="AA53" s="430">
        <v>0</v>
      </c>
      <c r="AB53" s="431"/>
      <c r="AC53" s="51"/>
      <c r="AD53" s="144"/>
      <c r="AE53" s="354"/>
      <c r="AF53" s="430">
        <v>0</v>
      </c>
      <c r="AG53" s="431"/>
      <c r="AH53" s="51"/>
      <c r="AI53" s="144"/>
      <c r="AJ53" s="354"/>
      <c r="AK53" s="430">
        <v>0</v>
      </c>
      <c r="AL53" s="431"/>
      <c r="AM53" s="51"/>
      <c r="AN53" s="144"/>
      <c r="AO53" s="354"/>
      <c r="AP53" s="430">
        <v>0</v>
      </c>
      <c r="AQ53" s="431"/>
      <c r="AR53" s="51"/>
      <c r="AS53" s="144"/>
      <c r="AT53" s="354"/>
      <c r="AU53" s="430">
        <v>0</v>
      </c>
      <c r="AV53" s="431"/>
      <c r="AW53" s="51"/>
      <c r="AX53" s="144"/>
      <c r="AY53" s="354"/>
      <c r="AZ53" s="430">
        <v>0</v>
      </c>
      <c r="BA53" s="431"/>
      <c r="BB53" s="51"/>
      <c r="BC53" s="144"/>
      <c r="BD53" s="354"/>
      <c r="BE53" s="430">
        <v>0</v>
      </c>
      <c r="BF53" s="431"/>
      <c r="BG53" s="51"/>
      <c r="BH53" s="144"/>
      <c r="BI53" s="354"/>
      <c r="BJ53" s="430">
        <v>0</v>
      </c>
      <c r="BK53" s="431"/>
      <c r="BL53" s="51"/>
      <c r="BM53" s="144"/>
      <c r="BN53" s="354"/>
      <c r="BO53" s="430">
        <v>0</v>
      </c>
      <c r="BP53" s="431"/>
      <c r="BQ53" s="51"/>
      <c r="BR53" s="144"/>
      <c r="BS53" s="432"/>
      <c r="BT53" s="430">
        <v>0</v>
      </c>
      <c r="BU53" s="431"/>
      <c r="BV53" s="721"/>
      <c r="BW53" s="39"/>
      <c r="BX53" s="39"/>
    </row>
    <row r="54" spans="1:76" ht="12.75" hidden="1" customHeight="1" x14ac:dyDescent="0.2">
      <c r="A54" s="317"/>
      <c r="B54" s="317"/>
      <c r="D54" s="340" t="s">
        <v>188</v>
      </c>
      <c r="E54" s="347"/>
      <c r="F54" s="371"/>
      <c r="G54" s="95">
        <v>0</v>
      </c>
      <c r="H54" s="94"/>
      <c r="I54" s="51"/>
      <c r="J54" s="144"/>
      <c r="K54" s="187"/>
      <c r="L54" s="95">
        <v>0</v>
      </c>
      <c r="M54" s="94"/>
      <c r="N54" s="51"/>
      <c r="O54" s="144"/>
      <c r="P54" s="371"/>
      <c r="Q54" s="95">
        <v>0</v>
      </c>
      <c r="R54" s="94"/>
      <c r="S54" s="51"/>
      <c r="T54" s="144"/>
      <c r="U54" s="371"/>
      <c r="V54" s="95">
        <v>0</v>
      </c>
      <c r="W54" s="94"/>
      <c r="X54" s="51"/>
      <c r="Y54" s="144"/>
      <c r="Z54" s="371"/>
      <c r="AA54" s="95">
        <v>0</v>
      </c>
      <c r="AB54" s="94"/>
      <c r="AC54" s="51"/>
      <c r="AD54" s="144"/>
      <c r="AE54" s="371"/>
      <c r="AF54" s="95">
        <v>0</v>
      </c>
      <c r="AG54" s="94"/>
      <c r="AH54" s="51"/>
      <c r="AI54" s="144"/>
      <c r="AJ54" s="371"/>
      <c r="AK54" s="95">
        <v>0</v>
      </c>
      <c r="AL54" s="94"/>
      <c r="AM54" s="51"/>
      <c r="AN54" s="144"/>
      <c r="AO54" s="371"/>
      <c r="AP54" s="95">
        <v>0</v>
      </c>
      <c r="AQ54" s="94"/>
      <c r="AR54" s="51"/>
      <c r="AS54" s="144"/>
      <c r="AT54" s="371"/>
      <c r="AU54" s="95">
        <v>0</v>
      </c>
      <c r="AV54" s="94"/>
      <c r="AW54" s="51"/>
      <c r="AX54" s="144"/>
      <c r="AY54" s="371"/>
      <c r="AZ54" s="95">
        <v>0</v>
      </c>
      <c r="BA54" s="94"/>
      <c r="BB54" s="51"/>
      <c r="BC54" s="144"/>
      <c r="BD54" s="371"/>
      <c r="BE54" s="95">
        <v>0</v>
      </c>
      <c r="BF54" s="94"/>
      <c r="BG54" s="51"/>
      <c r="BH54" s="144"/>
      <c r="BI54" s="371"/>
      <c r="BJ54" s="95">
        <v>0</v>
      </c>
      <c r="BK54" s="94"/>
      <c r="BL54" s="51"/>
      <c r="BM54" s="144"/>
      <c r="BN54" s="371"/>
      <c r="BO54" s="95">
        <v>0</v>
      </c>
      <c r="BP54" s="94"/>
      <c r="BQ54" s="51"/>
      <c r="BR54" s="144"/>
      <c r="BS54" s="187"/>
      <c r="BT54" s="95">
        <v>0</v>
      </c>
      <c r="BU54" s="94"/>
      <c r="BV54" s="721"/>
      <c r="BW54" s="39"/>
      <c r="BX54" s="39"/>
    </row>
    <row r="55" spans="1:76" ht="12.75" hidden="1" customHeight="1" x14ac:dyDescent="0.2">
      <c r="A55" s="317"/>
      <c r="B55" s="317"/>
      <c r="D55" s="340"/>
      <c r="E55" s="347"/>
      <c r="F55" s="317"/>
      <c r="G55" s="51"/>
      <c r="H55" s="51"/>
      <c r="I55" s="51"/>
      <c r="J55" s="144"/>
      <c r="K55" s="51"/>
      <c r="L55" s="51"/>
      <c r="M55" s="51"/>
      <c r="N55" s="51"/>
      <c r="O55" s="144"/>
      <c r="P55" s="317"/>
      <c r="Q55" s="51"/>
      <c r="R55" s="51"/>
      <c r="S55" s="51"/>
      <c r="T55" s="144"/>
      <c r="U55" s="317"/>
      <c r="V55" s="51"/>
      <c r="W55" s="51"/>
      <c r="X55" s="51"/>
      <c r="Y55" s="144"/>
      <c r="Z55" s="317"/>
      <c r="AA55" s="51"/>
      <c r="AB55" s="51"/>
      <c r="AC55" s="51"/>
      <c r="AD55" s="144"/>
      <c r="AE55" s="317"/>
      <c r="AF55" s="51"/>
      <c r="AG55" s="51"/>
      <c r="AH55" s="51"/>
      <c r="AI55" s="144"/>
      <c r="AJ55" s="317"/>
      <c r="AK55" s="51"/>
      <c r="AL55" s="51"/>
      <c r="AM55" s="51"/>
      <c r="AN55" s="144"/>
      <c r="AO55" s="317"/>
      <c r="AP55" s="51"/>
      <c r="AQ55" s="51"/>
      <c r="AR55" s="51"/>
      <c r="AS55" s="144"/>
      <c r="AT55" s="317"/>
      <c r="AU55" s="51"/>
      <c r="AV55" s="51"/>
      <c r="AW55" s="51"/>
      <c r="AX55" s="144"/>
      <c r="AY55" s="317"/>
      <c r="AZ55" s="51"/>
      <c r="BA55" s="51"/>
      <c r="BB55" s="51"/>
      <c r="BC55" s="144"/>
      <c r="BD55" s="317"/>
      <c r="BE55" s="51"/>
      <c r="BF55" s="51"/>
      <c r="BG55" s="51"/>
      <c r="BH55" s="144"/>
      <c r="BI55" s="317"/>
      <c r="BJ55" s="51"/>
      <c r="BK55" s="51"/>
      <c r="BL55" s="51"/>
      <c r="BM55" s="144"/>
      <c r="BN55" s="317"/>
      <c r="BO55" s="51"/>
      <c r="BP55" s="51"/>
      <c r="BQ55" s="51"/>
      <c r="BR55" s="144"/>
      <c r="BS55" s="51"/>
      <c r="BT55" s="51"/>
      <c r="BU55" s="51"/>
      <c r="BV55" s="721"/>
      <c r="BW55" s="39"/>
      <c r="BX55" s="39"/>
    </row>
    <row r="56" spans="1:76" ht="12.75" hidden="1" customHeight="1" x14ac:dyDescent="0.2">
      <c r="A56" s="317"/>
      <c r="B56" s="317"/>
      <c r="D56" s="340" t="s">
        <v>194</v>
      </c>
      <c r="E56" s="347"/>
      <c r="F56" s="317"/>
      <c r="G56" s="51">
        <v>0</v>
      </c>
      <c r="H56" s="51"/>
      <c r="I56" s="51"/>
      <c r="J56" s="144"/>
      <c r="K56" s="317"/>
      <c r="L56" s="51">
        <v>0</v>
      </c>
      <c r="M56" s="51"/>
      <c r="N56" s="51"/>
      <c r="O56" s="144"/>
      <c r="P56" s="317"/>
      <c r="Q56" s="51">
        <v>0</v>
      </c>
      <c r="R56" s="51"/>
      <c r="S56" s="51"/>
      <c r="T56" s="144"/>
      <c r="U56" s="317"/>
      <c r="V56" s="51">
        <v>0</v>
      </c>
      <c r="W56" s="51"/>
      <c r="X56" s="51"/>
      <c r="Y56" s="144"/>
      <c r="Z56" s="317"/>
      <c r="AA56" s="51">
        <v>0</v>
      </c>
      <c r="AB56" s="51"/>
      <c r="AC56" s="51"/>
      <c r="AD56" s="144"/>
      <c r="AE56" s="317"/>
      <c r="AF56" s="51">
        <v>0</v>
      </c>
      <c r="AG56" s="51"/>
      <c r="AH56" s="51"/>
      <c r="AI56" s="144"/>
      <c r="AJ56" s="317"/>
      <c r="AK56" s="51">
        <v>0</v>
      </c>
      <c r="AL56" s="51"/>
      <c r="AM56" s="51"/>
      <c r="AN56" s="144"/>
      <c r="AO56" s="317"/>
      <c r="AP56" s="51">
        <v>0</v>
      </c>
      <c r="AQ56" s="51"/>
      <c r="AR56" s="51"/>
      <c r="AS56" s="144"/>
      <c r="AT56" s="317"/>
      <c r="AU56" s="51">
        <v>0</v>
      </c>
      <c r="AV56" s="51"/>
      <c r="AW56" s="51"/>
      <c r="AX56" s="144"/>
      <c r="AY56" s="317"/>
      <c r="AZ56" s="51">
        <v>0</v>
      </c>
      <c r="BA56" s="51"/>
      <c r="BB56" s="51"/>
      <c r="BC56" s="144"/>
      <c r="BD56" s="317"/>
      <c r="BE56" s="51">
        <v>0</v>
      </c>
      <c r="BF56" s="51"/>
      <c r="BG56" s="51"/>
      <c r="BH56" s="144"/>
      <c r="BI56" s="317"/>
      <c r="BJ56" s="51">
        <v>0</v>
      </c>
      <c r="BK56" s="51"/>
      <c r="BL56" s="51"/>
      <c r="BM56" s="144"/>
      <c r="BN56" s="317"/>
      <c r="BO56" s="51">
        <v>0</v>
      </c>
      <c r="BP56" s="51"/>
      <c r="BQ56" s="51"/>
      <c r="BR56" s="144"/>
      <c r="BS56" s="317"/>
      <c r="BT56" s="95">
        <v>0</v>
      </c>
      <c r="BU56" s="51"/>
      <c r="BV56" s="721"/>
      <c r="BW56" s="39"/>
      <c r="BX56" s="39"/>
    </row>
    <row r="57" spans="1:76" ht="12.75" hidden="1" customHeight="1" x14ac:dyDescent="0.2">
      <c r="A57" s="317"/>
      <c r="B57" s="317"/>
      <c r="D57" s="340" t="s">
        <v>238</v>
      </c>
      <c r="E57" s="347"/>
      <c r="F57" s="354"/>
      <c r="G57" s="430">
        <v>0</v>
      </c>
      <c r="H57" s="431"/>
      <c r="I57" s="51"/>
      <c r="J57" s="144"/>
      <c r="K57" s="354"/>
      <c r="L57" s="430">
        <v>0</v>
      </c>
      <c r="M57" s="431"/>
      <c r="N57" s="51"/>
      <c r="O57" s="144"/>
      <c r="P57" s="354"/>
      <c r="Q57" s="430">
        <v>0</v>
      </c>
      <c r="R57" s="431"/>
      <c r="S57" s="51"/>
      <c r="T57" s="144"/>
      <c r="U57" s="354"/>
      <c r="V57" s="430">
        <v>0</v>
      </c>
      <c r="W57" s="431"/>
      <c r="X57" s="51"/>
      <c r="Y57" s="144"/>
      <c r="Z57" s="354"/>
      <c r="AA57" s="430">
        <v>0</v>
      </c>
      <c r="AB57" s="431"/>
      <c r="AC57" s="51"/>
      <c r="AD57" s="144"/>
      <c r="AE57" s="354"/>
      <c r="AF57" s="430">
        <v>0</v>
      </c>
      <c r="AG57" s="431"/>
      <c r="AH57" s="51"/>
      <c r="AI57" s="144"/>
      <c r="AJ57" s="354"/>
      <c r="AK57" s="430">
        <v>0</v>
      </c>
      <c r="AL57" s="431"/>
      <c r="AM57" s="51"/>
      <c r="AN57" s="144"/>
      <c r="AO57" s="354"/>
      <c r="AP57" s="430">
        <v>0</v>
      </c>
      <c r="AQ57" s="431"/>
      <c r="AR57" s="51"/>
      <c r="AS57" s="144"/>
      <c r="AT57" s="354"/>
      <c r="AU57" s="430">
        <v>0</v>
      </c>
      <c r="AV57" s="431"/>
      <c r="AW57" s="51"/>
      <c r="AX57" s="144"/>
      <c r="AY57" s="354"/>
      <c r="AZ57" s="430">
        <v>0</v>
      </c>
      <c r="BA57" s="431"/>
      <c r="BB57" s="51"/>
      <c r="BC57" s="144"/>
      <c r="BD57" s="354"/>
      <c r="BE57" s="430">
        <v>0</v>
      </c>
      <c r="BF57" s="431"/>
      <c r="BG57" s="51"/>
      <c r="BH57" s="144"/>
      <c r="BI57" s="354"/>
      <c r="BJ57" s="430">
        <v>0</v>
      </c>
      <c r="BK57" s="431"/>
      <c r="BL57" s="51"/>
      <c r="BM57" s="144"/>
      <c r="BN57" s="354"/>
      <c r="BO57" s="430">
        <v>0</v>
      </c>
      <c r="BP57" s="431"/>
      <c r="BQ57" s="51"/>
      <c r="BR57" s="144"/>
      <c r="BS57" s="354"/>
      <c r="BT57" s="51">
        <v>0</v>
      </c>
      <c r="BU57" s="431"/>
      <c r="BV57" s="721"/>
      <c r="BW57" s="39"/>
      <c r="BX57" s="39"/>
    </row>
    <row r="58" spans="1:76" ht="12.75" hidden="1" customHeight="1" x14ac:dyDescent="0.2">
      <c r="A58" s="317"/>
      <c r="B58" s="317"/>
      <c r="D58" s="340" t="s">
        <v>188</v>
      </c>
      <c r="E58" s="347"/>
      <c r="F58" s="371"/>
      <c r="G58" s="95">
        <v>0</v>
      </c>
      <c r="H58" s="94"/>
      <c r="I58" s="51"/>
      <c r="J58" s="144"/>
      <c r="K58" s="371"/>
      <c r="L58" s="95">
        <v>0</v>
      </c>
      <c r="M58" s="94"/>
      <c r="N58" s="51"/>
      <c r="O58" s="144"/>
      <c r="P58" s="371"/>
      <c r="Q58" s="95">
        <v>0</v>
      </c>
      <c r="R58" s="94"/>
      <c r="S58" s="51"/>
      <c r="T58" s="144"/>
      <c r="U58" s="371"/>
      <c r="V58" s="95">
        <v>0</v>
      </c>
      <c r="W58" s="94"/>
      <c r="X58" s="51"/>
      <c r="Y58" s="144"/>
      <c r="Z58" s="371"/>
      <c r="AA58" s="95">
        <v>0</v>
      </c>
      <c r="AB58" s="94"/>
      <c r="AC58" s="51"/>
      <c r="AD58" s="144"/>
      <c r="AE58" s="371"/>
      <c r="AF58" s="95">
        <v>0</v>
      </c>
      <c r="AG58" s="94"/>
      <c r="AH58" s="51"/>
      <c r="AI58" s="144"/>
      <c r="AJ58" s="371"/>
      <c r="AK58" s="95">
        <v>0</v>
      </c>
      <c r="AL58" s="94"/>
      <c r="AM58" s="51"/>
      <c r="AN58" s="144"/>
      <c r="AO58" s="371"/>
      <c r="AP58" s="95">
        <v>0</v>
      </c>
      <c r="AQ58" s="94"/>
      <c r="AR58" s="51"/>
      <c r="AS58" s="144"/>
      <c r="AT58" s="371"/>
      <c r="AU58" s="95">
        <v>0</v>
      </c>
      <c r="AV58" s="94"/>
      <c r="AW58" s="51"/>
      <c r="AX58" s="144"/>
      <c r="AY58" s="371"/>
      <c r="AZ58" s="95">
        <v>0</v>
      </c>
      <c r="BA58" s="94"/>
      <c r="BB58" s="51"/>
      <c r="BC58" s="144"/>
      <c r="BD58" s="371"/>
      <c r="BE58" s="95">
        <v>0</v>
      </c>
      <c r="BF58" s="94"/>
      <c r="BG58" s="51"/>
      <c r="BH58" s="144"/>
      <c r="BI58" s="371"/>
      <c r="BJ58" s="95">
        <v>0</v>
      </c>
      <c r="BK58" s="94"/>
      <c r="BL58" s="51"/>
      <c r="BM58" s="144"/>
      <c r="BN58" s="371"/>
      <c r="BO58" s="95">
        <v>0</v>
      </c>
      <c r="BP58" s="94"/>
      <c r="BQ58" s="51"/>
      <c r="BR58" s="144"/>
      <c r="BS58" s="371"/>
      <c r="BT58" s="95">
        <v>0</v>
      </c>
      <c r="BU58" s="94"/>
      <c r="BV58" s="721"/>
      <c r="BW58" s="39"/>
      <c r="BX58" s="39"/>
    </row>
    <row r="59" spans="1:76" hidden="1" x14ac:dyDescent="0.2">
      <c r="A59" s="317"/>
      <c r="B59" s="317"/>
      <c r="D59" s="340"/>
      <c r="E59" s="347"/>
      <c r="F59" s="317"/>
      <c r="G59" s="51"/>
      <c r="H59" s="51"/>
      <c r="I59" s="51"/>
      <c r="J59" s="144"/>
      <c r="K59" s="51"/>
      <c r="L59" s="51"/>
      <c r="M59" s="51"/>
      <c r="N59" s="51"/>
      <c r="O59" s="144"/>
      <c r="P59" s="51"/>
      <c r="Q59" s="51"/>
      <c r="R59" s="51"/>
      <c r="S59" s="51"/>
      <c r="T59" s="144"/>
      <c r="U59" s="51"/>
      <c r="V59" s="51"/>
      <c r="W59" s="51"/>
      <c r="X59" s="51"/>
      <c r="Y59" s="144"/>
      <c r="Z59" s="51"/>
      <c r="AA59" s="51"/>
      <c r="AB59" s="51"/>
      <c r="AC59" s="51"/>
      <c r="AD59" s="144"/>
      <c r="AE59" s="51"/>
      <c r="AF59" s="51"/>
      <c r="AG59" s="51"/>
      <c r="AH59" s="51"/>
      <c r="AI59" s="144"/>
      <c r="AJ59" s="51"/>
      <c r="AK59" s="51"/>
      <c r="AL59" s="51"/>
      <c r="AM59" s="51"/>
      <c r="AN59" s="144"/>
      <c r="AO59" s="51"/>
      <c r="AP59" s="51"/>
      <c r="AQ59" s="51"/>
      <c r="AR59" s="51"/>
      <c r="AS59" s="144"/>
      <c r="AT59" s="51"/>
      <c r="AU59" s="51"/>
      <c r="AV59" s="51"/>
      <c r="AW59" s="51"/>
      <c r="AX59" s="144"/>
      <c r="AY59" s="51"/>
      <c r="AZ59" s="51"/>
      <c r="BA59" s="51"/>
      <c r="BB59" s="51"/>
      <c r="BC59" s="144"/>
      <c r="BD59" s="51"/>
      <c r="BE59" s="51"/>
      <c r="BF59" s="51"/>
      <c r="BG59" s="51"/>
      <c r="BH59" s="144"/>
      <c r="BI59" s="51"/>
      <c r="BJ59" s="51"/>
      <c r="BK59" s="51"/>
      <c r="BL59" s="51"/>
      <c r="BM59" s="144"/>
      <c r="BN59" s="51"/>
      <c r="BO59" s="51"/>
      <c r="BP59" s="51"/>
      <c r="BQ59" s="51"/>
      <c r="BR59" s="144"/>
      <c r="BS59" s="51"/>
      <c r="BT59" s="51"/>
      <c r="BU59" s="51"/>
      <c r="BV59" s="721"/>
      <c r="BW59" s="39"/>
      <c r="BX59" s="39"/>
    </row>
    <row r="60" spans="1:76" hidden="1" x14ac:dyDescent="0.2">
      <c r="A60" s="317"/>
      <c r="B60" s="317"/>
      <c r="D60" s="340" t="s">
        <v>195</v>
      </c>
      <c r="E60" s="347"/>
      <c r="F60" s="317"/>
      <c r="G60" s="51">
        <v>0</v>
      </c>
      <c r="H60" s="51"/>
      <c r="I60" s="51"/>
      <c r="J60" s="144"/>
      <c r="K60" s="317"/>
      <c r="L60" s="51">
        <v>0</v>
      </c>
      <c r="M60" s="51"/>
      <c r="N60" s="51"/>
      <c r="O60" s="144"/>
      <c r="P60" s="317"/>
      <c r="Q60" s="51">
        <v>0</v>
      </c>
      <c r="R60" s="51"/>
      <c r="S60" s="51"/>
      <c r="T60" s="144"/>
      <c r="U60" s="317"/>
      <c r="V60" s="51">
        <v>0</v>
      </c>
      <c r="W60" s="51"/>
      <c r="X60" s="51"/>
      <c r="Y60" s="144"/>
      <c r="Z60" s="317"/>
      <c r="AA60" s="51">
        <v>0</v>
      </c>
      <c r="AB60" s="51"/>
      <c r="AC60" s="51"/>
      <c r="AD60" s="144"/>
      <c r="AE60" s="317"/>
      <c r="AF60" s="51">
        <v>0</v>
      </c>
      <c r="AG60" s="51"/>
      <c r="AH60" s="51"/>
      <c r="AI60" s="144"/>
      <c r="AJ60" s="317"/>
      <c r="AK60" s="51">
        <v>0</v>
      </c>
      <c r="AL60" s="51"/>
      <c r="AM60" s="51"/>
      <c r="AN60" s="144"/>
      <c r="AO60" s="317"/>
      <c r="AP60" s="51">
        <v>0</v>
      </c>
      <c r="AQ60" s="51"/>
      <c r="AR60" s="51"/>
      <c r="AS60" s="144"/>
      <c r="AT60" s="317"/>
      <c r="AU60" s="51">
        <v>0</v>
      </c>
      <c r="AV60" s="51"/>
      <c r="AW60" s="51"/>
      <c r="AX60" s="144"/>
      <c r="AY60" s="317"/>
      <c r="AZ60" s="51">
        <v>0</v>
      </c>
      <c r="BA60" s="51"/>
      <c r="BB60" s="51"/>
      <c r="BC60" s="144"/>
      <c r="BD60" s="317"/>
      <c r="BE60" s="51">
        <v>0</v>
      </c>
      <c r="BF60" s="51"/>
      <c r="BG60" s="51"/>
      <c r="BH60" s="144"/>
      <c r="BI60" s="317"/>
      <c r="BJ60" s="51">
        <v>0</v>
      </c>
      <c r="BK60" s="51"/>
      <c r="BL60" s="51"/>
      <c r="BM60" s="144"/>
      <c r="BN60" s="317"/>
      <c r="BO60" s="51">
        <v>0</v>
      </c>
      <c r="BP60" s="51"/>
      <c r="BQ60" s="51"/>
      <c r="BR60" s="144"/>
      <c r="BS60" s="317"/>
      <c r="BT60" s="51">
        <v>0</v>
      </c>
      <c r="BU60" s="51"/>
      <c r="BV60" s="721"/>
      <c r="BW60" s="39"/>
      <c r="BX60" s="39"/>
    </row>
    <row r="61" spans="1:76" hidden="1" x14ac:dyDescent="0.2">
      <c r="A61" s="317"/>
      <c r="B61" s="317"/>
      <c r="D61" s="340" t="s">
        <v>238</v>
      </c>
      <c r="E61" s="347"/>
      <c r="F61" s="354"/>
      <c r="G61" s="430">
        <v>0</v>
      </c>
      <c r="H61" s="431"/>
      <c r="I61" s="51"/>
      <c r="J61" s="144"/>
      <c r="K61" s="354"/>
      <c r="L61" s="430">
        <v>0</v>
      </c>
      <c r="M61" s="431"/>
      <c r="N61" s="51"/>
      <c r="O61" s="144"/>
      <c r="P61" s="354"/>
      <c r="Q61" s="430">
        <v>0</v>
      </c>
      <c r="R61" s="431"/>
      <c r="S61" s="51"/>
      <c r="T61" s="144"/>
      <c r="U61" s="354"/>
      <c r="V61" s="430">
        <v>0</v>
      </c>
      <c r="W61" s="431"/>
      <c r="X61" s="51"/>
      <c r="Y61" s="144"/>
      <c r="Z61" s="354"/>
      <c r="AA61" s="430">
        <v>0</v>
      </c>
      <c r="AB61" s="431"/>
      <c r="AC61" s="51"/>
      <c r="AD61" s="144"/>
      <c r="AE61" s="354"/>
      <c r="AF61" s="430">
        <v>0</v>
      </c>
      <c r="AG61" s="431"/>
      <c r="AH61" s="51"/>
      <c r="AI61" s="144"/>
      <c r="AJ61" s="354"/>
      <c r="AK61" s="430">
        <v>0</v>
      </c>
      <c r="AL61" s="431"/>
      <c r="AM61" s="51"/>
      <c r="AN61" s="144"/>
      <c r="AO61" s="354"/>
      <c r="AP61" s="430">
        <v>0</v>
      </c>
      <c r="AQ61" s="431"/>
      <c r="AR61" s="51"/>
      <c r="AS61" s="144"/>
      <c r="AT61" s="354"/>
      <c r="AU61" s="430">
        <v>0</v>
      </c>
      <c r="AV61" s="431"/>
      <c r="AW61" s="51"/>
      <c r="AX61" s="144"/>
      <c r="AY61" s="354"/>
      <c r="AZ61" s="430">
        <v>0</v>
      </c>
      <c r="BA61" s="431"/>
      <c r="BB61" s="51"/>
      <c r="BC61" s="144"/>
      <c r="BD61" s="354"/>
      <c r="BE61" s="430">
        <v>0</v>
      </c>
      <c r="BF61" s="431"/>
      <c r="BG61" s="51"/>
      <c r="BH61" s="144"/>
      <c r="BI61" s="354"/>
      <c r="BJ61" s="430">
        <v>0</v>
      </c>
      <c r="BK61" s="431"/>
      <c r="BL61" s="51"/>
      <c r="BM61" s="144"/>
      <c r="BN61" s="354"/>
      <c r="BO61" s="430">
        <v>0</v>
      </c>
      <c r="BP61" s="431"/>
      <c r="BQ61" s="51"/>
      <c r="BR61" s="144"/>
      <c r="BS61" s="354"/>
      <c r="BT61" s="430">
        <v>0</v>
      </c>
      <c r="BU61" s="431"/>
      <c r="BV61" s="721"/>
      <c r="BW61" s="39"/>
      <c r="BX61" s="39"/>
    </row>
    <row r="62" spans="1:76" hidden="1" x14ac:dyDescent="0.2">
      <c r="A62" s="317"/>
      <c r="B62" s="317"/>
      <c r="D62" s="340" t="s">
        <v>188</v>
      </c>
      <c r="E62" s="347"/>
      <c r="F62" s="371"/>
      <c r="G62" s="95">
        <v>0</v>
      </c>
      <c r="H62" s="94"/>
      <c r="I62" s="51"/>
      <c r="J62" s="144"/>
      <c r="K62" s="371"/>
      <c r="L62" s="95">
        <v>0</v>
      </c>
      <c r="M62" s="94"/>
      <c r="N62" s="51"/>
      <c r="O62" s="144"/>
      <c r="P62" s="371"/>
      <c r="Q62" s="95">
        <v>0</v>
      </c>
      <c r="R62" s="94"/>
      <c r="S62" s="51"/>
      <c r="T62" s="144"/>
      <c r="U62" s="371"/>
      <c r="V62" s="95">
        <v>0</v>
      </c>
      <c r="W62" s="94"/>
      <c r="X62" s="51"/>
      <c r="Y62" s="144"/>
      <c r="Z62" s="371"/>
      <c r="AA62" s="95">
        <v>0</v>
      </c>
      <c r="AB62" s="94"/>
      <c r="AC62" s="51"/>
      <c r="AD62" s="144"/>
      <c r="AE62" s="371"/>
      <c r="AF62" s="95">
        <v>0</v>
      </c>
      <c r="AG62" s="94"/>
      <c r="AH62" s="51"/>
      <c r="AI62" s="144"/>
      <c r="AJ62" s="371"/>
      <c r="AK62" s="95">
        <v>0</v>
      </c>
      <c r="AL62" s="94"/>
      <c r="AM62" s="51"/>
      <c r="AN62" s="144"/>
      <c r="AO62" s="371"/>
      <c r="AP62" s="95">
        <v>0</v>
      </c>
      <c r="AQ62" s="94"/>
      <c r="AR62" s="51"/>
      <c r="AS62" s="144"/>
      <c r="AT62" s="371"/>
      <c r="AU62" s="95">
        <v>0</v>
      </c>
      <c r="AV62" s="94"/>
      <c r="AW62" s="51"/>
      <c r="AX62" s="144"/>
      <c r="AY62" s="371"/>
      <c r="AZ62" s="95">
        <v>0</v>
      </c>
      <c r="BA62" s="94"/>
      <c r="BB62" s="51"/>
      <c r="BC62" s="144"/>
      <c r="BD62" s="371"/>
      <c r="BE62" s="95">
        <v>0</v>
      </c>
      <c r="BF62" s="94"/>
      <c r="BG62" s="51"/>
      <c r="BH62" s="144"/>
      <c r="BI62" s="371"/>
      <c r="BJ62" s="95">
        <v>0</v>
      </c>
      <c r="BK62" s="94"/>
      <c r="BL62" s="51"/>
      <c r="BM62" s="144"/>
      <c r="BN62" s="371"/>
      <c r="BO62" s="95">
        <v>0</v>
      </c>
      <c r="BP62" s="94"/>
      <c r="BQ62" s="51"/>
      <c r="BR62" s="144"/>
      <c r="BS62" s="371"/>
      <c r="BT62" s="95">
        <v>0</v>
      </c>
      <c r="BU62" s="94"/>
      <c r="BV62" s="721"/>
      <c r="BW62" s="39"/>
      <c r="BX62" s="39"/>
    </row>
    <row r="63" spans="1:76" ht="12.75" hidden="1" customHeight="1" x14ac:dyDescent="0.2">
      <c r="A63" s="317"/>
      <c r="B63" s="317"/>
      <c r="D63" s="340"/>
      <c r="E63" s="347"/>
      <c r="F63" s="317"/>
      <c r="G63" s="51"/>
      <c r="H63" s="51"/>
      <c r="I63" s="51"/>
      <c r="J63" s="144"/>
      <c r="K63" s="51"/>
      <c r="L63" s="51"/>
      <c r="M63" s="51"/>
      <c r="N63" s="51"/>
      <c r="O63" s="144"/>
      <c r="P63" s="51"/>
      <c r="Q63" s="51"/>
      <c r="R63" s="51"/>
      <c r="S63" s="51"/>
      <c r="T63" s="144"/>
      <c r="U63" s="51"/>
      <c r="V63" s="51"/>
      <c r="W63" s="51"/>
      <c r="X63" s="51"/>
      <c r="Y63" s="144"/>
      <c r="Z63" s="51"/>
      <c r="AA63" s="51"/>
      <c r="AB63" s="51"/>
      <c r="AC63" s="51"/>
      <c r="AD63" s="144"/>
      <c r="AE63" s="51"/>
      <c r="AF63" s="51"/>
      <c r="AG63" s="51"/>
      <c r="AH63" s="51"/>
      <c r="AI63" s="144"/>
      <c r="AJ63" s="51"/>
      <c r="AK63" s="51"/>
      <c r="AL63" s="51"/>
      <c r="AM63" s="51"/>
      <c r="AN63" s="144"/>
      <c r="AO63" s="51"/>
      <c r="AP63" s="51"/>
      <c r="AQ63" s="51"/>
      <c r="AR63" s="51"/>
      <c r="AS63" s="144"/>
      <c r="AT63" s="51"/>
      <c r="AU63" s="51"/>
      <c r="AV63" s="51"/>
      <c r="AW63" s="51"/>
      <c r="AX63" s="144"/>
      <c r="AY63" s="51"/>
      <c r="AZ63" s="51"/>
      <c r="BA63" s="51"/>
      <c r="BB63" s="51"/>
      <c r="BC63" s="144"/>
      <c r="BD63" s="51"/>
      <c r="BE63" s="51"/>
      <c r="BF63" s="51"/>
      <c r="BG63" s="51"/>
      <c r="BH63" s="144"/>
      <c r="BI63" s="51"/>
      <c r="BJ63" s="51"/>
      <c r="BK63" s="51"/>
      <c r="BL63" s="51"/>
      <c r="BM63" s="144"/>
      <c r="BN63" s="51"/>
      <c r="BO63" s="51"/>
      <c r="BP63" s="51"/>
      <c r="BQ63" s="51"/>
      <c r="BR63" s="144"/>
      <c r="BS63" s="51"/>
      <c r="BT63" s="51"/>
      <c r="BU63" s="51"/>
      <c r="BV63" s="721"/>
      <c r="BW63" s="39"/>
      <c r="BX63" s="39"/>
    </row>
    <row r="64" spans="1:76" ht="12.75" hidden="1" customHeight="1" x14ac:dyDescent="0.2">
      <c r="A64" s="317"/>
      <c r="B64" s="317"/>
      <c r="D64" s="340" t="s">
        <v>196</v>
      </c>
      <c r="E64" s="347"/>
      <c r="F64" s="317"/>
      <c r="G64" s="51">
        <v>0</v>
      </c>
      <c r="H64" s="51"/>
      <c r="I64" s="51"/>
      <c r="J64" s="144"/>
      <c r="K64" s="51"/>
      <c r="L64" s="51">
        <v>0</v>
      </c>
      <c r="M64" s="51"/>
      <c r="N64" s="51"/>
      <c r="O64" s="144"/>
      <c r="P64" s="317"/>
      <c r="Q64" s="51">
        <v>0</v>
      </c>
      <c r="R64" s="51"/>
      <c r="S64" s="51"/>
      <c r="T64" s="144"/>
      <c r="U64" s="317"/>
      <c r="V64" s="51">
        <v>0</v>
      </c>
      <c r="W64" s="51"/>
      <c r="X64" s="51"/>
      <c r="Y64" s="144"/>
      <c r="Z64" s="317"/>
      <c r="AA64" s="51">
        <v>0</v>
      </c>
      <c r="AB64" s="51"/>
      <c r="AC64" s="51"/>
      <c r="AD64" s="144"/>
      <c r="AE64" s="317"/>
      <c r="AF64" s="51">
        <v>0</v>
      </c>
      <c r="AG64" s="51"/>
      <c r="AH64" s="51"/>
      <c r="AI64" s="144"/>
      <c r="AJ64" s="317"/>
      <c r="AK64" s="51">
        <v>0</v>
      </c>
      <c r="AL64" s="51"/>
      <c r="AM64" s="51"/>
      <c r="AN64" s="144"/>
      <c r="AO64" s="317"/>
      <c r="AP64" s="51">
        <v>0</v>
      </c>
      <c r="AQ64" s="51"/>
      <c r="AR64" s="51"/>
      <c r="AS64" s="144"/>
      <c r="AT64" s="317"/>
      <c r="AU64" s="51">
        <v>0</v>
      </c>
      <c r="AV64" s="51"/>
      <c r="AW64" s="51"/>
      <c r="AX64" s="144"/>
      <c r="AY64" s="317"/>
      <c r="AZ64" s="51">
        <v>0</v>
      </c>
      <c r="BA64" s="51"/>
      <c r="BB64" s="51"/>
      <c r="BC64" s="144"/>
      <c r="BD64" s="317"/>
      <c r="BE64" s="51">
        <v>0</v>
      </c>
      <c r="BF64" s="51"/>
      <c r="BG64" s="51"/>
      <c r="BH64" s="144"/>
      <c r="BI64" s="317"/>
      <c r="BJ64" s="51">
        <v>0</v>
      </c>
      <c r="BK64" s="51"/>
      <c r="BL64" s="51"/>
      <c r="BM64" s="144"/>
      <c r="BN64" s="317"/>
      <c r="BO64" s="51">
        <v>0</v>
      </c>
      <c r="BP64" s="51"/>
      <c r="BQ64" s="51"/>
      <c r="BR64" s="144"/>
      <c r="BS64" s="51"/>
      <c r="BT64" s="51">
        <v>0</v>
      </c>
      <c r="BU64" s="51"/>
      <c r="BV64" s="721"/>
      <c r="BW64" s="39"/>
      <c r="BX64" s="39"/>
    </row>
    <row r="65" spans="1:76" ht="12.75" hidden="1" customHeight="1" x14ac:dyDescent="0.2">
      <c r="A65" s="317"/>
      <c r="B65" s="317"/>
      <c r="D65" s="340" t="s">
        <v>238</v>
      </c>
      <c r="E65" s="347"/>
      <c r="F65" s="354"/>
      <c r="G65" s="430">
        <v>0</v>
      </c>
      <c r="H65" s="431"/>
      <c r="I65" s="51"/>
      <c r="J65" s="144"/>
      <c r="K65" s="432"/>
      <c r="L65" s="430">
        <v>0</v>
      </c>
      <c r="M65" s="431"/>
      <c r="N65" s="51"/>
      <c r="O65" s="144"/>
      <c r="P65" s="354"/>
      <c r="Q65" s="430">
        <v>0</v>
      </c>
      <c r="R65" s="431"/>
      <c r="S65" s="51"/>
      <c r="T65" s="144"/>
      <c r="U65" s="354"/>
      <c r="V65" s="430">
        <v>0</v>
      </c>
      <c r="W65" s="431"/>
      <c r="X65" s="51"/>
      <c r="Y65" s="144"/>
      <c r="Z65" s="354"/>
      <c r="AA65" s="430">
        <v>0</v>
      </c>
      <c r="AB65" s="431"/>
      <c r="AC65" s="51"/>
      <c r="AD65" s="144"/>
      <c r="AE65" s="354"/>
      <c r="AF65" s="430">
        <v>0</v>
      </c>
      <c r="AG65" s="431"/>
      <c r="AH65" s="51"/>
      <c r="AI65" s="144"/>
      <c r="AJ65" s="354"/>
      <c r="AK65" s="430">
        <v>0</v>
      </c>
      <c r="AL65" s="431"/>
      <c r="AM65" s="51"/>
      <c r="AN65" s="144"/>
      <c r="AO65" s="354"/>
      <c r="AP65" s="430">
        <v>0</v>
      </c>
      <c r="AQ65" s="431"/>
      <c r="AR65" s="51"/>
      <c r="AS65" s="144"/>
      <c r="AT65" s="354"/>
      <c r="AU65" s="430">
        <v>0</v>
      </c>
      <c r="AV65" s="431"/>
      <c r="AW65" s="51"/>
      <c r="AX65" s="144"/>
      <c r="AY65" s="354"/>
      <c r="AZ65" s="430">
        <v>0</v>
      </c>
      <c r="BA65" s="431"/>
      <c r="BB65" s="51"/>
      <c r="BC65" s="144"/>
      <c r="BD65" s="354"/>
      <c r="BE65" s="430">
        <v>0</v>
      </c>
      <c r="BF65" s="431"/>
      <c r="BG65" s="51"/>
      <c r="BH65" s="144"/>
      <c r="BI65" s="354"/>
      <c r="BJ65" s="430">
        <v>0</v>
      </c>
      <c r="BK65" s="431"/>
      <c r="BL65" s="51"/>
      <c r="BM65" s="144"/>
      <c r="BN65" s="354"/>
      <c r="BO65" s="430">
        <v>0</v>
      </c>
      <c r="BP65" s="431"/>
      <c r="BQ65" s="51"/>
      <c r="BR65" s="144"/>
      <c r="BS65" s="432"/>
      <c r="BT65" s="430">
        <v>0</v>
      </c>
      <c r="BU65" s="431"/>
      <c r="BV65" s="721"/>
      <c r="BW65" s="39"/>
      <c r="BX65" s="39"/>
    </row>
    <row r="66" spans="1:76" ht="12.75" hidden="1" customHeight="1" x14ac:dyDescent="0.2">
      <c r="A66" s="317"/>
      <c r="B66" s="317"/>
      <c r="D66" s="340" t="s">
        <v>188</v>
      </c>
      <c r="E66" s="347"/>
      <c r="F66" s="371"/>
      <c r="G66" s="95">
        <v>0</v>
      </c>
      <c r="H66" s="94"/>
      <c r="I66" s="51"/>
      <c r="J66" s="144"/>
      <c r="K66" s="187"/>
      <c r="L66" s="95">
        <v>0</v>
      </c>
      <c r="M66" s="94"/>
      <c r="N66" s="51"/>
      <c r="O66" s="144"/>
      <c r="P66" s="371"/>
      <c r="Q66" s="95">
        <v>0</v>
      </c>
      <c r="R66" s="94"/>
      <c r="S66" s="51"/>
      <c r="T66" s="144"/>
      <c r="U66" s="371"/>
      <c r="V66" s="95">
        <v>0</v>
      </c>
      <c r="W66" s="94"/>
      <c r="X66" s="51"/>
      <c r="Y66" s="144"/>
      <c r="Z66" s="371"/>
      <c r="AA66" s="95">
        <v>0</v>
      </c>
      <c r="AB66" s="94"/>
      <c r="AC66" s="51"/>
      <c r="AD66" s="144"/>
      <c r="AE66" s="371"/>
      <c r="AF66" s="95">
        <v>0</v>
      </c>
      <c r="AG66" s="94"/>
      <c r="AH66" s="51"/>
      <c r="AI66" s="144"/>
      <c r="AJ66" s="371"/>
      <c r="AK66" s="95">
        <v>0</v>
      </c>
      <c r="AL66" s="94"/>
      <c r="AM66" s="51"/>
      <c r="AN66" s="144"/>
      <c r="AO66" s="371"/>
      <c r="AP66" s="95">
        <v>0</v>
      </c>
      <c r="AQ66" s="94"/>
      <c r="AR66" s="51"/>
      <c r="AS66" s="144"/>
      <c r="AT66" s="371"/>
      <c r="AU66" s="95">
        <v>0</v>
      </c>
      <c r="AV66" s="94"/>
      <c r="AW66" s="51"/>
      <c r="AX66" s="144"/>
      <c r="AY66" s="371"/>
      <c r="AZ66" s="95">
        <v>0</v>
      </c>
      <c r="BA66" s="94"/>
      <c r="BB66" s="51"/>
      <c r="BC66" s="144"/>
      <c r="BD66" s="371"/>
      <c r="BE66" s="95">
        <v>0</v>
      </c>
      <c r="BF66" s="94"/>
      <c r="BG66" s="51"/>
      <c r="BH66" s="144"/>
      <c r="BI66" s="371"/>
      <c r="BJ66" s="95">
        <v>0</v>
      </c>
      <c r="BK66" s="94"/>
      <c r="BL66" s="51"/>
      <c r="BM66" s="144"/>
      <c r="BN66" s="371"/>
      <c r="BO66" s="95">
        <v>0</v>
      </c>
      <c r="BP66" s="94"/>
      <c r="BQ66" s="51"/>
      <c r="BR66" s="144"/>
      <c r="BS66" s="187"/>
      <c r="BT66" s="95">
        <v>0</v>
      </c>
      <c r="BU66" s="94"/>
      <c r="BV66" s="721"/>
      <c r="BW66" s="39"/>
      <c r="BX66" s="39"/>
    </row>
    <row r="67" spans="1:76" ht="12.75" hidden="1" customHeight="1" x14ac:dyDescent="0.2">
      <c r="A67" s="317"/>
      <c r="B67" s="317"/>
      <c r="D67" s="340"/>
      <c r="E67" s="347"/>
      <c r="F67" s="317"/>
      <c r="G67" s="51"/>
      <c r="H67" s="51"/>
      <c r="I67" s="51"/>
      <c r="J67" s="144"/>
      <c r="K67" s="51"/>
      <c r="L67" s="51"/>
      <c r="M67" s="51"/>
      <c r="N67" s="51"/>
      <c r="O67" s="144"/>
      <c r="P67" s="317"/>
      <c r="Q67" s="51"/>
      <c r="R67" s="51"/>
      <c r="S67" s="51"/>
      <c r="T67" s="144"/>
      <c r="U67" s="317"/>
      <c r="V67" s="51"/>
      <c r="W67" s="51"/>
      <c r="X67" s="51"/>
      <c r="Y67" s="144"/>
      <c r="Z67" s="317"/>
      <c r="AA67" s="51"/>
      <c r="AB67" s="51"/>
      <c r="AC67" s="51"/>
      <c r="AD67" s="144"/>
      <c r="AE67" s="317"/>
      <c r="AF67" s="51"/>
      <c r="AG67" s="51"/>
      <c r="AH67" s="51"/>
      <c r="AI67" s="144"/>
      <c r="AJ67" s="317"/>
      <c r="AK67" s="51"/>
      <c r="AL67" s="51"/>
      <c r="AM67" s="51"/>
      <c r="AN67" s="144"/>
      <c r="AO67" s="317"/>
      <c r="AP67" s="51"/>
      <c r="AQ67" s="51"/>
      <c r="AR67" s="51"/>
      <c r="AS67" s="144"/>
      <c r="AT67" s="317"/>
      <c r="AU67" s="51"/>
      <c r="AV67" s="51"/>
      <c r="AW67" s="51"/>
      <c r="AX67" s="144"/>
      <c r="AY67" s="317"/>
      <c r="AZ67" s="51"/>
      <c r="BA67" s="51"/>
      <c r="BB67" s="51"/>
      <c r="BC67" s="144"/>
      <c r="BD67" s="317"/>
      <c r="BE67" s="51"/>
      <c r="BF67" s="51"/>
      <c r="BG67" s="51"/>
      <c r="BH67" s="144"/>
      <c r="BI67" s="317"/>
      <c r="BJ67" s="51"/>
      <c r="BK67" s="51"/>
      <c r="BL67" s="51"/>
      <c r="BM67" s="144"/>
      <c r="BN67" s="317"/>
      <c r="BO67" s="51"/>
      <c r="BP67" s="51"/>
      <c r="BQ67" s="51"/>
      <c r="BR67" s="144"/>
      <c r="BS67" s="51"/>
      <c r="BT67" s="51"/>
      <c r="BU67" s="51"/>
      <c r="BV67" s="721"/>
      <c r="BW67" s="39"/>
      <c r="BX67" s="39"/>
    </row>
    <row r="68" spans="1:76" ht="12.75" hidden="1" customHeight="1" x14ac:dyDescent="0.2">
      <c r="A68" s="317"/>
      <c r="B68" s="317"/>
      <c r="D68" s="340" t="s">
        <v>225</v>
      </c>
      <c r="E68" s="347"/>
      <c r="F68" s="317"/>
      <c r="G68" s="51">
        <v>0</v>
      </c>
      <c r="H68" s="51"/>
      <c r="I68" s="51"/>
      <c r="J68" s="144"/>
      <c r="K68" s="51"/>
      <c r="L68" s="51">
        <v>0</v>
      </c>
      <c r="M68" s="51"/>
      <c r="N68" s="51"/>
      <c r="O68" s="144"/>
      <c r="P68" s="317"/>
      <c r="Q68" s="51">
        <v>0</v>
      </c>
      <c r="R68" s="51"/>
      <c r="S68" s="51"/>
      <c r="T68" s="144"/>
      <c r="U68" s="317"/>
      <c r="V68" s="51">
        <v>0</v>
      </c>
      <c r="W68" s="51"/>
      <c r="X68" s="51"/>
      <c r="Y68" s="144"/>
      <c r="Z68" s="317"/>
      <c r="AA68" s="51">
        <v>0</v>
      </c>
      <c r="AB68" s="51"/>
      <c r="AC68" s="51"/>
      <c r="AD68" s="144"/>
      <c r="AE68" s="317"/>
      <c r="AF68" s="51">
        <v>0</v>
      </c>
      <c r="AG68" s="51"/>
      <c r="AH68" s="51"/>
      <c r="AI68" s="144"/>
      <c r="AJ68" s="317"/>
      <c r="AK68" s="51">
        <v>0</v>
      </c>
      <c r="AL68" s="51"/>
      <c r="AM68" s="51"/>
      <c r="AN68" s="144"/>
      <c r="AO68" s="317"/>
      <c r="AP68" s="51">
        <v>0</v>
      </c>
      <c r="AQ68" s="51"/>
      <c r="AR68" s="51"/>
      <c r="AS68" s="144"/>
      <c r="AT68" s="317"/>
      <c r="AU68" s="51">
        <v>0</v>
      </c>
      <c r="AV68" s="51"/>
      <c r="AW68" s="51"/>
      <c r="AX68" s="144"/>
      <c r="AY68" s="317"/>
      <c r="AZ68" s="51">
        <v>0</v>
      </c>
      <c r="BA68" s="51"/>
      <c r="BB68" s="51"/>
      <c r="BC68" s="144"/>
      <c r="BD68" s="317"/>
      <c r="BE68" s="51">
        <v>0</v>
      </c>
      <c r="BF68" s="51"/>
      <c r="BG68" s="51"/>
      <c r="BH68" s="144"/>
      <c r="BI68" s="317"/>
      <c r="BJ68" s="51">
        <v>0</v>
      </c>
      <c r="BK68" s="51"/>
      <c r="BL68" s="51"/>
      <c r="BM68" s="144"/>
      <c r="BN68" s="317"/>
      <c r="BO68" s="51">
        <v>0</v>
      </c>
      <c r="BP68" s="51"/>
      <c r="BQ68" s="51"/>
      <c r="BR68" s="144"/>
      <c r="BS68" s="51"/>
      <c r="BT68" s="51">
        <v>0</v>
      </c>
      <c r="BU68" s="51"/>
      <c r="BV68" s="721"/>
      <c r="BW68" s="39"/>
      <c r="BX68" s="39"/>
    </row>
    <row r="69" spans="1:76" ht="12.75" hidden="1" customHeight="1" x14ac:dyDescent="0.2">
      <c r="A69" s="317"/>
      <c r="B69" s="317"/>
      <c r="D69" s="340" t="s">
        <v>238</v>
      </c>
      <c r="E69" s="347"/>
      <c r="F69" s="354"/>
      <c r="G69" s="430">
        <v>0</v>
      </c>
      <c r="H69" s="431"/>
      <c r="I69" s="51"/>
      <c r="J69" s="144"/>
      <c r="K69" s="432"/>
      <c r="L69" s="430">
        <v>0</v>
      </c>
      <c r="M69" s="431"/>
      <c r="N69" s="51"/>
      <c r="O69" s="144"/>
      <c r="P69" s="354"/>
      <c r="Q69" s="430">
        <v>0</v>
      </c>
      <c r="R69" s="431"/>
      <c r="S69" s="51"/>
      <c r="T69" s="144"/>
      <c r="U69" s="354"/>
      <c r="V69" s="430">
        <v>0</v>
      </c>
      <c r="W69" s="431"/>
      <c r="X69" s="51"/>
      <c r="Y69" s="144"/>
      <c r="Z69" s="354"/>
      <c r="AA69" s="430">
        <v>0</v>
      </c>
      <c r="AB69" s="431"/>
      <c r="AC69" s="51"/>
      <c r="AD69" s="144"/>
      <c r="AE69" s="354"/>
      <c r="AF69" s="430">
        <v>0</v>
      </c>
      <c r="AG69" s="431"/>
      <c r="AH69" s="51"/>
      <c r="AI69" s="144"/>
      <c r="AJ69" s="354"/>
      <c r="AK69" s="430">
        <v>0</v>
      </c>
      <c r="AL69" s="431"/>
      <c r="AM69" s="51"/>
      <c r="AN69" s="144"/>
      <c r="AO69" s="354"/>
      <c r="AP69" s="430">
        <v>0</v>
      </c>
      <c r="AQ69" s="431"/>
      <c r="AR69" s="51"/>
      <c r="AS69" s="144"/>
      <c r="AT69" s="354"/>
      <c r="AU69" s="430">
        <v>0</v>
      </c>
      <c r="AV69" s="431"/>
      <c r="AW69" s="51"/>
      <c r="AX69" s="144"/>
      <c r="AY69" s="354"/>
      <c r="AZ69" s="430">
        <v>0</v>
      </c>
      <c r="BA69" s="431"/>
      <c r="BB69" s="51"/>
      <c r="BC69" s="144"/>
      <c r="BD69" s="354"/>
      <c r="BE69" s="430">
        <v>0</v>
      </c>
      <c r="BF69" s="431"/>
      <c r="BG69" s="51"/>
      <c r="BH69" s="144"/>
      <c r="BI69" s="354"/>
      <c r="BJ69" s="430">
        <v>0</v>
      </c>
      <c r="BK69" s="431"/>
      <c r="BL69" s="51"/>
      <c r="BM69" s="144"/>
      <c r="BN69" s="354"/>
      <c r="BO69" s="430">
        <v>0</v>
      </c>
      <c r="BP69" s="431"/>
      <c r="BQ69" s="51"/>
      <c r="BR69" s="144"/>
      <c r="BS69" s="432"/>
      <c r="BT69" s="430">
        <v>0</v>
      </c>
      <c r="BU69" s="431"/>
      <c r="BV69" s="721"/>
      <c r="BW69" s="39"/>
      <c r="BX69" s="39"/>
    </row>
    <row r="70" spans="1:76" ht="12.75" hidden="1" customHeight="1" x14ac:dyDescent="0.2">
      <c r="A70" s="317"/>
      <c r="B70" s="317"/>
      <c r="D70" s="340" t="s">
        <v>188</v>
      </c>
      <c r="E70" s="347"/>
      <c r="F70" s="371"/>
      <c r="G70" s="95">
        <v>0</v>
      </c>
      <c r="H70" s="94"/>
      <c r="I70" s="51"/>
      <c r="J70" s="144"/>
      <c r="K70" s="187"/>
      <c r="L70" s="95">
        <v>0</v>
      </c>
      <c r="M70" s="94"/>
      <c r="N70" s="51"/>
      <c r="O70" s="144"/>
      <c r="P70" s="371"/>
      <c r="Q70" s="95">
        <v>0</v>
      </c>
      <c r="R70" s="94"/>
      <c r="S70" s="51"/>
      <c r="T70" s="144"/>
      <c r="U70" s="371"/>
      <c r="V70" s="95">
        <v>0</v>
      </c>
      <c r="W70" s="94"/>
      <c r="X70" s="51"/>
      <c r="Y70" s="144"/>
      <c r="Z70" s="371"/>
      <c r="AA70" s="95">
        <v>0</v>
      </c>
      <c r="AB70" s="94"/>
      <c r="AC70" s="51"/>
      <c r="AD70" s="144"/>
      <c r="AE70" s="371"/>
      <c r="AF70" s="95">
        <v>0</v>
      </c>
      <c r="AG70" s="94"/>
      <c r="AH70" s="51"/>
      <c r="AI70" s="144"/>
      <c r="AJ70" s="371"/>
      <c r="AK70" s="95">
        <v>0</v>
      </c>
      <c r="AL70" s="94"/>
      <c r="AM70" s="51"/>
      <c r="AN70" s="144"/>
      <c r="AO70" s="371"/>
      <c r="AP70" s="95">
        <v>0</v>
      </c>
      <c r="AQ70" s="94"/>
      <c r="AR70" s="51"/>
      <c r="AS70" s="144"/>
      <c r="AT70" s="371"/>
      <c r="AU70" s="95">
        <v>0</v>
      </c>
      <c r="AV70" s="94"/>
      <c r="AW70" s="51"/>
      <c r="AX70" s="144"/>
      <c r="AY70" s="371"/>
      <c r="AZ70" s="95">
        <v>0</v>
      </c>
      <c r="BA70" s="94"/>
      <c r="BB70" s="51"/>
      <c r="BC70" s="144"/>
      <c r="BD70" s="371"/>
      <c r="BE70" s="95">
        <v>0</v>
      </c>
      <c r="BF70" s="94"/>
      <c r="BG70" s="51"/>
      <c r="BH70" s="144"/>
      <c r="BI70" s="371"/>
      <c r="BJ70" s="95">
        <v>0</v>
      </c>
      <c r="BK70" s="94"/>
      <c r="BL70" s="51"/>
      <c r="BM70" s="144"/>
      <c r="BN70" s="371"/>
      <c r="BO70" s="95">
        <v>0</v>
      </c>
      <c r="BP70" s="94"/>
      <c r="BQ70" s="51"/>
      <c r="BR70" s="144"/>
      <c r="BS70" s="187"/>
      <c r="BT70" s="95">
        <v>0</v>
      </c>
      <c r="BU70" s="94"/>
      <c r="BV70" s="721"/>
      <c r="BW70" s="39"/>
      <c r="BX70" s="39"/>
    </row>
    <row r="71" spans="1:76" ht="12.75" hidden="1" customHeight="1" x14ac:dyDescent="0.2">
      <c r="A71" s="317"/>
      <c r="B71" s="317"/>
      <c r="D71" s="340"/>
      <c r="E71" s="347"/>
      <c r="F71" s="317"/>
      <c r="G71" s="51"/>
      <c r="H71" s="51"/>
      <c r="I71" s="51"/>
      <c r="J71" s="144"/>
      <c r="K71" s="51"/>
      <c r="L71" s="51"/>
      <c r="M71" s="51"/>
      <c r="N71" s="51"/>
      <c r="O71" s="144"/>
      <c r="P71" s="317"/>
      <c r="Q71" s="51"/>
      <c r="R71" s="51"/>
      <c r="S71" s="51"/>
      <c r="T71" s="144"/>
      <c r="U71" s="317"/>
      <c r="V71" s="51"/>
      <c r="W71" s="51"/>
      <c r="X71" s="51"/>
      <c r="Y71" s="144"/>
      <c r="Z71" s="317"/>
      <c r="AA71" s="51"/>
      <c r="AB71" s="51"/>
      <c r="AC71" s="51"/>
      <c r="AD71" s="144"/>
      <c r="AE71" s="317"/>
      <c r="AF71" s="51"/>
      <c r="AG71" s="51"/>
      <c r="AH71" s="51"/>
      <c r="AI71" s="144"/>
      <c r="AJ71" s="317"/>
      <c r="AK71" s="51"/>
      <c r="AL71" s="51"/>
      <c r="AM71" s="51"/>
      <c r="AN71" s="144"/>
      <c r="AO71" s="317"/>
      <c r="AP71" s="51"/>
      <c r="AQ71" s="51"/>
      <c r="AR71" s="51"/>
      <c r="AS71" s="144"/>
      <c r="AT71" s="317"/>
      <c r="AU71" s="51"/>
      <c r="AV71" s="51"/>
      <c r="AW71" s="51"/>
      <c r="AX71" s="144"/>
      <c r="AY71" s="317"/>
      <c r="AZ71" s="51"/>
      <c r="BA71" s="51"/>
      <c r="BB71" s="51"/>
      <c r="BC71" s="144"/>
      <c r="BD71" s="317"/>
      <c r="BE71" s="51"/>
      <c r="BF71" s="51"/>
      <c r="BG71" s="51"/>
      <c r="BH71" s="144"/>
      <c r="BI71" s="317"/>
      <c r="BJ71" s="51"/>
      <c r="BK71" s="51"/>
      <c r="BL71" s="51"/>
      <c r="BM71" s="144"/>
      <c r="BN71" s="317"/>
      <c r="BO71" s="51"/>
      <c r="BP71" s="51"/>
      <c r="BQ71" s="51"/>
      <c r="BR71" s="144"/>
      <c r="BS71" s="51"/>
      <c r="BT71" s="51"/>
      <c r="BU71" s="51"/>
      <c r="BV71" s="721"/>
      <c r="BW71" s="39"/>
      <c r="BX71" s="39"/>
    </row>
    <row r="72" spans="1:76" ht="12.75" hidden="1" customHeight="1" x14ac:dyDescent="0.2">
      <c r="A72" s="317"/>
      <c r="B72" s="317"/>
      <c r="D72" s="340" t="s">
        <v>225</v>
      </c>
      <c r="E72" s="347"/>
      <c r="F72" s="317"/>
      <c r="G72" s="51">
        <v>0</v>
      </c>
      <c r="H72" s="51"/>
      <c r="I72" s="51"/>
      <c r="J72" s="144"/>
      <c r="K72" s="51"/>
      <c r="L72" s="51">
        <v>0</v>
      </c>
      <c r="M72" s="51"/>
      <c r="N72" s="51"/>
      <c r="O72" s="144"/>
      <c r="P72" s="317"/>
      <c r="Q72" s="51">
        <v>0</v>
      </c>
      <c r="R72" s="51"/>
      <c r="S72" s="51"/>
      <c r="T72" s="144"/>
      <c r="U72" s="317"/>
      <c r="V72" s="51">
        <v>0</v>
      </c>
      <c r="W72" s="51"/>
      <c r="X72" s="51"/>
      <c r="Y72" s="144"/>
      <c r="Z72" s="317"/>
      <c r="AA72" s="51">
        <v>0</v>
      </c>
      <c r="AB72" s="51"/>
      <c r="AC72" s="51"/>
      <c r="AD72" s="144"/>
      <c r="AE72" s="317"/>
      <c r="AF72" s="51">
        <v>0</v>
      </c>
      <c r="AG72" s="51"/>
      <c r="AH72" s="51"/>
      <c r="AI72" s="144"/>
      <c r="AJ72" s="317"/>
      <c r="AK72" s="51">
        <v>0</v>
      </c>
      <c r="AL72" s="51"/>
      <c r="AM72" s="51"/>
      <c r="AN72" s="144"/>
      <c r="AO72" s="317"/>
      <c r="AP72" s="51">
        <v>0</v>
      </c>
      <c r="AQ72" s="51"/>
      <c r="AR72" s="51"/>
      <c r="AS72" s="144"/>
      <c r="AT72" s="317"/>
      <c r="AU72" s="51">
        <v>0</v>
      </c>
      <c r="AV72" s="51"/>
      <c r="AW72" s="51"/>
      <c r="AX72" s="144"/>
      <c r="AY72" s="317"/>
      <c r="AZ72" s="51">
        <v>0</v>
      </c>
      <c r="BA72" s="51"/>
      <c r="BB72" s="51"/>
      <c r="BC72" s="144"/>
      <c r="BD72" s="317"/>
      <c r="BE72" s="51">
        <v>0</v>
      </c>
      <c r="BF72" s="51"/>
      <c r="BG72" s="51"/>
      <c r="BH72" s="144"/>
      <c r="BI72" s="317"/>
      <c r="BJ72" s="51">
        <v>0</v>
      </c>
      <c r="BK72" s="51"/>
      <c r="BL72" s="51"/>
      <c r="BM72" s="144"/>
      <c r="BN72" s="317"/>
      <c r="BO72" s="51">
        <v>0</v>
      </c>
      <c r="BP72" s="51"/>
      <c r="BQ72" s="51"/>
      <c r="BR72" s="144"/>
      <c r="BS72" s="51"/>
      <c r="BT72" s="51">
        <v>0</v>
      </c>
      <c r="BU72" s="51"/>
      <c r="BV72" s="721"/>
      <c r="BW72" s="39"/>
      <c r="BX72" s="39"/>
    </row>
    <row r="73" spans="1:76" ht="12.75" hidden="1" customHeight="1" x14ac:dyDescent="0.2">
      <c r="A73" s="317"/>
      <c r="B73" s="317"/>
      <c r="D73" s="340" t="s">
        <v>238</v>
      </c>
      <c r="E73" s="347"/>
      <c r="F73" s="354"/>
      <c r="G73" s="430">
        <v>0</v>
      </c>
      <c r="H73" s="431"/>
      <c r="I73" s="51"/>
      <c r="J73" s="144"/>
      <c r="K73" s="432"/>
      <c r="L73" s="430">
        <v>0</v>
      </c>
      <c r="M73" s="431"/>
      <c r="N73" s="51"/>
      <c r="O73" s="144"/>
      <c r="P73" s="354"/>
      <c r="Q73" s="430">
        <v>0</v>
      </c>
      <c r="R73" s="431"/>
      <c r="S73" s="51"/>
      <c r="T73" s="144"/>
      <c r="U73" s="354"/>
      <c r="V73" s="430">
        <v>0</v>
      </c>
      <c r="W73" s="431"/>
      <c r="X73" s="51"/>
      <c r="Y73" s="144"/>
      <c r="Z73" s="354"/>
      <c r="AA73" s="430">
        <v>0</v>
      </c>
      <c r="AB73" s="431"/>
      <c r="AC73" s="51"/>
      <c r="AD73" s="144"/>
      <c r="AE73" s="354"/>
      <c r="AF73" s="430">
        <v>0</v>
      </c>
      <c r="AG73" s="431"/>
      <c r="AH73" s="51"/>
      <c r="AI73" s="144"/>
      <c r="AJ73" s="354"/>
      <c r="AK73" s="430">
        <v>0</v>
      </c>
      <c r="AL73" s="431"/>
      <c r="AM73" s="51"/>
      <c r="AN73" s="144"/>
      <c r="AO73" s="354"/>
      <c r="AP73" s="430">
        <v>0</v>
      </c>
      <c r="AQ73" s="431"/>
      <c r="AR73" s="51"/>
      <c r="AS73" s="144"/>
      <c r="AT73" s="354"/>
      <c r="AU73" s="430">
        <v>0</v>
      </c>
      <c r="AV73" s="431"/>
      <c r="AW73" s="51"/>
      <c r="AX73" s="144"/>
      <c r="AY73" s="354"/>
      <c r="AZ73" s="430">
        <v>0</v>
      </c>
      <c r="BA73" s="431"/>
      <c r="BB73" s="51"/>
      <c r="BC73" s="144"/>
      <c r="BD73" s="354"/>
      <c r="BE73" s="430">
        <v>0</v>
      </c>
      <c r="BF73" s="431"/>
      <c r="BG73" s="51"/>
      <c r="BH73" s="144"/>
      <c r="BI73" s="354"/>
      <c r="BJ73" s="430">
        <v>0</v>
      </c>
      <c r="BK73" s="431"/>
      <c r="BL73" s="51"/>
      <c r="BM73" s="144"/>
      <c r="BN73" s="354"/>
      <c r="BO73" s="430">
        <v>0</v>
      </c>
      <c r="BP73" s="431"/>
      <c r="BQ73" s="51"/>
      <c r="BR73" s="144"/>
      <c r="BS73" s="432"/>
      <c r="BT73" s="430">
        <v>0</v>
      </c>
      <c r="BU73" s="431"/>
      <c r="BV73" s="721"/>
      <c r="BW73" s="39"/>
      <c r="BX73" s="39"/>
    </row>
    <row r="74" spans="1:76" ht="12.75" hidden="1" customHeight="1" x14ac:dyDescent="0.2">
      <c r="A74" s="317"/>
      <c r="B74" s="317"/>
      <c r="D74" s="340" t="s">
        <v>188</v>
      </c>
      <c r="E74" s="347"/>
      <c r="F74" s="371"/>
      <c r="G74" s="95">
        <v>0</v>
      </c>
      <c r="H74" s="94"/>
      <c r="I74" s="51"/>
      <c r="J74" s="144"/>
      <c r="K74" s="187"/>
      <c r="L74" s="95">
        <v>0</v>
      </c>
      <c r="M74" s="94"/>
      <c r="N74" s="51"/>
      <c r="O74" s="144"/>
      <c r="P74" s="371"/>
      <c r="Q74" s="95">
        <v>0</v>
      </c>
      <c r="R74" s="94"/>
      <c r="S74" s="51"/>
      <c r="T74" s="144"/>
      <c r="U74" s="371"/>
      <c r="V74" s="95">
        <v>0</v>
      </c>
      <c r="W74" s="94"/>
      <c r="X74" s="51"/>
      <c r="Y74" s="144"/>
      <c r="Z74" s="371"/>
      <c r="AA74" s="95">
        <v>0</v>
      </c>
      <c r="AB74" s="94"/>
      <c r="AC74" s="51"/>
      <c r="AD74" s="144"/>
      <c r="AE74" s="371"/>
      <c r="AF74" s="95">
        <v>0</v>
      </c>
      <c r="AG74" s="94"/>
      <c r="AH74" s="51"/>
      <c r="AI74" s="144"/>
      <c r="AJ74" s="371"/>
      <c r="AK74" s="95">
        <v>0</v>
      </c>
      <c r="AL74" s="94"/>
      <c r="AM74" s="51"/>
      <c r="AN74" s="144"/>
      <c r="AO74" s="371"/>
      <c r="AP74" s="95">
        <v>0</v>
      </c>
      <c r="AQ74" s="94"/>
      <c r="AR74" s="51"/>
      <c r="AS74" s="144"/>
      <c r="AT74" s="371"/>
      <c r="AU74" s="95">
        <v>0</v>
      </c>
      <c r="AV74" s="94"/>
      <c r="AW74" s="51"/>
      <c r="AX74" s="144"/>
      <c r="AY74" s="371"/>
      <c r="AZ74" s="95">
        <v>0</v>
      </c>
      <c r="BA74" s="94"/>
      <c r="BB74" s="51"/>
      <c r="BC74" s="144"/>
      <c r="BD74" s="371"/>
      <c r="BE74" s="95">
        <v>0</v>
      </c>
      <c r="BF74" s="94"/>
      <c r="BG74" s="51"/>
      <c r="BH74" s="144"/>
      <c r="BI74" s="371"/>
      <c r="BJ74" s="95">
        <v>0</v>
      </c>
      <c r="BK74" s="94"/>
      <c r="BL74" s="51"/>
      <c r="BM74" s="144"/>
      <c r="BN74" s="371"/>
      <c r="BO74" s="95">
        <v>0</v>
      </c>
      <c r="BP74" s="94"/>
      <c r="BQ74" s="51"/>
      <c r="BR74" s="144"/>
      <c r="BS74" s="187"/>
      <c r="BT74" s="95">
        <v>0</v>
      </c>
      <c r="BU74" s="94"/>
      <c r="BV74" s="721"/>
      <c r="BW74" s="39"/>
      <c r="BX74" s="39"/>
    </row>
    <row r="75" spans="1:76" ht="12.75" customHeight="1" x14ac:dyDescent="0.2">
      <c r="A75" s="317"/>
      <c r="B75" s="317"/>
      <c r="D75" s="340"/>
      <c r="E75" s="347"/>
      <c r="F75" s="317"/>
      <c r="G75" s="51"/>
      <c r="H75" s="51"/>
      <c r="I75" s="51"/>
      <c r="J75" s="144"/>
      <c r="K75" s="51"/>
      <c r="L75" s="51"/>
      <c r="M75" s="51"/>
      <c r="N75" s="51"/>
      <c r="O75" s="144"/>
      <c r="P75" s="317"/>
      <c r="Q75" s="51"/>
      <c r="R75" s="51"/>
      <c r="S75" s="51"/>
      <c r="T75" s="144"/>
      <c r="U75" s="317"/>
      <c r="V75" s="51"/>
      <c r="W75" s="51"/>
      <c r="X75" s="51"/>
      <c r="Y75" s="144"/>
      <c r="Z75" s="317"/>
      <c r="AA75" s="51"/>
      <c r="AB75" s="51"/>
      <c r="AC75" s="51"/>
      <c r="AD75" s="144"/>
      <c r="AE75" s="317"/>
      <c r="AF75" s="51"/>
      <c r="AG75" s="51"/>
      <c r="AH75" s="51"/>
      <c r="AI75" s="144"/>
      <c r="AJ75" s="317"/>
      <c r="AK75" s="51"/>
      <c r="AL75" s="51"/>
      <c r="AM75" s="51"/>
      <c r="AN75" s="144"/>
      <c r="AO75" s="317"/>
      <c r="AP75" s="51"/>
      <c r="AQ75" s="51"/>
      <c r="AR75" s="51"/>
      <c r="AS75" s="144"/>
      <c r="AT75" s="317"/>
      <c r="AU75" s="51"/>
      <c r="AV75" s="51"/>
      <c r="AW75" s="51"/>
      <c r="AX75" s="144"/>
      <c r="AY75" s="317"/>
      <c r="AZ75" s="51"/>
      <c r="BA75" s="51"/>
      <c r="BB75" s="51"/>
      <c r="BC75" s="144"/>
      <c r="BD75" s="317"/>
      <c r="BE75" s="51"/>
      <c r="BF75" s="51"/>
      <c r="BG75" s="51"/>
      <c r="BH75" s="144"/>
      <c r="BI75" s="317"/>
      <c r="BJ75" s="51"/>
      <c r="BK75" s="51"/>
      <c r="BL75" s="51"/>
      <c r="BM75" s="144"/>
      <c r="BN75" s="317"/>
      <c r="BO75" s="51"/>
      <c r="BP75" s="51"/>
      <c r="BQ75" s="51"/>
      <c r="BR75" s="144"/>
      <c r="BS75" s="51"/>
      <c r="BT75" s="51"/>
      <c r="BU75" s="51"/>
      <c r="BV75" s="721"/>
      <c r="BW75" s="39"/>
      <c r="BX75" s="39"/>
    </row>
    <row r="76" spans="1:76" s="39" customFormat="1" ht="12.75" customHeight="1" x14ac:dyDescent="0.2">
      <c r="A76" s="329"/>
      <c r="B76" s="329"/>
      <c r="D76" s="348" t="s">
        <v>198</v>
      </c>
      <c r="E76" s="350"/>
      <c r="F76" s="472"/>
      <c r="G76" s="473">
        <v>68212000</v>
      </c>
      <c r="H76" s="473"/>
      <c r="I76" s="41"/>
      <c r="J76" s="428"/>
      <c r="K76" s="473"/>
      <c r="L76" s="473">
        <v>0</v>
      </c>
      <c r="M76" s="473"/>
      <c r="N76" s="41"/>
      <c r="O76" s="428"/>
      <c r="P76" s="473"/>
      <c r="Q76" s="473">
        <v>0</v>
      </c>
      <c r="R76" s="473"/>
      <c r="S76" s="41"/>
      <c r="T76" s="428"/>
      <c r="U76" s="473"/>
      <c r="V76" s="473">
        <v>0</v>
      </c>
      <c r="W76" s="473"/>
      <c r="X76" s="41"/>
      <c r="Y76" s="428"/>
      <c r="Z76" s="473"/>
      <c r="AA76" s="473">
        <v>0</v>
      </c>
      <c r="AB76" s="473"/>
      <c r="AC76" s="41"/>
      <c r="AD76" s="428"/>
      <c r="AE76" s="473"/>
      <c r="AF76" s="473">
        <v>0</v>
      </c>
      <c r="AG76" s="473"/>
      <c r="AH76" s="41"/>
      <c r="AI76" s="428"/>
      <c r="AJ76" s="473"/>
      <c r="AK76" s="473">
        <v>0</v>
      </c>
      <c r="AL76" s="473"/>
      <c r="AM76" s="41"/>
      <c r="AN76" s="428"/>
      <c r="AO76" s="473"/>
      <c r="AP76" s="473">
        <v>0</v>
      </c>
      <c r="AQ76" s="473"/>
      <c r="AR76" s="41"/>
      <c r="AS76" s="428"/>
      <c r="AT76" s="473"/>
      <c r="AU76" s="473">
        <v>0</v>
      </c>
      <c r="AV76" s="473"/>
      <c r="AW76" s="41"/>
      <c r="AX76" s="428"/>
      <c r="AY76" s="473"/>
      <c r="AZ76" s="473">
        <v>0</v>
      </c>
      <c r="BA76" s="473"/>
      <c r="BB76" s="41"/>
      <c r="BC76" s="428"/>
      <c r="BD76" s="473"/>
      <c r="BE76" s="473">
        <v>0</v>
      </c>
      <c r="BF76" s="473"/>
      <c r="BG76" s="41"/>
      <c r="BH76" s="428"/>
      <c r="BI76" s="473"/>
      <c r="BJ76" s="473">
        <v>0</v>
      </c>
      <c r="BK76" s="473"/>
      <c r="BL76" s="41"/>
      <c r="BM76" s="428"/>
      <c r="BN76" s="473"/>
      <c r="BO76" s="473">
        <v>0</v>
      </c>
      <c r="BP76" s="473"/>
      <c r="BQ76" s="41"/>
      <c r="BR76" s="428"/>
      <c r="BS76" s="473"/>
      <c r="BT76" s="473">
        <v>0</v>
      </c>
      <c r="BU76" s="473"/>
      <c r="BV76" s="722"/>
    </row>
    <row r="77" spans="1:76" ht="12.75" customHeight="1" x14ac:dyDescent="0.2">
      <c r="A77" s="317"/>
      <c r="B77" s="317"/>
      <c r="D77" s="340" t="s">
        <v>240</v>
      </c>
      <c r="E77" s="347"/>
      <c r="F77" s="347"/>
      <c r="G77" s="422">
        <v>68212000</v>
      </c>
      <c r="H77" s="50"/>
      <c r="I77" s="51"/>
      <c r="J77" s="144"/>
      <c r="K77" s="144"/>
      <c r="L77" s="422">
        <v>0</v>
      </c>
      <c r="M77" s="50"/>
      <c r="N77" s="51"/>
      <c r="O77" s="144"/>
      <c r="P77" s="144"/>
      <c r="Q77" s="422">
        <v>0</v>
      </c>
      <c r="R77" s="50"/>
      <c r="S77" s="51"/>
      <c r="T77" s="144"/>
      <c r="U77" s="144"/>
      <c r="V77" s="422">
        <v>0</v>
      </c>
      <c r="W77" s="50"/>
      <c r="X77" s="51"/>
      <c r="Y77" s="144"/>
      <c r="Z77" s="144"/>
      <c r="AA77" s="422">
        <v>0</v>
      </c>
      <c r="AB77" s="50"/>
      <c r="AC77" s="51"/>
      <c r="AD77" s="144"/>
      <c r="AE77" s="144"/>
      <c r="AF77" s="422">
        <v>0</v>
      </c>
      <c r="AG77" s="50"/>
      <c r="AH77" s="51"/>
      <c r="AI77" s="144"/>
      <c r="AJ77" s="144"/>
      <c r="AK77" s="422">
        <v>0</v>
      </c>
      <c r="AL77" s="50"/>
      <c r="AM77" s="51"/>
      <c r="AN77" s="144"/>
      <c r="AO77" s="144"/>
      <c r="AP77" s="422">
        <v>0</v>
      </c>
      <c r="AQ77" s="50"/>
      <c r="AR77" s="51"/>
      <c r="AS77" s="144"/>
      <c r="AT77" s="144"/>
      <c r="AU77" s="422">
        <v>0</v>
      </c>
      <c r="AV77" s="50"/>
      <c r="AW77" s="51"/>
      <c r="AX77" s="144"/>
      <c r="AY77" s="144"/>
      <c r="AZ77" s="422">
        <v>0</v>
      </c>
      <c r="BA77" s="50"/>
      <c r="BB77" s="51"/>
      <c r="BC77" s="144"/>
      <c r="BD77" s="144"/>
      <c r="BE77" s="422">
        <v>0</v>
      </c>
      <c r="BF77" s="50"/>
      <c r="BG77" s="51"/>
      <c r="BH77" s="144"/>
      <c r="BI77" s="144"/>
      <c r="BJ77" s="422">
        <v>0</v>
      </c>
      <c r="BK77" s="50"/>
      <c r="BL77" s="51"/>
      <c r="BM77" s="144"/>
      <c r="BN77" s="144"/>
      <c r="BO77" s="422">
        <v>0</v>
      </c>
      <c r="BP77" s="50"/>
      <c r="BQ77" s="51"/>
      <c r="BR77" s="144"/>
      <c r="BS77" s="144"/>
      <c r="BT77" s="51">
        <v>0</v>
      </c>
      <c r="BU77" s="50"/>
      <c r="BV77" s="721"/>
      <c r="BW77" s="39"/>
      <c r="BX77" s="39"/>
    </row>
    <row r="78" spans="1:76" ht="12.75" hidden="1" customHeight="1" x14ac:dyDescent="0.2">
      <c r="A78" s="317"/>
      <c r="B78" s="317"/>
      <c r="D78" s="340" t="s">
        <v>241</v>
      </c>
      <c r="E78" s="347"/>
      <c r="F78" s="347"/>
      <c r="G78" s="376">
        <v>0</v>
      </c>
      <c r="H78" s="50"/>
      <c r="I78" s="51"/>
      <c r="J78" s="144"/>
      <c r="K78" s="144"/>
      <c r="L78" s="376">
        <v>0</v>
      </c>
      <c r="M78" s="50"/>
      <c r="N78" s="51"/>
      <c r="O78" s="144"/>
      <c r="P78" s="144"/>
      <c r="Q78" s="376">
        <v>0</v>
      </c>
      <c r="R78" s="50"/>
      <c r="S78" s="51"/>
      <c r="T78" s="144"/>
      <c r="U78" s="144"/>
      <c r="V78" s="376">
        <v>0</v>
      </c>
      <c r="W78" s="50"/>
      <c r="X78" s="51"/>
      <c r="Y78" s="144"/>
      <c r="Z78" s="144"/>
      <c r="AA78" s="376">
        <v>0</v>
      </c>
      <c r="AB78" s="50"/>
      <c r="AC78" s="51"/>
      <c r="AD78" s="144"/>
      <c r="AE78" s="144"/>
      <c r="AF78" s="376">
        <v>0</v>
      </c>
      <c r="AG78" s="50"/>
      <c r="AH78" s="51"/>
      <c r="AI78" s="144"/>
      <c r="AJ78" s="144"/>
      <c r="AK78" s="376">
        <v>0</v>
      </c>
      <c r="AL78" s="50"/>
      <c r="AM78" s="51"/>
      <c r="AN78" s="144"/>
      <c r="AO78" s="144"/>
      <c r="AP78" s="376">
        <v>0</v>
      </c>
      <c r="AQ78" s="50"/>
      <c r="AR78" s="51"/>
      <c r="AS78" s="144"/>
      <c r="AT78" s="144"/>
      <c r="AU78" s="376">
        <v>0</v>
      </c>
      <c r="AV78" s="50"/>
      <c r="AW78" s="51"/>
      <c r="AX78" s="144"/>
      <c r="AY78" s="144"/>
      <c r="AZ78" s="376">
        <v>0</v>
      </c>
      <c r="BA78" s="50"/>
      <c r="BB78" s="51"/>
      <c r="BC78" s="144"/>
      <c r="BD78" s="144"/>
      <c r="BE78" s="376">
        <v>0</v>
      </c>
      <c r="BF78" s="50"/>
      <c r="BG78" s="51"/>
      <c r="BH78" s="144"/>
      <c r="BI78" s="144"/>
      <c r="BJ78" s="376">
        <v>0</v>
      </c>
      <c r="BK78" s="50"/>
      <c r="BL78" s="51"/>
      <c r="BM78" s="144"/>
      <c r="BN78" s="144"/>
      <c r="BO78" s="376">
        <v>0</v>
      </c>
      <c r="BP78" s="50"/>
      <c r="BQ78" s="51"/>
      <c r="BR78" s="144"/>
      <c r="BS78" s="144"/>
      <c r="BT78" s="51">
        <v>0</v>
      </c>
      <c r="BU78" s="50"/>
      <c r="BV78" s="721"/>
      <c r="BW78" s="39"/>
      <c r="BX78" s="39"/>
    </row>
    <row r="79" spans="1:76" ht="12.75" hidden="1" customHeight="1" x14ac:dyDescent="0.2">
      <c r="A79" s="317"/>
      <c r="B79" s="317"/>
      <c r="D79" s="340" t="s">
        <v>242</v>
      </c>
      <c r="E79" s="347"/>
      <c r="F79" s="347"/>
      <c r="G79" s="376">
        <v>0</v>
      </c>
      <c r="H79" s="50"/>
      <c r="I79" s="51"/>
      <c r="J79" s="144"/>
      <c r="K79" s="144"/>
      <c r="L79" s="376">
        <v>0</v>
      </c>
      <c r="M79" s="50"/>
      <c r="N79" s="51"/>
      <c r="O79" s="144"/>
      <c r="P79" s="144"/>
      <c r="Q79" s="376">
        <v>0</v>
      </c>
      <c r="R79" s="50"/>
      <c r="S79" s="51"/>
      <c r="T79" s="144"/>
      <c r="U79" s="144"/>
      <c r="V79" s="376">
        <v>0</v>
      </c>
      <c r="W79" s="50"/>
      <c r="X79" s="51"/>
      <c r="Y79" s="144"/>
      <c r="Z79" s="144"/>
      <c r="AA79" s="376">
        <v>0</v>
      </c>
      <c r="AB79" s="50"/>
      <c r="AC79" s="51"/>
      <c r="AD79" s="144"/>
      <c r="AE79" s="144"/>
      <c r="AF79" s="376">
        <v>0</v>
      </c>
      <c r="AG79" s="50"/>
      <c r="AH79" s="51"/>
      <c r="AI79" s="144"/>
      <c r="AJ79" s="144"/>
      <c r="AK79" s="376">
        <v>0</v>
      </c>
      <c r="AL79" s="50"/>
      <c r="AM79" s="51"/>
      <c r="AN79" s="144"/>
      <c r="AO79" s="144"/>
      <c r="AP79" s="376">
        <v>0</v>
      </c>
      <c r="AQ79" s="50"/>
      <c r="AR79" s="51"/>
      <c r="AS79" s="144"/>
      <c r="AT79" s="144"/>
      <c r="AU79" s="376">
        <v>0</v>
      </c>
      <c r="AV79" s="50"/>
      <c r="AW79" s="51"/>
      <c r="AX79" s="144"/>
      <c r="AY79" s="144"/>
      <c r="AZ79" s="376">
        <v>0</v>
      </c>
      <c r="BA79" s="50"/>
      <c r="BB79" s="51"/>
      <c r="BC79" s="144"/>
      <c r="BD79" s="144"/>
      <c r="BE79" s="376">
        <v>0</v>
      </c>
      <c r="BF79" s="50"/>
      <c r="BG79" s="51"/>
      <c r="BH79" s="144"/>
      <c r="BI79" s="144"/>
      <c r="BJ79" s="376">
        <v>0</v>
      </c>
      <c r="BK79" s="50"/>
      <c r="BL79" s="51"/>
      <c r="BM79" s="144"/>
      <c r="BN79" s="144"/>
      <c r="BO79" s="376">
        <v>0</v>
      </c>
      <c r="BP79" s="50"/>
      <c r="BQ79" s="51"/>
      <c r="BR79" s="144"/>
      <c r="BS79" s="144"/>
      <c r="BT79" s="51">
        <v>0</v>
      </c>
      <c r="BU79" s="50"/>
      <c r="BV79" s="721"/>
      <c r="BW79" s="39"/>
      <c r="BX79" s="39"/>
    </row>
    <row r="80" spans="1:76" ht="12.75" hidden="1" customHeight="1" x14ac:dyDescent="0.2">
      <c r="A80" s="317"/>
      <c r="B80" s="317"/>
      <c r="D80" s="340" t="s">
        <v>243</v>
      </c>
      <c r="E80" s="347"/>
      <c r="F80" s="347"/>
      <c r="G80" s="376">
        <v>0</v>
      </c>
      <c r="H80" s="50"/>
      <c r="I80" s="51"/>
      <c r="J80" s="144"/>
      <c r="K80" s="144"/>
      <c r="L80" s="376">
        <v>0</v>
      </c>
      <c r="M80" s="50"/>
      <c r="N80" s="51"/>
      <c r="O80" s="144"/>
      <c r="P80" s="144"/>
      <c r="Q80" s="376">
        <v>0</v>
      </c>
      <c r="R80" s="50"/>
      <c r="S80" s="51"/>
      <c r="T80" s="144"/>
      <c r="U80" s="144"/>
      <c r="V80" s="376">
        <v>0</v>
      </c>
      <c r="W80" s="50"/>
      <c r="X80" s="51"/>
      <c r="Y80" s="144"/>
      <c r="Z80" s="144"/>
      <c r="AA80" s="376">
        <v>0</v>
      </c>
      <c r="AB80" s="50"/>
      <c r="AC80" s="51"/>
      <c r="AD80" s="144"/>
      <c r="AE80" s="144"/>
      <c r="AF80" s="376">
        <v>0</v>
      </c>
      <c r="AG80" s="50"/>
      <c r="AH80" s="51"/>
      <c r="AI80" s="144"/>
      <c r="AJ80" s="144"/>
      <c r="AK80" s="376">
        <v>0</v>
      </c>
      <c r="AL80" s="50"/>
      <c r="AM80" s="51"/>
      <c r="AN80" s="144"/>
      <c r="AO80" s="144"/>
      <c r="AP80" s="376">
        <v>0</v>
      </c>
      <c r="AQ80" s="50"/>
      <c r="AR80" s="51"/>
      <c r="AS80" s="144"/>
      <c r="AT80" s="144"/>
      <c r="AU80" s="376">
        <v>0</v>
      </c>
      <c r="AV80" s="50"/>
      <c r="AW80" s="51"/>
      <c r="AX80" s="144"/>
      <c r="AY80" s="144"/>
      <c r="AZ80" s="376">
        <v>0</v>
      </c>
      <c r="BA80" s="50"/>
      <c r="BB80" s="51"/>
      <c r="BC80" s="144"/>
      <c r="BD80" s="144"/>
      <c r="BE80" s="376">
        <v>0</v>
      </c>
      <c r="BF80" s="50"/>
      <c r="BG80" s="51"/>
      <c r="BH80" s="144"/>
      <c r="BI80" s="144"/>
      <c r="BJ80" s="376">
        <v>0</v>
      </c>
      <c r="BK80" s="50"/>
      <c r="BL80" s="51"/>
      <c r="BM80" s="144"/>
      <c r="BN80" s="144"/>
      <c r="BO80" s="376">
        <v>0</v>
      </c>
      <c r="BP80" s="50"/>
      <c r="BQ80" s="51"/>
      <c r="BR80" s="144"/>
      <c r="BS80" s="144"/>
      <c r="BT80" s="51">
        <v>0</v>
      </c>
      <c r="BU80" s="50"/>
      <c r="BV80" s="721"/>
      <c r="BW80" s="39"/>
      <c r="BX80" s="39"/>
    </row>
    <row r="81" spans="1:76" ht="12.75" hidden="1" customHeight="1" x14ac:dyDescent="0.2">
      <c r="A81" s="317"/>
      <c r="B81" s="317"/>
      <c r="D81" s="340" t="s">
        <v>201</v>
      </c>
      <c r="E81" s="347"/>
      <c r="F81" s="347"/>
      <c r="G81" s="376">
        <v>0</v>
      </c>
      <c r="H81" s="50"/>
      <c r="I81" s="51"/>
      <c r="J81" s="144"/>
      <c r="K81" s="144"/>
      <c r="L81" s="376">
        <v>0</v>
      </c>
      <c r="M81" s="50"/>
      <c r="N81" s="51"/>
      <c r="O81" s="144"/>
      <c r="P81" s="144"/>
      <c r="Q81" s="376">
        <v>0</v>
      </c>
      <c r="R81" s="50"/>
      <c r="S81" s="51"/>
      <c r="T81" s="144"/>
      <c r="U81" s="144"/>
      <c r="V81" s="376">
        <v>0</v>
      </c>
      <c r="W81" s="50"/>
      <c r="X81" s="51"/>
      <c r="Y81" s="144"/>
      <c r="Z81" s="144"/>
      <c r="AA81" s="376">
        <v>0</v>
      </c>
      <c r="AB81" s="50"/>
      <c r="AC81" s="51"/>
      <c r="AD81" s="144"/>
      <c r="AE81" s="144"/>
      <c r="AF81" s="376">
        <v>0</v>
      </c>
      <c r="AG81" s="50"/>
      <c r="AH81" s="51"/>
      <c r="AI81" s="144"/>
      <c r="AJ81" s="144"/>
      <c r="AK81" s="376">
        <v>0</v>
      </c>
      <c r="AL81" s="50"/>
      <c r="AM81" s="51"/>
      <c r="AN81" s="144"/>
      <c r="AO81" s="144"/>
      <c r="AP81" s="376">
        <v>0</v>
      </c>
      <c r="AQ81" s="50"/>
      <c r="AR81" s="51"/>
      <c r="AS81" s="144"/>
      <c r="AT81" s="144"/>
      <c r="AU81" s="376">
        <v>0</v>
      </c>
      <c r="AV81" s="50"/>
      <c r="AW81" s="51"/>
      <c r="AX81" s="144"/>
      <c r="AY81" s="144"/>
      <c r="AZ81" s="376">
        <v>0</v>
      </c>
      <c r="BA81" s="50"/>
      <c r="BB81" s="51"/>
      <c r="BC81" s="144"/>
      <c r="BD81" s="144"/>
      <c r="BE81" s="376">
        <v>0</v>
      </c>
      <c r="BF81" s="50"/>
      <c r="BG81" s="51"/>
      <c r="BH81" s="144"/>
      <c r="BI81" s="144"/>
      <c r="BJ81" s="376">
        <v>0</v>
      </c>
      <c r="BK81" s="50"/>
      <c r="BL81" s="51"/>
      <c r="BM81" s="144"/>
      <c r="BN81" s="144"/>
      <c r="BO81" s="376">
        <v>0</v>
      </c>
      <c r="BP81" s="50"/>
      <c r="BQ81" s="51"/>
      <c r="BR81" s="144"/>
      <c r="BS81" s="144"/>
      <c r="BT81" s="51">
        <v>0</v>
      </c>
      <c r="BU81" s="50"/>
      <c r="BV81" s="721"/>
      <c r="BW81" s="39"/>
      <c r="BX81" s="39"/>
    </row>
    <row r="82" spans="1:76" ht="12.75" hidden="1" customHeight="1" x14ac:dyDescent="0.2">
      <c r="A82" s="317"/>
      <c r="B82" s="317"/>
      <c r="D82" s="340" t="s">
        <v>202</v>
      </c>
      <c r="E82" s="347"/>
      <c r="F82" s="347"/>
      <c r="G82" s="376">
        <v>0</v>
      </c>
      <c r="H82" s="50"/>
      <c r="I82" s="51"/>
      <c r="J82" s="144"/>
      <c r="K82" s="144"/>
      <c r="L82" s="376">
        <v>0</v>
      </c>
      <c r="M82" s="50"/>
      <c r="N82" s="51"/>
      <c r="O82" s="144"/>
      <c r="P82" s="144"/>
      <c r="Q82" s="376">
        <v>0</v>
      </c>
      <c r="R82" s="50"/>
      <c r="S82" s="51"/>
      <c r="T82" s="144"/>
      <c r="U82" s="144"/>
      <c r="V82" s="376">
        <v>0</v>
      </c>
      <c r="W82" s="50"/>
      <c r="X82" s="51"/>
      <c r="Y82" s="144"/>
      <c r="Z82" s="144"/>
      <c r="AA82" s="376">
        <v>0</v>
      </c>
      <c r="AB82" s="50"/>
      <c r="AC82" s="51"/>
      <c r="AD82" s="144"/>
      <c r="AE82" s="144"/>
      <c r="AF82" s="376">
        <v>0</v>
      </c>
      <c r="AG82" s="50"/>
      <c r="AH82" s="51"/>
      <c r="AI82" s="144"/>
      <c r="AJ82" s="144"/>
      <c r="AK82" s="376">
        <v>0</v>
      </c>
      <c r="AL82" s="50"/>
      <c r="AM82" s="51"/>
      <c r="AN82" s="144"/>
      <c r="AO82" s="144"/>
      <c r="AP82" s="376">
        <v>0</v>
      </c>
      <c r="AQ82" s="50"/>
      <c r="AR82" s="51"/>
      <c r="AS82" s="144"/>
      <c r="AT82" s="144"/>
      <c r="AU82" s="376">
        <v>0</v>
      </c>
      <c r="AV82" s="50"/>
      <c r="AW82" s="51"/>
      <c r="AX82" s="144"/>
      <c r="AY82" s="144"/>
      <c r="AZ82" s="376">
        <v>0</v>
      </c>
      <c r="BA82" s="50"/>
      <c r="BB82" s="51"/>
      <c r="BC82" s="144"/>
      <c r="BD82" s="144"/>
      <c r="BE82" s="376">
        <v>0</v>
      </c>
      <c r="BF82" s="50"/>
      <c r="BG82" s="51"/>
      <c r="BH82" s="144"/>
      <c r="BI82" s="144"/>
      <c r="BJ82" s="376">
        <v>0</v>
      </c>
      <c r="BK82" s="50"/>
      <c r="BL82" s="51"/>
      <c r="BM82" s="144"/>
      <c r="BN82" s="144"/>
      <c r="BO82" s="376">
        <v>0</v>
      </c>
      <c r="BP82" s="50"/>
      <c r="BQ82" s="51"/>
      <c r="BR82" s="144"/>
      <c r="BS82" s="144"/>
      <c r="BT82" s="51">
        <v>0</v>
      </c>
      <c r="BU82" s="50"/>
      <c r="BV82" s="721"/>
      <c r="BW82" s="39"/>
      <c r="BX82" s="39"/>
    </row>
    <row r="83" spans="1:76" ht="12.75" hidden="1" customHeight="1" x14ac:dyDescent="0.2">
      <c r="A83" s="317"/>
      <c r="B83" s="317"/>
      <c r="D83" s="340" t="s">
        <v>203</v>
      </c>
      <c r="E83" s="347"/>
      <c r="F83" s="347"/>
      <c r="G83" s="376">
        <v>0</v>
      </c>
      <c r="H83" s="50"/>
      <c r="I83" s="51"/>
      <c r="J83" s="144"/>
      <c r="K83" s="144"/>
      <c r="L83" s="376">
        <v>0</v>
      </c>
      <c r="M83" s="50"/>
      <c r="N83" s="51"/>
      <c r="O83" s="144"/>
      <c r="P83" s="144"/>
      <c r="Q83" s="376">
        <v>0</v>
      </c>
      <c r="R83" s="50"/>
      <c r="S83" s="51"/>
      <c r="T83" s="144"/>
      <c r="U83" s="144"/>
      <c r="V83" s="376">
        <v>0</v>
      </c>
      <c r="W83" s="50"/>
      <c r="X83" s="51"/>
      <c r="Y83" s="144"/>
      <c r="Z83" s="144"/>
      <c r="AA83" s="376">
        <v>0</v>
      </c>
      <c r="AB83" s="50"/>
      <c r="AC83" s="51"/>
      <c r="AD83" s="144"/>
      <c r="AE83" s="144"/>
      <c r="AF83" s="376">
        <v>0</v>
      </c>
      <c r="AG83" s="50"/>
      <c r="AH83" s="51"/>
      <c r="AI83" s="144"/>
      <c r="AJ83" s="144"/>
      <c r="AK83" s="376">
        <v>0</v>
      </c>
      <c r="AL83" s="50"/>
      <c r="AM83" s="51"/>
      <c r="AN83" s="144"/>
      <c r="AO83" s="144"/>
      <c r="AP83" s="376">
        <v>0</v>
      </c>
      <c r="AQ83" s="50"/>
      <c r="AR83" s="51"/>
      <c r="AS83" s="144"/>
      <c r="AT83" s="144"/>
      <c r="AU83" s="376">
        <v>0</v>
      </c>
      <c r="AV83" s="50"/>
      <c r="AW83" s="51"/>
      <c r="AX83" s="144"/>
      <c r="AY83" s="144"/>
      <c r="AZ83" s="376">
        <v>0</v>
      </c>
      <c r="BA83" s="50"/>
      <c r="BB83" s="51"/>
      <c r="BC83" s="144"/>
      <c r="BD83" s="144"/>
      <c r="BE83" s="376">
        <v>0</v>
      </c>
      <c r="BF83" s="50"/>
      <c r="BG83" s="51"/>
      <c r="BH83" s="144"/>
      <c r="BI83" s="144"/>
      <c r="BJ83" s="376">
        <v>0</v>
      </c>
      <c r="BK83" s="50"/>
      <c r="BL83" s="51"/>
      <c r="BM83" s="144"/>
      <c r="BN83" s="144"/>
      <c r="BO83" s="376">
        <v>0</v>
      </c>
      <c r="BP83" s="50"/>
      <c r="BQ83" s="51"/>
      <c r="BR83" s="144"/>
      <c r="BS83" s="144"/>
      <c r="BT83" s="51">
        <v>0</v>
      </c>
      <c r="BU83" s="50"/>
      <c r="BV83" s="721"/>
      <c r="BW83" s="39"/>
      <c r="BX83" s="39"/>
    </row>
    <row r="84" spans="1:76" ht="12.75" hidden="1" customHeight="1" x14ac:dyDescent="0.2">
      <c r="A84" s="317"/>
      <c r="B84" s="317"/>
      <c r="D84" s="340" t="s">
        <v>204</v>
      </c>
      <c r="E84" s="347"/>
      <c r="F84" s="347"/>
      <c r="G84" s="376">
        <v>0</v>
      </c>
      <c r="H84" s="50"/>
      <c r="I84" s="51"/>
      <c r="J84" s="144"/>
      <c r="K84" s="144"/>
      <c r="L84" s="376">
        <v>0</v>
      </c>
      <c r="M84" s="50"/>
      <c r="N84" s="51"/>
      <c r="O84" s="144"/>
      <c r="P84" s="144"/>
      <c r="Q84" s="376">
        <v>0</v>
      </c>
      <c r="R84" s="50"/>
      <c r="S84" s="51"/>
      <c r="T84" s="144"/>
      <c r="U84" s="144"/>
      <c r="V84" s="376">
        <v>0</v>
      </c>
      <c r="W84" s="50"/>
      <c r="X84" s="51"/>
      <c r="Y84" s="144"/>
      <c r="Z84" s="144"/>
      <c r="AA84" s="376">
        <v>0</v>
      </c>
      <c r="AB84" s="50"/>
      <c r="AC84" s="51"/>
      <c r="AD84" s="144"/>
      <c r="AE84" s="144"/>
      <c r="AF84" s="376">
        <v>0</v>
      </c>
      <c r="AG84" s="50"/>
      <c r="AH84" s="51"/>
      <c r="AI84" s="144"/>
      <c r="AJ84" s="144"/>
      <c r="AK84" s="376">
        <v>0</v>
      </c>
      <c r="AL84" s="50"/>
      <c r="AM84" s="51"/>
      <c r="AN84" s="144"/>
      <c r="AO84" s="144"/>
      <c r="AP84" s="376">
        <v>0</v>
      </c>
      <c r="AQ84" s="50"/>
      <c r="AR84" s="51"/>
      <c r="AS84" s="144"/>
      <c r="AT84" s="144"/>
      <c r="AU84" s="376">
        <v>0</v>
      </c>
      <c r="AV84" s="50"/>
      <c r="AW84" s="51"/>
      <c r="AX84" s="144"/>
      <c r="AY84" s="144"/>
      <c r="AZ84" s="376">
        <v>0</v>
      </c>
      <c r="BA84" s="50"/>
      <c r="BB84" s="51"/>
      <c r="BC84" s="144"/>
      <c r="BD84" s="144"/>
      <c r="BE84" s="376">
        <v>0</v>
      </c>
      <c r="BF84" s="50"/>
      <c r="BG84" s="51"/>
      <c r="BH84" s="144"/>
      <c r="BI84" s="144"/>
      <c r="BJ84" s="376">
        <v>0</v>
      </c>
      <c r="BK84" s="50"/>
      <c r="BL84" s="51"/>
      <c r="BM84" s="144"/>
      <c r="BN84" s="144"/>
      <c r="BO84" s="376">
        <v>0</v>
      </c>
      <c r="BP84" s="50"/>
      <c r="BQ84" s="51"/>
      <c r="BR84" s="144"/>
      <c r="BS84" s="144"/>
      <c r="BT84" s="51">
        <v>0</v>
      </c>
      <c r="BU84" s="50"/>
      <c r="BV84" s="721"/>
      <c r="BW84" s="39"/>
      <c r="BX84" s="39"/>
    </row>
    <row r="85" spans="1:76" ht="12.75" hidden="1" customHeight="1" x14ac:dyDescent="0.2">
      <c r="A85" s="317"/>
      <c r="B85" s="317"/>
      <c r="D85" s="340" t="s">
        <v>205</v>
      </c>
      <c r="E85" s="347"/>
      <c r="F85" s="347"/>
      <c r="G85" s="376">
        <v>0</v>
      </c>
      <c r="H85" s="50"/>
      <c r="I85" s="51"/>
      <c r="J85" s="144"/>
      <c r="K85" s="144"/>
      <c r="L85" s="376">
        <v>0</v>
      </c>
      <c r="M85" s="50"/>
      <c r="N85" s="51"/>
      <c r="O85" s="144"/>
      <c r="P85" s="144"/>
      <c r="Q85" s="376">
        <v>0</v>
      </c>
      <c r="R85" s="50"/>
      <c r="S85" s="51"/>
      <c r="T85" s="144"/>
      <c r="U85" s="144"/>
      <c r="V85" s="376">
        <v>0</v>
      </c>
      <c r="W85" s="50"/>
      <c r="X85" s="51"/>
      <c r="Y85" s="144"/>
      <c r="Z85" s="144"/>
      <c r="AA85" s="376">
        <v>0</v>
      </c>
      <c r="AB85" s="50"/>
      <c r="AC85" s="51"/>
      <c r="AD85" s="144"/>
      <c r="AE85" s="144"/>
      <c r="AF85" s="376">
        <v>0</v>
      </c>
      <c r="AG85" s="50"/>
      <c r="AH85" s="51"/>
      <c r="AI85" s="144"/>
      <c r="AJ85" s="144"/>
      <c r="AK85" s="376">
        <v>0</v>
      </c>
      <c r="AL85" s="50"/>
      <c r="AM85" s="51"/>
      <c r="AN85" s="144"/>
      <c r="AO85" s="144"/>
      <c r="AP85" s="376">
        <v>0</v>
      </c>
      <c r="AQ85" s="50"/>
      <c r="AR85" s="51"/>
      <c r="AS85" s="144"/>
      <c r="AT85" s="144"/>
      <c r="AU85" s="376">
        <v>0</v>
      </c>
      <c r="AV85" s="50"/>
      <c r="AW85" s="51"/>
      <c r="AX85" s="144"/>
      <c r="AY85" s="144"/>
      <c r="AZ85" s="376">
        <v>0</v>
      </c>
      <c r="BA85" s="50"/>
      <c r="BB85" s="51"/>
      <c r="BC85" s="144"/>
      <c r="BD85" s="144"/>
      <c r="BE85" s="376">
        <v>0</v>
      </c>
      <c r="BF85" s="50"/>
      <c r="BG85" s="51"/>
      <c r="BH85" s="144"/>
      <c r="BI85" s="144"/>
      <c r="BJ85" s="376">
        <v>0</v>
      </c>
      <c r="BK85" s="50"/>
      <c r="BL85" s="51"/>
      <c r="BM85" s="144"/>
      <c r="BN85" s="144"/>
      <c r="BO85" s="376">
        <v>0</v>
      </c>
      <c r="BP85" s="50"/>
      <c r="BQ85" s="51"/>
      <c r="BR85" s="144"/>
      <c r="BS85" s="144"/>
      <c r="BT85" s="51">
        <v>0</v>
      </c>
      <c r="BU85" s="50"/>
      <c r="BV85" s="721"/>
      <c r="BW85" s="39"/>
      <c r="BX85" s="39"/>
    </row>
    <row r="86" spans="1:76" ht="12.75" hidden="1" customHeight="1" x14ac:dyDescent="0.2">
      <c r="A86" s="317"/>
      <c r="B86" s="317"/>
      <c r="D86" s="340" t="s">
        <v>206</v>
      </c>
      <c r="E86" s="347"/>
      <c r="F86" s="347"/>
      <c r="G86" s="51">
        <v>0</v>
      </c>
      <c r="H86" s="50"/>
      <c r="I86" s="51"/>
      <c r="J86" s="144"/>
      <c r="K86" s="144"/>
      <c r="L86" s="51">
        <v>0</v>
      </c>
      <c r="M86" s="50"/>
      <c r="N86" s="51"/>
      <c r="O86" s="144"/>
      <c r="P86" s="144"/>
      <c r="Q86" s="51">
        <v>0</v>
      </c>
      <c r="R86" s="50"/>
      <c r="S86" s="51"/>
      <c r="T86" s="144"/>
      <c r="U86" s="144"/>
      <c r="V86" s="51">
        <v>0</v>
      </c>
      <c r="W86" s="50"/>
      <c r="X86" s="51"/>
      <c r="Y86" s="144"/>
      <c r="Z86" s="144"/>
      <c r="AA86" s="51">
        <v>0</v>
      </c>
      <c r="AB86" s="50"/>
      <c r="AC86" s="51"/>
      <c r="AD86" s="144"/>
      <c r="AE86" s="144"/>
      <c r="AF86" s="51">
        <v>0</v>
      </c>
      <c r="AG86" s="50"/>
      <c r="AH86" s="51"/>
      <c r="AI86" s="144"/>
      <c r="AJ86" s="144"/>
      <c r="AK86" s="51">
        <v>0</v>
      </c>
      <c r="AL86" s="50"/>
      <c r="AM86" s="51"/>
      <c r="AN86" s="144"/>
      <c r="AO86" s="144"/>
      <c r="AP86" s="51">
        <v>0</v>
      </c>
      <c r="AQ86" s="50"/>
      <c r="AR86" s="51"/>
      <c r="AS86" s="144"/>
      <c r="AT86" s="144"/>
      <c r="AU86" s="51">
        <v>0</v>
      </c>
      <c r="AV86" s="50"/>
      <c r="AW86" s="51"/>
      <c r="AX86" s="144"/>
      <c r="AY86" s="144"/>
      <c r="AZ86" s="51">
        <v>0</v>
      </c>
      <c r="BA86" s="50"/>
      <c r="BB86" s="51"/>
      <c r="BC86" s="144"/>
      <c r="BD86" s="144"/>
      <c r="BE86" s="51">
        <v>0</v>
      </c>
      <c r="BF86" s="50"/>
      <c r="BG86" s="51"/>
      <c r="BH86" s="144"/>
      <c r="BI86" s="144"/>
      <c r="BJ86" s="51">
        <v>0</v>
      </c>
      <c r="BK86" s="50"/>
      <c r="BL86" s="51"/>
      <c r="BM86" s="144"/>
      <c r="BN86" s="144"/>
      <c r="BO86" s="51">
        <v>0</v>
      </c>
      <c r="BP86" s="50"/>
      <c r="BQ86" s="51"/>
      <c r="BR86" s="144"/>
      <c r="BS86" s="144"/>
      <c r="BT86" s="51">
        <v>0</v>
      </c>
      <c r="BU86" s="50"/>
      <c r="BV86" s="721"/>
      <c r="BW86" s="39"/>
      <c r="BX86" s="39"/>
    </row>
    <row r="87" spans="1:76" ht="12.75" hidden="1" customHeight="1" x14ac:dyDescent="0.2">
      <c r="A87" s="317"/>
      <c r="B87" s="317"/>
      <c r="D87" s="340" t="s">
        <v>207</v>
      </c>
      <c r="E87" s="347"/>
      <c r="F87" s="347"/>
      <c r="G87" s="51">
        <v>0</v>
      </c>
      <c r="H87" s="50"/>
      <c r="I87" s="51"/>
      <c r="J87" s="144"/>
      <c r="K87" s="144"/>
      <c r="L87" s="51">
        <v>0</v>
      </c>
      <c r="M87" s="50"/>
      <c r="N87" s="51"/>
      <c r="O87" s="144"/>
      <c r="P87" s="144"/>
      <c r="Q87" s="51">
        <v>0</v>
      </c>
      <c r="R87" s="50"/>
      <c r="S87" s="51"/>
      <c r="T87" s="144"/>
      <c r="U87" s="144"/>
      <c r="V87" s="51">
        <v>0</v>
      </c>
      <c r="W87" s="50"/>
      <c r="X87" s="51"/>
      <c r="Y87" s="144"/>
      <c r="Z87" s="144"/>
      <c r="AA87" s="51">
        <v>0</v>
      </c>
      <c r="AB87" s="50"/>
      <c r="AC87" s="51"/>
      <c r="AD87" s="144"/>
      <c r="AE87" s="144"/>
      <c r="AF87" s="51">
        <v>0</v>
      </c>
      <c r="AG87" s="50"/>
      <c r="AH87" s="51"/>
      <c r="AI87" s="144"/>
      <c r="AJ87" s="144"/>
      <c r="AK87" s="51">
        <v>0</v>
      </c>
      <c r="AL87" s="50"/>
      <c r="AM87" s="51"/>
      <c r="AN87" s="144"/>
      <c r="AO87" s="144"/>
      <c r="AP87" s="51">
        <v>0</v>
      </c>
      <c r="AQ87" s="50"/>
      <c r="AR87" s="51"/>
      <c r="AS87" s="144"/>
      <c r="AT87" s="144"/>
      <c r="AU87" s="51">
        <v>0</v>
      </c>
      <c r="AV87" s="50"/>
      <c r="AW87" s="51"/>
      <c r="AX87" s="144"/>
      <c r="AY87" s="144"/>
      <c r="AZ87" s="51">
        <v>0</v>
      </c>
      <c r="BA87" s="50"/>
      <c r="BB87" s="51"/>
      <c r="BC87" s="144"/>
      <c r="BD87" s="144"/>
      <c r="BE87" s="51">
        <v>0</v>
      </c>
      <c r="BF87" s="50"/>
      <c r="BG87" s="51"/>
      <c r="BH87" s="144"/>
      <c r="BI87" s="144"/>
      <c r="BJ87" s="51">
        <v>0</v>
      </c>
      <c r="BK87" s="50"/>
      <c r="BL87" s="51"/>
      <c r="BM87" s="144"/>
      <c r="BN87" s="144"/>
      <c r="BO87" s="51">
        <v>0</v>
      </c>
      <c r="BP87" s="50"/>
      <c r="BQ87" s="51"/>
      <c r="BR87" s="144"/>
      <c r="BS87" s="144"/>
      <c r="BT87" s="51">
        <v>0</v>
      </c>
      <c r="BU87" s="50"/>
      <c r="BV87" s="721"/>
      <c r="BW87" s="39"/>
      <c r="BX87" s="39"/>
    </row>
    <row r="88" spans="1:76" ht="12.75" hidden="1" customHeight="1" x14ac:dyDescent="0.2">
      <c r="A88" s="317"/>
      <c r="B88" s="317"/>
      <c r="D88" s="340" t="s">
        <v>208</v>
      </c>
      <c r="E88" s="347"/>
      <c r="F88" s="347"/>
      <c r="G88" s="51">
        <v>0</v>
      </c>
      <c r="H88" s="50"/>
      <c r="I88" s="51"/>
      <c r="J88" s="144"/>
      <c r="K88" s="144"/>
      <c r="L88" s="51">
        <v>0</v>
      </c>
      <c r="M88" s="50"/>
      <c r="N88" s="51"/>
      <c r="O88" s="144"/>
      <c r="P88" s="144"/>
      <c r="Q88" s="51">
        <v>0</v>
      </c>
      <c r="R88" s="50"/>
      <c r="S88" s="51"/>
      <c r="T88" s="144"/>
      <c r="U88" s="144"/>
      <c r="V88" s="51">
        <v>0</v>
      </c>
      <c r="W88" s="50"/>
      <c r="X88" s="51"/>
      <c r="Y88" s="144"/>
      <c r="Z88" s="144"/>
      <c r="AA88" s="51">
        <v>0</v>
      </c>
      <c r="AB88" s="50"/>
      <c r="AC88" s="51"/>
      <c r="AD88" s="144"/>
      <c r="AE88" s="144"/>
      <c r="AF88" s="51">
        <v>0</v>
      </c>
      <c r="AG88" s="50"/>
      <c r="AH88" s="51"/>
      <c r="AI88" s="144"/>
      <c r="AJ88" s="144"/>
      <c r="AK88" s="51">
        <v>0</v>
      </c>
      <c r="AL88" s="50"/>
      <c r="AM88" s="51"/>
      <c r="AN88" s="144"/>
      <c r="AO88" s="144"/>
      <c r="AP88" s="51">
        <v>0</v>
      </c>
      <c r="AQ88" s="50"/>
      <c r="AR88" s="51"/>
      <c r="AS88" s="144"/>
      <c r="AT88" s="144"/>
      <c r="AU88" s="51">
        <v>0</v>
      </c>
      <c r="AV88" s="50"/>
      <c r="AW88" s="51"/>
      <c r="AX88" s="144"/>
      <c r="AY88" s="144"/>
      <c r="AZ88" s="51">
        <v>0</v>
      </c>
      <c r="BA88" s="50"/>
      <c r="BB88" s="51"/>
      <c r="BC88" s="144"/>
      <c r="BD88" s="144"/>
      <c r="BE88" s="51">
        <v>0</v>
      </c>
      <c r="BF88" s="50"/>
      <c r="BG88" s="51"/>
      <c r="BH88" s="144"/>
      <c r="BI88" s="144"/>
      <c r="BJ88" s="51">
        <v>0</v>
      </c>
      <c r="BK88" s="50"/>
      <c r="BL88" s="51"/>
      <c r="BM88" s="144"/>
      <c r="BN88" s="144"/>
      <c r="BO88" s="51">
        <v>0</v>
      </c>
      <c r="BP88" s="50"/>
      <c r="BQ88" s="51"/>
      <c r="BR88" s="144"/>
      <c r="BS88" s="144"/>
      <c r="BT88" s="51">
        <v>0</v>
      </c>
      <c r="BU88" s="50"/>
      <c r="BV88" s="721"/>
      <c r="BW88" s="39"/>
      <c r="BX88" s="39"/>
    </row>
    <row r="89" spans="1:76" ht="12.75" hidden="1" customHeight="1" x14ac:dyDescent="0.2">
      <c r="A89" s="317"/>
      <c r="B89" s="317"/>
      <c r="D89" s="340" t="s">
        <v>244</v>
      </c>
      <c r="E89" s="347"/>
      <c r="F89" s="347"/>
      <c r="G89" s="51">
        <v>0</v>
      </c>
      <c r="H89" s="50"/>
      <c r="I89" s="51"/>
      <c r="J89" s="144"/>
      <c r="K89" s="144"/>
      <c r="L89" s="51">
        <v>0</v>
      </c>
      <c r="M89" s="50"/>
      <c r="N89" s="51"/>
      <c r="O89" s="144"/>
      <c r="P89" s="144"/>
      <c r="Q89" s="51">
        <v>0</v>
      </c>
      <c r="R89" s="50"/>
      <c r="S89" s="51"/>
      <c r="T89" s="144"/>
      <c r="U89" s="144"/>
      <c r="V89" s="51">
        <v>0</v>
      </c>
      <c r="W89" s="50"/>
      <c r="X89" s="51"/>
      <c r="Y89" s="144"/>
      <c r="Z89" s="144"/>
      <c r="AA89" s="51">
        <v>0</v>
      </c>
      <c r="AB89" s="50"/>
      <c r="AC89" s="51"/>
      <c r="AD89" s="144"/>
      <c r="AE89" s="144"/>
      <c r="AF89" s="51">
        <v>0</v>
      </c>
      <c r="AG89" s="50"/>
      <c r="AH89" s="51"/>
      <c r="AI89" s="144"/>
      <c r="AJ89" s="144"/>
      <c r="AK89" s="51">
        <v>0</v>
      </c>
      <c r="AL89" s="50"/>
      <c r="AM89" s="51"/>
      <c r="AN89" s="144"/>
      <c r="AO89" s="144"/>
      <c r="AP89" s="51">
        <v>0</v>
      </c>
      <c r="AQ89" s="50"/>
      <c r="AR89" s="51"/>
      <c r="AS89" s="144"/>
      <c r="AT89" s="144"/>
      <c r="AU89" s="51">
        <v>0</v>
      </c>
      <c r="AV89" s="50"/>
      <c r="AW89" s="51"/>
      <c r="AX89" s="144"/>
      <c r="AY89" s="144"/>
      <c r="AZ89" s="51">
        <v>0</v>
      </c>
      <c r="BA89" s="50"/>
      <c r="BB89" s="51"/>
      <c r="BC89" s="144"/>
      <c r="BD89" s="144"/>
      <c r="BE89" s="51">
        <v>0</v>
      </c>
      <c r="BF89" s="50"/>
      <c r="BG89" s="51"/>
      <c r="BH89" s="144"/>
      <c r="BI89" s="144"/>
      <c r="BJ89" s="51">
        <v>0</v>
      </c>
      <c r="BK89" s="50"/>
      <c r="BL89" s="51"/>
      <c r="BM89" s="144"/>
      <c r="BN89" s="144"/>
      <c r="BO89" s="51">
        <v>0</v>
      </c>
      <c r="BP89" s="50"/>
      <c r="BQ89" s="51"/>
      <c r="BR89" s="144"/>
      <c r="BS89" s="144"/>
      <c r="BT89" s="51">
        <v>0</v>
      </c>
      <c r="BU89" s="50"/>
      <c r="BV89" s="721"/>
      <c r="BW89" s="39"/>
      <c r="BX89" s="39"/>
    </row>
    <row r="90" spans="1:76" ht="12.75" hidden="1" customHeight="1" x14ac:dyDescent="0.2">
      <c r="A90" s="317"/>
      <c r="B90" s="317"/>
      <c r="D90" s="340" t="s">
        <v>245</v>
      </c>
      <c r="E90" s="347"/>
      <c r="F90" s="347"/>
      <c r="G90" s="51">
        <v>0</v>
      </c>
      <c r="H90" s="50"/>
      <c r="I90" s="51"/>
      <c r="J90" s="144"/>
      <c r="K90" s="144"/>
      <c r="L90" s="51">
        <v>0</v>
      </c>
      <c r="M90" s="50"/>
      <c r="N90" s="51"/>
      <c r="O90" s="144"/>
      <c r="P90" s="144"/>
      <c r="Q90" s="51">
        <v>0</v>
      </c>
      <c r="R90" s="50"/>
      <c r="S90" s="51"/>
      <c r="T90" s="144"/>
      <c r="U90" s="144"/>
      <c r="V90" s="51">
        <v>0</v>
      </c>
      <c r="W90" s="50"/>
      <c r="X90" s="51"/>
      <c r="Y90" s="144"/>
      <c r="Z90" s="144"/>
      <c r="AA90" s="51">
        <v>0</v>
      </c>
      <c r="AB90" s="50"/>
      <c r="AC90" s="51"/>
      <c r="AD90" s="144"/>
      <c r="AE90" s="144"/>
      <c r="AF90" s="51">
        <v>0</v>
      </c>
      <c r="AG90" s="50"/>
      <c r="AH90" s="51"/>
      <c r="AI90" s="144"/>
      <c r="AJ90" s="144"/>
      <c r="AK90" s="51">
        <v>0</v>
      </c>
      <c r="AL90" s="50"/>
      <c r="AM90" s="51"/>
      <c r="AN90" s="144"/>
      <c r="AO90" s="144"/>
      <c r="AP90" s="51">
        <v>0</v>
      </c>
      <c r="AQ90" s="50"/>
      <c r="AR90" s="51"/>
      <c r="AS90" s="144"/>
      <c r="AT90" s="144"/>
      <c r="AU90" s="51">
        <v>0</v>
      </c>
      <c r="AV90" s="50"/>
      <c r="AW90" s="51"/>
      <c r="AX90" s="144"/>
      <c r="AY90" s="144"/>
      <c r="AZ90" s="51">
        <v>0</v>
      </c>
      <c r="BA90" s="50"/>
      <c r="BB90" s="51"/>
      <c r="BC90" s="144"/>
      <c r="BD90" s="144"/>
      <c r="BE90" s="51">
        <v>0</v>
      </c>
      <c r="BF90" s="50"/>
      <c r="BG90" s="51"/>
      <c r="BH90" s="144"/>
      <c r="BI90" s="144"/>
      <c r="BJ90" s="51">
        <v>0</v>
      </c>
      <c r="BK90" s="50"/>
      <c r="BL90" s="51"/>
      <c r="BM90" s="144"/>
      <c r="BN90" s="144"/>
      <c r="BO90" s="51">
        <v>0</v>
      </c>
      <c r="BP90" s="50"/>
      <c r="BQ90" s="51"/>
      <c r="BR90" s="144"/>
      <c r="BS90" s="144"/>
      <c r="BT90" s="51">
        <v>0</v>
      </c>
      <c r="BU90" s="50"/>
      <c r="BV90" s="721"/>
      <c r="BW90" s="39"/>
      <c r="BX90" s="39"/>
    </row>
    <row r="91" spans="1:76" ht="12.75" hidden="1" customHeight="1" x14ac:dyDescent="0.2">
      <c r="A91" s="317"/>
      <c r="B91" s="317"/>
      <c r="D91" s="340" t="s">
        <v>246</v>
      </c>
      <c r="E91" s="347"/>
      <c r="F91" s="347"/>
      <c r="G91" s="51">
        <v>0</v>
      </c>
      <c r="H91" s="50"/>
      <c r="I91" s="51"/>
      <c r="J91" s="144"/>
      <c r="K91" s="144"/>
      <c r="L91" s="51">
        <v>0</v>
      </c>
      <c r="M91" s="50"/>
      <c r="N91" s="51"/>
      <c r="O91" s="144"/>
      <c r="P91" s="144"/>
      <c r="Q91" s="51">
        <v>0</v>
      </c>
      <c r="R91" s="50"/>
      <c r="S91" s="51"/>
      <c r="T91" s="144"/>
      <c r="U91" s="144"/>
      <c r="V91" s="51">
        <v>0</v>
      </c>
      <c r="W91" s="50"/>
      <c r="X91" s="51"/>
      <c r="Y91" s="144"/>
      <c r="Z91" s="144"/>
      <c r="AA91" s="51">
        <v>0</v>
      </c>
      <c r="AB91" s="50"/>
      <c r="AC91" s="51"/>
      <c r="AD91" s="144"/>
      <c r="AE91" s="144"/>
      <c r="AF91" s="51">
        <v>0</v>
      </c>
      <c r="AG91" s="50"/>
      <c r="AH91" s="51"/>
      <c r="AI91" s="144"/>
      <c r="AJ91" s="144"/>
      <c r="AK91" s="51">
        <v>0</v>
      </c>
      <c r="AL91" s="50"/>
      <c r="AM91" s="51"/>
      <c r="AN91" s="144"/>
      <c r="AO91" s="144"/>
      <c r="AP91" s="51">
        <v>0</v>
      </c>
      <c r="AQ91" s="50"/>
      <c r="AR91" s="51"/>
      <c r="AS91" s="144"/>
      <c r="AT91" s="144"/>
      <c r="AU91" s="51">
        <v>0</v>
      </c>
      <c r="AV91" s="50"/>
      <c r="AW91" s="51"/>
      <c r="AX91" s="144"/>
      <c r="AY91" s="144"/>
      <c r="AZ91" s="51">
        <v>0</v>
      </c>
      <c r="BA91" s="50"/>
      <c r="BB91" s="51"/>
      <c r="BC91" s="144"/>
      <c r="BD91" s="144"/>
      <c r="BE91" s="51">
        <v>0</v>
      </c>
      <c r="BF91" s="50"/>
      <c r="BG91" s="51"/>
      <c r="BH91" s="144"/>
      <c r="BI91" s="144"/>
      <c r="BJ91" s="51">
        <v>0</v>
      </c>
      <c r="BK91" s="50"/>
      <c r="BL91" s="51"/>
      <c r="BM91" s="144"/>
      <c r="BN91" s="144"/>
      <c r="BO91" s="51">
        <v>0</v>
      </c>
      <c r="BP91" s="50"/>
      <c r="BQ91" s="51"/>
      <c r="BR91" s="144"/>
      <c r="BS91" s="144"/>
      <c r="BT91" s="51">
        <v>0</v>
      </c>
      <c r="BU91" s="50"/>
      <c r="BV91" s="721"/>
      <c r="BW91" s="39"/>
      <c r="BX91" s="39"/>
    </row>
    <row r="92" spans="1:76" ht="12.75" hidden="1" customHeight="1" x14ac:dyDescent="0.2">
      <c r="A92" s="317"/>
      <c r="B92" s="317"/>
      <c r="D92" s="340" t="s">
        <v>247</v>
      </c>
      <c r="E92" s="347"/>
      <c r="F92" s="347"/>
      <c r="G92" s="51">
        <v>0</v>
      </c>
      <c r="H92" s="50"/>
      <c r="I92" s="51"/>
      <c r="J92" s="144"/>
      <c r="K92" s="144"/>
      <c r="L92" s="51">
        <v>0</v>
      </c>
      <c r="M92" s="50"/>
      <c r="N92" s="51"/>
      <c r="O92" s="144"/>
      <c r="P92" s="144"/>
      <c r="Q92" s="51">
        <v>0</v>
      </c>
      <c r="R92" s="50"/>
      <c r="S92" s="51"/>
      <c r="T92" s="144"/>
      <c r="U92" s="144"/>
      <c r="V92" s="51">
        <v>0</v>
      </c>
      <c r="W92" s="50"/>
      <c r="X92" s="51"/>
      <c r="Y92" s="144"/>
      <c r="Z92" s="144"/>
      <c r="AA92" s="51">
        <v>0</v>
      </c>
      <c r="AB92" s="50"/>
      <c r="AC92" s="51"/>
      <c r="AD92" s="144"/>
      <c r="AE92" s="144"/>
      <c r="AF92" s="51">
        <v>0</v>
      </c>
      <c r="AG92" s="50"/>
      <c r="AH92" s="51"/>
      <c r="AI92" s="144"/>
      <c r="AJ92" s="144"/>
      <c r="AK92" s="51">
        <v>0</v>
      </c>
      <c r="AL92" s="50"/>
      <c r="AM92" s="51"/>
      <c r="AN92" s="144"/>
      <c r="AO92" s="144"/>
      <c r="AP92" s="51">
        <v>0</v>
      </c>
      <c r="AQ92" s="50"/>
      <c r="AR92" s="51"/>
      <c r="AS92" s="144"/>
      <c r="AT92" s="144"/>
      <c r="AU92" s="51">
        <v>0</v>
      </c>
      <c r="AV92" s="50"/>
      <c r="AW92" s="51"/>
      <c r="AX92" s="144"/>
      <c r="AY92" s="144"/>
      <c r="AZ92" s="51">
        <v>0</v>
      </c>
      <c r="BA92" s="50"/>
      <c r="BB92" s="51"/>
      <c r="BC92" s="144"/>
      <c r="BD92" s="144"/>
      <c r="BE92" s="51">
        <v>0</v>
      </c>
      <c r="BF92" s="50"/>
      <c r="BG92" s="51"/>
      <c r="BH92" s="144"/>
      <c r="BI92" s="144"/>
      <c r="BJ92" s="51">
        <v>0</v>
      </c>
      <c r="BK92" s="50"/>
      <c r="BL92" s="51"/>
      <c r="BM92" s="144"/>
      <c r="BN92" s="144"/>
      <c r="BO92" s="51">
        <v>0</v>
      </c>
      <c r="BP92" s="50"/>
      <c r="BQ92" s="51"/>
      <c r="BR92" s="144"/>
      <c r="BS92" s="144"/>
      <c r="BT92" s="51">
        <v>0</v>
      </c>
      <c r="BU92" s="50"/>
      <c r="BV92" s="721"/>
      <c r="BW92" s="39"/>
      <c r="BX92" s="39"/>
    </row>
    <row r="93" spans="1:76" ht="12.75" hidden="1" customHeight="1" x14ac:dyDescent="0.2">
      <c r="A93" s="317"/>
      <c r="B93" s="317"/>
      <c r="D93" s="340" t="s">
        <v>248</v>
      </c>
      <c r="E93" s="347"/>
      <c r="F93" s="347"/>
      <c r="G93" s="51">
        <v>0</v>
      </c>
      <c r="H93" s="50"/>
      <c r="I93" s="51"/>
      <c r="J93" s="144"/>
      <c r="K93" s="144"/>
      <c r="L93" s="51">
        <v>0</v>
      </c>
      <c r="M93" s="50"/>
      <c r="N93" s="51"/>
      <c r="O93" s="144"/>
      <c r="P93" s="144"/>
      <c r="Q93" s="51">
        <v>0</v>
      </c>
      <c r="R93" s="50"/>
      <c r="S93" s="51"/>
      <c r="T93" s="144"/>
      <c r="U93" s="144"/>
      <c r="V93" s="51">
        <v>0</v>
      </c>
      <c r="W93" s="50"/>
      <c r="X93" s="51"/>
      <c r="Y93" s="144"/>
      <c r="Z93" s="144"/>
      <c r="AA93" s="51">
        <v>0</v>
      </c>
      <c r="AB93" s="50"/>
      <c r="AC93" s="51"/>
      <c r="AD93" s="144"/>
      <c r="AE93" s="144"/>
      <c r="AF93" s="51">
        <v>0</v>
      </c>
      <c r="AG93" s="50"/>
      <c r="AH93" s="51"/>
      <c r="AI93" s="144"/>
      <c r="AJ93" s="144"/>
      <c r="AK93" s="51">
        <v>0</v>
      </c>
      <c r="AL93" s="50"/>
      <c r="AM93" s="51"/>
      <c r="AN93" s="144"/>
      <c r="AO93" s="144"/>
      <c r="AP93" s="51">
        <v>0</v>
      </c>
      <c r="AQ93" s="50"/>
      <c r="AR93" s="51"/>
      <c r="AS93" s="144"/>
      <c r="AT93" s="144"/>
      <c r="AU93" s="51">
        <v>0</v>
      </c>
      <c r="AV93" s="50"/>
      <c r="AW93" s="51"/>
      <c r="AX93" s="144"/>
      <c r="AY93" s="144"/>
      <c r="AZ93" s="51">
        <v>0</v>
      </c>
      <c r="BA93" s="50"/>
      <c r="BB93" s="51"/>
      <c r="BC93" s="144"/>
      <c r="BD93" s="144"/>
      <c r="BE93" s="51">
        <v>0</v>
      </c>
      <c r="BF93" s="50"/>
      <c r="BG93" s="51"/>
      <c r="BH93" s="144"/>
      <c r="BI93" s="144"/>
      <c r="BJ93" s="51">
        <v>0</v>
      </c>
      <c r="BK93" s="50"/>
      <c r="BL93" s="51"/>
      <c r="BM93" s="144"/>
      <c r="BN93" s="144"/>
      <c r="BO93" s="51">
        <v>0</v>
      </c>
      <c r="BP93" s="50"/>
      <c r="BQ93" s="51"/>
      <c r="BR93" s="144"/>
      <c r="BS93" s="144"/>
      <c r="BT93" s="51">
        <v>0</v>
      </c>
      <c r="BU93" s="50"/>
      <c r="BV93" s="721"/>
      <c r="BW93" s="39"/>
      <c r="BX93" s="39"/>
    </row>
    <row r="94" spans="1:76" ht="12.75" hidden="1" customHeight="1" x14ac:dyDescent="0.2">
      <c r="A94" s="317"/>
      <c r="B94" s="317"/>
      <c r="D94" s="340" t="s">
        <v>249</v>
      </c>
      <c r="E94" s="347"/>
      <c r="F94" s="347"/>
      <c r="G94" s="51">
        <v>0</v>
      </c>
      <c r="H94" s="50"/>
      <c r="I94" s="51"/>
      <c r="J94" s="144"/>
      <c r="K94" s="144"/>
      <c r="L94" s="51">
        <v>0</v>
      </c>
      <c r="M94" s="50"/>
      <c r="N94" s="51"/>
      <c r="O94" s="144"/>
      <c r="P94" s="144"/>
      <c r="Q94" s="51">
        <v>0</v>
      </c>
      <c r="R94" s="50"/>
      <c r="S94" s="51"/>
      <c r="T94" s="144"/>
      <c r="U94" s="144"/>
      <c r="V94" s="51">
        <v>0</v>
      </c>
      <c r="W94" s="50"/>
      <c r="X94" s="51"/>
      <c r="Y94" s="144"/>
      <c r="Z94" s="144"/>
      <c r="AA94" s="51">
        <v>0</v>
      </c>
      <c r="AB94" s="50"/>
      <c r="AC94" s="51"/>
      <c r="AD94" s="144"/>
      <c r="AE94" s="144"/>
      <c r="AF94" s="51">
        <v>0</v>
      </c>
      <c r="AG94" s="50"/>
      <c r="AH94" s="51"/>
      <c r="AI94" s="144"/>
      <c r="AJ94" s="144"/>
      <c r="AK94" s="51">
        <v>0</v>
      </c>
      <c r="AL94" s="50"/>
      <c r="AM94" s="51"/>
      <c r="AN94" s="144"/>
      <c r="AO94" s="144"/>
      <c r="AP94" s="51">
        <v>0</v>
      </c>
      <c r="AQ94" s="50"/>
      <c r="AR94" s="51"/>
      <c r="AS94" s="144"/>
      <c r="AT94" s="144"/>
      <c r="AU94" s="51">
        <v>0</v>
      </c>
      <c r="AV94" s="50"/>
      <c r="AW94" s="51"/>
      <c r="AX94" s="144"/>
      <c r="AY94" s="144"/>
      <c r="AZ94" s="51">
        <v>0</v>
      </c>
      <c r="BA94" s="50"/>
      <c r="BB94" s="51"/>
      <c r="BC94" s="144"/>
      <c r="BD94" s="144"/>
      <c r="BE94" s="51">
        <v>0</v>
      </c>
      <c r="BF94" s="50"/>
      <c r="BG94" s="51"/>
      <c r="BH94" s="144"/>
      <c r="BI94" s="144"/>
      <c r="BJ94" s="51">
        <v>0</v>
      </c>
      <c r="BK94" s="50"/>
      <c r="BL94" s="51"/>
      <c r="BM94" s="144"/>
      <c r="BN94" s="144"/>
      <c r="BO94" s="51">
        <v>0</v>
      </c>
      <c r="BP94" s="50"/>
      <c r="BQ94" s="51"/>
      <c r="BR94" s="144"/>
      <c r="BS94" s="144"/>
      <c r="BT94" s="51">
        <v>0</v>
      </c>
      <c r="BU94" s="50"/>
      <c r="BV94" s="721"/>
      <c r="BW94" s="39"/>
      <c r="BX94" s="39"/>
    </row>
    <row r="95" spans="1:76" x14ac:dyDescent="0.2">
      <c r="A95" s="317"/>
      <c r="B95" s="317"/>
      <c r="D95" s="340"/>
      <c r="E95" s="347"/>
      <c r="F95" s="371"/>
      <c r="G95" s="95"/>
      <c r="H95" s="94"/>
      <c r="I95" s="51"/>
      <c r="J95" s="144"/>
      <c r="K95" s="187"/>
      <c r="L95" s="95"/>
      <c r="M95" s="94"/>
      <c r="N95" s="51"/>
      <c r="O95" s="144"/>
      <c r="P95" s="187"/>
      <c r="Q95" s="95"/>
      <c r="R95" s="94"/>
      <c r="S95" s="51"/>
      <c r="T95" s="144"/>
      <c r="U95" s="187"/>
      <c r="V95" s="95"/>
      <c r="W95" s="94"/>
      <c r="X95" s="51"/>
      <c r="Y95" s="144"/>
      <c r="Z95" s="187"/>
      <c r="AA95" s="95"/>
      <c r="AB95" s="94"/>
      <c r="AC95" s="51"/>
      <c r="AD95" s="144"/>
      <c r="AE95" s="187"/>
      <c r="AF95" s="95"/>
      <c r="AG95" s="94"/>
      <c r="AH95" s="51"/>
      <c r="AI95" s="144"/>
      <c r="AJ95" s="187"/>
      <c r="AK95" s="95"/>
      <c r="AL95" s="94"/>
      <c r="AM95" s="51"/>
      <c r="AN95" s="144"/>
      <c r="AO95" s="187"/>
      <c r="AP95" s="95"/>
      <c r="AQ95" s="94"/>
      <c r="AR95" s="51"/>
      <c r="AS95" s="144"/>
      <c r="AT95" s="187"/>
      <c r="AU95" s="95"/>
      <c r="AV95" s="94"/>
      <c r="AW95" s="51"/>
      <c r="AX95" s="144"/>
      <c r="AY95" s="187"/>
      <c r="AZ95" s="95"/>
      <c r="BA95" s="94"/>
      <c r="BB95" s="51"/>
      <c r="BC95" s="144"/>
      <c r="BD95" s="187"/>
      <c r="BE95" s="95"/>
      <c r="BF95" s="94"/>
      <c r="BG95" s="51"/>
      <c r="BH95" s="144"/>
      <c r="BI95" s="187"/>
      <c r="BJ95" s="95"/>
      <c r="BK95" s="94"/>
      <c r="BL95" s="51"/>
      <c r="BM95" s="144"/>
      <c r="BN95" s="187"/>
      <c r="BO95" s="95"/>
      <c r="BP95" s="94"/>
      <c r="BQ95" s="51"/>
      <c r="BR95" s="144"/>
      <c r="BS95" s="187"/>
      <c r="BT95" s="95"/>
      <c r="BU95" s="94"/>
      <c r="BV95" s="721"/>
      <c r="BW95" s="39"/>
      <c r="BX95" s="39"/>
    </row>
    <row r="96" spans="1:76" ht="12.75" customHeight="1" x14ac:dyDescent="0.2">
      <c r="A96" s="317"/>
      <c r="B96" s="317"/>
      <c r="D96" s="340"/>
      <c r="E96" s="347"/>
      <c r="F96" s="317"/>
      <c r="G96" s="51"/>
      <c r="H96" s="51"/>
      <c r="I96" s="51"/>
      <c r="J96" s="144"/>
      <c r="K96" s="51"/>
      <c r="L96" s="51"/>
      <c r="M96" s="51"/>
      <c r="N96" s="51"/>
      <c r="O96" s="144"/>
      <c r="P96" s="51"/>
      <c r="Q96" s="51"/>
      <c r="R96" s="51"/>
      <c r="S96" s="51"/>
      <c r="T96" s="144"/>
      <c r="U96" s="51"/>
      <c r="V96" s="51"/>
      <c r="W96" s="51"/>
      <c r="X96" s="51"/>
      <c r="Y96" s="144"/>
      <c r="Z96" s="51"/>
      <c r="AA96" s="51"/>
      <c r="AB96" s="51"/>
      <c r="AC96" s="51"/>
      <c r="AD96" s="144"/>
      <c r="AE96" s="51"/>
      <c r="AF96" s="51"/>
      <c r="AG96" s="51"/>
      <c r="AH96" s="51"/>
      <c r="AI96" s="144"/>
      <c r="AJ96" s="51"/>
      <c r="AK96" s="51"/>
      <c r="AL96" s="51"/>
      <c r="AM96" s="51"/>
      <c r="AN96" s="144"/>
      <c r="AO96" s="51"/>
      <c r="AP96" s="51"/>
      <c r="AQ96" s="51"/>
      <c r="AR96" s="51"/>
      <c r="AS96" s="144"/>
      <c r="AT96" s="51"/>
      <c r="AU96" s="51"/>
      <c r="AV96" s="51"/>
      <c r="AW96" s="51"/>
      <c r="AX96" s="144"/>
      <c r="AY96" s="51"/>
      <c r="AZ96" s="51"/>
      <c r="BA96" s="51"/>
      <c r="BB96" s="51"/>
      <c r="BC96" s="144"/>
      <c r="BD96" s="51"/>
      <c r="BE96" s="51"/>
      <c r="BF96" s="51"/>
      <c r="BG96" s="51"/>
      <c r="BH96" s="144"/>
      <c r="BI96" s="51"/>
      <c r="BJ96" s="51"/>
      <c r="BK96" s="51"/>
      <c r="BL96" s="51"/>
      <c r="BM96" s="144"/>
      <c r="BN96" s="51"/>
      <c r="BO96" s="51"/>
      <c r="BP96" s="51"/>
      <c r="BQ96" s="51"/>
      <c r="BR96" s="144"/>
      <c r="BS96" s="51"/>
      <c r="BT96" s="51"/>
      <c r="BU96" s="51"/>
      <c r="BV96" s="721"/>
      <c r="BW96" s="39"/>
      <c r="BX96" s="39"/>
    </row>
    <row r="97" spans="1:76" s="39" customFormat="1" ht="12.75" customHeight="1" x14ac:dyDescent="0.2">
      <c r="A97" s="329"/>
      <c r="B97" s="329"/>
      <c r="D97" s="348" t="s">
        <v>250</v>
      </c>
      <c r="E97" s="350"/>
      <c r="F97" s="329"/>
      <c r="G97" s="41">
        <v>7695000</v>
      </c>
      <c r="H97" s="41"/>
      <c r="I97" s="41"/>
      <c r="J97" s="428"/>
      <c r="K97" s="41"/>
      <c r="L97" s="41">
        <v>3035000</v>
      </c>
      <c r="M97" s="41"/>
      <c r="N97" s="41"/>
      <c r="O97" s="428"/>
      <c r="P97" s="329"/>
      <c r="Q97" s="41">
        <v>3410000</v>
      </c>
      <c r="R97" s="41"/>
      <c r="S97" s="41"/>
      <c r="T97" s="428"/>
      <c r="U97" s="329"/>
      <c r="V97" s="41">
        <v>1250000</v>
      </c>
      <c r="W97" s="41"/>
      <c r="X97" s="41"/>
      <c r="Y97" s="428"/>
      <c r="Z97" s="329"/>
      <c r="AA97" s="41">
        <v>0</v>
      </c>
      <c r="AB97" s="41"/>
      <c r="AC97" s="41"/>
      <c r="AD97" s="428"/>
      <c r="AE97" s="329"/>
      <c r="AF97" s="41">
        <v>0</v>
      </c>
      <c r="AG97" s="41"/>
      <c r="AH97" s="41"/>
      <c r="AI97" s="428"/>
      <c r="AJ97" s="329"/>
      <c r="AK97" s="41">
        <v>0</v>
      </c>
      <c r="AL97" s="41"/>
      <c r="AM97" s="41"/>
      <c r="AN97" s="428"/>
      <c r="AO97" s="329"/>
      <c r="AP97" s="41">
        <v>0</v>
      </c>
      <c r="AQ97" s="41"/>
      <c r="AR97" s="41"/>
      <c r="AS97" s="428"/>
      <c r="AT97" s="329"/>
      <c r="AU97" s="41">
        <v>0</v>
      </c>
      <c r="AV97" s="41"/>
      <c r="AW97" s="41"/>
      <c r="AX97" s="428"/>
      <c r="AY97" s="329"/>
      <c r="AZ97" s="41">
        <v>0</v>
      </c>
      <c r="BA97" s="41"/>
      <c r="BB97" s="41"/>
      <c r="BC97" s="428"/>
      <c r="BD97" s="329"/>
      <c r="BE97" s="41">
        <v>0</v>
      </c>
      <c r="BF97" s="41"/>
      <c r="BG97" s="41"/>
      <c r="BH97" s="428"/>
      <c r="BI97" s="329"/>
      <c r="BJ97" s="41">
        <v>0</v>
      </c>
      <c r="BK97" s="41"/>
      <c r="BL97" s="41"/>
      <c r="BM97" s="428"/>
      <c r="BN97" s="329"/>
      <c r="BO97" s="41">
        <v>0</v>
      </c>
      <c r="BP97" s="41"/>
      <c r="BQ97" s="41"/>
      <c r="BR97" s="428"/>
      <c r="BS97" s="41"/>
      <c r="BT97" s="41">
        <v>7695000</v>
      </c>
      <c r="BU97" s="41"/>
      <c r="BV97" s="722"/>
    </row>
    <row r="98" spans="1:76" ht="12.75" customHeight="1" x14ac:dyDescent="0.2">
      <c r="A98" s="317"/>
      <c r="B98" s="317"/>
      <c r="D98" s="340" t="s">
        <v>183</v>
      </c>
      <c r="E98" s="347"/>
      <c r="F98" s="354"/>
      <c r="G98" s="430">
        <v>7695000</v>
      </c>
      <c r="H98" s="431"/>
      <c r="I98" s="51"/>
      <c r="J98" s="144"/>
      <c r="K98" s="432"/>
      <c r="L98" s="430">
        <v>3035000</v>
      </c>
      <c r="M98" s="431"/>
      <c r="N98" s="51"/>
      <c r="O98" s="144"/>
      <c r="P98" s="354"/>
      <c r="Q98" s="430">
        <v>3410000</v>
      </c>
      <c r="R98" s="431"/>
      <c r="S98" s="51"/>
      <c r="T98" s="144"/>
      <c r="U98" s="354"/>
      <c r="V98" s="430">
        <v>1250000</v>
      </c>
      <c r="W98" s="431"/>
      <c r="X98" s="51"/>
      <c r="Y98" s="144"/>
      <c r="Z98" s="354"/>
      <c r="AA98" s="430">
        <v>0</v>
      </c>
      <c r="AB98" s="431"/>
      <c r="AC98" s="51"/>
      <c r="AD98" s="144"/>
      <c r="AE98" s="354"/>
      <c r="AF98" s="430">
        <v>0</v>
      </c>
      <c r="AG98" s="431"/>
      <c r="AH98" s="51"/>
      <c r="AI98" s="144"/>
      <c r="AJ98" s="354"/>
      <c r="AK98" s="430">
        <v>0</v>
      </c>
      <c r="AL98" s="431"/>
      <c r="AM98" s="51"/>
      <c r="AN98" s="144"/>
      <c r="AO98" s="354"/>
      <c r="AP98" s="430">
        <v>0</v>
      </c>
      <c r="AQ98" s="431"/>
      <c r="AR98" s="51"/>
      <c r="AS98" s="144"/>
      <c r="AT98" s="354"/>
      <c r="AU98" s="430">
        <v>0</v>
      </c>
      <c r="AV98" s="431"/>
      <c r="AW98" s="51"/>
      <c r="AX98" s="144"/>
      <c r="AY98" s="354"/>
      <c r="AZ98" s="430">
        <v>0</v>
      </c>
      <c r="BA98" s="431"/>
      <c r="BB98" s="51"/>
      <c r="BC98" s="144"/>
      <c r="BD98" s="354"/>
      <c r="BE98" s="430">
        <v>0</v>
      </c>
      <c r="BF98" s="431"/>
      <c r="BG98" s="51"/>
      <c r="BH98" s="144"/>
      <c r="BI98" s="354"/>
      <c r="BJ98" s="430">
        <v>0</v>
      </c>
      <c r="BK98" s="431"/>
      <c r="BL98" s="51"/>
      <c r="BM98" s="144"/>
      <c r="BN98" s="354"/>
      <c r="BO98" s="430">
        <v>0</v>
      </c>
      <c r="BP98" s="431"/>
      <c r="BQ98" s="51"/>
      <c r="BR98" s="144"/>
      <c r="BS98" s="432"/>
      <c r="BT98" s="430">
        <v>7695000</v>
      </c>
      <c r="BU98" s="431"/>
      <c r="BV98" s="721"/>
      <c r="BW98" s="39"/>
      <c r="BX98" s="39"/>
    </row>
    <row r="99" spans="1:76" ht="12.75" customHeight="1" x14ac:dyDescent="0.2">
      <c r="A99" s="317"/>
      <c r="B99" s="317"/>
      <c r="D99" s="340" t="s">
        <v>251</v>
      </c>
      <c r="E99" s="347"/>
      <c r="F99" s="347"/>
      <c r="G99" s="51">
        <v>0</v>
      </c>
      <c r="H99" s="50"/>
      <c r="I99" s="51"/>
      <c r="J99" s="144"/>
      <c r="K99" s="144"/>
      <c r="L99" s="51">
        <v>0</v>
      </c>
      <c r="M99" s="50"/>
      <c r="N99" s="51"/>
      <c r="O99" s="144"/>
      <c r="P99" s="347"/>
      <c r="Q99" s="51">
        <v>0</v>
      </c>
      <c r="R99" s="50"/>
      <c r="S99" s="51"/>
      <c r="T99" s="144"/>
      <c r="U99" s="347"/>
      <c r="V99" s="51">
        <v>0</v>
      </c>
      <c r="W99" s="50"/>
      <c r="X99" s="51"/>
      <c r="Y99" s="144"/>
      <c r="Z99" s="347"/>
      <c r="AA99" s="51">
        <v>0</v>
      </c>
      <c r="AB99" s="50"/>
      <c r="AC99" s="51"/>
      <c r="AD99" s="144"/>
      <c r="AE99" s="347"/>
      <c r="AF99" s="51">
        <v>0</v>
      </c>
      <c r="AG99" s="50"/>
      <c r="AH99" s="51"/>
      <c r="AI99" s="144"/>
      <c r="AJ99" s="347"/>
      <c r="AK99" s="51">
        <v>0</v>
      </c>
      <c r="AL99" s="50"/>
      <c r="AM99" s="51"/>
      <c r="AN99" s="144"/>
      <c r="AO99" s="347"/>
      <c r="AP99" s="51">
        <v>0</v>
      </c>
      <c r="AQ99" s="50"/>
      <c r="AR99" s="51"/>
      <c r="AS99" s="144"/>
      <c r="AT99" s="347"/>
      <c r="AU99" s="51">
        <v>0</v>
      </c>
      <c r="AV99" s="50"/>
      <c r="AW99" s="51"/>
      <c r="AX99" s="144"/>
      <c r="AY99" s="347"/>
      <c r="AZ99" s="51">
        <v>0</v>
      </c>
      <c r="BA99" s="50"/>
      <c r="BB99" s="51"/>
      <c r="BC99" s="144"/>
      <c r="BD99" s="347"/>
      <c r="BE99" s="51">
        <v>0</v>
      </c>
      <c r="BF99" s="50"/>
      <c r="BG99" s="51"/>
      <c r="BH99" s="144"/>
      <c r="BI99" s="347"/>
      <c r="BJ99" s="51">
        <v>0</v>
      </c>
      <c r="BK99" s="50"/>
      <c r="BL99" s="51"/>
      <c r="BM99" s="144"/>
      <c r="BN99" s="347"/>
      <c r="BO99" s="51">
        <v>0</v>
      </c>
      <c r="BP99" s="50"/>
      <c r="BQ99" s="51"/>
      <c r="BR99" s="144"/>
      <c r="BS99" s="144"/>
      <c r="BT99" s="51">
        <v>0</v>
      </c>
      <c r="BU99" s="50"/>
      <c r="BV99" s="721"/>
      <c r="BW99" s="39"/>
      <c r="BX99" s="39"/>
    </row>
    <row r="100" spans="1:76" x14ac:dyDescent="0.2">
      <c r="A100" s="317"/>
      <c r="B100" s="317"/>
      <c r="D100" s="340" t="s">
        <v>183</v>
      </c>
      <c r="E100" s="347"/>
      <c r="F100" s="434"/>
      <c r="G100" s="438">
        <v>0</v>
      </c>
      <c r="H100" s="436"/>
      <c r="I100" s="51"/>
      <c r="J100" s="144"/>
      <c r="K100" s="434"/>
      <c r="L100" s="438">
        <v>0</v>
      </c>
      <c r="M100" s="436"/>
      <c r="N100" s="51"/>
      <c r="O100" s="144"/>
      <c r="P100" s="437"/>
      <c r="Q100" s="438">
        <v>0</v>
      </c>
      <c r="R100" s="436"/>
      <c r="S100" s="51"/>
      <c r="T100" s="144"/>
      <c r="U100" s="437"/>
      <c r="V100" s="438">
        <v>0</v>
      </c>
      <c r="W100" s="436"/>
      <c r="X100" s="51"/>
      <c r="Y100" s="144"/>
      <c r="Z100" s="437"/>
      <c r="AA100" s="438">
        <v>0</v>
      </c>
      <c r="AB100" s="436"/>
      <c r="AC100" s="51"/>
      <c r="AD100" s="144"/>
      <c r="AE100" s="437"/>
      <c r="AF100" s="438">
        <v>0</v>
      </c>
      <c r="AG100" s="436"/>
      <c r="AH100" s="51"/>
      <c r="AI100" s="144"/>
      <c r="AJ100" s="437"/>
      <c r="AK100" s="438">
        <v>0</v>
      </c>
      <c r="AL100" s="436"/>
      <c r="AM100" s="51"/>
      <c r="AN100" s="144"/>
      <c r="AO100" s="437"/>
      <c r="AP100" s="438">
        <v>0</v>
      </c>
      <c r="AQ100" s="436"/>
      <c r="AR100" s="51"/>
      <c r="AS100" s="144"/>
      <c r="AT100" s="437"/>
      <c r="AU100" s="438">
        <v>0</v>
      </c>
      <c r="AV100" s="436"/>
      <c r="AW100" s="51"/>
      <c r="AX100" s="144"/>
      <c r="AY100" s="437"/>
      <c r="AZ100" s="438">
        <v>0</v>
      </c>
      <c r="BA100" s="436"/>
      <c r="BB100" s="51"/>
      <c r="BC100" s="144"/>
      <c r="BD100" s="437"/>
      <c r="BE100" s="438">
        <v>0</v>
      </c>
      <c r="BF100" s="436"/>
      <c r="BG100" s="51"/>
      <c r="BH100" s="144"/>
      <c r="BI100" s="437"/>
      <c r="BJ100" s="438">
        <v>0</v>
      </c>
      <c r="BK100" s="436"/>
      <c r="BL100" s="51"/>
      <c r="BM100" s="144"/>
      <c r="BN100" s="437"/>
      <c r="BO100" s="438">
        <v>0</v>
      </c>
      <c r="BP100" s="436"/>
      <c r="BQ100" s="51"/>
      <c r="BR100" s="144"/>
      <c r="BS100" s="434"/>
      <c r="BT100" s="438">
        <v>0</v>
      </c>
      <c r="BU100" s="436"/>
      <c r="BV100" s="721"/>
      <c r="BW100" s="39"/>
      <c r="BX100" s="39"/>
    </row>
    <row r="101" spans="1:76" x14ac:dyDescent="0.2">
      <c r="A101" s="317"/>
      <c r="B101" s="317"/>
      <c r="D101" s="443"/>
      <c r="E101" s="347"/>
      <c r="F101" s="317"/>
      <c r="G101" s="51"/>
      <c r="H101" s="51"/>
      <c r="I101" s="51"/>
      <c r="J101" s="144"/>
      <c r="K101" s="51"/>
      <c r="L101" s="51"/>
      <c r="M101" s="51"/>
      <c r="N101" s="51"/>
      <c r="O101" s="144"/>
      <c r="P101" s="51"/>
      <c r="Q101" s="51"/>
      <c r="R101" s="51"/>
      <c r="S101" s="51"/>
      <c r="T101" s="144"/>
      <c r="U101" s="51"/>
      <c r="V101" s="51"/>
      <c r="W101" s="51"/>
      <c r="X101" s="51"/>
      <c r="Y101" s="144"/>
      <c r="Z101" s="51"/>
      <c r="AA101" s="51"/>
      <c r="AB101" s="51"/>
      <c r="AC101" s="51"/>
      <c r="AD101" s="144"/>
      <c r="AE101" s="51"/>
      <c r="AF101" s="51"/>
      <c r="AG101" s="51"/>
      <c r="AH101" s="51"/>
      <c r="AI101" s="144"/>
      <c r="AJ101" s="51"/>
      <c r="AK101" s="51"/>
      <c r="AL101" s="51"/>
      <c r="AM101" s="51"/>
      <c r="AN101" s="144"/>
      <c r="AO101" s="51"/>
      <c r="AP101" s="51"/>
      <c r="AQ101" s="51"/>
      <c r="AR101" s="51"/>
      <c r="AS101" s="144"/>
      <c r="AT101" s="51"/>
      <c r="AU101" s="51"/>
      <c r="AV101" s="51"/>
      <c r="AW101" s="51"/>
      <c r="AX101" s="144"/>
      <c r="AY101" s="51"/>
      <c r="AZ101" s="51"/>
      <c r="BA101" s="51"/>
      <c r="BB101" s="51"/>
      <c r="BC101" s="144"/>
      <c r="BD101" s="51"/>
      <c r="BE101" s="51"/>
      <c r="BF101" s="51"/>
      <c r="BG101" s="51"/>
      <c r="BH101" s="144"/>
      <c r="BI101" s="51"/>
      <c r="BJ101" s="51"/>
      <c r="BK101" s="51"/>
      <c r="BL101" s="51"/>
      <c r="BM101" s="144"/>
      <c r="BN101" s="51"/>
      <c r="BO101" s="51"/>
      <c r="BP101" s="51"/>
      <c r="BQ101" s="51"/>
      <c r="BR101" s="144"/>
      <c r="BS101" s="51"/>
      <c r="BT101" s="51"/>
      <c r="BU101" s="51"/>
      <c r="BV101" s="721"/>
      <c r="BW101" s="39"/>
      <c r="BX101" s="39"/>
    </row>
    <row r="102" spans="1:76" s="39" customFormat="1" hidden="1" x14ac:dyDescent="0.2">
      <c r="A102" s="329"/>
      <c r="B102" s="329"/>
      <c r="D102" s="348" t="s">
        <v>252</v>
      </c>
      <c r="E102" s="350"/>
      <c r="F102" s="329"/>
      <c r="G102" s="41">
        <v>0</v>
      </c>
      <c r="H102" s="41"/>
      <c r="I102" s="41"/>
      <c r="J102" s="428"/>
      <c r="K102" s="41"/>
      <c r="L102" s="41">
        <v>0</v>
      </c>
      <c r="M102" s="41"/>
      <c r="N102" s="41"/>
      <c r="O102" s="428"/>
      <c r="P102" s="41"/>
      <c r="Q102" s="41">
        <v>0</v>
      </c>
      <c r="R102" s="41"/>
      <c r="S102" s="41"/>
      <c r="T102" s="428"/>
      <c r="U102" s="41"/>
      <c r="V102" s="41">
        <v>0</v>
      </c>
      <c r="W102" s="41"/>
      <c r="X102" s="41"/>
      <c r="Y102" s="428"/>
      <c r="Z102" s="41"/>
      <c r="AA102" s="41">
        <v>0</v>
      </c>
      <c r="AB102" s="41"/>
      <c r="AC102" s="41"/>
      <c r="AD102" s="428"/>
      <c r="AE102" s="41"/>
      <c r="AF102" s="41">
        <v>0</v>
      </c>
      <c r="AG102" s="41"/>
      <c r="AH102" s="41"/>
      <c r="AI102" s="428"/>
      <c r="AJ102" s="41"/>
      <c r="AK102" s="41">
        <v>0</v>
      </c>
      <c r="AL102" s="41"/>
      <c r="AM102" s="41"/>
      <c r="AN102" s="428"/>
      <c r="AO102" s="41"/>
      <c r="AP102" s="41">
        <v>0</v>
      </c>
      <c r="AQ102" s="41"/>
      <c r="AR102" s="41"/>
      <c r="AS102" s="428"/>
      <c r="AT102" s="41"/>
      <c r="AU102" s="41">
        <v>0</v>
      </c>
      <c r="AV102" s="41"/>
      <c r="AW102" s="41"/>
      <c r="AX102" s="428"/>
      <c r="AY102" s="41"/>
      <c r="AZ102" s="41">
        <v>0</v>
      </c>
      <c r="BA102" s="41"/>
      <c r="BB102" s="41"/>
      <c r="BC102" s="428"/>
      <c r="BD102" s="41"/>
      <c r="BE102" s="41">
        <v>0</v>
      </c>
      <c r="BF102" s="41"/>
      <c r="BG102" s="41"/>
      <c r="BH102" s="428"/>
      <c r="BI102" s="41"/>
      <c r="BJ102" s="41">
        <v>0</v>
      </c>
      <c r="BK102" s="41"/>
      <c r="BL102" s="41"/>
      <c r="BM102" s="428"/>
      <c r="BN102" s="41"/>
      <c r="BO102" s="41">
        <v>0</v>
      </c>
      <c r="BP102" s="41"/>
      <c r="BQ102" s="41"/>
      <c r="BR102" s="428"/>
      <c r="BS102" s="41"/>
      <c r="BT102" s="41">
        <v>0</v>
      </c>
      <c r="BU102" s="41"/>
      <c r="BV102" s="722"/>
    </row>
    <row r="103" spans="1:76" hidden="1" x14ac:dyDescent="0.2">
      <c r="A103" s="317"/>
      <c r="B103" s="317"/>
      <c r="D103" s="340" t="s">
        <v>183</v>
      </c>
      <c r="E103" s="347"/>
      <c r="F103" s="354"/>
      <c r="G103" s="430">
        <v>0</v>
      </c>
      <c r="H103" s="431"/>
      <c r="I103" s="51"/>
      <c r="J103" s="144"/>
      <c r="K103" s="432"/>
      <c r="L103" s="430">
        <v>0</v>
      </c>
      <c r="M103" s="431"/>
      <c r="N103" s="51"/>
      <c r="O103" s="144"/>
      <c r="P103" s="432"/>
      <c r="Q103" s="430">
        <v>0</v>
      </c>
      <c r="R103" s="431"/>
      <c r="S103" s="51"/>
      <c r="T103" s="144"/>
      <c r="U103" s="432"/>
      <c r="V103" s="430">
        <v>0</v>
      </c>
      <c r="W103" s="431"/>
      <c r="X103" s="51"/>
      <c r="Y103" s="144"/>
      <c r="Z103" s="432"/>
      <c r="AA103" s="430">
        <v>0</v>
      </c>
      <c r="AB103" s="431"/>
      <c r="AC103" s="51"/>
      <c r="AD103" s="144"/>
      <c r="AE103" s="432"/>
      <c r="AF103" s="430">
        <v>0</v>
      </c>
      <c r="AG103" s="431"/>
      <c r="AH103" s="51"/>
      <c r="AI103" s="144"/>
      <c r="AJ103" s="432"/>
      <c r="AK103" s="430">
        <v>0</v>
      </c>
      <c r="AL103" s="431"/>
      <c r="AM103" s="51"/>
      <c r="AN103" s="144"/>
      <c r="AO103" s="432"/>
      <c r="AP103" s="430">
        <v>0</v>
      </c>
      <c r="AQ103" s="431"/>
      <c r="AR103" s="51"/>
      <c r="AS103" s="144"/>
      <c r="AT103" s="432"/>
      <c r="AU103" s="430">
        <v>0</v>
      </c>
      <c r="AV103" s="431"/>
      <c r="AW103" s="51"/>
      <c r="AX103" s="144"/>
      <c r="AY103" s="432"/>
      <c r="AZ103" s="430">
        <v>0</v>
      </c>
      <c r="BA103" s="431"/>
      <c r="BB103" s="51"/>
      <c r="BC103" s="144"/>
      <c r="BD103" s="432"/>
      <c r="BE103" s="430">
        <v>0</v>
      </c>
      <c r="BF103" s="431"/>
      <c r="BG103" s="51"/>
      <c r="BH103" s="144"/>
      <c r="BI103" s="432"/>
      <c r="BJ103" s="430">
        <v>0</v>
      </c>
      <c r="BK103" s="431"/>
      <c r="BL103" s="51"/>
      <c r="BM103" s="144"/>
      <c r="BN103" s="432"/>
      <c r="BO103" s="430">
        <v>0</v>
      </c>
      <c r="BP103" s="431"/>
      <c r="BQ103" s="51"/>
      <c r="BR103" s="144"/>
      <c r="BS103" s="432"/>
      <c r="BT103" s="430">
        <v>0</v>
      </c>
      <c r="BU103" s="431"/>
      <c r="BV103" s="721"/>
      <c r="BW103" s="39"/>
      <c r="BX103" s="39"/>
    </row>
    <row r="104" spans="1:76" hidden="1" x14ac:dyDescent="0.2">
      <c r="A104" s="317"/>
      <c r="B104" s="317"/>
      <c r="D104" s="340" t="s">
        <v>253</v>
      </c>
      <c r="E104" s="347"/>
      <c r="F104" s="347"/>
      <c r="G104" s="51">
        <v>0</v>
      </c>
      <c r="H104" s="50"/>
      <c r="I104" s="51"/>
      <c r="J104" s="144"/>
      <c r="K104" s="144"/>
      <c r="L104" s="51">
        <v>0</v>
      </c>
      <c r="M104" s="50"/>
      <c r="N104" s="51"/>
      <c r="O104" s="144"/>
      <c r="P104" s="144"/>
      <c r="Q104" s="51">
        <v>0</v>
      </c>
      <c r="R104" s="50"/>
      <c r="S104" s="51"/>
      <c r="T104" s="144"/>
      <c r="U104" s="144"/>
      <c r="V104" s="51">
        <v>0</v>
      </c>
      <c r="W104" s="50"/>
      <c r="X104" s="51"/>
      <c r="Y104" s="144"/>
      <c r="Z104" s="144"/>
      <c r="AA104" s="51">
        <v>0</v>
      </c>
      <c r="AB104" s="50"/>
      <c r="AC104" s="51"/>
      <c r="AD104" s="144"/>
      <c r="AE104" s="144"/>
      <c r="AF104" s="51">
        <v>0</v>
      </c>
      <c r="AG104" s="50"/>
      <c r="AH104" s="51"/>
      <c r="AI104" s="144"/>
      <c r="AJ104" s="144"/>
      <c r="AK104" s="51">
        <v>0</v>
      </c>
      <c r="AL104" s="50"/>
      <c r="AM104" s="51"/>
      <c r="AN104" s="144"/>
      <c r="AO104" s="144"/>
      <c r="AP104" s="51">
        <v>0</v>
      </c>
      <c r="AQ104" s="50"/>
      <c r="AR104" s="51"/>
      <c r="AS104" s="144"/>
      <c r="AT104" s="144"/>
      <c r="AU104" s="51">
        <v>0</v>
      </c>
      <c r="AV104" s="50"/>
      <c r="AW104" s="51"/>
      <c r="AX104" s="144"/>
      <c r="AY104" s="144"/>
      <c r="AZ104" s="51">
        <v>0</v>
      </c>
      <c r="BA104" s="50"/>
      <c r="BB104" s="51"/>
      <c r="BC104" s="144"/>
      <c r="BD104" s="144"/>
      <c r="BE104" s="51">
        <v>0</v>
      </c>
      <c r="BF104" s="50"/>
      <c r="BG104" s="51"/>
      <c r="BH104" s="144"/>
      <c r="BI104" s="144"/>
      <c r="BJ104" s="51">
        <v>0</v>
      </c>
      <c r="BK104" s="50"/>
      <c r="BL104" s="51"/>
      <c r="BM104" s="144"/>
      <c r="BN104" s="144"/>
      <c r="BO104" s="51">
        <v>0</v>
      </c>
      <c r="BP104" s="50"/>
      <c r="BQ104" s="51"/>
      <c r="BR104" s="144"/>
      <c r="BS104" s="144"/>
      <c r="BT104" s="51">
        <v>0</v>
      </c>
      <c r="BU104" s="50"/>
      <c r="BV104" s="721"/>
      <c r="BW104" s="39"/>
      <c r="BX104" s="39"/>
    </row>
    <row r="105" spans="1:76" hidden="1" x14ac:dyDescent="0.2">
      <c r="A105" s="317"/>
      <c r="B105" s="317"/>
      <c r="D105" s="340" t="s">
        <v>254</v>
      </c>
      <c r="E105" s="347"/>
      <c r="F105" s="371"/>
      <c r="G105" s="95">
        <v>0</v>
      </c>
      <c r="H105" s="94"/>
      <c r="I105" s="51"/>
      <c r="J105" s="144"/>
      <c r="K105" s="187"/>
      <c r="L105" s="95">
        <v>0</v>
      </c>
      <c r="M105" s="94"/>
      <c r="N105" s="51"/>
      <c r="O105" s="144"/>
      <c r="P105" s="187"/>
      <c r="Q105" s="95">
        <v>0</v>
      </c>
      <c r="R105" s="94"/>
      <c r="S105" s="51"/>
      <c r="T105" s="144"/>
      <c r="U105" s="187"/>
      <c r="V105" s="95">
        <v>0</v>
      </c>
      <c r="W105" s="94"/>
      <c r="X105" s="51"/>
      <c r="Y105" s="144"/>
      <c r="Z105" s="187"/>
      <c r="AA105" s="95">
        <v>0</v>
      </c>
      <c r="AB105" s="94"/>
      <c r="AC105" s="51"/>
      <c r="AD105" s="144"/>
      <c r="AE105" s="187"/>
      <c r="AF105" s="95">
        <v>0</v>
      </c>
      <c r="AG105" s="94"/>
      <c r="AH105" s="51"/>
      <c r="AI105" s="144"/>
      <c r="AJ105" s="187"/>
      <c r="AK105" s="95">
        <v>0</v>
      </c>
      <c r="AL105" s="94"/>
      <c r="AM105" s="51"/>
      <c r="AN105" s="144"/>
      <c r="AO105" s="187"/>
      <c r="AP105" s="95">
        <v>0</v>
      </c>
      <c r="AQ105" s="94"/>
      <c r="AR105" s="51"/>
      <c r="AS105" s="144"/>
      <c r="AT105" s="187"/>
      <c r="AU105" s="95">
        <v>0</v>
      </c>
      <c r="AV105" s="94"/>
      <c r="AW105" s="51"/>
      <c r="AX105" s="144"/>
      <c r="AY105" s="187"/>
      <c r="AZ105" s="95">
        <v>0</v>
      </c>
      <c r="BA105" s="94"/>
      <c r="BB105" s="51"/>
      <c r="BC105" s="144"/>
      <c r="BD105" s="187"/>
      <c r="BE105" s="95">
        <v>0</v>
      </c>
      <c r="BF105" s="94"/>
      <c r="BG105" s="51"/>
      <c r="BH105" s="144"/>
      <c r="BI105" s="187"/>
      <c r="BJ105" s="95">
        <v>0</v>
      </c>
      <c r="BK105" s="94"/>
      <c r="BL105" s="51"/>
      <c r="BM105" s="144"/>
      <c r="BN105" s="187"/>
      <c r="BO105" s="95">
        <v>0</v>
      </c>
      <c r="BP105" s="94"/>
      <c r="BQ105" s="51"/>
      <c r="BR105" s="144"/>
      <c r="BS105" s="187"/>
      <c r="BT105" s="95">
        <v>0</v>
      </c>
      <c r="BU105" s="94"/>
      <c r="BV105" s="721"/>
      <c r="BW105" s="39"/>
      <c r="BX105" s="39"/>
    </row>
    <row r="106" spans="1:76" hidden="1" x14ac:dyDescent="0.2">
      <c r="A106" s="317"/>
      <c r="B106" s="317"/>
      <c r="D106" s="340"/>
      <c r="E106" s="347"/>
      <c r="F106" s="317"/>
      <c r="G106" s="51"/>
      <c r="H106" s="51"/>
      <c r="I106" s="51"/>
      <c r="J106" s="144"/>
      <c r="K106" s="51"/>
      <c r="L106" s="51"/>
      <c r="M106" s="51"/>
      <c r="N106" s="51"/>
      <c r="O106" s="144"/>
      <c r="P106" s="51"/>
      <c r="Q106" s="51"/>
      <c r="R106" s="51"/>
      <c r="S106" s="51"/>
      <c r="T106" s="144"/>
      <c r="U106" s="51"/>
      <c r="V106" s="51"/>
      <c r="W106" s="51"/>
      <c r="X106" s="51"/>
      <c r="Y106" s="144"/>
      <c r="Z106" s="51"/>
      <c r="AA106" s="51"/>
      <c r="AB106" s="51"/>
      <c r="AC106" s="51"/>
      <c r="AD106" s="144"/>
      <c r="AE106" s="51"/>
      <c r="AF106" s="51"/>
      <c r="AG106" s="51"/>
      <c r="AH106" s="51"/>
      <c r="AI106" s="144"/>
      <c r="AJ106" s="51"/>
      <c r="AK106" s="51"/>
      <c r="AL106" s="51"/>
      <c r="AM106" s="51"/>
      <c r="AN106" s="144"/>
      <c r="AO106" s="51"/>
      <c r="AP106" s="51"/>
      <c r="AQ106" s="51"/>
      <c r="AR106" s="51"/>
      <c r="AS106" s="144"/>
      <c r="AT106" s="51"/>
      <c r="AU106" s="51"/>
      <c r="AV106" s="51"/>
      <c r="AW106" s="51"/>
      <c r="AX106" s="144"/>
      <c r="AY106" s="51"/>
      <c r="AZ106" s="51"/>
      <c r="BA106" s="51"/>
      <c r="BB106" s="51"/>
      <c r="BC106" s="144"/>
      <c r="BD106" s="51"/>
      <c r="BE106" s="51"/>
      <c r="BF106" s="51"/>
      <c r="BG106" s="51"/>
      <c r="BH106" s="144"/>
      <c r="BI106" s="51"/>
      <c r="BJ106" s="51"/>
      <c r="BK106" s="51"/>
      <c r="BL106" s="51"/>
      <c r="BM106" s="144"/>
      <c r="BN106" s="51"/>
      <c r="BO106" s="51"/>
      <c r="BP106" s="51"/>
      <c r="BQ106" s="51"/>
      <c r="BR106" s="144"/>
      <c r="BS106" s="51"/>
      <c r="BT106" s="51"/>
      <c r="BU106" s="51"/>
      <c r="BV106" s="721"/>
      <c r="BW106" s="39"/>
      <c r="BX106" s="39"/>
    </row>
    <row r="107" spans="1:76" hidden="1" x14ac:dyDescent="0.2">
      <c r="A107" s="317"/>
      <c r="B107" s="317"/>
      <c r="D107" s="340" t="s">
        <v>255</v>
      </c>
      <c r="E107" s="347"/>
      <c r="F107" s="317"/>
      <c r="G107" s="51">
        <v>0</v>
      </c>
      <c r="H107" s="51"/>
      <c r="I107" s="51"/>
      <c r="J107" s="144"/>
      <c r="K107" s="51"/>
      <c r="L107" s="51">
        <v>0</v>
      </c>
      <c r="M107" s="51"/>
      <c r="N107" s="51"/>
      <c r="O107" s="144"/>
      <c r="P107" s="51"/>
      <c r="Q107" s="51">
        <v>0</v>
      </c>
      <c r="R107" s="51"/>
      <c r="S107" s="51"/>
      <c r="T107" s="144"/>
      <c r="U107" s="51"/>
      <c r="V107" s="51">
        <v>0</v>
      </c>
      <c r="W107" s="51"/>
      <c r="X107" s="51"/>
      <c r="Y107" s="144"/>
      <c r="Z107" s="51"/>
      <c r="AA107" s="51">
        <v>0</v>
      </c>
      <c r="AB107" s="51"/>
      <c r="AC107" s="51"/>
      <c r="AD107" s="144"/>
      <c r="AE107" s="51"/>
      <c r="AF107" s="51">
        <v>0</v>
      </c>
      <c r="AG107" s="51"/>
      <c r="AH107" s="51"/>
      <c r="AI107" s="144"/>
      <c r="AJ107" s="51"/>
      <c r="AK107" s="51">
        <v>0</v>
      </c>
      <c r="AL107" s="51"/>
      <c r="AM107" s="51"/>
      <c r="AN107" s="144"/>
      <c r="AO107" s="51"/>
      <c r="AP107" s="51">
        <v>0</v>
      </c>
      <c r="AQ107" s="51"/>
      <c r="AR107" s="51"/>
      <c r="AS107" s="144"/>
      <c r="AT107" s="51"/>
      <c r="AU107" s="51">
        <v>0</v>
      </c>
      <c r="AV107" s="51"/>
      <c r="AW107" s="51"/>
      <c r="AX107" s="144"/>
      <c r="AY107" s="51"/>
      <c r="AZ107" s="51">
        <v>0</v>
      </c>
      <c r="BA107" s="51"/>
      <c r="BB107" s="51"/>
      <c r="BC107" s="144"/>
      <c r="BD107" s="51"/>
      <c r="BE107" s="51">
        <v>0</v>
      </c>
      <c r="BF107" s="51"/>
      <c r="BG107" s="51"/>
      <c r="BH107" s="144"/>
      <c r="BI107" s="51"/>
      <c r="BJ107" s="51">
        <v>0</v>
      </c>
      <c r="BK107" s="51"/>
      <c r="BL107" s="51"/>
      <c r="BM107" s="144"/>
      <c r="BN107" s="51"/>
      <c r="BO107" s="51">
        <v>0</v>
      </c>
      <c r="BP107" s="51"/>
      <c r="BQ107" s="51"/>
      <c r="BR107" s="144"/>
      <c r="BS107" s="51"/>
      <c r="BT107" s="51">
        <v>0</v>
      </c>
      <c r="BU107" s="51"/>
      <c r="BV107" s="721"/>
      <c r="BW107" s="39"/>
      <c r="BX107" s="39"/>
    </row>
    <row r="108" spans="1:76" hidden="1" x14ac:dyDescent="0.2">
      <c r="A108" s="317"/>
      <c r="B108" s="317"/>
      <c r="D108" s="340" t="s">
        <v>183</v>
      </c>
      <c r="E108" s="347"/>
      <c r="F108" s="354"/>
      <c r="G108" s="430">
        <v>0</v>
      </c>
      <c r="H108" s="431"/>
      <c r="I108" s="51"/>
      <c r="J108" s="144"/>
      <c r="K108" s="432"/>
      <c r="L108" s="430">
        <v>0</v>
      </c>
      <c r="M108" s="431"/>
      <c r="N108" s="51"/>
      <c r="O108" s="144"/>
      <c r="P108" s="432"/>
      <c r="Q108" s="430">
        <v>0</v>
      </c>
      <c r="R108" s="431"/>
      <c r="S108" s="51"/>
      <c r="T108" s="144"/>
      <c r="U108" s="432"/>
      <c r="V108" s="430">
        <v>0</v>
      </c>
      <c r="W108" s="431"/>
      <c r="X108" s="51"/>
      <c r="Y108" s="144"/>
      <c r="Z108" s="432"/>
      <c r="AA108" s="430">
        <v>0</v>
      </c>
      <c r="AB108" s="431"/>
      <c r="AC108" s="51"/>
      <c r="AD108" s="144"/>
      <c r="AE108" s="432"/>
      <c r="AF108" s="430">
        <v>0</v>
      </c>
      <c r="AG108" s="431"/>
      <c r="AH108" s="51"/>
      <c r="AI108" s="144"/>
      <c r="AJ108" s="432"/>
      <c r="AK108" s="430">
        <v>0</v>
      </c>
      <c r="AL108" s="431"/>
      <c r="AM108" s="51"/>
      <c r="AN108" s="144"/>
      <c r="AO108" s="432"/>
      <c r="AP108" s="430">
        <v>0</v>
      </c>
      <c r="AQ108" s="431"/>
      <c r="AR108" s="51"/>
      <c r="AS108" s="144"/>
      <c r="AT108" s="432"/>
      <c r="AU108" s="430">
        <v>0</v>
      </c>
      <c r="AV108" s="431"/>
      <c r="AW108" s="51"/>
      <c r="AX108" s="144"/>
      <c r="AY108" s="432"/>
      <c r="AZ108" s="430">
        <v>0</v>
      </c>
      <c r="BA108" s="431"/>
      <c r="BB108" s="51"/>
      <c r="BC108" s="144"/>
      <c r="BD108" s="432"/>
      <c r="BE108" s="430">
        <v>0</v>
      </c>
      <c r="BF108" s="431"/>
      <c r="BG108" s="51"/>
      <c r="BH108" s="144"/>
      <c r="BI108" s="432"/>
      <c r="BJ108" s="430">
        <v>0</v>
      </c>
      <c r="BK108" s="431"/>
      <c r="BL108" s="51"/>
      <c r="BM108" s="144"/>
      <c r="BN108" s="432"/>
      <c r="BO108" s="430">
        <v>0</v>
      </c>
      <c r="BP108" s="431"/>
      <c r="BQ108" s="51"/>
      <c r="BR108" s="144"/>
      <c r="BS108" s="432"/>
      <c r="BT108" s="430">
        <v>0</v>
      </c>
      <c r="BU108" s="431"/>
      <c r="BV108" s="721"/>
      <c r="BW108" s="39"/>
      <c r="BX108" s="39"/>
    </row>
    <row r="109" spans="1:76" hidden="1" x14ac:dyDescent="0.2">
      <c r="A109" s="317"/>
      <c r="B109" s="317"/>
      <c r="D109" s="340" t="s">
        <v>253</v>
      </c>
      <c r="E109" s="347"/>
      <c r="F109" s="347"/>
      <c r="G109" s="51">
        <v>0</v>
      </c>
      <c r="H109" s="50"/>
      <c r="I109" s="51"/>
      <c r="J109" s="144"/>
      <c r="K109" s="144"/>
      <c r="L109" s="51">
        <v>0</v>
      </c>
      <c r="M109" s="50"/>
      <c r="N109" s="51"/>
      <c r="O109" s="144"/>
      <c r="P109" s="144"/>
      <c r="Q109" s="51">
        <v>0</v>
      </c>
      <c r="R109" s="50"/>
      <c r="S109" s="51"/>
      <c r="T109" s="144"/>
      <c r="U109" s="144"/>
      <c r="V109" s="51">
        <v>0</v>
      </c>
      <c r="W109" s="50"/>
      <c r="X109" s="51"/>
      <c r="Y109" s="144"/>
      <c r="Z109" s="144"/>
      <c r="AA109" s="51">
        <v>0</v>
      </c>
      <c r="AB109" s="50"/>
      <c r="AC109" s="51"/>
      <c r="AD109" s="144"/>
      <c r="AE109" s="144"/>
      <c r="AF109" s="51">
        <v>0</v>
      </c>
      <c r="AG109" s="50"/>
      <c r="AH109" s="51"/>
      <c r="AI109" s="144"/>
      <c r="AJ109" s="144"/>
      <c r="AK109" s="51">
        <v>0</v>
      </c>
      <c r="AL109" s="50"/>
      <c r="AM109" s="51"/>
      <c r="AN109" s="144"/>
      <c r="AO109" s="144"/>
      <c r="AP109" s="51">
        <v>0</v>
      </c>
      <c r="AQ109" s="50"/>
      <c r="AR109" s="51"/>
      <c r="AS109" s="144"/>
      <c r="AT109" s="144"/>
      <c r="AU109" s="51">
        <v>0</v>
      </c>
      <c r="AV109" s="50"/>
      <c r="AW109" s="51"/>
      <c r="AX109" s="144"/>
      <c r="AY109" s="144"/>
      <c r="AZ109" s="51">
        <v>0</v>
      </c>
      <c r="BA109" s="50"/>
      <c r="BB109" s="51"/>
      <c r="BC109" s="144"/>
      <c r="BD109" s="144"/>
      <c r="BE109" s="51">
        <v>0</v>
      </c>
      <c r="BF109" s="50"/>
      <c r="BG109" s="51"/>
      <c r="BH109" s="144"/>
      <c r="BI109" s="144"/>
      <c r="BJ109" s="51">
        <v>0</v>
      </c>
      <c r="BK109" s="50"/>
      <c r="BL109" s="51"/>
      <c r="BM109" s="144"/>
      <c r="BN109" s="144"/>
      <c r="BO109" s="51">
        <v>0</v>
      </c>
      <c r="BP109" s="50"/>
      <c r="BQ109" s="51"/>
      <c r="BR109" s="144"/>
      <c r="BS109" s="144"/>
      <c r="BT109" s="51">
        <v>0</v>
      </c>
      <c r="BU109" s="50"/>
      <c r="BV109" s="721"/>
      <c r="BW109" s="39"/>
      <c r="BX109" s="39"/>
    </row>
    <row r="110" spans="1:76" hidden="1" x14ac:dyDescent="0.2">
      <c r="A110" s="317"/>
      <c r="B110" s="317"/>
      <c r="D110" s="340" t="s">
        <v>254</v>
      </c>
      <c r="E110" s="347"/>
      <c r="F110" s="371"/>
      <c r="G110" s="95">
        <v>0</v>
      </c>
      <c r="H110" s="94"/>
      <c r="I110" s="51"/>
      <c r="J110" s="144"/>
      <c r="K110" s="187"/>
      <c r="L110" s="95">
        <v>0</v>
      </c>
      <c r="M110" s="94"/>
      <c r="N110" s="51"/>
      <c r="O110" s="144"/>
      <c r="P110" s="187"/>
      <c r="Q110" s="95">
        <v>0</v>
      </c>
      <c r="R110" s="94"/>
      <c r="S110" s="51"/>
      <c r="T110" s="144"/>
      <c r="U110" s="187"/>
      <c r="V110" s="95">
        <v>0</v>
      </c>
      <c r="W110" s="94"/>
      <c r="X110" s="51"/>
      <c r="Y110" s="144"/>
      <c r="Z110" s="187"/>
      <c r="AA110" s="95">
        <v>0</v>
      </c>
      <c r="AB110" s="94"/>
      <c r="AC110" s="51"/>
      <c r="AD110" s="144"/>
      <c r="AE110" s="187"/>
      <c r="AF110" s="95">
        <v>0</v>
      </c>
      <c r="AG110" s="94"/>
      <c r="AH110" s="51"/>
      <c r="AI110" s="144"/>
      <c r="AJ110" s="187"/>
      <c r="AK110" s="95">
        <v>0</v>
      </c>
      <c r="AL110" s="94"/>
      <c r="AM110" s="51"/>
      <c r="AN110" s="144"/>
      <c r="AO110" s="187"/>
      <c r="AP110" s="95">
        <v>0</v>
      </c>
      <c r="AQ110" s="94"/>
      <c r="AR110" s="51"/>
      <c r="AS110" s="144"/>
      <c r="AT110" s="187"/>
      <c r="AU110" s="95">
        <v>0</v>
      </c>
      <c r="AV110" s="94"/>
      <c r="AW110" s="51"/>
      <c r="AX110" s="144"/>
      <c r="AY110" s="187"/>
      <c r="AZ110" s="95">
        <v>0</v>
      </c>
      <c r="BA110" s="94"/>
      <c r="BB110" s="51"/>
      <c r="BC110" s="144"/>
      <c r="BD110" s="187"/>
      <c r="BE110" s="95">
        <v>0</v>
      </c>
      <c r="BF110" s="94"/>
      <c r="BG110" s="51"/>
      <c r="BH110" s="144"/>
      <c r="BI110" s="187"/>
      <c r="BJ110" s="95">
        <v>0</v>
      </c>
      <c r="BK110" s="94"/>
      <c r="BL110" s="51"/>
      <c r="BM110" s="144"/>
      <c r="BN110" s="187"/>
      <c r="BO110" s="95">
        <v>0</v>
      </c>
      <c r="BP110" s="94"/>
      <c r="BQ110" s="51"/>
      <c r="BR110" s="144"/>
      <c r="BS110" s="187"/>
      <c r="BT110" s="95">
        <v>0</v>
      </c>
      <c r="BU110" s="94"/>
      <c r="BV110" s="721"/>
      <c r="BW110" s="39"/>
      <c r="BX110" s="39"/>
    </row>
    <row r="111" spans="1:76" hidden="1" x14ac:dyDescent="0.2">
      <c r="A111" s="317"/>
      <c r="B111" s="317"/>
      <c r="D111" s="340"/>
      <c r="E111" s="347"/>
      <c r="F111" s="317"/>
      <c r="G111" s="51"/>
      <c r="H111" s="51"/>
      <c r="I111" s="51"/>
      <c r="J111" s="144"/>
      <c r="K111" s="51"/>
      <c r="L111" s="51"/>
      <c r="M111" s="51"/>
      <c r="N111" s="51"/>
      <c r="O111" s="144"/>
      <c r="P111" s="51"/>
      <c r="Q111" s="51"/>
      <c r="R111" s="51"/>
      <c r="S111" s="51"/>
      <c r="T111" s="144"/>
      <c r="U111" s="51"/>
      <c r="V111" s="51"/>
      <c r="W111" s="51"/>
      <c r="X111" s="51"/>
      <c r="Y111" s="144"/>
      <c r="Z111" s="51"/>
      <c r="AA111" s="51"/>
      <c r="AB111" s="51"/>
      <c r="AC111" s="51"/>
      <c r="AD111" s="144"/>
      <c r="AE111" s="51"/>
      <c r="AF111" s="51"/>
      <c r="AG111" s="51"/>
      <c r="AH111" s="51"/>
      <c r="AI111" s="144"/>
      <c r="AJ111" s="51"/>
      <c r="AK111" s="51"/>
      <c r="AL111" s="51"/>
      <c r="AM111" s="51"/>
      <c r="AN111" s="144"/>
      <c r="AO111" s="51"/>
      <c r="AP111" s="51"/>
      <c r="AQ111" s="51"/>
      <c r="AR111" s="51"/>
      <c r="AS111" s="144"/>
      <c r="AT111" s="51"/>
      <c r="AU111" s="51"/>
      <c r="AV111" s="51"/>
      <c r="AW111" s="51"/>
      <c r="AX111" s="144"/>
      <c r="AY111" s="51"/>
      <c r="AZ111" s="51"/>
      <c r="BA111" s="51"/>
      <c r="BB111" s="51"/>
      <c r="BC111" s="144"/>
      <c r="BD111" s="51"/>
      <c r="BE111" s="51"/>
      <c r="BF111" s="51"/>
      <c r="BG111" s="51"/>
      <c r="BH111" s="144"/>
      <c r="BI111" s="51"/>
      <c r="BJ111" s="51"/>
      <c r="BK111" s="51"/>
      <c r="BL111" s="51"/>
      <c r="BM111" s="144"/>
      <c r="BN111" s="51"/>
      <c r="BO111" s="51"/>
      <c r="BP111" s="51"/>
      <c r="BQ111" s="51"/>
      <c r="BR111" s="144"/>
      <c r="BS111" s="51"/>
      <c r="BT111" s="51"/>
      <c r="BU111" s="51"/>
      <c r="BV111" s="721"/>
      <c r="BW111" s="39"/>
      <c r="BX111" s="39"/>
    </row>
    <row r="112" spans="1:76" hidden="1" x14ac:dyDescent="0.2">
      <c r="A112" s="317"/>
      <c r="B112" s="317"/>
      <c r="D112" s="340" t="s">
        <v>256</v>
      </c>
      <c r="E112" s="347"/>
      <c r="F112" s="317"/>
      <c r="G112" s="51">
        <v>0</v>
      </c>
      <c r="H112" s="51"/>
      <c r="I112" s="51"/>
      <c r="J112" s="144"/>
      <c r="K112" s="51"/>
      <c r="L112" s="51">
        <v>0</v>
      </c>
      <c r="M112" s="51"/>
      <c r="N112" s="51"/>
      <c r="O112" s="144"/>
      <c r="P112" s="51"/>
      <c r="Q112" s="51">
        <v>0</v>
      </c>
      <c r="R112" s="51"/>
      <c r="S112" s="51"/>
      <c r="T112" s="144"/>
      <c r="U112" s="51"/>
      <c r="V112" s="51">
        <v>0</v>
      </c>
      <c r="W112" s="51"/>
      <c r="X112" s="51"/>
      <c r="Y112" s="144"/>
      <c r="Z112" s="51"/>
      <c r="AA112" s="51">
        <v>0</v>
      </c>
      <c r="AB112" s="51"/>
      <c r="AC112" s="51"/>
      <c r="AD112" s="144"/>
      <c r="AE112" s="51"/>
      <c r="AF112" s="51">
        <v>0</v>
      </c>
      <c r="AG112" s="51"/>
      <c r="AH112" s="51"/>
      <c r="AI112" s="144"/>
      <c r="AJ112" s="51"/>
      <c r="AK112" s="51">
        <v>0</v>
      </c>
      <c r="AL112" s="51"/>
      <c r="AM112" s="51"/>
      <c r="AN112" s="144"/>
      <c r="AO112" s="51"/>
      <c r="AP112" s="51">
        <v>0</v>
      </c>
      <c r="AQ112" s="51"/>
      <c r="AR112" s="51"/>
      <c r="AS112" s="144"/>
      <c r="AT112" s="51"/>
      <c r="AU112" s="51">
        <v>0</v>
      </c>
      <c r="AV112" s="51"/>
      <c r="AW112" s="51"/>
      <c r="AX112" s="144"/>
      <c r="AY112" s="51"/>
      <c r="AZ112" s="51">
        <v>0</v>
      </c>
      <c r="BA112" s="51"/>
      <c r="BB112" s="51"/>
      <c r="BC112" s="144"/>
      <c r="BD112" s="51"/>
      <c r="BE112" s="51">
        <v>0</v>
      </c>
      <c r="BF112" s="51"/>
      <c r="BG112" s="51"/>
      <c r="BH112" s="144"/>
      <c r="BI112" s="51"/>
      <c r="BJ112" s="51">
        <v>0</v>
      </c>
      <c r="BK112" s="51"/>
      <c r="BL112" s="51"/>
      <c r="BM112" s="144"/>
      <c r="BN112" s="51"/>
      <c r="BO112" s="51">
        <v>0</v>
      </c>
      <c r="BP112" s="51"/>
      <c r="BQ112" s="51"/>
      <c r="BR112" s="144"/>
      <c r="BS112" s="51"/>
      <c r="BT112" s="51">
        <v>0</v>
      </c>
      <c r="BU112" s="51"/>
      <c r="BV112" s="721"/>
      <c r="BW112" s="39"/>
      <c r="BX112" s="39"/>
    </row>
    <row r="113" spans="1:76" hidden="1" x14ac:dyDescent="0.2">
      <c r="A113" s="317"/>
      <c r="B113" s="317"/>
      <c r="D113" s="340" t="s">
        <v>183</v>
      </c>
      <c r="E113" s="347"/>
      <c r="F113" s="354"/>
      <c r="G113" s="430">
        <v>0</v>
      </c>
      <c r="H113" s="431"/>
      <c r="I113" s="51"/>
      <c r="J113" s="144"/>
      <c r="K113" s="432"/>
      <c r="L113" s="430">
        <v>0</v>
      </c>
      <c r="M113" s="431"/>
      <c r="N113" s="51"/>
      <c r="O113" s="144"/>
      <c r="P113" s="432"/>
      <c r="Q113" s="430">
        <v>0</v>
      </c>
      <c r="R113" s="431"/>
      <c r="S113" s="51"/>
      <c r="T113" s="144"/>
      <c r="U113" s="432"/>
      <c r="V113" s="430">
        <v>0</v>
      </c>
      <c r="W113" s="431"/>
      <c r="X113" s="51"/>
      <c r="Y113" s="144"/>
      <c r="Z113" s="432"/>
      <c r="AA113" s="430">
        <v>0</v>
      </c>
      <c r="AB113" s="431"/>
      <c r="AC113" s="51"/>
      <c r="AD113" s="144"/>
      <c r="AE113" s="432"/>
      <c r="AF113" s="430">
        <v>0</v>
      </c>
      <c r="AG113" s="431"/>
      <c r="AH113" s="51"/>
      <c r="AI113" s="144"/>
      <c r="AJ113" s="432"/>
      <c r="AK113" s="430">
        <v>0</v>
      </c>
      <c r="AL113" s="431"/>
      <c r="AM113" s="51"/>
      <c r="AN113" s="144"/>
      <c r="AO113" s="432"/>
      <c r="AP113" s="430">
        <v>0</v>
      </c>
      <c r="AQ113" s="431"/>
      <c r="AR113" s="51"/>
      <c r="AS113" s="144"/>
      <c r="AT113" s="432"/>
      <c r="AU113" s="430">
        <v>0</v>
      </c>
      <c r="AV113" s="431"/>
      <c r="AW113" s="51"/>
      <c r="AX113" s="144"/>
      <c r="AY113" s="432"/>
      <c r="AZ113" s="430">
        <v>0</v>
      </c>
      <c r="BA113" s="431"/>
      <c r="BB113" s="51"/>
      <c r="BC113" s="144"/>
      <c r="BD113" s="432"/>
      <c r="BE113" s="430">
        <v>0</v>
      </c>
      <c r="BF113" s="431"/>
      <c r="BG113" s="51"/>
      <c r="BH113" s="144"/>
      <c r="BI113" s="432"/>
      <c r="BJ113" s="430">
        <v>0</v>
      </c>
      <c r="BK113" s="431"/>
      <c r="BL113" s="51"/>
      <c r="BM113" s="144"/>
      <c r="BN113" s="432"/>
      <c r="BO113" s="430">
        <v>0</v>
      </c>
      <c r="BP113" s="431"/>
      <c r="BQ113" s="51"/>
      <c r="BR113" s="144"/>
      <c r="BS113" s="432"/>
      <c r="BT113" s="430">
        <v>0</v>
      </c>
      <c r="BU113" s="431"/>
      <c r="BV113" s="721"/>
      <c r="BW113" s="39"/>
      <c r="BX113" s="39"/>
    </row>
    <row r="114" spans="1:76" hidden="1" x14ac:dyDescent="0.2">
      <c r="A114" s="317"/>
      <c r="B114" s="317"/>
      <c r="D114" s="340" t="s">
        <v>253</v>
      </c>
      <c r="E114" s="347"/>
      <c r="F114" s="347"/>
      <c r="G114" s="51">
        <v>0</v>
      </c>
      <c r="H114" s="50"/>
      <c r="I114" s="51"/>
      <c r="J114" s="144"/>
      <c r="K114" s="144"/>
      <c r="L114" s="51">
        <v>0</v>
      </c>
      <c r="M114" s="50"/>
      <c r="N114" s="51"/>
      <c r="O114" s="144"/>
      <c r="P114" s="144"/>
      <c r="Q114" s="51">
        <v>0</v>
      </c>
      <c r="R114" s="50"/>
      <c r="S114" s="51"/>
      <c r="T114" s="144"/>
      <c r="U114" s="144"/>
      <c r="V114" s="51">
        <v>0</v>
      </c>
      <c r="W114" s="50"/>
      <c r="X114" s="51"/>
      <c r="Y114" s="144"/>
      <c r="Z114" s="144"/>
      <c r="AA114" s="51">
        <v>0</v>
      </c>
      <c r="AB114" s="50"/>
      <c r="AC114" s="51"/>
      <c r="AD114" s="144"/>
      <c r="AE114" s="144"/>
      <c r="AF114" s="51">
        <v>0</v>
      </c>
      <c r="AG114" s="50"/>
      <c r="AH114" s="51"/>
      <c r="AI114" s="144"/>
      <c r="AJ114" s="144"/>
      <c r="AK114" s="51">
        <v>0</v>
      </c>
      <c r="AL114" s="50"/>
      <c r="AM114" s="51"/>
      <c r="AN114" s="144"/>
      <c r="AO114" s="144"/>
      <c r="AP114" s="51">
        <v>0</v>
      </c>
      <c r="AQ114" s="50"/>
      <c r="AR114" s="51"/>
      <c r="AS114" s="144"/>
      <c r="AT114" s="144"/>
      <c r="AU114" s="51">
        <v>0</v>
      </c>
      <c r="AV114" s="50"/>
      <c r="AW114" s="51"/>
      <c r="AX114" s="144"/>
      <c r="AY114" s="144"/>
      <c r="AZ114" s="51">
        <v>0</v>
      </c>
      <c r="BA114" s="50"/>
      <c r="BB114" s="51"/>
      <c r="BC114" s="144"/>
      <c r="BD114" s="144"/>
      <c r="BE114" s="51">
        <v>0</v>
      </c>
      <c r="BF114" s="50"/>
      <c r="BG114" s="51"/>
      <c r="BH114" s="144"/>
      <c r="BI114" s="144"/>
      <c r="BJ114" s="51">
        <v>0</v>
      </c>
      <c r="BK114" s="50"/>
      <c r="BL114" s="51"/>
      <c r="BM114" s="144"/>
      <c r="BN114" s="144"/>
      <c r="BO114" s="51">
        <v>0</v>
      </c>
      <c r="BP114" s="50"/>
      <c r="BQ114" s="51"/>
      <c r="BR114" s="144"/>
      <c r="BS114" s="144"/>
      <c r="BT114" s="51">
        <v>0</v>
      </c>
      <c r="BU114" s="50"/>
      <c r="BV114" s="721"/>
      <c r="BW114" s="39"/>
      <c r="BX114" s="39"/>
    </row>
    <row r="115" spans="1:76" hidden="1" x14ac:dyDescent="0.2">
      <c r="A115" s="317"/>
      <c r="B115" s="317"/>
      <c r="D115" s="340" t="s">
        <v>254</v>
      </c>
      <c r="E115" s="347"/>
      <c r="F115" s="371"/>
      <c r="G115" s="95">
        <v>0</v>
      </c>
      <c r="H115" s="94"/>
      <c r="I115" s="51"/>
      <c r="J115" s="144"/>
      <c r="K115" s="187"/>
      <c r="L115" s="95">
        <v>0</v>
      </c>
      <c r="M115" s="94"/>
      <c r="N115" s="51"/>
      <c r="O115" s="144"/>
      <c r="P115" s="187"/>
      <c r="Q115" s="95">
        <v>0</v>
      </c>
      <c r="R115" s="94"/>
      <c r="S115" s="51"/>
      <c r="T115" s="144"/>
      <c r="U115" s="187"/>
      <c r="V115" s="95">
        <v>0</v>
      </c>
      <c r="W115" s="94"/>
      <c r="X115" s="51"/>
      <c r="Y115" s="144"/>
      <c r="Z115" s="187"/>
      <c r="AA115" s="95">
        <v>0</v>
      </c>
      <c r="AB115" s="94"/>
      <c r="AC115" s="51"/>
      <c r="AD115" s="144"/>
      <c r="AE115" s="187"/>
      <c r="AF115" s="95">
        <v>0</v>
      </c>
      <c r="AG115" s="94"/>
      <c r="AH115" s="51"/>
      <c r="AI115" s="144"/>
      <c r="AJ115" s="187"/>
      <c r="AK115" s="95">
        <v>0</v>
      </c>
      <c r="AL115" s="94"/>
      <c r="AM115" s="51"/>
      <c r="AN115" s="144"/>
      <c r="AO115" s="187"/>
      <c r="AP115" s="95">
        <v>0</v>
      </c>
      <c r="AQ115" s="94"/>
      <c r="AR115" s="51"/>
      <c r="AS115" s="144"/>
      <c r="AT115" s="187"/>
      <c r="AU115" s="95">
        <v>0</v>
      </c>
      <c r="AV115" s="94"/>
      <c r="AW115" s="51"/>
      <c r="AX115" s="144"/>
      <c r="AY115" s="187"/>
      <c r="AZ115" s="95">
        <v>0</v>
      </c>
      <c r="BA115" s="94"/>
      <c r="BB115" s="51"/>
      <c r="BC115" s="144"/>
      <c r="BD115" s="187"/>
      <c r="BE115" s="95">
        <v>0</v>
      </c>
      <c r="BF115" s="94"/>
      <c r="BG115" s="51"/>
      <c r="BH115" s="144"/>
      <c r="BI115" s="187"/>
      <c r="BJ115" s="95">
        <v>0</v>
      </c>
      <c r="BK115" s="94"/>
      <c r="BL115" s="51"/>
      <c r="BM115" s="144"/>
      <c r="BN115" s="187"/>
      <c r="BO115" s="95">
        <v>0</v>
      </c>
      <c r="BP115" s="94"/>
      <c r="BQ115" s="51"/>
      <c r="BR115" s="144"/>
      <c r="BS115" s="187"/>
      <c r="BT115" s="95">
        <v>0</v>
      </c>
      <c r="BU115" s="94"/>
      <c r="BV115" s="721"/>
      <c r="BW115" s="39"/>
      <c r="BX115" s="39"/>
    </row>
    <row r="116" spans="1:76" hidden="1" x14ac:dyDescent="0.2">
      <c r="A116" s="317"/>
      <c r="B116" s="317"/>
      <c r="D116" s="340"/>
      <c r="E116" s="347"/>
      <c r="F116" s="317"/>
      <c r="G116" s="51"/>
      <c r="H116" s="51"/>
      <c r="I116" s="51"/>
      <c r="J116" s="144"/>
      <c r="K116" s="51"/>
      <c r="L116" s="51"/>
      <c r="M116" s="51"/>
      <c r="N116" s="51"/>
      <c r="O116" s="144"/>
      <c r="P116" s="51"/>
      <c r="Q116" s="51"/>
      <c r="R116" s="51"/>
      <c r="S116" s="51"/>
      <c r="T116" s="144"/>
      <c r="U116" s="51"/>
      <c r="V116" s="51"/>
      <c r="W116" s="51"/>
      <c r="X116" s="51"/>
      <c r="Y116" s="144"/>
      <c r="Z116" s="51"/>
      <c r="AA116" s="51"/>
      <c r="AB116" s="51"/>
      <c r="AC116" s="51"/>
      <c r="AD116" s="144"/>
      <c r="AE116" s="51"/>
      <c r="AF116" s="51"/>
      <c r="AG116" s="51"/>
      <c r="AH116" s="51"/>
      <c r="AI116" s="144"/>
      <c r="AJ116" s="51"/>
      <c r="AK116" s="51"/>
      <c r="AL116" s="51"/>
      <c r="AM116" s="51"/>
      <c r="AN116" s="144"/>
      <c r="AO116" s="51"/>
      <c r="AP116" s="51"/>
      <c r="AQ116" s="51"/>
      <c r="AR116" s="51"/>
      <c r="AS116" s="144"/>
      <c r="AT116" s="51"/>
      <c r="AU116" s="51"/>
      <c r="AV116" s="51"/>
      <c r="AW116" s="51"/>
      <c r="AX116" s="144"/>
      <c r="AY116" s="51"/>
      <c r="AZ116" s="51"/>
      <c r="BA116" s="51"/>
      <c r="BB116" s="51"/>
      <c r="BC116" s="144"/>
      <c r="BD116" s="51"/>
      <c r="BE116" s="51"/>
      <c r="BF116" s="51"/>
      <c r="BG116" s="51"/>
      <c r="BH116" s="144"/>
      <c r="BI116" s="51"/>
      <c r="BJ116" s="51"/>
      <c r="BK116" s="51"/>
      <c r="BL116" s="51"/>
      <c r="BM116" s="144"/>
      <c r="BN116" s="51"/>
      <c r="BO116" s="51"/>
      <c r="BP116" s="51"/>
      <c r="BQ116" s="51"/>
      <c r="BR116" s="144"/>
      <c r="BS116" s="51"/>
      <c r="BT116" s="51"/>
      <c r="BU116" s="51"/>
      <c r="BV116" s="721"/>
      <c r="BW116" s="39"/>
      <c r="BX116" s="39"/>
    </row>
    <row r="117" spans="1:76" hidden="1" x14ac:dyDescent="0.2">
      <c r="A117" s="317"/>
      <c r="B117" s="317"/>
      <c r="D117" s="340" t="s">
        <v>257</v>
      </c>
      <c r="E117" s="347"/>
      <c r="F117" s="317"/>
      <c r="G117" s="51">
        <v>0</v>
      </c>
      <c r="H117" s="51"/>
      <c r="I117" s="51"/>
      <c r="J117" s="144"/>
      <c r="K117" s="51"/>
      <c r="L117" s="51">
        <v>0</v>
      </c>
      <c r="M117" s="51"/>
      <c r="N117" s="51"/>
      <c r="O117" s="144"/>
      <c r="P117" s="51"/>
      <c r="Q117" s="51">
        <v>0</v>
      </c>
      <c r="R117" s="51"/>
      <c r="S117" s="51"/>
      <c r="T117" s="144"/>
      <c r="U117" s="51"/>
      <c r="V117" s="51">
        <v>0</v>
      </c>
      <c r="W117" s="51"/>
      <c r="X117" s="51"/>
      <c r="Y117" s="144"/>
      <c r="Z117" s="51"/>
      <c r="AA117" s="51">
        <v>0</v>
      </c>
      <c r="AB117" s="51"/>
      <c r="AC117" s="51"/>
      <c r="AD117" s="144"/>
      <c r="AE117" s="51"/>
      <c r="AF117" s="51">
        <v>0</v>
      </c>
      <c r="AG117" s="51"/>
      <c r="AH117" s="51"/>
      <c r="AI117" s="144"/>
      <c r="AJ117" s="51"/>
      <c r="AK117" s="51">
        <v>0</v>
      </c>
      <c r="AL117" s="51"/>
      <c r="AM117" s="51"/>
      <c r="AN117" s="144"/>
      <c r="AO117" s="51"/>
      <c r="AP117" s="51">
        <v>0</v>
      </c>
      <c r="AQ117" s="51"/>
      <c r="AR117" s="51"/>
      <c r="AS117" s="144"/>
      <c r="AT117" s="51"/>
      <c r="AU117" s="51">
        <v>0</v>
      </c>
      <c r="AV117" s="51"/>
      <c r="AW117" s="51"/>
      <c r="AX117" s="144"/>
      <c r="AY117" s="51"/>
      <c r="AZ117" s="51">
        <v>0</v>
      </c>
      <c r="BA117" s="51"/>
      <c r="BB117" s="51"/>
      <c r="BC117" s="144"/>
      <c r="BD117" s="51"/>
      <c r="BE117" s="51">
        <v>0</v>
      </c>
      <c r="BF117" s="51"/>
      <c r="BG117" s="51"/>
      <c r="BH117" s="144"/>
      <c r="BI117" s="51"/>
      <c r="BJ117" s="51">
        <v>0</v>
      </c>
      <c r="BK117" s="51"/>
      <c r="BL117" s="51"/>
      <c r="BM117" s="144"/>
      <c r="BN117" s="51"/>
      <c r="BO117" s="51">
        <v>0</v>
      </c>
      <c r="BP117" s="51"/>
      <c r="BQ117" s="51"/>
      <c r="BR117" s="144"/>
      <c r="BS117" s="51"/>
      <c r="BT117" s="51">
        <v>0</v>
      </c>
      <c r="BU117" s="51"/>
      <c r="BV117" s="721"/>
      <c r="BW117" s="39"/>
      <c r="BX117" s="39"/>
    </row>
    <row r="118" spans="1:76" hidden="1" x14ac:dyDescent="0.2">
      <c r="A118" s="317"/>
      <c r="B118" s="317"/>
      <c r="D118" s="340" t="s">
        <v>183</v>
      </c>
      <c r="E118" s="347"/>
      <c r="F118" s="354"/>
      <c r="G118" s="430">
        <v>0</v>
      </c>
      <c r="H118" s="431"/>
      <c r="I118" s="51"/>
      <c r="J118" s="144"/>
      <c r="K118" s="432"/>
      <c r="L118" s="430">
        <v>0</v>
      </c>
      <c r="M118" s="431"/>
      <c r="N118" s="51"/>
      <c r="O118" s="144"/>
      <c r="P118" s="432"/>
      <c r="Q118" s="430">
        <v>0</v>
      </c>
      <c r="R118" s="431"/>
      <c r="S118" s="51"/>
      <c r="T118" s="144"/>
      <c r="U118" s="432"/>
      <c r="V118" s="430">
        <v>0</v>
      </c>
      <c r="W118" s="431"/>
      <c r="X118" s="51"/>
      <c r="Y118" s="144"/>
      <c r="Z118" s="432"/>
      <c r="AA118" s="430">
        <v>0</v>
      </c>
      <c r="AB118" s="431"/>
      <c r="AC118" s="51"/>
      <c r="AD118" s="144"/>
      <c r="AE118" s="432"/>
      <c r="AF118" s="430">
        <v>0</v>
      </c>
      <c r="AG118" s="431"/>
      <c r="AH118" s="51"/>
      <c r="AI118" s="144"/>
      <c r="AJ118" s="432"/>
      <c r="AK118" s="430">
        <v>0</v>
      </c>
      <c r="AL118" s="431"/>
      <c r="AM118" s="51"/>
      <c r="AN118" s="144"/>
      <c r="AO118" s="432"/>
      <c r="AP118" s="430">
        <v>0</v>
      </c>
      <c r="AQ118" s="431"/>
      <c r="AR118" s="51"/>
      <c r="AS118" s="144"/>
      <c r="AT118" s="432"/>
      <c r="AU118" s="430">
        <v>0</v>
      </c>
      <c r="AV118" s="431"/>
      <c r="AW118" s="51"/>
      <c r="AX118" s="144"/>
      <c r="AY118" s="432"/>
      <c r="AZ118" s="430">
        <v>0</v>
      </c>
      <c r="BA118" s="431"/>
      <c r="BB118" s="51"/>
      <c r="BC118" s="144"/>
      <c r="BD118" s="432"/>
      <c r="BE118" s="430">
        <v>0</v>
      </c>
      <c r="BF118" s="431"/>
      <c r="BG118" s="51"/>
      <c r="BH118" s="144"/>
      <c r="BI118" s="432"/>
      <c r="BJ118" s="430">
        <v>0</v>
      </c>
      <c r="BK118" s="431"/>
      <c r="BL118" s="51"/>
      <c r="BM118" s="144"/>
      <c r="BN118" s="432"/>
      <c r="BO118" s="430">
        <v>0</v>
      </c>
      <c r="BP118" s="431"/>
      <c r="BQ118" s="51"/>
      <c r="BR118" s="144"/>
      <c r="BS118" s="432"/>
      <c r="BT118" s="430">
        <v>0</v>
      </c>
      <c r="BU118" s="431"/>
      <c r="BV118" s="721"/>
      <c r="BW118" s="39"/>
      <c r="BX118" s="39"/>
    </row>
    <row r="119" spans="1:76" hidden="1" x14ac:dyDescent="0.2">
      <c r="A119" s="317"/>
      <c r="B119" s="317"/>
      <c r="D119" s="340" t="s">
        <v>253</v>
      </c>
      <c r="E119" s="347"/>
      <c r="F119" s="347"/>
      <c r="G119" s="51">
        <v>0</v>
      </c>
      <c r="H119" s="50"/>
      <c r="I119" s="51"/>
      <c r="J119" s="144"/>
      <c r="K119" s="144"/>
      <c r="L119" s="51">
        <v>0</v>
      </c>
      <c r="M119" s="50"/>
      <c r="N119" s="51"/>
      <c r="O119" s="144"/>
      <c r="P119" s="144"/>
      <c r="Q119" s="51">
        <v>0</v>
      </c>
      <c r="R119" s="50"/>
      <c r="S119" s="51"/>
      <c r="T119" s="144"/>
      <c r="U119" s="144"/>
      <c r="V119" s="51">
        <v>0</v>
      </c>
      <c r="W119" s="50"/>
      <c r="X119" s="51"/>
      <c r="Y119" s="144"/>
      <c r="Z119" s="144"/>
      <c r="AA119" s="51">
        <v>0</v>
      </c>
      <c r="AB119" s="50"/>
      <c r="AC119" s="51"/>
      <c r="AD119" s="144"/>
      <c r="AE119" s="144"/>
      <c r="AF119" s="51">
        <v>0</v>
      </c>
      <c r="AG119" s="50"/>
      <c r="AH119" s="51"/>
      <c r="AI119" s="144"/>
      <c r="AJ119" s="144"/>
      <c r="AK119" s="51">
        <v>0</v>
      </c>
      <c r="AL119" s="50"/>
      <c r="AM119" s="51"/>
      <c r="AN119" s="144"/>
      <c r="AO119" s="144"/>
      <c r="AP119" s="51">
        <v>0</v>
      </c>
      <c r="AQ119" s="50"/>
      <c r="AR119" s="51"/>
      <c r="AS119" s="144"/>
      <c r="AT119" s="144"/>
      <c r="AU119" s="51">
        <v>0</v>
      </c>
      <c r="AV119" s="50"/>
      <c r="AW119" s="51"/>
      <c r="AX119" s="144"/>
      <c r="AY119" s="144"/>
      <c r="AZ119" s="51">
        <v>0</v>
      </c>
      <c r="BA119" s="50"/>
      <c r="BB119" s="51"/>
      <c r="BC119" s="144"/>
      <c r="BD119" s="144"/>
      <c r="BE119" s="51">
        <v>0</v>
      </c>
      <c r="BF119" s="50"/>
      <c r="BG119" s="51"/>
      <c r="BH119" s="144"/>
      <c r="BI119" s="144"/>
      <c r="BJ119" s="51">
        <v>0</v>
      </c>
      <c r="BK119" s="50"/>
      <c r="BL119" s="51"/>
      <c r="BM119" s="144"/>
      <c r="BN119" s="144"/>
      <c r="BO119" s="51">
        <v>0</v>
      </c>
      <c r="BP119" s="50"/>
      <c r="BQ119" s="51"/>
      <c r="BR119" s="144"/>
      <c r="BS119" s="144"/>
      <c r="BT119" s="51">
        <v>0</v>
      </c>
      <c r="BU119" s="50"/>
      <c r="BV119" s="721"/>
      <c r="BW119" s="39"/>
      <c r="BX119" s="39"/>
    </row>
    <row r="120" spans="1:76" hidden="1" x14ac:dyDescent="0.2">
      <c r="A120" s="317"/>
      <c r="B120" s="317"/>
      <c r="D120" s="340" t="s">
        <v>254</v>
      </c>
      <c r="E120" s="347"/>
      <c r="F120" s="371"/>
      <c r="G120" s="95">
        <v>0</v>
      </c>
      <c r="H120" s="94"/>
      <c r="I120" s="51"/>
      <c r="J120" s="144"/>
      <c r="K120" s="187"/>
      <c r="L120" s="95">
        <v>0</v>
      </c>
      <c r="M120" s="94"/>
      <c r="N120" s="51"/>
      <c r="O120" s="144"/>
      <c r="P120" s="187"/>
      <c r="Q120" s="95">
        <v>0</v>
      </c>
      <c r="R120" s="94"/>
      <c r="S120" s="51"/>
      <c r="T120" s="144"/>
      <c r="U120" s="187"/>
      <c r="V120" s="95">
        <v>0</v>
      </c>
      <c r="W120" s="94"/>
      <c r="X120" s="51"/>
      <c r="Y120" s="144"/>
      <c r="Z120" s="187"/>
      <c r="AA120" s="95">
        <v>0</v>
      </c>
      <c r="AB120" s="94"/>
      <c r="AC120" s="51"/>
      <c r="AD120" s="144"/>
      <c r="AE120" s="187"/>
      <c r="AF120" s="95">
        <v>0</v>
      </c>
      <c r="AG120" s="94"/>
      <c r="AH120" s="51"/>
      <c r="AI120" s="144"/>
      <c r="AJ120" s="187"/>
      <c r="AK120" s="95">
        <v>0</v>
      </c>
      <c r="AL120" s="94"/>
      <c r="AM120" s="51"/>
      <c r="AN120" s="144"/>
      <c r="AO120" s="187"/>
      <c r="AP120" s="95">
        <v>0</v>
      </c>
      <c r="AQ120" s="94"/>
      <c r="AR120" s="51"/>
      <c r="AS120" s="144"/>
      <c r="AT120" s="187"/>
      <c r="AU120" s="95">
        <v>0</v>
      </c>
      <c r="AV120" s="94"/>
      <c r="AW120" s="51"/>
      <c r="AX120" s="144"/>
      <c r="AY120" s="187"/>
      <c r="AZ120" s="95">
        <v>0</v>
      </c>
      <c r="BA120" s="94"/>
      <c r="BB120" s="51"/>
      <c r="BC120" s="144"/>
      <c r="BD120" s="187"/>
      <c r="BE120" s="95">
        <v>0</v>
      </c>
      <c r="BF120" s="94"/>
      <c r="BG120" s="51"/>
      <c r="BH120" s="144"/>
      <c r="BI120" s="187"/>
      <c r="BJ120" s="95">
        <v>0</v>
      </c>
      <c r="BK120" s="94"/>
      <c r="BL120" s="51"/>
      <c r="BM120" s="144"/>
      <c r="BN120" s="187"/>
      <c r="BO120" s="95">
        <v>0</v>
      </c>
      <c r="BP120" s="94"/>
      <c r="BQ120" s="51"/>
      <c r="BR120" s="144"/>
      <c r="BS120" s="187"/>
      <c r="BT120" s="95">
        <v>0</v>
      </c>
      <c r="BU120" s="94"/>
      <c r="BV120" s="721"/>
      <c r="BW120" s="39"/>
      <c r="BX120" s="39"/>
    </row>
    <row r="121" spans="1:76" hidden="1" x14ac:dyDescent="0.2">
      <c r="A121" s="317"/>
      <c r="B121" s="317"/>
      <c r="D121" s="340"/>
      <c r="E121" s="347"/>
      <c r="F121" s="317"/>
      <c r="G121" s="51"/>
      <c r="H121" s="51"/>
      <c r="I121" s="51"/>
      <c r="J121" s="144"/>
      <c r="K121" s="51"/>
      <c r="L121" s="51"/>
      <c r="M121" s="51"/>
      <c r="N121" s="51"/>
      <c r="O121" s="144"/>
      <c r="P121" s="51"/>
      <c r="Q121" s="51"/>
      <c r="R121" s="51"/>
      <c r="S121" s="51"/>
      <c r="T121" s="144"/>
      <c r="U121" s="51"/>
      <c r="V121" s="51"/>
      <c r="W121" s="51"/>
      <c r="X121" s="51"/>
      <c r="Y121" s="144"/>
      <c r="Z121" s="51"/>
      <c r="AA121" s="51"/>
      <c r="AB121" s="51"/>
      <c r="AC121" s="51"/>
      <c r="AD121" s="144"/>
      <c r="AE121" s="51"/>
      <c r="AF121" s="51"/>
      <c r="AG121" s="51"/>
      <c r="AH121" s="51"/>
      <c r="AI121" s="144"/>
      <c r="AJ121" s="51"/>
      <c r="AK121" s="51"/>
      <c r="AL121" s="51"/>
      <c r="AM121" s="51"/>
      <c r="AN121" s="144"/>
      <c r="AO121" s="51"/>
      <c r="AP121" s="51"/>
      <c r="AQ121" s="51"/>
      <c r="AR121" s="51"/>
      <c r="AS121" s="144"/>
      <c r="AT121" s="51"/>
      <c r="AU121" s="51"/>
      <c r="AV121" s="51"/>
      <c r="AW121" s="51"/>
      <c r="AX121" s="144"/>
      <c r="AY121" s="51"/>
      <c r="AZ121" s="51"/>
      <c r="BA121" s="51"/>
      <c r="BB121" s="51"/>
      <c r="BC121" s="144"/>
      <c r="BD121" s="51"/>
      <c r="BE121" s="51"/>
      <c r="BF121" s="51"/>
      <c r="BG121" s="51"/>
      <c r="BH121" s="144"/>
      <c r="BI121" s="51"/>
      <c r="BJ121" s="51"/>
      <c r="BK121" s="51"/>
      <c r="BL121" s="51"/>
      <c r="BM121" s="144"/>
      <c r="BN121" s="51"/>
      <c r="BO121" s="51"/>
      <c r="BP121" s="51"/>
      <c r="BQ121" s="51"/>
      <c r="BR121" s="144"/>
      <c r="BS121" s="51"/>
      <c r="BT121" s="51"/>
      <c r="BU121" s="51"/>
      <c r="BV121" s="721"/>
      <c r="BW121" s="39"/>
      <c r="BX121" s="39"/>
    </row>
    <row r="122" spans="1:76" hidden="1" x14ac:dyDescent="0.2">
      <c r="A122" s="317"/>
      <c r="B122" s="317"/>
      <c r="D122" s="340" t="s">
        <v>258</v>
      </c>
      <c r="E122" s="347"/>
      <c r="F122" s="317"/>
      <c r="G122" s="51">
        <v>0</v>
      </c>
      <c r="H122" s="51"/>
      <c r="I122" s="51"/>
      <c r="J122" s="144"/>
      <c r="K122" s="51"/>
      <c r="L122" s="51">
        <v>0</v>
      </c>
      <c r="M122" s="51"/>
      <c r="N122" s="51"/>
      <c r="O122" s="144"/>
      <c r="P122" s="51"/>
      <c r="Q122" s="51">
        <v>0</v>
      </c>
      <c r="R122" s="51"/>
      <c r="S122" s="51"/>
      <c r="T122" s="144"/>
      <c r="U122" s="51"/>
      <c r="V122" s="51">
        <v>0</v>
      </c>
      <c r="W122" s="51"/>
      <c r="X122" s="51"/>
      <c r="Y122" s="144"/>
      <c r="Z122" s="51"/>
      <c r="AA122" s="51">
        <v>0</v>
      </c>
      <c r="AB122" s="51"/>
      <c r="AC122" s="51"/>
      <c r="AD122" s="144"/>
      <c r="AE122" s="51"/>
      <c r="AF122" s="51">
        <v>0</v>
      </c>
      <c r="AG122" s="51"/>
      <c r="AH122" s="51"/>
      <c r="AI122" s="144"/>
      <c r="AJ122" s="51"/>
      <c r="AK122" s="51">
        <v>0</v>
      </c>
      <c r="AL122" s="51"/>
      <c r="AM122" s="51"/>
      <c r="AN122" s="144"/>
      <c r="AO122" s="51"/>
      <c r="AP122" s="51">
        <v>0</v>
      </c>
      <c r="AQ122" s="51"/>
      <c r="AR122" s="51"/>
      <c r="AS122" s="144"/>
      <c r="AT122" s="51"/>
      <c r="AU122" s="51">
        <v>0</v>
      </c>
      <c r="AV122" s="51"/>
      <c r="AW122" s="51"/>
      <c r="AX122" s="144"/>
      <c r="AY122" s="51"/>
      <c r="AZ122" s="51">
        <v>0</v>
      </c>
      <c r="BA122" s="51"/>
      <c r="BB122" s="51"/>
      <c r="BC122" s="144"/>
      <c r="BD122" s="51"/>
      <c r="BE122" s="51">
        <v>0</v>
      </c>
      <c r="BF122" s="51"/>
      <c r="BG122" s="51"/>
      <c r="BH122" s="144"/>
      <c r="BI122" s="51"/>
      <c r="BJ122" s="51">
        <v>0</v>
      </c>
      <c r="BK122" s="51"/>
      <c r="BL122" s="51"/>
      <c r="BM122" s="144"/>
      <c r="BN122" s="51"/>
      <c r="BO122" s="51">
        <v>0</v>
      </c>
      <c r="BP122" s="51"/>
      <c r="BQ122" s="51"/>
      <c r="BR122" s="144"/>
      <c r="BS122" s="51"/>
      <c r="BT122" s="51">
        <v>0</v>
      </c>
      <c r="BU122" s="51"/>
      <c r="BV122" s="721"/>
      <c r="BW122" s="39"/>
      <c r="BX122" s="39"/>
    </row>
    <row r="123" spans="1:76" hidden="1" x14ac:dyDescent="0.2">
      <c r="A123" s="317"/>
      <c r="B123" s="317"/>
      <c r="D123" s="340" t="s">
        <v>183</v>
      </c>
      <c r="E123" s="347"/>
      <c r="F123" s="354"/>
      <c r="G123" s="430">
        <v>0</v>
      </c>
      <c r="H123" s="431"/>
      <c r="I123" s="51"/>
      <c r="J123" s="144"/>
      <c r="K123" s="432"/>
      <c r="L123" s="430">
        <v>0</v>
      </c>
      <c r="M123" s="431"/>
      <c r="N123" s="51"/>
      <c r="O123" s="144"/>
      <c r="P123" s="432"/>
      <c r="Q123" s="430">
        <v>0</v>
      </c>
      <c r="R123" s="431"/>
      <c r="S123" s="51"/>
      <c r="T123" s="144"/>
      <c r="U123" s="432"/>
      <c r="V123" s="430">
        <v>0</v>
      </c>
      <c r="W123" s="431"/>
      <c r="X123" s="51"/>
      <c r="Y123" s="144"/>
      <c r="Z123" s="432"/>
      <c r="AA123" s="430">
        <v>0</v>
      </c>
      <c r="AB123" s="431"/>
      <c r="AC123" s="51"/>
      <c r="AD123" s="144"/>
      <c r="AE123" s="432"/>
      <c r="AF123" s="430">
        <v>0</v>
      </c>
      <c r="AG123" s="431"/>
      <c r="AH123" s="51"/>
      <c r="AI123" s="144"/>
      <c r="AJ123" s="432"/>
      <c r="AK123" s="430">
        <v>0</v>
      </c>
      <c r="AL123" s="431"/>
      <c r="AM123" s="51"/>
      <c r="AN123" s="144"/>
      <c r="AO123" s="432"/>
      <c r="AP123" s="430">
        <v>0</v>
      </c>
      <c r="AQ123" s="431"/>
      <c r="AR123" s="51"/>
      <c r="AS123" s="144"/>
      <c r="AT123" s="432"/>
      <c r="AU123" s="430">
        <v>0</v>
      </c>
      <c r="AV123" s="431"/>
      <c r="AW123" s="51"/>
      <c r="AX123" s="144"/>
      <c r="AY123" s="432"/>
      <c r="AZ123" s="430">
        <v>0</v>
      </c>
      <c r="BA123" s="431"/>
      <c r="BB123" s="51"/>
      <c r="BC123" s="144"/>
      <c r="BD123" s="432"/>
      <c r="BE123" s="430">
        <v>0</v>
      </c>
      <c r="BF123" s="431"/>
      <c r="BG123" s="51"/>
      <c r="BH123" s="144"/>
      <c r="BI123" s="432"/>
      <c r="BJ123" s="430">
        <v>0</v>
      </c>
      <c r="BK123" s="431"/>
      <c r="BL123" s="51"/>
      <c r="BM123" s="144"/>
      <c r="BN123" s="432"/>
      <c r="BO123" s="430">
        <v>0</v>
      </c>
      <c r="BP123" s="431"/>
      <c r="BQ123" s="51"/>
      <c r="BR123" s="144"/>
      <c r="BS123" s="432"/>
      <c r="BT123" s="430">
        <v>0</v>
      </c>
      <c r="BU123" s="431"/>
      <c r="BV123" s="721"/>
      <c r="BW123" s="39"/>
      <c r="BX123" s="39"/>
    </row>
    <row r="124" spans="1:76" hidden="1" x14ac:dyDescent="0.2">
      <c r="A124" s="317"/>
      <c r="B124" s="317"/>
      <c r="D124" s="340" t="s">
        <v>253</v>
      </c>
      <c r="E124" s="347"/>
      <c r="F124" s="347"/>
      <c r="G124" s="51">
        <v>0</v>
      </c>
      <c r="H124" s="50"/>
      <c r="I124" s="51"/>
      <c r="J124" s="144"/>
      <c r="K124" s="144"/>
      <c r="L124" s="51">
        <v>0</v>
      </c>
      <c r="M124" s="50"/>
      <c r="N124" s="51"/>
      <c r="O124" s="144"/>
      <c r="P124" s="144"/>
      <c r="Q124" s="51">
        <v>0</v>
      </c>
      <c r="R124" s="50"/>
      <c r="S124" s="51"/>
      <c r="T124" s="144"/>
      <c r="U124" s="144"/>
      <c r="V124" s="51">
        <v>0</v>
      </c>
      <c r="W124" s="50"/>
      <c r="X124" s="51"/>
      <c r="Y124" s="144"/>
      <c r="Z124" s="144"/>
      <c r="AA124" s="51">
        <v>0</v>
      </c>
      <c r="AB124" s="50"/>
      <c r="AC124" s="51"/>
      <c r="AD124" s="144"/>
      <c r="AE124" s="144"/>
      <c r="AF124" s="51">
        <v>0</v>
      </c>
      <c r="AG124" s="50"/>
      <c r="AH124" s="51"/>
      <c r="AI124" s="144"/>
      <c r="AJ124" s="144"/>
      <c r="AK124" s="51">
        <v>0</v>
      </c>
      <c r="AL124" s="50"/>
      <c r="AM124" s="51"/>
      <c r="AN124" s="144"/>
      <c r="AO124" s="144"/>
      <c r="AP124" s="51">
        <v>0</v>
      </c>
      <c r="AQ124" s="50"/>
      <c r="AR124" s="51"/>
      <c r="AS124" s="144"/>
      <c r="AT124" s="144"/>
      <c r="AU124" s="51">
        <v>0</v>
      </c>
      <c r="AV124" s="50"/>
      <c r="AW124" s="51"/>
      <c r="AX124" s="144"/>
      <c r="AY124" s="144"/>
      <c r="AZ124" s="51">
        <v>0</v>
      </c>
      <c r="BA124" s="50"/>
      <c r="BB124" s="51"/>
      <c r="BC124" s="144"/>
      <c r="BD124" s="144"/>
      <c r="BE124" s="51">
        <v>0</v>
      </c>
      <c r="BF124" s="50"/>
      <c r="BG124" s="51"/>
      <c r="BH124" s="144"/>
      <c r="BI124" s="144"/>
      <c r="BJ124" s="51">
        <v>0</v>
      </c>
      <c r="BK124" s="50"/>
      <c r="BL124" s="51"/>
      <c r="BM124" s="144"/>
      <c r="BN124" s="144"/>
      <c r="BO124" s="51">
        <v>0</v>
      </c>
      <c r="BP124" s="50"/>
      <c r="BQ124" s="51"/>
      <c r="BR124" s="144"/>
      <c r="BS124" s="144"/>
      <c r="BT124" s="51">
        <v>0</v>
      </c>
      <c r="BU124" s="50"/>
      <c r="BV124" s="721"/>
      <c r="BW124" s="39"/>
      <c r="BX124" s="39"/>
    </row>
    <row r="125" spans="1:76" hidden="1" x14ac:dyDescent="0.2">
      <c r="A125" s="317"/>
      <c r="B125" s="317"/>
      <c r="D125" s="340" t="s">
        <v>254</v>
      </c>
      <c r="E125" s="347"/>
      <c r="F125" s="371"/>
      <c r="G125" s="95">
        <v>0</v>
      </c>
      <c r="H125" s="94"/>
      <c r="I125" s="51"/>
      <c r="J125" s="144"/>
      <c r="K125" s="187"/>
      <c r="L125" s="95">
        <v>0</v>
      </c>
      <c r="M125" s="94"/>
      <c r="N125" s="51"/>
      <c r="O125" s="144"/>
      <c r="P125" s="187"/>
      <c r="Q125" s="95">
        <v>0</v>
      </c>
      <c r="R125" s="94"/>
      <c r="S125" s="51"/>
      <c r="T125" s="144"/>
      <c r="U125" s="187"/>
      <c r="V125" s="95">
        <v>0</v>
      </c>
      <c r="W125" s="94"/>
      <c r="X125" s="51"/>
      <c r="Y125" s="144"/>
      <c r="Z125" s="187"/>
      <c r="AA125" s="95">
        <v>0</v>
      </c>
      <c r="AB125" s="94"/>
      <c r="AC125" s="51"/>
      <c r="AD125" s="144"/>
      <c r="AE125" s="187"/>
      <c r="AF125" s="95">
        <v>0</v>
      </c>
      <c r="AG125" s="94"/>
      <c r="AH125" s="51"/>
      <c r="AI125" s="144"/>
      <c r="AJ125" s="187"/>
      <c r="AK125" s="95">
        <v>0</v>
      </c>
      <c r="AL125" s="94"/>
      <c r="AM125" s="51"/>
      <c r="AN125" s="144"/>
      <c r="AO125" s="187"/>
      <c r="AP125" s="95">
        <v>0</v>
      </c>
      <c r="AQ125" s="94"/>
      <c r="AR125" s="51"/>
      <c r="AS125" s="144"/>
      <c r="AT125" s="187"/>
      <c r="AU125" s="95">
        <v>0</v>
      </c>
      <c r="AV125" s="94"/>
      <c r="AW125" s="51"/>
      <c r="AX125" s="144"/>
      <c r="AY125" s="187"/>
      <c r="AZ125" s="95">
        <v>0</v>
      </c>
      <c r="BA125" s="94"/>
      <c r="BB125" s="51"/>
      <c r="BC125" s="144"/>
      <c r="BD125" s="187"/>
      <c r="BE125" s="95">
        <v>0</v>
      </c>
      <c r="BF125" s="94"/>
      <c r="BG125" s="51"/>
      <c r="BH125" s="144"/>
      <c r="BI125" s="187"/>
      <c r="BJ125" s="95">
        <v>0</v>
      </c>
      <c r="BK125" s="94"/>
      <c r="BL125" s="51"/>
      <c r="BM125" s="144"/>
      <c r="BN125" s="187"/>
      <c r="BO125" s="95">
        <v>0</v>
      </c>
      <c r="BP125" s="94"/>
      <c r="BQ125" s="51"/>
      <c r="BR125" s="144"/>
      <c r="BS125" s="187"/>
      <c r="BT125" s="95">
        <v>0</v>
      </c>
      <c r="BU125" s="94"/>
      <c r="BV125" s="721"/>
      <c r="BW125" s="39"/>
      <c r="BX125" s="39"/>
    </row>
    <row r="126" spans="1:76" hidden="1" x14ac:dyDescent="0.2">
      <c r="A126" s="317"/>
      <c r="B126" s="317"/>
      <c r="D126" s="340"/>
      <c r="E126" s="347"/>
      <c r="F126" s="317"/>
      <c r="G126" s="51"/>
      <c r="H126" s="51"/>
      <c r="I126" s="51"/>
      <c r="J126" s="144"/>
      <c r="K126" s="51"/>
      <c r="L126" s="51"/>
      <c r="M126" s="51"/>
      <c r="N126" s="51"/>
      <c r="O126" s="144"/>
      <c r="P126" s="51"/>
      <c r="Q126" s="51"/>
      <c r="R126" s="51"/>
      <c r="S126" s="51"/>
      <c r="T126" s="144"/>
      <c r="U126" s="51"/>
      <c r="V126" s="51"/>
      <c r="W126" s="51"/>
      <c r="X126" s="51"/>
      <c r="Y126" s="144"/>
      <c r="Z126" s="51"/>
      <c r="AA126" s="51"/>
      <c r="AB126" s="51"/>
      <c r="AC126" s="51"/>
      <c r="AD126" s="144"/>
      <c r="AE126" s="51"/>
      <c r="AF126" s="51"/>
      <c r="AG126" s="51"/>
      <c r="AH126" s="51"/>
      <c r="AI126" s="144"/>
      <c r="AJ126" s="51"/>
      <c r="AK126" s="51"/>
      <c r="AL126" s="51"/>
      <c r="AM126" s="51"/>
      <c r="AN126" s="144"/>
      <c r="AO126" s="51"/>
      <c r="AP126" s="51"/>
      <c r="AQ126" s="51"/>
      <c r="AR126" s="51"/>
      <c r="AS126" s="144"/>
      <c r="AT126" s="51"/>
      <c r="AU126" s="51"/>
      <c r="AV126" s="51"/>
      <c r="AW126" s="51"/>
      <c r="AX126" s="144"/>
      <c r="AY126" s="51"/>
      <c r="AZ126" s="51"/>
      <c r="BA126" s="51"/>
      <c r="BB126" s="51"/>
      <c r="BC126" s="144"/>
      <c r="BD126" s="51"/>
      <c r="BE126" s="51"/>
      <c r="BF126" s="51"/>
      <c r="BG126" s="51"/>
      <c r="BH126" s="144"/>
      <c r="BI126" s="51"/>
      <c r="BJ126" s="51"/>
      <c r="BK126" s="51"/>
      <c r="BL126" s="51"/>
      <c r="BM126" s="144"/>
      <c r="BN126" s="51"/>
      <c r="BO126" s="51"/>
      <c r="BP126" s="51"/>
      <c r="BQ126" s="51"/>
      <c r="BR126" s="144"/>
      <c r="BS126" s="51"/>
      <c r="BT126" s="51"/>
      <c r="BU126" s="51"/>
      <c r="BV126" s="721"/>
      <c r="BW126" s="39"/>
      <c r="BX126" s="39"/>
    </row>
    <row r="127" spans="1:76" hidden="1" x14ac:dyDescent="0.2">
      <c r="A127" s="317"/>
      <c r="B127" s="317"/>
      <c r="D127" s="340" t="s">
        <v>259</v>
      </c>
      <c r="E127" s="347"/>
      <c r="F127" s="317"/>
      <c r="G127" s="51">
        <v>0</v>
      </c>
      <c r="H127" s="51"/>
      <c r="I127" s="51"/>
      <c r="J127" s="144"/>
      <c r="K127" s="51"/>
      <c r="L127" s="51">
        <v>0</v>
      </c>
      <c r="M127" s="51"/>
      <c r="N127" s="51"/>
      <c r="O127" s="144"/>
      <c r="P127" s="51"/>
      <c r="Q127" s="51">
        <v>0</v>
      </c>
      <c r="R127" s="51"/>
      <c r="S127" s="51"/>
      <c r="T127" s="144"/>
      <c r="U127" s="51"/>
      <c r="V127" s="51">
        <v>0</v>
      </c>
      <c r="W127" s="51"/>
      <c r="X127" s="51"/>
      <c r="Y127" s="144"/>
      <c r="Z127" s="51"/>
      <c r="AA127" s="51">
        <v>0</v>
      </c>
      <c r="AB127" s="51"/>
      <c r="AC127" s="51"/>
      <c r="AD127" s="144"/>
      <c r="AE127" s="51"/>
      <c r="AF127" s="51">
        <v>0</v>
      </c>
      <c r="AG127" s="51"/>
      <c r="AH127" s="51"/>
      <c r="AI127" s="144"/>
      <c r="AJ127" s="51"/>
      <c r="AK127" s="51">
        <v>0</v>
      </c>
      <c r="AL127" s="51"/>
      <c r="AM127" s="51"/>
      <c r="AN127" s="144"/>
      <c r="AO127" s="51"/>
      <c r="AP127" s="51">
        <v>0</v>
      </c>
      <c r="AQ127" s="51"/>
      <c r="AR127" s="51"/>
      <c r="AS127" s="144"/>
      <c r="AT127" s="51"/>
      <c r="AU127" s="51">
        <v>0</v>
      </c>
      <c r="AV127" s="51"/>
      <c r="AW127" s="51"/>
      <c r="AX127" s="144"/>
      <c r="AY127" s="51"/>
      <c r="AZ127" s="51">
        <v>0</v>
      </c>
      <c r="BA127" s="51"/>
      <c r="BB127" s="51"/>
      <c r="BC127" s="144"/>
      <c r="BD127" s="51"/>
      <c r="BE127" s="51">
        <v>0</v>
      </c>
      <c r="BF127" s="51"/>
      <c r="BG127" s="51"/>
      <c r="BH127" s="144"/>
      <c r="BI127" s="51"/>
      <c r="BJ127" s="51">
        <v>0</v>
      </c>
      <c r="BK127" s="51"/>
      <c r="BL127" s="51"/>
      <c r="BM127" s="144"/>
      <c r="BN127" s="51"/>
      <c r="BO127" s="51">
        <v>0</v>
      </c>
      <c r="BP127" s="51"/>
      <c r="BQ127" s="51"/>
      <c r="BR127" s="144"/>
      <c r="BS127" s="51"/>
      <c r="BT127" s="51">
        <v>0</v>
      </c>
      <c r="BU127" s="51"/>
      <c r="BV127" s="721"/>
      <c r="BW127" s="39"/>
      <c r="BX127" s="39"/>
    </row>
    <row r="128" spans="1:76" hidden="1" x14ac:dyDescent="0.2">
      <c r="A128" s="317"/>
      <c r="B128" s="317"/>
      <c r="D128" s="340" t="s">
        <v>183</v>
      </c>
      <c r="E128" s="347"/>
      <c r="F128" s="354"/>
      <c r="G128" s="430">
        <v>0</v>
      </c>
      <c r="H128" s="431"/>
      <c r="I128" s="51"/>
      <c r="J128" s="144"/>
      <c r="K128" s="432"/>
      <c r="L128" s="430">
        <v>0</v>
      </c>
      <c r="M128" s="431"/>
      <c r="N128" s="51"/>
      <c r="O128" s="144"/>
      <c r="P128" s="432"/>
      <c r="Q128" s="430">
        <v>0</v>
      </c>
      <c r="R128" s="431"/>
      <c r="S128" s="51"/>
      <c r="T128" s="144"/>
      <c r="U128" s="432"/>
      <c r="V128" s="430">
        <v>0</v>
      </c>
      <c r="W128" s="431"/>
      <c r="X128" s="51"/>
      <c r="Y128" s="144"/>
      <c r="Z128" s="432"/>
      <c r="AA128" s="430">
        <v>0</v>
      </c>
      <c r="AB128" s="431"/>
      <c r="AC128" s="51"/>
      <c r="AD128" s="144"/>
      <c r="AE128" s="432"/>
      <c r="AF128" s="430">
        <v>0</v>
      </c>
      <c r="AG128" s="431"/>
      <c r="AH128" s="51"/>
      <c r="AI128" s="144"/>
      <c r="AJ128" s="432"/>
      <c r="AK128" s="430">
        <v>0</v>
      </c>
      <c r="AL128" s="431"/>
      <c r="AM128" s="51"/>
      <c r="AN128" s="144"/>
      <c r="AO128" s="432"/>
      <c r="AP128" s="430">
        <v>0</v>
      </c>
      <c r="AQ128" s="431"/>
      <c r="AR128" s="51"/>
      <c r="AS128" s="144"/>
      <c r="AT128" s="432"/>
      <c r="AU128" s="430">
        <v>0</v>
      </c>
      <c r="AV128" s="431"/>
      <c r="AW128" s="51"/>
      <c r="AX128" s="144"/>
      <c r="AY128" s="432"/>
      <c r="AZ128" s="430">
        <v>0</v>
      </c>
      <c r="BA128" s="431"/>
      <c r="BB128" s="51"/>
      <c r="BC128" s="144"/>
      <c r="BD128" s="432"/>
      <c r="BE128" s="430">
        <v>0</v>
      </c>
      <c r="BF128" s="431"/>
      <c r="BG128" s="51"/>
      <c r="BH128" s="144"/>
      <c r="BI128" s="432"/>
      <c r="BJ128" s="430">
        <v>0</v>
      </c>
      <c r="BK128" s="431"/>
      <c r="BL128" s="51"/>
      <c r="BM128" s="144"/>
      <c r="BN128" s="432"/>
      <c r="BO128" s="430">
        <v>0</v>
      </c>
      <c r="BP128" s="431"/>
      <c r="BQ128" s="51"/>
      <c r="BR128" s="144"/>
      <c r="BS128" s="432"/>
      <c r="BT128" s="430">
        <v>0</v>
      </c>
      <c r="BU128" s="431"/>
      <c r="BV128" s="721"/>
      <c r="BW128" s="39"/>
      <c r="BX128" s="39"/>
    </row>
    <row r="129" spans="1:76" hidden="1" x14ac:dyDescent="0.2">
      <c r="A129" s="317"/>
      <c r="B129" s="317"/>
      <c r="D129" s="340" t="s">
        <v>253</v>
      </c>
      <c r="E129" s="347"/>
      <c r="F129" s="347"/>
      <c r="G129" s="51">
        <v>0</v>
      </c>
      <c r="H129" s="50"/>
      <c r="I129" s="51"/>
      <c r="J129" s="144"/>
      <c r="K129" s="144"/>
      <c r="L129" s="51">
        <v>0</v>
      </c>
      <c r="M129" s="50"/>
      <c r="N129" s="51"/>
      <c r="O129" s="144"/>
      <c r="P129" s="144"/>
      <c r="Q129" s="51">
        <v>0</v>
      </c>
      <c r="R129" s="50"/>
      <c r="S129" s="51"/>
      <c r="T129" s="144"/>
      <c r="U129" s="144"/>
      <c r="V129" s="51">
        <v>0</v>
      </c>
      <c r="W129" s="50"/>
      <c r="X129" s="51"/>
      <c r="Y129" s="144"/>
      <c r="Z129" s="144"/>
      <c r="AA129" s="51">
        <v>0</v>
      </c>
      <c r="AB129" s="50"/>
      <c r="AC129" s="51"/>
      <c r="AD129" s="144"/>
      <c r="AE129" s="144"/>
      <c r="AF129" s="51">
        <v>0</v>
      </c>
      <c r="AG129" s="50"/>
      <c r="AH129" s="51"/>
      <c r="AI129" s="144"/>
      <c r="AJ129" s="144"/>
      <c r="AK129" s="51">
        <v>0</v>
      </c>
      <c r="AL129" s="50"/>
      <c r="AM129" s="51"/>
      <c r="AN129" s="144"/>
      <c r="AO129" s="144"/>
      <c r="AP129" s="51">
        <v>0</v>
      </c>
      <c r="AQ129" s="50"/>
      <c r="AR129" s="51"/>
      <c r="AS129" s="144"/>
      <c r="AT129" s="144"/>
      <c r="AU129" s="51">
        <v>0</v>
      </c>
      <c r="AV129" s="50"/>
      <c r="AW129" s="51"/>
      <c r="AX129" s="144"/>
      <c r="AY129" s="144"/>
      <c r="AZ129" s="51">
        <v>0</v>
      </c>
      <c r="BA129" s="50"/>
      <c r="BB129" s="51"/>
      <c r="BC129" s="144"/>
      <c r="BD129" s="144"/>
      <c r="BE129" s="51">
        <v>0</v>
      </c>
      <c r="BF129" s="50"/>
      <c r="BG129" s="51"/>
      <c r="BH129" s="144"/>
      <c r="BI129" s="144"/>
      <c r="BJ129" s="51">
        <v>0</v>
      </c>
      <c r="BK129" s="50"/>
      <c r="BL129" s="51"/>
      <c r="BM129" s="144"/>
      <c r="BN129" s="144"/>
      <c r="BO129" s="51">
        <v>0</v>
      </c>
      <c r="BP129" s="50"/>
      <c r="BQ129" s="51"/>
      <c r="BR129" s="144"/>
      <c r="BS129" s="144"/>
      <c r="BT129" s="51">
        <v>0</v>
      </c>
      <c r="BU129" s="50"/>
      <c r="BV129" s="721"/>
      <c r="BW129" s="39"/>
      <c r="BX129" s="39"/>
    </row>
    <row r="130" spans="1:76" hidden="1" x14ac:dyDescent="0.2">
      <c r="A130" s="317"/>
      <c r="B130" s="317"/>
      <c r="D130" s="340" t="s">
        <v>254</v>
      </c>
      <c r="E130" s="347"/>
      <c r="F130" s="371"/>
      <c r="G130" s="95">
        <v>0</v>
      </c>
      <c r="H130" s="94"/>
      <c r="I130" s="51"/>
      <c r="J130" s="144"/>
      <c r="K130" s="187"/>
      <c r="L130" s="95">
        <v>0</v>
      </c>
      <c r="M130" s="94"/>
      <c r="N130" s="51"/>
      <c r="O130" s="144"/>
      <c r="P130" s="187"/>
      <c r="Q130" s="95">
        <v>0</v>
      </c>
      <c r="R130" s="94"/>
      <c r="S130" s="51"/>
      <c r="T130" s="144"/>
      <c r="U130" s="187"/>
      <c r="V130" s="95">
        <v>0</v>
      </c>
      <c r="W130" s="94"/>
      <c r="X130" s="51"/>
      <c r="Y130" s="144"/>
      <c r="Z130" s="187"/>
      <c r="AA130" s="95">
        <v>0</v>
      </c>
      <c r="AB130" s="94"/>
      <c r="AC130" s="51"/>
      <c r="AD130" s="144"/>
      <c r="AE130" s="187"/>
      <c r="AF130" s="95">
        <v>0</v>
      </c>
      <c r="AG130" s="94"/>
      <c r="AH130" s="51"/>
      <c r="AI130" s="144"/>
      <c r="AJ130" s="187"/>
      <c r="AK130" s="95">
        <v>0</v>
      </c>
      <c r="AL130" s="94"/>
      <c r="AM130" s="51"/>
      <c r="AN130" s="144"/>
      <c r="AO130" s="187"/>
      <c r="AP130" s="95">
        <v>0</v>
      </c>
      <c r="AQ130" s="94"/>
      <c r="AR130" s="51"/>
      <c r="AS130" s="144"/>
      <c r="AT130" s="187"/>
      <c r="AU130" s="95">
        <v>0</v>
      </c>
      <c r="AV130" s="94"/>
      <c r="AW130" s="51"/>
      <c r="AX130" s="144"/>
      <c r="AY130" s="187"/>
      <c r="AZ130" s="95">
        <v>0</v>
      </c>
      <c r="BA130" s="94"/>
      <c r="BB130" s="51"/>
      <c r="BC130" s="144"/>
      <c r="BD130" s="187"/>
      <c r="BE130" s="95">
        <v>0</v>
      </c>
      <c r="BF130" s="94"/>
      <c r="BG130" s="51"/>
      <c r="BH130" s="144"/>
      <c r="BI130" s="187"/>
      <c r="BJ130" s="95">
        <v>0</v>
      </c>
      <c r="BK130" s="94"/>
      <c r="BL130" s="51"/>
      <c r="BM130" s="144"/>
      <c r="BN130" s="187"/>
      <c r="BO130" s="95">
        <v>0</v>
      </c>
      <c r="BP130" s="94"/>
      <c r="BQ130" s="51"/>
      <c r="BR130" s="144"/>
      <c r="BS130" s="187"/>
      <c r="BT130" s="95">
        <v>0</v>
      </c>
      <c r="BU130" s="94"/>
      <c r="BV130" s="721"/>
      <c r="BW130" s="39"/>
      <c r="BX130" s="39"/>
    </row>
    <row r="131" spans="1:76" hidden="1" x14ac:dyDescent="0.2">
      <c r="A131" s="317"/>
      <c r="B131" s="317"/>
      <c r="D131" s="340"/>
      <c r="E131" s="347"/>
      <c r="F131" s="317"/>
      <c r="G131" s="465"/>
      <c r="H131" s="465"/>
      <c r="I131" s="465"/>
      <c r="J131" s="466"/>
      <c r="K131" s="465"/>
      <c r="L131" s="465"/>
      <c r="M131" s="465"/>
      <c r="N131" s="465"/>
      <c r="O131" s="466"/>
      <c r="P131" s="465"/>
      <c r="Q131" s="465"/>
      <c r="R131" s="465"/>
      <c r="S131" s="465"/>
      <c r="T131" s="466"/>
      <c r="U131" s="465"/>
      <c r="V131" s="465"/>
      <c r="W131" s="465"/>
      <c r="X131" s="465"/>
      <c r="Y131" s="466"/>
      <c r="Z131" s="465"/>
      <c r="AA131" s="465"/>
      <c r="AB131" s="465"/>
      <c r="AC131" s="465"/>
      <c r="AD131" s="466"/>
      <c r="AE131" s="465"/>
      <c r="AF131" s="465"/>
      <c r="AG131" s="465"/>
      <c r="AH131" s="465"/>
      <c r="AI131" s="466"/>
      <c r="AJ131" s="465"/>
      <c r="AK131" s="465"/>
      <c r="AL131" s="465"/>
      <c r="AM131" s="465"/>
      <c r="AN131" s="466"/>
      <c r="AO131" s="465"/>
      <c r="AP131" s="465"/>
      <c r="AQ131" s="465"/>
      <c r="AR131" s="465"/>
      <c r="AS131" s="466"/>
      <c r="AT131" s="465"/>
      <c r="AU131" s="465"/>
      <c r="AV131" s="465"/>
      <c r="AW131" s="465"/>
      <c r="AX131" s="466"/>
      <c r="AY131" s="465"/>
      <c r="AZ131" s="465"/>
      <c r="BA131" s="465"/>
      <c r="BB131" s="465"/>
      <c r="BC131" s="466"/>
      <c r="BD131" s="465"/>
      <c r="BE131" s="465"/>
      <c r="BF131" s="465"/>
      <c r="BG131" s="465"/>
      <c r="BH131" s="466"/>
      <c r="BI131" s="465"/>
      <c r="BJ131" s="465"/>
      <c r="BK131" s="465"/>
      <c r="BL131" s="465"/>
      <c r="BM131" s="466"/>
      <c r="BN131" s="465"/>
      <c r="BO131" s="465"/>
      <c r="BP131" s="465"/>
      <c r="BQ131" s="465"/>
      <c r="BR131" s="466"/>
      <c r="BS131" s="465"/>
      <c r="BT131" s="51"/>
      <c r="BU131" s="51"/>
      <c r="BV131" s="721"/>
      <c r="BW131" s="39"/>
      <c r="BX131" s="39"/>
    </row>
    <row r="132" spans="1:76" hidden="1" x14ac:dyDescent="0.2">
      <c r="A132" s="317"/>
      <c r="B132" s="317"/>
      <c r="D132" s="340" t="s">
        <v>260</v>
      </c>
      <c r="E132" s="347"/>
      <c r="F132" s="317"/>
      <c r="G132" s="51">
        <v>0</v>
      </c>
      <c r="H132" s="51"/>
      <c r="I132" s="51"/>
      <c r="J132" s="144"/>
      <c r="K132" s="51"/>
      <c r="L132" s="51">
        <v>0</v>
      </c>
      <c r="M132" s="51"/>
      <c r="N132" s="51"/>
      <c r="O132" s="144"/>
      <c r="P132" s="51"/>
      <c r="Q132" s="51">
        <v>0</v>
      </c>
      <c r="R132" s="51"/>
      <c r="S132" s="51"/>
      <c r="T132" s="144"/>
      <c r="U132" s="51"/>
      <c r="V132" s="51">
        <v>0</v>
      </c>
      <c r="W132" s="51"/>
      <c r="X132" s="51"/>
      <c r="Y132" s="144"/>
      <c r="Z132" s="51"/>
      <c r="AA132" s="51">
        <v>0</v>
      </c>
      <c r="AB132" s="51"/>
      <c r="AC132" s="51"/>
      <c r="AD132" s="144"/>
      <c r="AE132" s="51"/>
      <c r="AF132" s="51">
        <v>0</v>
      </c>
      <c r="AG132" s="51"/>
      <c r="AH132" s="51"/>
      <c r="AI132" s="144"/>
      <c r="AJ132" s="51"/>
      <c r="AK132" s="51">
        <v>0</v>
      </c>
      <c r="AL132" s="51"/>
      <c r="AM132" s="51"/>
      <c r="AN132" s="144"/>
      <c r="AO132" s="51"/>
      <c r="AP132" s="51">
        <v>0</v>
      </c>
      <c r="AQ132" s="51"/>
      <c r="AR132" s="51"/>
      <c r="AS132" s="144"/>
      <c r="AT132" s="51"/>
      <c r="AU132" s="51">
        <v>0</v>
      </c>
      <c r="AV132" s="51"/>
      <c r="AW132" s="51"/>
      <c r="AX132" s="144"/>
      <c r="AY132" s="51"/>
      <c r="AZ132" s="51">
        <v>0</v>
      </c>
      <c r="BA132" s="51"/>
      <c r="BB132" s="51"/>
      <c r="BC132" s="144"/>
      <c r="BD132" s="51"/>
      <c r="BE132" s="51">
        <v>0</v>
      </c>
      <c r="BF132" s="51"/>
      <c r="BG132" s="51"/>
      <c r="BH132" s="144"/>
      <c r="BI132" s="51"/>
      <c r="BJ132" s="51">
        <v>0</v>
      </c>
      <c r="BK132" s="51"/>
      <c r="BL132" s="51"/>
      <c r="BM132" s="144"/>
      <c r="BN132" s="51"/>
      <c r="BO132" s="51">
        <v>0</v>
      </c>
      <c r="BP132" s="51"/>
      <c r="BQ132" s="51"/>
      <c r="BR132" s="144"/>
      <c r="BS132" s="51"/>
      <c r="BT132" s="51">
        <v>0</v>
      </c>
      <c r="BU132" s="51"/>
      <c r="BV132" s="721"/>
      <c r="BW132" s="39"/>
      <c r="BX132" s="39"/>
    </row>
    <row r="133" spans="1:76" hidden="1" x14ac:dyDescent="0.2">
      <c r="A133" s="317"/>
      <c r="B133" s="317"/>
      <c r="D133" s="340" t="s">
        <v>183</v>
      </c>
      <c r="E133" s="347"/>
      <c r="F133" s="354"/>
      <c r="G133" s="430">
        <v>0</v>
      </c>
      <c r="H133" s="431"/>
      <c r="I133" s="51"/>
      <c r="J133" s="144"/>
      <c r="K133" s="432"/>
      <c r="L133" s="430">
        <v>0</v>
      </c>
      <c r="M133" s="431"/>
      <c r="N133" s="51"/>
      <c r="O133" s="144"/>
      <c r="P133" s="432"/>
      <c r="Q133" s="430">
        <v>0</v>
      </c>
      <c r="R133" s="431"/>
      <c r="S133" s="51"/>
      <c r="T133" s="144"/>
      <c r="U133" s="432"/>
      <c r="V133" s="430">
        <v>0</v>
      </c>
      <c r="W133" s="431"/>
      <c r="X133" s="51"/>
      <c r="Y133" s="144"/>
      <c r="Z133" s="432"/>
      <c r="AA133" s="430">
        <v>0</v>
      </c>
      <c r="AB133" s="431"/>
      <c r="AC133" s="51"/>
      <c r="AD133" s="144"/>
      <c r="AE133" s="432"/>
      <c r="AF133" s="430">
        <v>0</v>
      </c>
      <c r="AG133" s="431"/>
      <c r="AH133" s="51"/>
      <c r="AI133" s="144"/>
      <c r="AJ133" s="432"/>
      <c r="AK133" s="430">
        <v>0</v>
      </c>
      <c r="AL133" s="431"/>
      <c r="AM133" s="51"/>
      <c r="AN133" s="144"/>
      <c r="AO133" s="432"/>
      <c r="AP133" s="430">
        <v>0</v>
      </c>
      <c r="AQ133" s="431"/>
      <c r="AR133" s="51"/>
      <c r="AS133" s="144"/>
      <c r="AT133" s="432"/>
      <c r="AU133" s="430">
        <v>0</v>
      </c>
      <c r="AV133" s="431"/>
      <c r="AW133" s="51"/>
      <c r="AX133" s="144"/>
      <c r="AY133" s="432"/>
      <c r="AZ133" s="430">
        <v>0</v>
      </c>
      <c r="BA133" s="431"/>
      <c r="BB133" s="51"/>
      <c r="BC133" s="144"/>
      <c r="BD133" s="432"/>
      <c r="BE133" s="430">
        <v>0</v>
      </c>
      <c r="BF133" s="431"/>
      <c r="BG133" s="51"/>
      <c r="BH133" s="144"/>
      <c r="BI133" s="432"/>
      <c r="BJ133" s="430">
        <v>0</v>
      </c>
      <c r="BK133" s="431"/>
      <c r="BL133" s="51"/>
      <c r="BM133" s="144"/>
      <c r="BN133" s="432"/>
      <c r="BO133" s="430">
        <v>0</v>
      </c>
      <c r="BP133" s="431"/>
      <c r="BQ133" s="51"/>
      <c r="BR133" s="144"/>
      <c r="BS133" s="432"/>
      <c r="BT133" s="430">
        <v>0</v>
      </c>
      <c r="BU133" s="431"/>
      <c r="BV133" s="721"/>
      <c r="BW133" s="39"/>
      <c r="BX133" s="39"/>
    </row>
    <row r="134" spans="1:76" hidden="1" x14ac:dyDescent="0.2">
      <c r="A134" s="317"/>
      <c r="B134" s="317"/>
      <c r="D134" s="340" t="s">
        <v>253</v>
      </c>
      <c r="E134" s="347"/>
      <c r="F134" s="347"/>
      <c r="G134" s="51">
        <v>0</v>
      </c>
      <c r="H134" s="50"/>
      <c r="I134" s="51"/>
      <c r="J134" s="144"/>
      <c r="K134" s="144"/>
      <c r="L134" s="51">
        <v>0</v>
      </c>
      <c r="M134" s="50"/>
      <c r="N134" s="51"/>
      <c r="O134" s="144"/>
      <c r="P134" s="144"/>
      <c r="Q134" s="51">
        <v>0</v>
      </c>
      <c r="R134" s="50"/>
      <c r="S134" s="51"/>
      <c r="T134" s="144"/>
      <c r="U134" s="144"/>
      <c r="V134" s="51">
        <v>0</v>
      </c>
      <c r="W134" s="50"/>
      <c r="X134" s="51"/>
      <c r="Y134" s="144"/>
      <c r="Z134" s="144"/>
      <c r="AA134" s="51">
        <v>0</v>
      </c>
      <c r="AB134" s="50"/>
      <c r="AC134" s="51"/>
      <c r="AD134" s="144"/>
      <c r="AE134" s="144"/>
      <c r="AF134" s="51">
        <v>0</v>
      </c>
      <c r="AG134" s="50"/>
      <c r="AH134" s="51"/>
      <c r="AI134" s="144"/>
      <c r="AJ134" s="144"/>
      <c r="AK134" s="51">
        <v>0</v>
      </c>
      <c r="AL134" s="50"/>
      <c r="AM134" s="51"/>
      <c r="AN134" s="144"/>
      <c r="AO134" s="144"/>
      <c r="AP134" s="51">
        <v>0</v>
      </c>
      <c r="AQ134" s="50"/>
      <c r="AR134" s="51"/>
      <c r="AS134" s="144"/>
      <c r="AT134" s="144"/>
      <c r="AU134" s="51">
        <v>0</v>
      </c>
      <c r="AV134" s="50"/>
      <c r="AW134" s="51"/>
      <c r="AX134" s="144"/>
      <c r="AY134" s="144"/>
      <c r="AZ134" s="51">
        <v>0</v>
      </c>
      <c r="BA134" s="50"/>
      <c r="BB134" s="51"/>
      <c r="BC134" s="144"/>
      <c r="BD134" s="144"/>
      <c r="BE134" s="51">
        <v>0</v>
      </c>
      <c r="BF134" s="50"/>
      <c r="BG134" s="51"/>
      <c r="BH134" s="144"/>
      <c r="BI134" s="144"/>
      <c r="BJ134" s="51">
        <v>0</v>
      </c>
      <c r="BK134" s="50"/>
      <c r="BL134" s="51"/>
      <c r="BM134" s="144"/>
      <c r="BN134" s="144"/>
      <c r="BO134" s="51">
        <v>0</v>
      </c>
      <c r="BP134" s="50"/>
      <c r="BQ134" s="51"/>
      <c r="BR134" s="144"/>
      <c r="BS134" s="144"/>
      <c r="BT134" s="51">
        <v>0</v>
      </c>
      <c r="BU134" s="50"/>
      <c r="BV134" s="721"/>
      <c r="BW134" s="39"/>
      <c r="BX134" s="39"/>
    </row>
    <row r="135" spans="1:76" hidden="1" x14ac:dyDescent="0.2">
      <c r="A135" s="317"/>
      <c r="B135" s="317"/>
      <c r="D135" s="340" t="s">
        <v>254</v>
      </c>
      <c r="E135" s="347"/>
      <c r="F135" s="371"/>
      <c r="G135" s="95">
        <v>0</v>
      </c>
      <c r="H135" s="94"/>
      <c r="I135" s="51"/>
      <c r="J135" s="144"/>
      <c r="K135" s="187"/>
      <c r="L135" s="95">
        <v>0</v>
      </c>
      <c r="M135" s="94"/>
      <c r="N135" s="51"/>
      <c r="O135" s="144"/>
      <c r="P135" s="187"/>
      <c r="Q135" s="95">
        <v>0</v>
      </c>
      <c r="R135" s="94"/>
      <c r="S135" s="51"/>
      <c r="T135" s="144"/>
      <c r="U135" s="187"/>
      <c r="V135" s="95">
        <v>0</v>
      </c>
      <c r="W135" s="94"/>
      <c r="X135" s="51"/>
      <c r="Y135" s="144"/>
      <c r="Z135" s="187"/>
      <c r="AA135" s="95">
        <v>0</v>
      </c>
      <c r="AB135" s="94"/>
      <c r="AC135" s="51"/>
      <c r="AD135" s="144"/>
      <c r="AE135" s="187"/>
      <c r="AF135" s="95">
        <v>0</v>
      </c>
      <c r="AG135" s="94"/>
      <c r="AH135" s="51"/>
      <c r="AI135" s="144"/>
      <c r="AJ135" s="187"/>
      <c r="AK135" s="95">
        <v>0</v>
      </c>
      <c r="AL135" s="94"/>
      <c r="AM135" s="51"/>
      <c r="AN135" s="144"/>
      <c r="AO135" s="187"/>
      <c r="AP135" s="95">
        <v>0</v>
      </c>
      <c r="AQ135" s="94"/>
      <c r="AR135" s="51"/>
      <c r="AS135" s="144"/>
      <c r="AT135" s="187"/>
      <c r="AU135" s="95">
        <v>0</v>
      </c>
      <c r="AV135" s="94"/>
      <c r="AW135" s="51"/>
      <c r="AX135" s="144"/>
      <c r="AY135" s="187"/>
      <c r="AZ135" s="95">
        <v>0</v>
      </c>
      <c r="BA135" s="94"/>
      <c r="BB135" s="51"/>
      <c r="BC135" s="144"/>
      <c r="BD135" s="187"/>
      <c r="BE135" s="95">
        <v>0</v>
      </c>
      <c r="BF135" s="94"/>
      <c r="BG135" s="51"/>
      <c r="BH135" s="144"/>
      <c r="BI135" s="187"/>
      <c r="BJ135" s="95">
        <v>0</v>
      </c>
      <c r="BK135" s="94"/>
      <c r="BL135" s="51"/>
      <c r="BM135" s="144"/>
      <c r="BN135" s="187"/>
      <c r="BO135" s="95">
        <v>0</v>
      </c>
      <c r="BP135" s="94"/>
      <c r="BQ135" s="51"/>
      <c r="BR135" s="144"/>
      <c r="BS135" s="187"/>
      <c r="BT135" s="95">
        <v>0</v>
      </c>
      <c r="BU135" s="94"/>
      <c r="BV135" s="721"/>
      <c r="BW135" s="39"/>
      <c r="BX135" s="39"/>
    </row>
    <row r="136" spans="1:76" x14ac:dyDescent="0.2">
      <c r="A136" s="317"/>
      <c r="B136" s="317"/>
      <c r="D136" s="474"/>
      <c r="E136" s="446"/>
      <c r="F136" s="331"/>
      <c r="G136" s="475"/>
      <c r="H136" s="475"/>
      <c r="I136" s="475"/>
      <c r="J136" s="476"/>
      <c r="K136" s="475"/>
      <c r="L136" s="475"/>
      <c r="M136" s="475"/>
      <c r="N136" s="475"/>
      <c r="O136" s="476"/>
      <c r="P136" s="475"/>
      <c r="Q136" s="475"/>
      <c r="R136" s="475"/>
      <c r="S136" s="475"/>
      <c r="T136" s="476"/>
      <c r="U136" s="475"/>
      <c r="V136" s="475"/>
      <c r="W136" s="475"/>
      <c r="X136" s="475"/>
      <c r="Y136" s="476"/>
      <c r="Z136" s="475"/>
      <c r="AA136" s="475"/>
      <c r="AB136" s="475"/>
      <c r="AC136" s="475"/>
      <c r="AD136" s="476"/>
      <c r="AE136" s="475"/>
      <c r="AF136" s="475"/>
      <c r="AG136" s="475"/>
      <c r="AH136" s="475"/>
      <c r="AI136" s="476"/>
      <c r="AJ136" s="475"/>
      <c r="AK136" s="475"/>
      <c r="AL136" s="475"/>
      <c r="AM136" s="475"/>
      <c r="AN136" s="476"/>
      <c r="AO136" s="475"/>
      <c r="AP136" s="475"/>
      <c r="AQ136" s="475"/>
      <c r="AR136" s="475"/>
      <c r="AS136" s="476"/>
      <c r="AT136" s="475"/>
      <c r="AU136" s="475"/>
      <c r="AV136" s="475"/>
      <c r="AW136" s="475"/>
      <c r="AX136" s="476"/>
      <c r="AY136" s="475"/>
      <c r="AZ136" s="475"/>
      <c r="BA136" s="475"/>
      <c r="BB136" s="475"/>
      <c r="BC136" s="476"/>
      <c r="BD136" s="475"/>
      <c r="BE136" s="475"/>
      <c r="BF136" s="475"/>
      <c r="BG136" s="475"/>
      <c r="BH136" s="476"/>
      <c r="BI136" s="475"/>
      <c r="BJ136" s="475"/>
      <c r="BK136" s="475"/>
      <c r="BL136" s="475"/>
      <c r="BM136" s="476"/>
      <c r="BN136" s="475"/>
      <c r="BO136" s="475"/>
      <c r="BP136" s="475"/>
      <c r="BQ136" s="475"/>
      <c r="BR136" s="476"/>
      <c r="BS136" s="475"/>
      <c r="BT136" s="102"/>
      <c r="BU136" s="102"/>
      <c r="BV136" s="103"/>
      <c r="BW136" s="39"/>
      <c r="BX136" s="39"/>
    </row>
    <row r="137" spans="1:76" x14ac:dyDescent="0.2">
      <c r="A137" s="317"/>
      <c r="B137" s="317"/>
      <c r="C137" s="317"/>
      <c r="D137" s="317"/>
      <c r="E137" s="317"/>
      <c r="F137" s="317"/>
      <c r="G137" s="465"/>
      <c r="H137" s="465"/>
      <c r="I137" s="465"/>
      <c r="J137" s="465"/>
      <c r="K137" s="465"/>
      <c r="L137" s="465"/>
      <c r="M137" s="465"/>
      <c r="N137" s="465"/>
      <c r="O137" s="465"/>
      <c r="P137" s="465"/>
      <c r="Q137" s="465"/>
      <c r="R137" s="465"/>
      <c r="S137" s="465"/>
      <c r="T137" s="465"/>
      <c r="U137" s="465"/>
      <c r="V137" s="465"/>
      <c r="W137" s="465"/>
      <c r="X137" s="465"/>
      <c r="Y137" s="465"/>
      <c r="Z137" s="465"/>
      <c r="AA137" s="465"/>
      <c r="AB137" s="465"/>
      <c r="AC137" s="465"/>
      <c r="AD137" s="477"/>
      <c r="AE137" s="477"/>
      <c r="AF137" s="477"/>
      <c r="AG137" s="477"/>
      <c r="AH137" s="477"/>
      <c r="AI137" s="477"/>
      <c r="AJ137" s="477"/>
      <c r="AK137" s="477"/>
      <c r="AL137" s="477"/>
      <c r="AM137" s="477"/>
      <c r="AN137" s="477"/>
      <c r="AO137" s="477"/>
      <c r="AP137" s="477"/>
      <c r="AQ137" s="477"/>
      <c r="AR137" s="477"/>
      <c r="AS137" s="477"/>
      <c r="AT137" s="477"/>
      <c r="AU137" s="477"/>
      <c r="AV137" s="477"/>
      <c r="AW137" s="477"/>
      <c r="AX137" s="477"/>
      <c r="AY137" s="477"/>
      <c r="AZ137" s="477"/>
      <c r="BA137" s="477"/>
      <c r="BB137" s="477"/>
      <c r="BC137" s="477"/>
      <c r="BD137" s="477"/>
      <c r="BE137" s="477"/>
      <c r="BF137" s="477"/>
      <c r="BG137" s="477"/>
      <c r="BH137" s="477"/>
      <c r="BI137" s="477"/>
      <c r="BJ137" s="477"/>
      <c r="BK137" s="477"/>
      <c r="BL137" s="477"/>
      <c r="BM137" s="477"/>
      <c r="BN137" s="477"/>
      <c r="BO137" s="477"/>
      <c r="BP137" s="477"/>
      <c r="BQ137" s="477"/>
      <c r="BR137" s="477"/>
      <c r="BS137" s="477"/>
      <c r="BT137" s="478"/>
      <c r="BU137" s="478"/>
      <c r="BV137" s="478"/>
    </row>
    <row r="138" spans="1:76" x14ac:dyDescent="0.2">
      <c r="A138" s="317"/>
      <c r="B138" s="317"/>
      <c r="C138" s="317"/>
      <c r="D138" s="317"/>
      <c r="E138" s="317"/>
      <c r="F138" s="317"/>
      <c r="G138" s="465"/>
      <c r="H138" s="465"/>
      <c r="I138" s="465"/>
      <c r="J138" s="465"/>
      <c r="K138" s="465"/>
      <c r="L138" s="465"/>
      <c r="M138" s="465"/>
      <c r="N138" s="465"/>
      <c r="O138" s="465"/>
      <c r="P138" s="465"/>
      <c r="Q138" s="465"/>
      <c r="R138" s="465"/>
      <c r="S138" s="465"/>
      <c r="T138" s="465"/>
      <c r="U138" s="465"/>
      <c r="V138" s="465"/>
      <c r="W138" s="465"/>
      <c r="X138" s="465"/>
      <c r="Y138" s="465"/>
      <c r="Z138" s="465"/>
      <c r="AA138" s="465"/>
      <c r="AB138" s="465"/>
      <c r="AC138" s="465"/>
      <c r="AD138" s="465"/>
      <c r="AE138" s="465"/>
      <c r="AF138" s="465"/>
      <c r="AG138" s="465"/>
      <c r="AH138" s="465"/>
      <c r="AI138" s="465"/>
      <c r="AJ138" s="465"/>
      <c r="AK138" s="465"/>
      <c r="AL138" s="465"/>
      <c r="AM138" s="465"/>
      <c r="AN138" s="465"/>
      <c r="AO138" s="465"/>
      <c r="AP138" s="465"/>
      <c r="AQ138" s="465"/>
      <c r="AR138" s="465"/>
      <c r="AS138" s="465"/>
      <c r="AT138" s="465"/>
      <c r="AU138" s="465"/>
      <c r="AV138" s="465"/>
      <c r="AW138" s="465"/>
      <c r="AX138" s="465"/>
      <c r="AY138" s="465"/>
      <c r="AZ138" s="465"/>
      <c r="BA138" s="465"/>
      <c r="BB138" s="465"/>
      <c r="BC138" s="465"/>
      <c r="BD138" s="465"/>
      <c r="BE138" s="465"/>
      <c r="BF138" s="465"/>
      <c r="BG138" s="465"/>
      <c r="BH138" s="465"/>
      <c r="BI138" s="465"/>
      <c r="BJ138" s="465"/>
      <c r="BK138" s="465"/>
      <c r="BL138" s="465"/>
      <c r="BM138" s="465"/>
      <c r="BN138" s="465"/>
      <c r="BO138" s="465"/>
      <c r="BP138" s="465"/>
      <c r="BQ138" s="465"/>
      <c r="BR138" s="465"/>
      <c r="BS138" s="465"/>
      <c r="BT138" s="51"/>
      <c r="BU138" s="51"/>
      <c r="BV138" s="51"/>
    </row>
    <row r="139" spans="1:76" x14ac:dyDescent="0.2">
      <c r="A139" s="317"/>
      <c r="B139" s="317"/>
      <c r="C139" s="317"/>
      <c r="D139" s="317"/>
      <c r="E139" s="317"/>
      <c r="F139" s="317"/>
      <c r="G139" s="465"/>
      <c r="H139" s="465"/>
      <c r="I139" s="465"/>
      <c r="J139" s="465"/>
      <c r="K139" s="465"/>
      <c r="L139" s="465"/>
      <c r="M139" s="465"/>
      <c r="N139" s="465"/>
      <c r="O139" s="465"/>
      <c r="P139" s="465"/>
      <c r="Q139" s="465"/>
      <c r="R139" s="465"/>
      <c r="S139" s="465"/>
      <c r="T139" s="465"/>
      <c r="U139" s="465"/>
      <c r="V139" s="465"/>
      <c r="W139" s="465"/>
      <c r="X139" s="465"/>
      <c r="Y139" s="465"/>
      <c r="Z139" s="465"/>
      <c r="AA139" s="465"/>
      <c r="AB139" s="465"/>
      <c r="AC139" s="465"/>
      <c r="AD139" s="465"/>
      <c r="AE139" s="465"/>
      <c r="AF139" s="465"/>
      <c r="AG139" s="465"/>
      <c r="AH139" s="465"/>
      <c r="AI139" s="465"/>
      <c r="AJ139" s="465"/>
      <c r="AK139" s="465"/>
      <c r="AL139" s="465"/>
      <c r="AM139" s="465"/>
      <c r="AN139" s="465"/>
      <c r="AO139" s="465"/>
      <c r="AP139" s="465"/>
      <c r="AQ139" s="465"/>
      <c r="AR139" s="465"/>
      <c r="AS139" s="465"/>
      <c r="AT139" s="465"/>
      <c r="AU139" s="465"/>
      <c r="AV139" s="465"/>
      <c r="AW139" s="465"/>
      <c r="AX139" s="465"/>
      <c r="AY139" s="465"/>
      <c r="AZ139" s="465"/>
      <c r="BA139" s="465"/>
      <c r="BB139" s="465"/>
      <c r="BC139" s="465"/>
      <c r="BD139" s="465"/>
      <c r="BE139" s="465"/>
      <c r="BF139" s="465"/>
      <c r="BG139" s="465"/>
      <c r="BH139" s="465"/>
      <c r="BI139" s="465"/>
      <c r="BJ139" s="465"/>
      <c r="BK139" s="465"/>
      <c r="BL139" s="465"/>
      <c r="BM139" s="465"/>
      <c r="BN139" s="465"/>
      <c r="BO139" s="465"/>
      <c r="BP139" s="465"/>
      <c r="BQ139" s="465"/>
      <c r="BR139" s="465"/>
      <c r="BS139" s="465"/>
      <c r="BT139" s="51"/>
      <c r="BU139" s="51"/>
      <c r="BV139" s="51"/>
    </row>
    <row r="141" spans="1:76" hidden="1" x14ac:dyDescent="0.2"/>
    <row r="142" spans="1:76" hidden="1" x14ac:dyDescent="0.2"/>
    <row r="143" spans="1:76" hidden="1" x14ac:dyDescent="0.2">
      <c r="L143" s="315">
        <v>-6167569</v>
      </c>
      <c r="M143" s="315">
        <v>0</v>
      </c>
      <c r="N143" s="315">
        <v>0</v>
      </c>
      <c r="O143" s="315">
        <v>0</v>
      </c>
      <c r="P143" s="315">
        <v>0</v>
      </c>
      <c r="Q143" s="315">
        <v>3323416</v>
      </c>
      <c r="R143" s="315">
        <v>0</v>
      </c>
      <c r="S143" s="315">
        <v>0</v>
      </c>
      <c r="T143" s="315">
        <v>0</v>
      </c>
      <c r="U143" s="315">
        <v>0</v>
      </c>
      <c r="V143" s="315">
        <v>-5565168</v>
      </c>
      <c r="W143" s="315">
        <v>0</v>
      </c>
      <c r="X143" s="315">
        <v>0</v>
      </c>
      <c r="Y143" s="315">
        <v>0</v>
      </c>
      <c r="Z143" s="315">
        <v>0</v>
      </c>
      <c r="AA143" s="315">
        <v>-3240437</v>
      </c>
      <c r="AB143" s="315">
        <v>0</v>
      </c>
      <c r="AC143" s="315">
        <v>0</v>
      </c>
      <c r="AD143" s="315">
        <v>0</v>
      </c>
      <c r="AE143" s="315">
        <v>0</v>
      </c>
      <c r="AF143" s="315">
        <v>-1114796</v>
      </c>
      <c r="AG143" s="315">
        <v>0</v>
      </c>
      <c r="AH143" s="315">
        <v>0</v>
      </c>
      <c r="AI143" s="315">
        <v>0</v>
      </c>
      <c r="AJ143" s="315">
        <v>0</v>
      </c>
      <c r="AK143" s="315">
        <v>-1323277</v>
      </c>
      <c r="AL143" s="315">
        <v>0</v>
      </c>
      <c r="AM143" s="315">
        <v>0</v>
      </c>
      <c r="AN143" s="315">
        <v>0</v>
      </c>
      <c r="AO143" s="315">
        <v>0</v>
      </c>
      <c r="AP143" s="315">
        <v>-4057783</v>
      </c>
      <c r="AQ143" s="315">
        <v>0</v>
      </c>
      <c r="AR143" s="315">
        <v>0</v>
      </c>
      <c r="AS143" s="315">
        <v>0</v>
      </c>
      <c r="AT143" s="315">
        <v>0</v>
      </c>
      <c r="AU143" s="315">
        <v>-5066529</v>
      </c>
      <c r="AV143" s="315">
        <v>0</v>
      </c>
      <c r="AW143" s="315">
        <v>0</v>
      </c>
      <c r="AX143" s="315">
        <v>0</v>
      </c>
      <c r="AY143" s="315">
        <v>0</v>
      </c>
      <c r="AZ143" s="315">
        <v>-4155980</v>
      </c>
      <c r="BA143" s="315">
        <v>0</v>
      </c>
      <c r="BB143" s="315">
        <v>0</v>
      </c>
      <c r="BC143" s="315">
        <v>0</v>
      </c>
      <c r="BD143" s="315">
        <v>0</v>
      </c>
      <c r="BE143" s="315">
        <v>-60254886</v>
      </c>
      <c r="BF143" s="315">
        <v>0</v>
      </c>
      <c r="BG143" s="315">
        <v>0</v>
      </c>
      <c r="BH143" s="315">
        <v>0</v>
      </c>
      <c r="BI143" s="315">
        <v>0</v>
      </c>
      <c r="BJ143" s="315">
        <v>-3707089</v>
      </c>
      <c r="BK143" s="315">
        <v>0</v>
      </c>
      <c r="BL143" s="315">
        <v>0</v>
      </c>
      <c r="BM143" s="315">
        <v>0</v>
      </c>
      <c r="BN143" s="315">
        <v>0</v>
      </c>
      <c r="BO143" s="315">
        <v>-5261084</v>
      </c>
      <c r="BP143" s="315">
        <v>0</v>
      </c>
      <c r="BQ143" s="315">
        <v>0</v>
      </c>
      <c r="BR143" s="315">
        <v>0</v>
      </c>
      <c r="BS143" s="315">
        <v>0</v>
      </c>
      <c r="BT143" s="315">
        <v>-18145614</v>
      </c>
      <c r="BU143" s="315">
        <v>0</v>
      </c>
      <c r="BV143" s="315">
        <v>0</v>
      </c>
    </row>
    <row r="144" spans="1:76" hidden="1" x14ac:dyDescent="0.2">
      <c r="L144" s="315">
        <v>345294</v>
      </c>
      <c r="M144" s="315">
        <v>0</v>
      </c>
      <c r="N144" s="315">
        <v>0</v>
      </c>
      <c r="O144" s="315">
        <v>0</v>
      </c>
      <c r="P144" s="315">
        <v>0</v>
      </c>
      <c r="Q144" s="315">
        <v>20235</v>
      </c>
      <c r="R144" s="315">
        <v>0</v>
      </c>
      <c r="S144" s="315">
        <v>0</v>
      </c>
      <c r="T144" s="315">
        <v>0</v>
      </c>
      <c r="U144" s="315">
        <v>0</v>
      </c>
      <c r="V144" s="315">
        <v>218746</v>
      </c>
      <c r="W144" s="315">
        <v>0</v>
      </c>
      <c r="X144" s="315">
        <v>0</v>
      </c>
      <c r="Y144" s="315">
        <v>0</v>
      </c>
      <c r="Z144" s="315">
        <v>0</v>
      </c>
      <c r="AA144" s="315">
        <v>209595</v>
      </c>
      <c r="AB144" s="315">
        <v>0</v>
      </c>
      <c r="AC144" s="315">
        <v>0</v>
      </c>
      <c r="AD144" s="315">
        <v>0</v>
      </c>
      <c r="AE144" s="315">
        <v>0</v>
      </c>
      <c r="AF144" s="315">
        <v>538838</v>
      </c>
      <c r="AG144" s="315">
        <v>0</v>
      </c>
      <c r="AH144" s="315">
        <v>0</v>
      </c>
      <c r="AI144" s="315">
        <v>0</v>
      </c>
      <c r="AJ144" s="315">
        <v>0</v>
      </c>
      <c r="AK144" s="315">
        <v>322831</v>
      </c>
      <c r="AL144" s="315">
        <v>0</v>
      </c>
      <c r="AM144" s="315">
        <v>0</v>
      </c>
      <c r="AN144" s="315">
        <v>0</v>
      </c>
      <c r="AO144" s="315">
        <v>0</v>
      </c>
      <c r="AP144" s="315">
        <v>225786</v>
      </c>
      <c r="AQ144" s="315">
        <v>0</v>
      </c>
      <c r="AR144" s="315">
        <v>0</v>
      </c>
      <c r="AS144" s="315">
        <v>0</v>
      </c>
      <c r="AT144" s="315">
        <v>0</v>
      </c>
      <c r="AU144" s="315">
        <v>-387424</v>
      </c>
      <c r="AV144" s="315">
        <v>0</v>
      </c>
      <c r="AW144" s="315">
        <v>0</v>
      </c>
      <c r="AX144" s="315">
        <v>0</v>
      </c>
      <c r="AY144" s="315">
        <v>0</v>
      </c>
      <c r="AZ144" s="315">
        <v>-493196</v>
      </c>
      <c r="BA144" s="315">
        <v>0</v>
      </c>
      <c r="BB144" s="315">
        <v>0</v>
      </c>
      <c r="BC144" s="315">
        <v>0</v>
      </c>
      <c r="BD144" s="315">
        <v>0</v>
      </c>
      <c r="BE144" s="315">
        <v>-57929886</v>
      </c>
      <c r="BF144" s="315">
        <v>0</v>
      </c>
      <c r="BG144" s="315">
        <v>0</v>
      </c>
      <c r="BH144" s="315">
        <v>0</v>
      </c>
      <c r="BI144" s="315">
        <v>0</v>
      </c>
      <c r="BJ144" s="315">
        <v>-409969</v>
      </c>
      <c r="BK144" s="315">
        <v>0</v>
      </c>
      <c r="BL144" s="315">
        <v>0</v>
      </c>
      <c r="BM144" s="315">
        <v>0</v>
      </c>
      <c r="BN144" s="315">
        <v>0</v>
      </c>
      <c r="BO144" s="315">
        <v>-252762</v>
      </c>
      <c r="BP144" s="315">
        <v>0</v>
      </c>
      <c r="BQ144" s="315">
        <v>0</v>
      </c>
      <c r="BR144" s="315">
        <v>0</v>
      </c>
      <c r="BS144" s="315">
        <v>0</v>
      </c>
      <c r="BT144" s="315">
        <v>1881325</v>
      </c>
      <c r="BU144" s="315">
        <v>0</v>
      </c>
      <c r="BV144" s="315">
        <v>0</v>
      </c>
    </row>
    <row r="145" spans="12:74" hidden="1" x14ac:dyDescent="0.2">
      <c r="L145" s="315">
        <v>-7145000</v>
      </c>
      <c r="M145" s="315">
        <v>0</v>
      </c>
      <c r="N145" s="315">
        <v>0</v>
      </c>
      <c r="O145" s="315">
        <v>0</v>
      </c>
      <c r="P145" s="315">
        <v>0</v>
      </c>
      <c r="Q145" s="315">
        <v>235000</v>
      </c>
      <c r="R145" s="315">
        <v>0</v>
      </c>
      <c r="S145" s="315">
        <v>0</v>
      </c>
      <c r="T145" s="315">
        <v>0</v>
      </c>
      <c r="U145" s="315">
        <v>0</v>
      </c>
      <c r="V145" s="315">
        <v>-5735000</v>
      </c>
      <c r="W145" s="315">
        <v>0</v>
      </c>
      <c r="X145" s="315">
        <v>0</v>
      </c>
      <c r="Y145" s="315">
        <v>0</v>
      </c>
      <c r="Z145" s="315">
        <v>0</v>
      </c>
      <c r="AA145" s="315">
        <v>-3165000</v>
      </c>
      <c r="AB145" s="315">
        <v>0</v>
      </c>
      <c r="AC145" s="315">
        <v>0</v>
      </c>
      <c r="AD145" s="315">
        <v>0</v>
      </c>
      <c r="AE145" s="315">
        <v>0</v>
      </c>
      <c r="AF145" s="315">
        <v>-4370000</v>
      </c>
      <c r="AG145" s="315">
        <v>0</v>
      </c>
      <c r="AH145" s="315">
        <v>0</v>
      </c>
      <c r="AI145" s="315">
        <v>0</v>
      </c>
      <c r="AJ145" s="315">
        <v>0</v>
      </c>
      <c r="AK145" s="315">
        <v>-2270000</v>
      </c>
      <c r="AL145" s="315">
        <v>0</v>
      </c>
      <c r="AM145" s="315">
        <v>0</v>
      </c>
      <c r="AN145" s="315">
        <v>0</v>
      </c>
      <c r="AO145" s="315">
        <v>0</v>
      </c>
      <c r="AP145" s="315">
        <v>-4260000</v>
      </c>
      <c r="AQ145" s="315">
        <v>0</v>
      </c>
      <c r="AR145" s="315">
        <v>0</v>
      </c>
      <c r="AS145" s="315">
        <v>0</v>
      </c>
      <c r="AT145" s="315">
        <v>0</v>
      </c>
      <c r="AU145" s="315">
        <v>-3475000</v>
      </c>
      <c r="AV145" s="315">
        <v>0</v>
      </c>
      <c r="AW145" s="315">
        <v>0</v>
      </c>
      <c r="AX145" s="315">
        <v>0</v>
      </c>
      <c r="AY145" s="315">
        <v>0</v>
      </c>
      <c r="AZ145" s="315">
        <v>-3320000</v>
      </c>
      <c r="BA145" s="315">
        <v>0</v>
      </c>
      <c r="BB145" s="315">
        <v>0</v>
      </c>
      <c r="BC145" s="315">
        <v>0</v>
      </c>
      <c r="BD145" s="315">
        <v>0</v>
      </c>
      <c r="BE145" s="315">
        <v>-2325000</v>
      </c>
      <c r="BF145" s="315">
        <v>0</v>
      </c>
      <c r="BG145" s="315">
        <v>0</v>
      </c>
      <c r="BH145" s="315">
        <v>0</v>
      </c>
      <c r="BI145" s="315">
        <v>0</v>
      </c>
      <c r="BJ145" s="315">
        <v>-2615000</v>
      </c>
      <c r="BK145" s="315">
        <v>0</v>
      </c>
      <c r="BL145" s="315">
        <v>0</v>
      </c>
      <c r="BM145" s="315">
        <v>0</v>
      </c>
      <c r="BN145" s="315">
        <v>0</v>
      </c>
      <c r="BO145" s="315">
        <v>-1885000</v>
      </c>
      <c r="BP145" s="315">
        <v>0</v>
      </c>
      <c r="BQ145" s="315">
        <v>0</v>
      </c>
      <c r="BR145" s="315">
        <v>0</v>
      </c>
      <c r="BS145" s="315">
        <v>0</v>
      </c>
      <c r="BT145" s="315">
        <v>-26710000</v>
      </c>
      <c r="BU145" s="315">
        <v>0</v>
      </c>
      <c r="BV145" s="315">
        <v>0</v>
      </c>
    </row>
    <row r="146" spans="12:74" hidden="1" x14ac:dyDescent="0.2">
      <c r="L146" s="315">
        <v>632137</v>
      </c>
      <c r="M146" s="315">
        <v>0</v>
      </c>
      <c r="N146" s="315">
        <v>0</v>
      </c>
      <c r="O146" s="315">
        <v>0</v>
      </c>
      <c r="P146" s="315">
        <v>0</v>
      </c>
      <c r="Q146" s="315">
        <v>3068181</v>
      </c>
      <c r="R146" s="315">
        <v>0</v>
      </c>
      <c r="S146" s="315">
        <v>0</v>
      </c>
      <c r="T146" s="315">
        <v>0</v>
      </c>
      <c r="U146" s="315">
        <v>0</v>
      </c>
      <c r="V146" s="315">
        <v>-48914</v>
      </c>
      <c r="W146" s="315">
        <v>0</v>
      </c>
      <c r="X146" s="315">
        <v>0</v>
      </c>
      <c r="Y146" s="315">
        <v>0</v>
      </c>
      <c r="Z146" s="315">
        <v>0</v>
      </c>
      <c r="AA146" s="315">
        <v>-285032</v>
      </c>
      <c r="AB146" s="315">
        <v>0</v>
      </c>
      <c r="AC146" s="315">
        <v>0</v>
      </c>
      <c r="AD146" s="315">
        <v>0</v>
      </c>
      <c r="AE146" s="315">
        <v>0</v>
      </c>
      <c r="AF146" s="315">
        <v>2716366</v>
      </c>
      <c r="AG146" s="315">
        <v>0</v>
      </c>
      <c r="AH146" s="315">
        <v>0</v>
      </c>
      <c r="AI146" s="315">
        <v>0</v>
      </c>
      <c r="AJ146" s="315">
        <v>0</v>
      </c>
      <c r="AK146" s="315">
        <v>623892</v>
      </c>
      <c r="AL146" s="315">
        <v>0</v>
      </c>
      <c r="AM146" s="315">
        <v>0</v>
      </c>
      <c r="AN146" s="315">
        <v>0</v>
      </c>
      <c r="AO146" s="315">
        <v>0</v>
      </c>
      <c r="AP146" s="315">
        <v>-23569</v>
      </c>
      <c r="AQ146" s="315">
        <v>0</v>
      </c>
      <c r="AR146" s="315">
        <v>0</v>
      </c>
      <c r="AS146" s="315">
        <v>0</v>
      </c>
      <c r="AT146" s="315">
        <v>0</v>
      </c>
      <c r="AU146" s="315">
        <v>-1204105</v>
      </c>
      <c r="AV146" s="315">
        <v>0</v>
      </c>
      <c r="AW146" s="315">
        <v>0</v>
      </c>
      <c r="AX146" s="315">
        <v>0</v>
      </c>
      <c r="AY146" s="315">
        <v>0</v>
      </c>
      <c r="AZ146" s="315">
        <v>-342784</v>
      </c>
      <c r="BA146" s="315">
        <v>0</v>
      </c>
      <c r="BB146" s="315">
        <v>0</v>
      </c>
      <c r="BC146" s="315">
        <v>0</v>
      </c>
      <c r="BD146" s="315">
        <v>0</v>
      </c>
      <c r="BE146" s="315">
        <v>0</v>
      </c>
      <c r="BF146" s="315">
        <v>0</v>
      </c>
      <c r="BG146" s="315">
        <v>0</v>
      </c>
      <c r="BH146" s="315">
        <v>0</v>
      </c>
      <c r="BI146" s="315">
        <v>0</v>
      </c>
      <c r="BJ146" s="315">
        <v>-682120</v>
      </c>
      <c r="BK146" s="315">
        <v>0</v>
      </c>
      <c r="BL146" s="315">
        <v>0</v>
      </c>
      <c r="BM146" s="315">
        <v>0</v>
      </c>
      <c r="BN146" s="315">
        <v>0</v>
      </c>
      <c r="BO146" s="315">
        <v>-3123322</v>
      </c>
      <c r="BP146" s="315">
        <v>0</v>
      </c>
      <c r="BQ146" s="315">
        <v>0</v>
      </c>
      <c r="BR146" s="315">
        <v>0</v>
      </c>
      <c r="BS146" s="315">
        <v>0</v>
      </c>
      <c r="BT146" s="315">
        <v>6683061</v>
      </c>
      <c r="BU146" s="315">
        <v>0</v>
      </c>
      <c r="BV146" s="315">
        <v>0</v>
      </c>
    </row>
    <row r="147" spans="12:74" hidden="1" x14ac:dyDescent="0.2">
      <c r="L147" s="315">
        <v>0</v>
      </c>
      <c r="M147" s="315">
        <v>0</v>
      </c>
      <c r="N147" s="315">
        <v>0</v>
      </c>
      <c r="O147" s="315">
        <v>0</v>
      </c>
      <c r="P147" s="315">
        <v>0</v>
      </c>
      <c r="Q147" s="315">
        <v>0</v>
      </c>
      <c r="R147" s="315">
        <v>0</v>
      </c>
      <c r="S147" s="315">
        <v>0</v>
      </c>
      <c r="T147" s="315">
        <v>0</v>
      </c>
      <c r="U147" s="315">
        <v>0</v>
      </c>
      <c r="V147" s="315">
        <v>0</v>
      </c>
      <c r="W147" s="315">
        <v>0</v>
      </c>
      <c r="X147" s="315">
        <v>0</v>
      </c>
      <c r="Y147" s="315">
        <v>0</v>
      </c>
      <c r="Z147" s="315">
        <v>0</v>
      </c>
      <c r="AA147" s="315">
        <v>0</v>
      </c>
      <c r="AB147" s="315">
        <v>0</v>
      </c>
      <c r="AC147" s="315">
        <v>0</v>
      </c>
      <c r="AD147" s="315">
        <v>0</v>
      </c>
      <c r="AE147" s="315">
        <v>0</v>
      </c>
      <c r="AF147" s="315">
        <v>0</v>
      </c>
      <c r="AG147" s="315">
        <v>0</v>
      </c>
      <c r="AH147" s="315">
        <v>0</v>
      </c>
      <c r="AI147" s="315">
        <v>0</v>
      </c>
      <c r="AJ147" s="315">
        <v>0</v>
      </c>
      <c r="AK147" s="315">
        <v>0</v>
      </c>
      <c r="AL147" s="315">
        <v>0</v>
      </c>
      <c r="AM147" s="315">
        <v>0</v>
      </c>
      <c r="AN147" s="315">
        <v>0</v>
      </c>
      <c r="AO147" s="315">
        <v>0</v>
      </c>
      <c r="AP147" s="315">
        <v>0</v>
      </c>
      <c r="AQ147" s="315">
        <v>0</v>
      </c>
      <c r="AR147" s="315">
        <v>0</v>
      </c>
      <c r="AS147" s="315">
        <v>0</v>
      </c>
      <c r="AT147" s="315">
        <v>0</v>
      </c>
      <c r="AU147" s="315">
        <v>0</v>
      </c>
      <c r="AV147" s="315">
        <v>0</v>
      </c>
      <c r="AW147" s="315">
        <v>0</v>
      </c>
      <c r="AX147" s="315">
        <v>0</v>
      </c>
      <c r="AY147" s="315">
        <v>0</v>
      </c>
      <c r="AZ147" s="315">
        <v>0</v>
      </c>
      <c r="BA147" s="315">
        <v>0</v>
      </c>
      <c r="BB147" s="315">
        <v>0</v>
      </c>
      <c r="BC147" s="315">
        <v>0</v>
      </c>
      <c r="BD147" s="315">
        <v>0</v>
      </c>
      <c r="BE147" s="315">
        <v>0</v>
      </c>
      <c r="BF147" s="315">
        <v>0</v>
      </c>
      <c r="BG147" s="315">
        <v>0</v>
      </c>
      <c r="BH147" s="315">
        <v>0</v>
      </c>
      <c r="BI147" s="315">
        <v>0</v>
      </c>
      <c r="BJ147" s="315">
        <v>0</v>
      </c>
      <c r="BK147" s="315">
        <v>0</v>
      </c>
      <c r="BL147" s="315">
        <v>0</v>
      </c>
      <c r="BM147" s="315">
        <v>0</v>
      </c>
      <c r="BN147" s="315">
        <v>0</v>
      </c>
      <c r="BO147" s="315">
        <v>0</v>
      </c>
      <c r="BP147" s="315">
        <v>0</v>
      </c>
      <c r="BQ147" s="315">
        <v>0</v>
      </c>
      <c r="BR147" s="315">
        <v>0</v>
      </c>
      <c r="BS147" s="315">
        <v>0</v>
      </c>
      <c r="BT147" s="315">
        <v>0</v>
      </c>
      <c r="BU147" s="315">
        <v>0</v>
      </c>
      <c r="BV147" s="315">
        <v>0</v>
      </c>
    </row>
    <row r="148" spans="12:74" hidden="1" x14ac:dyDescent="0.2">
      <c r="L148" s="315">
        <v>0</v>
      </c>
      <c r="M148" s="315">
        <v>0</v>
      </c>
      <c r="N148" s="315">
        <v>0</v>
      </c>
      <c r="O148" s="315">
        <v>0</v>
      </c>
      <c r="P148" s="315">
        <v>0</v>
      </c>
      <c r="Q148" s="315">
        <v>0</v>
      </c>
      <c r="R148" s="315">
        <v>0</v>
      </c>
      <c r="S148" s="315">
        <v>0</v>
      </c>
      <c r="T148" s="315">
        <v>0</v>
      </c>
      <c r="U148" s="315">
        <v>0</v>
      </c>
      <c r="V148" s="315">
        <v>0</v>
      </c>
      <c r="W148" s="315">
        <v>0</v>
      </c>
      <c r="X148" s="315">
        <v>0</v>
      </c>
      <c r="Y148" s="315">
        <v>0</v>
      </c>
      <c r="Z148" s="315">
        <v>0</v>
      </c>
      <c r="AA148" s="315">
        <v>0</v>
      </c>
      <c r="AB148" s="315">
        <v>0</v>
      </c>
      <c r="AC148" s="315">
        <v>0</v>
      </c>
      <c r="AD148" s="315">
        <v>0</v>
      </c>
      <c r="AE148" s="315">
        <v>0</v>
      </c>
      <c r="AF148" s="315">
        <v>0</v>
      </c>
      <c r="AG148" s="315">
        <v>0</v>
      </c>
      <c r="AH148" s="315">
        <v>0</v>
      </c>
      <c r="AI148" s="315">
        <v>0</v>
      </c>
      <c r="AJ148" s="315">
        <v>0</v>
      </c>
      <c r="AK148" s="315">
        <v>0</v>
      </c>
      <c r="AL148" s="315">
        <v>0</v>
      </c>
      <c r="AM148" s="315">
        <v>0</v>
      </c>
      <c r="AN148" s="315">
        <v>0</v>
      </c>
      <c r="AO148" s="315">
        <v>0</v>
      </c>
      <c r="AP148" s="315">
        <v>0</v>
      </c>
      <c r="AQ148" s="315">
        <v>0</v>
      </c>
      <c r="AR148" s="315">
        <v>0</v>
      </c>
      <c r="AS148" s="315">
        <v>0</v>
      </c>
      <c r="AT148" s="315">
        <v>0</v>
      </c>
      <c r="AU148" s="315">
        <v>0</v>
      </c>
      <c r="AV148" s="315">
        <v>0</v>
      </c>
      <c r="AW148" s="315">
        <v>0</v>
      </c>
      <c r="AX148" s="315">
        <v>0</v>
      </c>
      <c r="AY148" s="315">
        <v>0</v>
      </c>
      <c r="AZ148" s="315">
        <v>0</v>
      </c>
      <c r="BA148" s="315">
        <v>0</v>
      </c>
      <c r="BB148" s="315">
        <v>0</v>
      </c>
      <c r="BC148" s="315">
        <v>0</v>
      </c>
      <c r="BD148" s="315">
        <v>0</v>
      </c>
      <c r="BE148" s="315">
        <v>0</v>
      </c>
      <c r="BF148" s="315">
        <v>0</v>
      </c>
      <c r="BG148" s="315">
        <v>0</v>
      </c>
      <c r="BH148" s="315">
        <v>0</v>
      </c>
      <c r="BI148" s="315">
        <v>0</v>
      </c>
      <c r="BJ148" s="315">
        <v>0</v>
      </c>
      <c r="BK148" s="315">
        <v>0</v>
      </c>
      <c r="BL148" s="315">
        <v>0</v>
      </c>
      <c r="BM148" s="315">
        <v>0</v>
      </c>
      <c r="BN148" s="315">
        <v>0</v>
      </c>
      <c r="BO148" s="315">
        <v>0</v>
      </c>
      <c r="BP148" s="315">
        <v>0</v>
      </c>
      <c r="BQ148" s="315">
        <v>0</v>
      </c>
      <c r="BR148" s="315">
        <v>0</v>
      </c>
      <c r="BS148" s="315">
        <v>0</v>
      </c>
      <c r="BT148" s="315">
        <v>0</v>
      </c>
      <c r="BU148" s="315">
        <v>0</v>
      </c>
      <c r="BV148" s="315">
        <v>0</v>
      </c>
    </row>
    <row r="149" spans="12:74" hidden="1" x14ac:dyDescent="0.2">
      <c r="L149" s="315">
        <v>345294</v>
      </c>
      <c r="M149" s="315">
        <v>0</v>
      </c>
      <c r="N149" s="315">
        <v>0</v>
      </c>
      <c r="O149" s="315">
        <v>0</v>
      </c>
      <c r="P149" s="315">
        <v>0</v>
      </c>
      <c r="Q149" s="315">
        <v>20235</v>
      </c>
      <c r="R149" s="315">
        <v>0</v>
      </c>
      <c r="S149" s="315">
        <v>0</v>
      </c>
      <c r="T149" s="315">
        <v>0</v>
      </c>
      <c r="U149" s="315">
        <v>0</v>
      </c>
      <c r="V149" s="315">
        <v>218746</v>
      </c>
      <c r="W149" s="315">
        <v>0</v>
      </c>
      <c r="X149" s="315">
        <v>0</v>
      </c>
      <c r="Y149" s="315">
        <v>0</v>
      </c>
      <c r="Z149" s="315">
        <v>0</v>
      </c>
      <c r="AA149" s="315">
        <v>209595</v>
      </c>
      <c r="AB149" s="315">
        <v>0</v>
      </c>
      <c r="AC149" s="315">
        <v>0</v>
      </c>
      <c r="AD149" s="315">
        <v>0</v>
      </c>
      <c r="AE149" s="315">
        <v>0</v>
      </c>
      <c r="AF149" s="315">
        <v>538838</v>
      </c>
      <c r="AG149" s="315">
        <v>0</v>
      </c>
      <c r="AH149" s="315">
        <v>0</v>
      </c>
      <c r="AI149" s="315">
        <v>0</v>
      </c>
      <c r="AJ149" s="315">
        <v>0</v>
      </c>
      <c r="AK149" s="315">
        <v>322831</v>
      </c>
      <c r="AL149" s="315">
        <v>0</v>
      </c>
      <c r="AM149" s="315">
        <v>0</v>
      </c>
      <c r="AN149" s="315">
        <v>0</v>
      </c>
      <c r="AO149" s="315">
        <v>0</v>
      </c>
      <c r="AP149" s="315">
        <v>225786</v>
      </c>
      <c r="AQ149" s="315">
        <v>0</v>
      </c>
      <c r="AR149" s="315">
        <v>0</v>
      </c>
      <c r="AS149" s="315">
        <v>0</v>
      </c>
      <c r="AT149" s="315">
        <v>0</v>
      </c>
      <c r="AU149" s="315">
        <v>-387424</v>
      </c>
      <c r="AV149" s="315">
        <v>0</v>
      </c>
      <c r="AW149" s="315">
        <v>0</v>
      </c>
      <c r="AX149" s="315">
        <v>0</v>
      </c>
      <c r="AY149" s="315">
        <v>0</v>
      </c>
      <c r="AZ149" s="315">
        <v>-493196</v>
      </c>
      <c r="BA149" s="315">
        <v>0</v>
      </c>
      <c r="BB149" s="315">
        <v>0</v>
      </c>
      <c r="BC149" s="315">
        <v>0</v>
      </c>
      <c r="BD149" s="315">
        <v>0</v>
      </c>
      <c r="BE149" s="315">
        <v>-57929886</v>
      </c>
      <c r="BF149" s="315">
        <v>0</v>
      </c>
      <c r="BG149" s="315">
        <v>0</v>
      </c>
      <c r="BH149" s="315">
        <v>0</v>
      </c>
      <c r="BI149" s="315">
        <v>0</v>
      </c>
      <c r="BJ149" s="315">
        <v>-409969</v>
      </c>
      <c r="BK149" s="315">
        <v>0</v>
      </c>
      <c r="BL149" s="315">
        <v>0</v>
      </c>
      <c r="BM149" s="315">
        <v>0</v>
      </c>
      <c r="BN149" s="315">
        <v>0</v>
      </c>
      <c r="BO149" s="315">
        <v>-252762</v>
      </c>
      <c r="BP149" s="315">
        <v>0</v>
      </c>
      <c r="BQ149" s="315">
        <v>0</v>
      </c>
      <c r="BR149" s="315">
        <v>0</v>
      </c>
      <c r="BS149" s="315">
        <v>0</v>
      </c>
      <c r="BT149" s="315">
        <v>1881325</v>
      </c>
      <c r="BU149" s="315">
        <v>0</v>
      </c>
      <c r="BV149" s="315">
        <v>0</v>
      </c>
    </row>
    <row r="150" spans="12:74" hidden="1" x14ac:dyDescent="0.2">
      <c r="L150" s="315">
        <v>0</v>
      </c>
      <c r="M150" s="315">
        <v>0</v>
      </c>
      <c r="N150" s="315">
        <v>0</v>
      </c>
      <c r="O150" s="315">
        <v>0</v>
      </c>
      <c r="P150" s="315">
        <v>0</v>
      </c>
      <c r="Q150" s="315">
        <v>0</v>
      </c>
      <c r="R150" s="315">
        <v>0</v>
      </c>
      <c r="S150" s="315">
        <v>0</v>
      </c>
      <c r="T150" s="315">
        <v>0</v>
      </c>
      <c r="U150" s="315">
        <v>0</v>
      </c>
      <c r="V150" s="315">
        <v>0</v>
      </c>
      <c r="W150" s="315">
        <v>0</v>
      </c>
      <c r="X150" s="315">
        <v>0</v>
      </c>
      <c r="Y150" s="315">
        <v>0</v>
      </c>
      <c r="Z150" s="315">
        <v>0</v>
      </c>
      <c r="AA150" s="315">
        <v>0</v>
      </c>
      <c r="AB150" s="315">
        <v>0</v>
      </c>
      <c r="AC150" s="315">
        <v>0</v>
      </c>
      <c r="AD150" s="315">
        <v>0</v>
      </c>
      <c r="AE150" s="315">
        <v>0</v>
      </c>
      <c r="AF150" s="315">
        <v>0</v>
      </c>
      <c r="AG150" s="315">
        <v>0</v>
      </c>
      <c r="AH150" s="315">
        <v>0</v>
      </c>
      <c r="AI150" s="315">
        <v>0</v>
      </c>
      <c r="AJ150" s="315">
        <v>0</v>
      </c>
      <c r="AK150" s="315">
        <v>0</v>
      </c>
      <c r="AL150" s="315">
        <v>0</v>
      </c>
      <c r="AM150" s="315">
        <v>0</v>
      </c>
      <c r="AN150" s="315">
        <v>0</v>
      </c>
      <c r="AO150" s="315">
        <v>0</v>
      </c>
      <c r="AP150" s="315">
        <v>0</v>
      </c>
      <c r="AQ150" s="315">
        <v>0</v>
      </c>
      <c r="AR150" s="315">
        <v>0</v>
      </c>
      <c r="AS150" s="315">
        <v>0</v>
      </c>
      <c r="AT150" s="315">
        <v>0</v>
      </c>
      <c r="AU150" s="315">
        <v>0</v>
      </c>
      <c r="AV150" s="315">
        <v>0</v>
      </c>
      <c r="AW150" s="315">
        <v>0</v>
      </c>
      <c r="AX150" s="315">
        <v>0</v>
      </c>
      <c r="AY150" s="315">
        <v>0</v>
      </c>
      <c r="AZ150" s="315">
        <v>0</v>
      </c>
      <c r="BA150" s="315">
        <v>0</v>
      </c>
      <c r="BB150" s="315">
        <v>0</v>
      </c>
      <c r="BC150" s="315">
        <v>0</v>
      </c>
      <c r="BD150" s="315">
        <v>0</v>
      </c>
      <c r="BE150" s="315">
        <v>-57718349</v>
      </c>
      <c r="BF150" s="315">
        <v>0</v>
      </c>
      <c r="BG150" s="315">
        <v>0</v>
      </c>
      <c r="BH150" s="315">
        <v>0</v>
      </c>
      <c r="BI150" s="315">
        <v>0</v>
      </c>
      <c r="BJ150" s="315">
        <v>0</v>
      </c>
      <c r="BK150" s="315">
        <v>0</v>
      </c>
      <c r="BL150" s="315">
        <v>0</v>
      </c>
      <c r="BM150" s="315">
        <v>0</v>
      </c>
      <c r="BN150" s="315">
        <v>0</v>
      </c>
      <c r="BO150" s="315">
        <v>0</v>
      </c>
      <c r="BP150" s="315">
        <v>0</v>
      </c>
      <c r="BQ150" s="315">
        <v>0</v>
      </c>
      <c r="BR150" s="315">
        <v>0</v>
      </c>
      <c r="BS150" s="315">
        <v>0</v>
      </c>
      <c r="BT150" s="315">
        <v>0</v>
      </c>
      <c r="BU150" s="315">
        <v>0</v>
      </c>
      <c r="BV150" s="315">
        <v>0</v>
      </c>
    </row>
    <row r="151" spans="12:74" hidden="1" x14ac:dyDescent="0.2">
      <c r="L151" s="315" t="e">
        <v>#REF!</v>
      </c>
      <c r="M151" s="315" t="e">
        <v>#REF!</v>
      </c>
      <c r="N151" s="315" t="e">
        <v>#REF!</v>
      </c>
      <c r="O151" s="315" t="e">
        <v>#REF!</v>
      </c>
      <c r="P151" s="315" t="e">
        <v>#REF!</v>
      </c>
      <c r="Q151" s="315" t="e">
        <v>#REF!</v>
      </c>
      <c r="R151" s="315" t="e">
        <v>#REF!</v>
      </c>
      <c r="S151" s="315" t="e">
        <v>#REF!</v>
      </c>
      <c r="T151" s="315" t="e">
        <v>#REF!</v>
      </c>
      <c r="U151" s="315" t="e">
        <v>#REF!</v>
      </c>
      <c r="V151" s="315" t="e">
        <v>#REF!</v>
      </c>
      <c r="W151" s="315" t="e">
        <v>#REF!</v>
      </c>
      <c r="X151" s="315" t="e">
        <v>#REF!</v>
      </c>
      <c r="Y151" s="315" t="e">
        <v>#REF!</v>
      </c>
      <c r="Z151" s="315" t="e">
        <v>#REF!</v>
      </c>
      <c r="AA151" s="315" t="e">
        <v>#REF!</v>
      </c>
      <c r="AB151" s="315" t="e">
        <v>#REF!</v>
      </c>
      <c r="AC151" s="315" t="e">
        <v>#REF!</v>
      </c>
      <c r="AD151" s="315" t="e">
        <v>#REF!</v>
      </c>
      <c r="AE151" s="315" t="e">
        <v>#REF!</v>
      </c>
      <c r="AF151" s="315" t="e">
        <v>#REF!</v>
      </c>
      <c r="AG151" s="315" t="e">
        <v>#REF!</v>
      </c>
      <c r="AH151" s="315" t="e">
        <v>#REF!</v>
      </c>
      <c r="AI151" s="315" t="e">
        <v>#REF!</v>
      </c>
      <c r="AJ151" s="315" t="e">
        <v>#REF!</v>
      </c>
      <c r="AK151" s="315" t="e">
        <v>#REF!</v>
      </c>
      <c r="AL151" s="315" t="e">
        <v>#REF!</v>
      </c>
      <c r="AM151" s="315" t="e">
        <v>#REF!</v>
      </c>
      <c r="AN151" s="315" t="e">
        <v>#REF!</v>
      </c>
      <c r="AO151" s="315" t="e">
        <v>#REF!</v>
      </c>
      <c r="AP151" s="315" t="e">
        <v>#REF!</v>
      </c>
      <c r="AQ151" s="315" t="e">
        <v>#REF!</v>
      </c>
      <c r="AR151" s="315" t="e">
        <v>#REF!</v>
      </c>
      <c r="AS151" s="315" t="e">
        <v>#REF!</v>
      </c>
      <c r="AT151" s="315" t="e">
        <v>#REF!</v>
      </c>
      <c r="AU151" s="315" t="e">
        <v>#REF!</v>
      </c>
      <c r="AV151" s="315" t="e">
        <v>#REF!</v>
      </c>
      <c r="AW151" s="315" t="e">
        <v>#REF!</v>
      </c>
      <c r="AX151" s="315" t="e">
        <v>#REF!</v>
      </c>
      <c r="AY151" s="315" t="e">
        <v>#REF!</v>
      </c>
      <c r="AZ151" s="315" t="e">
        <v>#REF!</v>
      </c>
      <c r="BA151" s="315" t="e">
        <v>#REF!</v>
      </c>
      <c r="BB151" s="315" t="e">
        <v>#REF!</v>
      </c>
      <c r="BC151" s="315" t="e">
        <v>#REF!</v>
      </c>
      <c r="BD151" s="315" t="e">
        <v>#REF!</v>
      </c>
      <c r="BE151" s="315" t="e">
        <v>#REF!</v>
      </c>
      <c r="BF151" s="315" t="e">
        <v>#REF!</v>
      </c>
      <c r="BG151" s="315" t="e">
        <v>#REF!</v>
      </c>
      <c r="BH151" s="315" t="e">
        <v>#REF!</v>
      </c>
      <c r="BI151" s="315" t="e">
        <v>#REF!</v>
      </c>
      <c r="BJ151" s="315" t="e">
        <v>#REF!</v>
      </c>
      <c r="BK151" s="315" t="e">
        <v>#REF!</v>
      </c>
      <c r="BL151" s="315" t="e">
        <v>#REF!</v>
      </c>
      <c r="BM151" s="315" t="e">
        <v>#REF!</v>
      </c>
      <c r="BN151" s="315" t="e">
        <v>#REF!</v>
      </c>
      <c r="BO151" s="315" t="e">
        <v>#REF!</v>
      </c>
      <c r="BP151" s="315" t="e">
        <v>#REF!</v>
      </c>
      <c r="BQ151" s="315" t="e">
        <v>#REF!</v>
      </c>
      <c r="BR151" s="315" t="e">
        <v>#REF!</v>
      </c>
      <c r="BS151" s="315" t="e">
        <v>#REF!</v>
      </c>
      <c r="BT151" s="315" t="e">
        <v>#REF!</v>
      </c>
      <c r="BU151" s="315" t="e">
        <v>#REF!</v>
      </c>
      <c r="BV151" s="315" t="e">
        <v>#REF!</v>
      </c>
    </row>
    <row r="152" spans="12:74" hidden="1" x14ac:dyDescent="0.2">
      <c r="L152" s="315" t="e">
        <v>#REF!</v>
      </c>
      <c r="M152" s="315" t="e">
        <v>#REF!</v>
      </c>
      <c r="N152" s="315" t="e">
        <v>#REF!</v>
      </c>
      <c r="O152" s="315" t="e">
        <v>#REF!</v>
      </c>
      <c r="P152" s="315" t="e">
        <v>#REF!</v>
      </c>
      <c r="Q152" s="315" t="e">
        <v>#REF!</v>
      </c>
      <c r="R152" s="315" t="e">
        <v>#REF!</v>
      </c>
      <c r="S152" s="315" t="e">
        <v>#REF!</v>
      </c>
      <c r="T152" s="315" t="e">
        <v>#REF!</v>
      </c>
      <c r="U152" s="315" t="e">
        <v>#REF!</v>
      </c>
      <c r="V152" s="315" t="e">
        <v>#REF!</v>
      </c>
      <c r="W152" s="315" t="e">
        <v>#REF!</v>
      </c>
      <c r="X152" s="315" t="e">
        <v>#REF!</v>
      </c>
      <c r="Y152" s="315" t="e">
        <v>#REF!</v>
      </c>
      <c r="Z152" s="315" t="e">
        <v>#REF!</v>
      </c>
      <c r="AA152" s="315" t="e">
        <v>#REF!</v>
      </c>
      <c r="AB152" s="315" t="e">
        <v>#REF!</v>
      </c>
      <c r="AC152" s="315" t="e">
        <v>#REF!</v>
      </c>
      <c r="AD152" s="315" t="e">
        <v>#REF!</v>
      </c>
      <c r="AE152" s="315" t="e">
        <v>#REF!</v>
      </c>
      <c r="AF152" s="315" t="e">
        <v>#REF!</v>
      </c>
      <c r="AG152" s="315" t="e">
        <v>#REF!</v>
      </c>
      <c r="AH152" s="315" t="e">
        <v>#REF!</v>
      </c>
      <c r="AI152" s="315" t="e">
        <v>#REF!</v>
      </c>
      <c r="AJ152" s="315" t="e">
        <v>#REF!</v>
      </c>
      <c r="AK152" s="315" t="e">
        <v>#REF!</v>
      </c>
      <c r="AL152" s="315" t="e">
        <v>#REF!</v>
      </c>
      <c r="AM152" s="315" t="e">
        <v>#REF!</v>
      </c>
      <c r="AN152" s="315" t="e">
        <v>#REF!</v>
      </c>
      <c r="AO152" s="315" t="e">
        <v>#REF!</v>
      </c>
      <c r="AP152" s="315" t="e">
        <v>#REF!</v>
      </c>
      <c r="AQ152" s="315" t="e">
        <v>#REF!</v>
      </c>
      <c r="AR152" s="315" t="e">
        <v>#REF!</v>
      </c>
      <c r="AS152" s="315" t="e">
        <v>#REF!</v>
      </c>
      <c r="AT152" s="315" t="e">
        <v>#REF!</v>
      </c>
      <c r="AU152" s="315" t="e">
        <v>#REF!</v>
      </c>
      <c r="AV152" s="315" t="e">
        <v>#REF!</v>
      </c>
      <c r="AW152" s="315" t="e">
        <v>#REF!</v>
      </c>
      <c r="AX152" s="315" t="e">
        <v>#REF!</v>
      </c>
      <c r="AY152" s="315" t="e">
        <v>#REF!</v>
      </c>
      <c r="AZ152" s="315" t="e">
        <v>#REF!</v>
      </c>
      <c r="BA152" s="315" t="e">
        <v>#REF!</v>
      </c>
      <c r="BB152" s="315" t="e">
        <v>#REF!</v>
      </c>
      <c r="BC152" s="315" t="e">
        <v>#REF!</v>
      </c>
      <c r="BD152" s="315" t="e">
        <v>#REF!</v>
      </c>
      <c r="BE152" s="315" t="e">
        <v>#REF!</v>
      </c>
      <c r="BF152" s="315" t="e">
        <v>#REF!</v>
      </c>
      <c r="BG152" s="315" t="e">
        <v>#REF!</v>
      </c>
      <c r="BH152" s="315" t="e">
        <v>#REF!</v>
      </c>
      <c r="BI152" s="315" t="e">
        <v>#REF!</v>
      </c>
      <c r="BJ152" s="315" t="e">
        <v>#REF!</v>
      </c>
      <c r="BK152" s="315" t="e">
        <v>#REF!</v>
      </c>
      <c r="BL152" s="315" t="e">
        <v>#REF!</v>
      </c>
      <c r="BM152" s="315" t="e">
        <v>#REF!</v>
      </c>
      <c r="BN152" s="315" t="e">
        <v>#REF!</v>
      </c>
      <c r="BO152" s="315" t="e">
        <v>#REF!</v>
      </c>
      <c r="BP152" s="315" t="e">
        <v>#REF!</v>
      </c>
      <c r="BQ152" s="315" t="e">
        <v>#REF!</v>
      </c>
      <c r="BR152" s="315" t="e">
        <v>#REF!</v>
      </c>
      <c r="BS152" s="315" t="e">
        <v>#REF!</v>
      </c>
      <c r="BT152" s="315" t="e">
        <v>#REF!</v>
      </c>
      <c r="BU152" s="315" t="e">
        <v>#REF!</v>
      </c>
      <c r="BV152" s="315" t="e">
        <v>#REF!</v>
      </c>
    </row>
    <row r="153" spans="12:74" hidden="1" x14ac:dyDescent="0.2">
      <c r="L153" s="315" t="e">
        <v>#REF!</v>
      </c>
      <c r="M153" s="315" t="e">
        <v>#REF!</v>
      </c>
      <c r="N153" s="315" t="e">
        <v>#REF!</v>
      </c>
      <c r="O153" s="315" t="e">
        <v>#REF!</v>
      </c>
      <c r="P153" s="315" t="e">
        <v>#REF!</v>
      </c>
      <c r="Q153" s="315" t="e">
        <v>#REF!</v>
      </c>
      <c r="R153" s="315" t="e">
        <v>#REF!</v>
      </c>
      <c r="S153" s="315" t="e">
        <v>#REF!</v>
      </c>
      <c r="T153" s="315" t="e">
        <v>#REF!</v>
      </c>
      <c r="U153" s="315" t="e">
        <v>#REF!</v>
      </c>
      <c r="V153" s="315" t="e">
        <v>#REF!</v>
      </c>
      <c r="W153" s="315" t="e">
        <v>#REF!</v>
      </c>
      <c r="X153" s="315" t="e">
        <v>#REF!</v>
      </c>
      <c r="Y153" s="315" t="e">
        <v>#REF!</v>
      </c>
      <c r="Z153" s="315" t="e">
        <v>#REF!</v>
      </c>
      <c r="AA153" s="315" t="e">
        <v>#REF!</v>
      </c>
      <c r="AB153" s="315" t="e">
        <v>#REF!</v>
      </c>
      <c r="AC153" s="315" t="e">
        <v>#REF!</v>
      </c>
      <c r="AD153" s="315" t="e">
        <v>#REF!</v>
      </c>
      <c r="AE153" s="315" t="e">
        <v>#REF!</v>
      </c>
      <c r="AF153" s="315" t="e">
        <v>#REF!</v>
      </c>
      <c r="AG153" s="315" t="e">
        <v>#REF!</v>
      </c>
      <c r="AH153" s="315" t="e">
        <v>#REF!</v>
      </c>
      <c r="AI153" s="315" t="e">
        <v>#REF!</v>
      </c>
      <c r="AJ153" s="315" t="e">
        <v>#REF!</v>
      </c>
      <c r="AK153" s="315" t="e">
        <v>#REF!</v>
      </c>
      <c r="AL153" s="315" t="e">
        <v>#REF!</v>
      </c>
      <c r="AM153" s="315" t="e">
        <v>#REF!</v>
      </c>
      <c r="AN153" s="315" t="e">
        <v>#REF!</v>
      </c>
      <c r="AO153" s="315" t="e">
        <v>#REF!</v>
      </c>
      <c r="AP153" s="315" t="e">
        <v>#REF!</v>
      </c>
      <c r="AQ153" s="315" t="e">
        <v>#REF!</v>
      </c>
      <c r="AR153" s="315" t="e">
        <v>#REF!</v>
      </c>
      <c r="AS153" s="315" t="e">
        <v>#REF!</v>
      </c>
      <c r="AT153" s="315" t="e">
        <v>#REF!</v>
      </c>
      <c r="AU153" s="315" t="e">
        <v>#REF!</v>
      </c>
      <c r="AV153" s="315" t="e">
        <v>#REF!</v>
      </c>
      <c r="AW153" s="315" t="e">
        <v>#REF!</v>
      </c>
      <c r="AX153" s="315" t="e">
        <v>#REF!</v>
      </c>
      <c r="AY153" s="315" t="e">
        <v>#REF!</v>
      </c>
      <c r="AZ153" s="315" t="e">
        <v>#REF!</v>
      </c>
      <c r="BA153" s="315" t="e">
        <v>#REF!</v>
      </c>
      <c r="BB153" s="315" t="e">
        <v>#REF!</v>
      </c>
      <c r="BC153" s="315" t="e">
        <v>#REF!</v>
      </c>
      <c r="BD153" s="315" t="e">
        <v>#REF!</v>
      </c>
      <c r="BE153" s="315" t="e">
        <v>#REF!</v>
      </c>
      <c r="BF153" s="315" t="e">
        <v>#REF!</v>
      </c>
      <c r="BG153" s="315" t="e">
        <v>#REF!</v>
      </c>
      <c r="BH153" s="315" t="e">
        <v>#REF!</v>
      </c>
      <c r="BI153" s="315" t="e">
        <v>#REF!</v>
      </c>
      <c r="BJ153" s="315" t="e">
        <v>#REF!</v>
      </c>
      <c r="BK153" s="315" t="e">
        <v>#REF!</v>
      </c>
      <c r="BL153" s="315" t="e">
        <v>#REF!</v>
      </c>
      <c r="BM153" s="315" t="e">
        <v>#REF!</v>
      </c>
      <c r="BN153" s="315" t="e">
        <v>#REF!</v>
      </c>
      <c r="BO153" s="315" t="e">
        <v>#REF!</v>
      </c>
      <c r="BP153" s="315" t="e">
        <v>#REF!</v>
      </c>
      <c r="BQ153" s="315" t="e">
        <v>#REF!</v>
      </c>
      <c r="BR153" s="315" t="e">
        <v>#REF!</v>
      </c>
      <c r="BS153" s="315" t="e">
        <v>#REF!</v>
      </c>
      <c r="BT153" s="315" t="e">
        <v>#REF!</v>
      </c>
      <c r="BU153" s="315" t="e">
        <v>#REF!</v>
      </c>
      <c r="BV153" s="315" t="e">
        <v>#REF!</v>
      </c>
    </row>
    <row r="154" spans="12:74" hidden="1" x14ac:dyDescent="0.2">
      <c r="L154" s="315" t="e">
        <v>#REF!</v>
      </c>
      <c r="M154" s="315" t="e">
        <v>#REF!</v>
      </c>
      <c r="N154" s="315" t="e">
        <v>#REF!</v>
      </c>
      <c r="O154" s="315" t="e">
        <v>#REF!</v>
      </c>
      <c r="P154" s="315" t="e">
        <v>#REF!</v>
      </c>
      <c r="Q154" s="315" t="e">
        <v>#REF!</v>
      </c>
      <c r="R154" s="315" t="e">
        <v>#REF!</v>
      </c>
      <c r="S154" s="315" t="e">
        <v>#REF!</v>
      </c>
      <c r="T154" s="315" t="e">
        <v>#REF!</v>
      </c>
      <c r="U154" s="315" t="e">
        <v>#REF!</v>
      </c>
      <c r="V154" s="315" t="e">
        <v>#REF!</v>
      </c>
      <c r="W154" s="315" t="e">
        <v>#REF!</v>
      </c>
      <c r="X154" s="315" t="e">
        <v>#REF!</v>
      </c>
      <c r="Y154" s="315" t="e">
        <v>#REF!</v>
      </c>
      <c r="Z154" s="315" t="e">
        <v>#REF!</v>
      </c>
      <c r="AA154" s="315" t="e">
        <v>#REF!</v>
      </c>
      <c r="AB154" s="315" t="e">
        <v>#REF!</v>
      </c>
      <c r="AC154" s="315" t="e">
        <v>#REF!</v>
      </c>
      <c r="AD154" s="315" t="e">
        <v>#REF!</v>
      </c>
      <c r="AE154" s="315" t="e">
        <v>#REF!</v>
      </c>
      <c r="AF154" s="315" t="e">
        <v>#REF!</v>
      </c>
      <c r="AG154" s="315" t="e">
        <v>#REF!</v>
      </c>
      <c r="AH154" s="315" t="e">
        <v>#REF!</v>
      </c>
      <c r="AI154" s="315" t="e">
        <v>#REF!</v>
      </c>
      <c r="AJ154" s="315" t="e">
        <v>#REF!</v>
      </c>
      <c r="AK154" s="315" t="e">
        <v>#REF!</v>
      </c>
      <c r="AL154" s="315" t="e">
        <v>#REF!</v>
      </c>
      <c r="AM154" s="315" t="e">
        <v>#REF!</v>
      </c>
      <c r="AN154" s="315" t="e">
        <v>#REF!</v>
      </c>
      <c r="AO154" s="315" t="e">
        <v>#REF!</v>
      </c>
      <c r="AP154" s="315" t="e">
        <v>#REF!</v>
      </c>
      <c r="AQ154" s="315" t="e">
        <v>#REF!</v>
      </c>
      <c r="AR154" s="315" t="e">
        <v>#REF!</v>
      </c>
      <c r="AS154" s="315" t="e">
        <v>#REF!</v>
      </c>
      <c r="AT154" s="315" t="e">
        <v>#REF!</v>
      </c>
      <c r="AU154" s="315" t="e">
        <v>#REF!</v>
      </c>
      <c r="AV154" s="315" t="e">
        <v>#REF!</v>
      </c>
      <c r="AW154" s="315" t="e">
        <v>#REF!</v>
      </c>
      <c r="AX154" s="315" t="e">
        <v>#REF!</v>
      </c>
      <c r="AY154" s="315" t="e">
        <v>#REF!</v>
      </c>
      <c r="AZ154" s="315" t="e">
        <v>#REF!</v>
      </c>
      <c r="BA154" s="315" t="e">
        <v>#REF!</v>
      </c>
      <c r="BB154" s="315" t="e">
        <v>#REF!</v>
      </c>
      <c r="BC154" s="315" t="e">
        <v>#REF!</v>
      </c>
      <c r="BD154" s="315" t="e">
        <v>#REF!</v>
      </c>
      <c r="BE154" s="315" t="e">
        <v>#REF!</v>
      </c>
      <c r="BF154" s="315" t="e">
        <v>#REF!</v>
      </c>
      <c r="BG154" s="315" t="e">
        <v>#REF!</v>
      </c>
      <c r="BH154" s="315" t="e">
        <v>#REF!</v>
      </c>
      <c r="BI154" s="315" t="e">
        <v>#REF!</v>
      </c>
      <c r="BJ154" s="315" t="e">
        <v>#REF!</v>
      </c>
      <c r="BK154" s="315" t="e">
        <v>#REF!</v>
      </c>
      <c r="BL154" s="315" t="e">
        <v>#REF!</v>
      </c>
      <c r="BM154" s="315" t="e">
        <v>#REF!</v>
      </c>
      <c r="BN154" s="315" t="e">
        <v>#REF!</v>
      </c>
      <c r="BO154" s="315" t="e">
        <v>#REF!</v>
      </c>
      <c r="BP154" s="315" t="e">
        <v>#REF!</v>
      </c>
      <c r="BQ154" s="315" t="e">
        <v>#REF!</v>
      </c>
      <c r="BR154" s="315" t="e">
        <v>#REF!</v>
      </c>
      <c r="BS154" s="315" t="e">
        <v>#REF!</v>
      </c>
      <c r="BT154" s="315" t="e">
        <v>#REF!</v>
      </c>
      <c r="BU154" s="315" t="e">
        <v>#REF!</v>
      </c>
      <c r="BV154" s="315" t="e">
        <v>#REF!</v>
      </c>
    </row>
    <row r="155" spans="12:74" hidden="1" x14ac:dyDescent="0.2">
      <c r="L155" s="315" t="e">
        <v>#REF!</v>
      </c>
      <c r="M155" s="315" t="e">
        <v>#REF!</v>
      </c>
      <c r="N155" s="315" t="e">
        <v>#REF!</v>
      </c>
      <c r="O155" s="315" t="e">
        <v>#REF!</v>
      </c>
      <c r="P155" s="315" t="e">
        <v>#REF!</v>
      </c>
      <c r="Q155" s="315" t="e">
        <v>#REF!</v>
      </c>
      <c r="R155" s="315" t="e">
        <v>#REF!</v>
      </c>
      <c r="S155" s="315" t="e">
        <v>#REF!</v>
      </c>
      <c r="T155" s="315" t="e">
        <v>#REF!</v>
      </c>
      <c r="U155" s="315" t="e">
        <v>#REF!</v>
      </c>
      <c r="V155" s="315" t="e">
        <v>#REF!</v>
      </c>
      <c r="W155" s="315" t="e">
        <v>#REF!</v>
      </c>
      <c r="X155" s="315" t="e">
        <v>#REF!</v>
      </c>
      <c r="Y155" s="315" t="e">
        <v>#REF!</v>
      </c>
      <c r="Z155" s="315" t="e">
        <v>#REF!</v>
      </c>
      <c r="AA155" s="315" t="e">
        <v>#REF!</v>
      </c>
      <c r="AB155" s="315" t="e">
        <v>#REF!</v>
      </c>
      <c r="AC155" s="315" t="e">
        <v>#REF!</v>
      </c>
      <c r="AD155" s="315" t="e">
        <v>#REF!</v>
      </c>
      <c r="AE155" s="315" t="e">
        <v>#REF!</v>
      </c>
      <c r="AF155" s="315" t="e">
        <v>#REF!</v>
      </c>
      <c r="AG155" s="315" t="e">
        <v>#REF!</v>
      </c>
      <c r="AH155" s="315" t="e">
        <v>#REF!</v>
      </c>
      <c r="AI155" s="315" t="e">
        <v>#REF!</v>
      </c>
      <c r="AJ155" s="315" t="e">
        <v>#REF!</v>
      </c>
      <c r="AK155" s="315" t="e">
        <v>#REF!</v>
      </c>
      <c r="AL155" s="315" t="e">
        <v>#REF!</v>
      </c>
      <c r="AM155" s="315" t="e">
        <v>#REF!</v>
      </c>
      <c r="AN155" s="315" t="e">
        <v>#REF!</v>
      </c>
      <c r="AO155" s="315" t="e">
        <v>#REF!</v>
      </c>
      <c r="AP155" s="315" t="e">
        <v>#REF!</v>
      </c>
      <c r="AQ155" s="315" t="e">
        <v>#REF!</v>
      </c>
      <c r="AR155" s="315" t="e">
        <v>#REF!</v>
      </c>
      <c r="AS155" s="315" t="e">
        <v>#REF!</v>
      </c>
      <c r="AT155" s="315" t="e">
        <v>#REF!</v>
      </c>
      <c r="AU155" s="315" t="e">
        <v>#REF!</v>
      </c>
      <c r="AV155" s="315" t="e">
        <v>#REF!</v>
      </c>
      <c r="AW155" s="315" t="e">
        <v>#REF!</v>
      </c>
      <c r="AX155" s="315" t="e">
        <v>#REF!</v>
      </c>
      <c r="AY155" s="315" t="e">
        <v>#REF!</v>
      </c>
      <c r="AZ155" s="315" t="e">
        <v>#REF!</v>
      </c>
      <c r="BA155" s="315" t="e">
        <v>#REF!</v>
      </c>
      <c r="BB155" s="315" t="e">
        <v>#REF!</v>
      </c>
      <c r="BC155" s="315" t="e">
        <v>#REF!</v>
      </c>
      <c r="BD155" s="315" t="e">
        <v>#REF!</v>
      </c>
      <c r="BE155" s="315" t="e">
        <v>#REF!</v>
      </c>
      <c r="BF155" s="315" t="e">
        <v>#REF!</v>
      </c>
      <c r="BG155" s="315" t="e">
        <v>#REF!</v>
      </c>
      <c r="BH155" s="315" t="e">
        <v>#REF!</v>
      </c>
      <c r="BI155" s="315" t="e">
        <v>#REF!</v>
      </c>
      <c r="BJ155" s="315" t="e">
        <v>#REF!</v>
      </c>
      <c r="BK155" s="315" t="e">
        <v>#REF!</v>
      </c>
      <c r="BL155" s="315" t="e">
        <v>#REF!</v>
      </c>
      <c r="BM155" s="315" t="e">
        <v>#REF!</v>
      </c>
      <c r="BN155" s="315" t="e">
        <v>#REF!</v>
      </c>
      <c r="BO155" s="315" t="e">
        <v>#REF!</v>
      </c>
      <c r="BP155" s="315" t="e">
        <v>#REF!</v>
      </c>
      <c r="BQ155" s="315" t="e">
        <v>#REF!</v>
      </c>
      <c r="BR155" s="315" t="e">
        <v>#REF!</v>
      </c>
      <c r="BS155" s="315" t="e">
        <v>#REF!</v>
      </c>
      <c r="BT155" s="315" t="e">
        <v>#REF!</v>
      </c>
      <c r="BU155" s="315" t="e">
        <v>#REF!</v>
      </c>
      <c r="BV155" s="315" t="e">
        <v>#REF!</v>
      </c>
    </row>
    <row r="156" spans="12:74" hidden="1" x14ac:dyDescent="0.2">
      <c r="L156" s="315">
        <v>0</v>
      </c>
      <c r="M156" s="315">
        <v>0</v>
      </c>
      <c r="N156" s="315">
        <v>0</v>
      </c>
      <c r="O156" s="315">
        <v>0</v>
      </c>
      <c r="P156" s="315">
        <v>0</v>
      </c>
      <c r="Q156" s="315">
        <v>6</v>
      </c>
      <c r="R156" s="315">
        <v>0</v>
      </c>
      <c r="S156" s="315">
        <v>0</v>
      </c>
      <c r="T156" s="315">
        <v>0</v>
      </c>
      <c r="U156" s="315">
        <v>0</v>
      </c>
      <c r="V156" s="315">
        <v>0</v>
      </c>
      <c r="W156" s="315">
        <v>0</v>
      </c>
      <c r="X156" s="315">
        <v>0</v>
      </c>
      <c r="Y156" s="315">
        <v>0</v>
      </c>
      <c r="Z156" s="315">
        <v>0</v>
      </c>
      <c r="AA156" s="315">
        <v>0</v>
      </c>
      <c r="AB156" s="315">
        <v>0</v>
      </c>
      <c r="AC156" s="315">
        <v>0</v>
      </c>
      <c r="AD156" s="315">
        <v>0</v>
      </c>
      <c r="AE156" s="315">
        <v>0</v>
      </c>
      <c r="AF156" s="315">
        <v>0</v>
      </c>
      <c r="AG156" s="315">
        <v>0</v>
      </c>
      <c r="AH156" s="315">
        <v>0</v>
      </c>
      <c r="AI156" s="315">
        <v>0</v>
      </c>
      <c r="AJ156" s="315">
        <v>0</v>
      </c>
      <c r="AK156" s="315">
        <v>0</v>
      </c>
      <c r="AL156" s="315">
        <v>0</v>
      </c>
      <c r="AM156" s="315">
        <v>0</v>
      </c>
      <c r="AN156" s="315">
        <v>0</v>
      </c>
      <c r="AO156" s="315">
        <v>0</v>
      </c>
      <c r="AP156" s="315">
        <v>0</v>
      </c>
      <c r="AQ156" s="315">
        <v>0</v>
      </c>
      <c r="AR156" s="315">
        <v>0</v>
      </c>
      <c r="AS156" s="315">
        <v>0</v>
      </c>
      <c r="AT156" s="315">
        <v>0</v>
      </c>
      <c r="AU156" s="315">
        <v>0</v>
      </c>
      <c r="AV156" s="315">
        <v>0</v>
      </c>
      <c r="AW156" s="315">
        <v>0</v>
      </c>
      <c r="AX156" s="315">
        <v>0</v>
      </c>
      <c r="AY156" s="315">
        <v>0</v>
      </c>
      <c r="AZ156" s="315">
        <v>0</v>
      </c>
      <c r="BA156" s="315">
        <v>0</v>
      </c>
      <c r="BB156" s="315">
        <v>0</v>
      </c>
      <c r="BC156" s="315">
        <v>0</v>
      </c>
      <c r="BD156" s="315">
        <v>0</v>
      </c>
      <c r="BE156" s="315">
        <v>0</v>
      </c>
      <c r="BF156" s="315">
        <v>0</v>
      </c>
      <c r="BG156" s="315">
        <v>0</v>
      </c>
      <c r="BH156" s="315">
        <v>0</v>
      </c>
      <c r="BI156" s="315">
        <v>0</v>
      </c>
      <c r="BJ156" s="315">
        <v>0</v>
      </c>
      <c r="BK156" s="315">
        <v>0</v>
      </c>
      <c r="BL156" s="315">
        <v>0</v>
      </c>
      <c r="BM156" s="315">
        <v>0</v>
      </c>
      <c r="BN156" s="315">
        <v>0</v>
      </c>
      <c r="BO156" s="315">
        <v>0</v>
      </c>
      <c r="BP156" s="315">
        <v>0</v>
      </c>
      <c r="BQ156" s="315">
        <v>0</v>
      </c>
      <c r="BR156" s="315">
        <v>0</v>
      </c>
      <c r="BS156" s="315">
        <v>0</v>
      </c>
      <c r="BT156" s="315">
        <v>6</v>
      </c>
      <c r="BU156" s="315">
        <v>0</v>
      </c>
      <c r="BV156" s="315">
        <v>0</v>
      </c>
    </row>
    <row r="157" spans="12:74" hidden="1" x14ac:dyDescent="0.2">
      <c r="L157" s="315">
        <v>345294</v>
      </c>
      <c r="M157" s="315">
        <v>0</v>
      </c>
      <c r="N157" s="315">
        <v>0</v>
      </c>
      <c r="O157" s="315">
        <v>0</v>
      </c>
      <c r="P157" s="315">
        <v>0</v>
      </c>
      <c r="Q157" s="315">
        <v>20229</v>
      </c>
      <c r="R157" s="315">
        <v>0</v>
      </c>
      <c r="S157" s="315">
        <v>0</v>
      </c>
      <c r="T157" s="315">
        <v>0</v>
      </c>
      <c r="U157" s="315">
        <v>0</v>
      </c>
      <c r="V157" s="315">
        <v>218746</v>
      </c>
      <c r="W157" s="315">
        <v>0</v>
      </c>
      <c r="X157" s="315">
        <v>0</v>
      </c>
      <c r="Y157" s="315">
        <v>0</v>
      </c>
      <c r="Z157" s="315">
        <v>0</v>
      </c>
      <c r="AA157" s="315">
        <v>209595</v>
      </c>
      <c r="AB157" s="315">
        <v>0</v>
      </c>
      <c r="AC157" s="315">
        <v>0</v>
      </c>
      <c r="AD157" s="315">
        <v>0</v>
      </c>
      <c r="AE157" s="315">
        <v>0</v>
      </c>
      <c r="AF157" s="315">
        <v>538838</v>
      </c>
      <c r="AG157" s="315">
        <v>0</v>
      </c>
      <c r="AH157" s="315">
        <v>0</v>
      </c>
      <c r="AI157" s="315">
        <v>0</v>
      </c>
      <c r="AJ157" s="315">
        <v>0</v>
      </c>
      <c r="AK157" s="315">
        <v>322831</v>
      </c>
      <c r="AL157" s="315">
        <v>0</v>
      </c>
      <c r="AM157" s="315">
        <v>0</v>
      </c>
      <c r="AN157" s="315">
        <v>0</v>
      </c>
      <c r="AO157" s="315">
        <v>0</v>
      </c>
      <c r="AP157" s="315">
        <v>225786</v>
      </c>
      <c r="AQ157" s="315">
        <v>0</v>
      </c>
      <c r="AR157" s="315">
        <v>0</v>
      </c>
      <c r="AS157" s="315">
        <v>0</v>
      </c>
      <c r="AT157" s="315">
        <v>0</v>
      </c>
      <c r="AU157" s="315">
        <v>-387424</v>
      </c>
      <c r="AV157" s="315">
        <v>0</v>
      </c>
      <c r="AW157" s="315">
        <v>0</v>
      </c>
      <c r="AX157" s="315">
        <v>0</v>
      </c>
      <c r="AY157" s="315">
        <v>0</v>
      </c>
      <c r="AZ157" s="315">
        <v>-493196</v>
      </c>
      <c r="BA157" s="315">
        <v>0</v>
      </c>
      <c r="BB157" s="315">
        <v>0</v>
      </c>
      <c r="BC157" s="315">
        <v>0</v>
      </c>
      <c r="BD157" s="315">
        <v>0</v>
      </c>
      <c r="BE157" s="315">
        <v>-211537</v>
      </c>
      <c r="BF157" s="315">
        <v>0</v>
      </c>
      <c r="BG157" s="315">
        <v>0</v>
      </c>
      <c r="BH157" s="315">
        <v>0</v>
      </c>
      <c r="BI157" s="315">
        <v>0</v>
      </c>
      <c r="BJ157" s="315">
        <v>-409969</v>
      </c>
      <c r="BK157" s="315">
        <v>0</v>
      </c>
      <c r="BL157" s="315">
        <v>0</v>
      </c>
      <c r="BM157" s="315">
        <v>0</v>
      </c>
      <c r="BN157" s="315">
        <v>0</v>
      </c>
      <c r="BO157" s="315">
        <v>-252762</v>
      </c>
      <c r="BP157" s="315">
        <v>0</v>
      </c>
      <c r="BQ157" s="315">
        <v>0</v>
      </c>
      <c r="BR157" s="315">
        <v>0</v>
      </c>
      <c r="BS157" s="315">
        <v>0</v>
      </c>
      <c r="BT157" s="315">
        <v>1881319</v>
      </c>
      <c r="BU157" s="315">
        <v>0</v>
      </c>
      <c r="BV157" s="315">
        <v>0</v>
      </c>
    </row>
    <row r="158" spans="12:74" hidden="1" x14ac:dyDescent="0.2">
      <c r="L158" s="315">
        <v>0</v>
      </c>
      <c r="M158" s="315">
        <v>0</v>
      </c>
      <c r="N158" s="315">
        <v>0</v>
      </c>
      <c r="O158" s="315">
        <v>0</v>
      </c>
      <c r="P158" s="315">
        <v>0</v>
      </c>
      <c r="Q158" s="315">
        <v>0</v>
      </c>
      <c r="R158" s="315">
        <v>0</v>
      </c>
      <c r="S158" s="315">
        <v>0</v>
      </c>
      <c r="T158" s="315">
        <v>0</v>
      </c>
      <c r="U158" s="315">
        <v>0</v>
      </c>
      <c r="V158" s="315">
        <v>0</v>
      </c>
      <c r="W158" s="315">
        <v>0</v>
      </c>
      <c r="X158" s="315">
        <v>0</v>
      </c>
      <c r="Y158" s="315">
        <v>0</v>
      </c>
      <c r="Z158" s="315">
        <v>0</v>
      </c>
      <c r="AA158" s="315">
        <v>0</v>
      </c>
      <c r="AB158" s="315">
        <v>0</v>
      </c>
      <c r="AC158" s="315">
        <v>0</v>
      </c>
      <c r="AD158" s="315">
        <v>0</v>
      </c>
      <c r="AE158" s="315">
        <v>0</v>
      </c>
      <c r="AF158" s="315">
        <v>0</v>
      </c>
      <c r="AG158" s="315">
        <v>0</v>
      </c>
      <c r="AH158" s="315">
        <v>0</v>
      </c>
      <c r="AI158" s="315">
        <v>0</v>
      </c>
      <c r="AJ158" s="315">
        <v>0</v>
      </c>
      <c r="AK158" s="315">
        <v>0</v>
      </c>
      <c r="AL158" s="315">
        <v>0</v>
      </c>
      <c r="AM158" s="315">
        <v>0</v>
      </c>
      <c r="AN158" s="315">
        <v>0</v>
      </c>
      <c r="AO158" s="315">
        <v>0</v>
      </c>
      <c r="AP158" s="315">
        <v>0</v>
      </c>
      <c r="AQ158" s="315">
        <v>0</v>
      </c>
      <c r="AR158" s="315">
        <v>0</v>
      </c>
      <c r="AS158" s="315">
        <v>0</v>
      </c>
      <c r="AT158" s="315">
        <v>0</v>
      </c>
      <c r="AU158" s="315">
        <v>0</v>
      </c>
      <c r="AV158" s="315">
        <v>0</v>
      </c>
      <c r="AW158" s="315">
        <v>0</v>
      </c>
      <c r="AX158" s="315">
        <v>0</v>
      </c>
      <c r="AY158" s="315">
        <v>0</v>
      </c>
      <c r="AZ158" s="315">
        <v>0</v>
      </c>
      <c r="BA158" s="315">
        <v>0</v>
      </c>
      <c r="BB158" s="315">
        <v>0</v>
      </c>
      <c r="BC158" s="315">
        <v>0</v>
      </c>
      <c r="BD158" s="315">
        <v>0</v>
      </c>
      <c r="BE158" s="315">
        <v>0</v>
      </c>
      <c r="BF158" s="315">
        <v>0</v>
      </c>
      <c r="BG158" s="315">
        <v>0</v>
      </c>
      <c r="BH158" s="315">
        <v>0</v>
      </c>
      <c r="BI158" s="315">
        <v>0</v>
      </c>
      <c r="BJ158" s="315">
        <v>0</v>
      </c>
      <c r="BK158" s="315">
        <v>0</v>
      </c>
      <c r="BL158" s="315">
        <v>0</v>
      </c>
      <c r="BM158" s="315">
        <v>0</v>
      </c>
      <c r="BN158" s="315">
        <v>0</v>
      </c>
      <c r="BO158" s="315">
        <v>0</v>
      </c>
      <c r="BP158" s="315">
        <v>0</v>
      </c>
      <c r="BQ158" s="315">
        <v>0</v>
      </c>
      <c r="BR158" s="315">
        <v>0</v>
      </c>
      <c r="BS158" s="315">
        <v>0</v>
      </c>
      <c r="BT158" s="315">
        <v>0</v>
      </c>
      <c r="BU158" s="315">
        <v>0</v>
      </c>
      <c r="BV158" s="315">
        <v>0</v>
      </c>
    </row>
    <row r="159" spans="12:74" hidden="1" x14ac:dyDescent="0.2">
      <c r="L159" s="315" t="e">
        <v>#REF!</v>
      </c>
      <c r="M159" s="315" t="e">
        <v>#REF!</v>
      </c>
      <c r="N159" s="315" t="e">
        <v>#REF!</v>
      </c>
      <c r="O159" s="315" t="e">
        <v>#REF!</v>
      </c>
      <c r="P159" s="315" t="e">
        <v>#REF!</v>
      </c>
      <c r="Q159" s="315" t="e">
        <v>#REF!</v>
      </c>
      <c r="R159" s="315" t="e">
        <v>#REF!</v>
      </c>
      <c r="S159" s="315" t="e">
        <v>#REF!</v>
      </c>
      <c r="T159" s="315" t="e">
        <v>#REF!</v>
      </c>
      <c r="U159" s="315" t="e">
        <v>#REF!</v>
      </c>
      <c r="V159" s="315" t="e">
        <v>#REF!</v>
      </c>
      <c r="W159" s="315" t="e">
        <v>#REF!</v>
      </c>
      <c r="X159" s="315" t="e">
        <v>#REF!</v>
      </c>
      <c r="Y159" s="315" t="e">
        <v>#REF!</v>
      </c>
      <c r="Z159" s="315" t="e">
        <v>#REF!</v>
      </c>
      <c r="AA159" s="315" t="e">
        <v>#REF!</v>
      </c>
      <c r="AB159" s="315" t="e">
        <v>#REF!</v>
      </c>
      <c r="AC159" s="315" t="e">
        <v>#REF!</v>
      </c>
      <c r="AD159" s="315" t="e">
        <v>#REF!</v>
      </c>
      <c r="AE159" s="315" t="e">
        <v>#REF!</v>
      </c>
      <c r="AF159" s="315" t="e">
        <v>#REF!</v>
      </c>
      <c r="AG159" s="315" t="e">
        <v>#REF!</v>
      </c>
      <c r="AH159" s="315" t="e">
        <v>#REF!</v>
      </c>
      <c r="AI159" s="315" t="e">
        <v>#REF!</v>
      </c>
      <c r="AJ159" s="315" t="e">
        <v>#REF!</v>
      </c>
      <c r="AK159" s="315" t="e">
        <v>#REF!</v>
      </c>
      <c r="AL159" s="315" t="e">
        <v>#REF!</v>
      </c>
      <c r="AM159" s="315" t="e">
        <v>#REF!</v>
      </c>
      <c r="AN159" s="315" t="e">
        <v>#REF!</v>
      </c>
      <c r="AO159" s="315" t="e">
        <v>#REF!</v>
      </c>
      <c r="AP159" s="315" t="e">
        <v>#REF!</v>
      </c>
      <c r="AQ159" s="315" t="e">
        <v>#REF!</v>
      </c>
      <c r="AR159" s="315" t="e">
        <v>#REF!</v>
      </c>
      <c r="AS159" s="315" t="e">
        <v>#REF!</v>
      </c>
      <c r="AT159" s="315" t="e">
        <v>#REF!</v>
      </c>
      <c r="AU159" s="315" t="e">
        <v>#REF!</v>
      </c>
      <c r="AV159" s="315" t="e">
        <v>#REF!</v>
      </c>
      <c r="AW159" s="315" t="e">
        <v>#REF!</v>
      </c>
      <c r="AX159" s="315" t="e">
        <v>#REF!</v>
      </c>
      <c r="AY159" s="315" t="e">
        <v>#REF!</v>
      </c>
      <c r="AZ159" s="315" t="e">
        <v>#REF!</v>
      </c>
      <c r="BA159" s="315" t="e">
        <v>#REF!</v>
      </c>
      <c r="BB159" s="315" t="e">
        <v>#REF!</v>
      </c>
      <c r="BC159" s="315" t="e">
        <v>#REF!</v>
      </c>
      <c r="BD159" s="315" t="e">
        <v>#REF!</v>
      </c>
      <c r="BE159" s="315" t="e">
        <v>#REF!</v>
      </c>
      <c r="BF159" s="315" t="e">
        <v>#REF!</v>
      </c>
      <c r="BG159" s="315" t="e">
        <v>#REF!</v>
      </c>
      <c r="BH159" s="315" t="e">
        <v>#REF!</v>
      </c>
      <c r="BI159" s="315" t="e">
        <v>#REF!</v>
      </c>
      <c r="BJ159" s="315" t="e">
        <v>#REF!</v>
      </c>
      <c r="BK159" s="315" t="e">
        <v>#REF!</v>
      </c>
      <c r="BL159" s="315" t="e">
        <v>#REF!</v>
      </c>
      <c r="BM159" s="315" t="e">
        <v>#REF!</v>
      </c>
      <c r="BN159" s="315" t="e">
        <v>#REF!</v>
      </c>
      <c r="BO159" s="315" t="e">
        <v>#REF!</v>
      </c>
      <c r="BP159" s="315" t="e">
        <v>#REF!</v>
      </c>
      <c r="BQ159" s="315" t="e">
        <v>#REF!</v>
      </c>
      <c r="BR159" s="315" t="e">
        <v>#REF!</v>
      </c>
      <c r="BS159" s="315" t="e">
        <v>#REF!</v>
      </c>
      <c r="BT159" s="315" t="e">
        <v>#REF!</v>
      </c>
      <c r="BU159" s="315" t="e">
        <v>#REF!</v>
      </c>
      <c r="BV159" s="315" t="e">
        <v>#REF!</v>
      </c>
    </row>
    <row r="160" spans="12:74" hidden="1" x14ac:dyDescent="0.2">
      <c r="L160" s="315">
        <v>0</v>
      </c>
      <c r="M160" s="315">
        <v>0</v>
      </c>
      <c r="N160" s="315">
        <v>0</v>
      </c>
      <c r="O160" s="315">
        <v>0</v>
      </c>
      <c r="P160" s="315">
        <v>0</v>
      </c>
      <c r="Q160" s="315">
        <v>0</v>
      </c>
      <c r="R160" s="315">
        <v>0</v>
      </c>
      <c r="S160" s="315">
        <v>0</v>
      </c>
      <c r="T160" s="315">
        <v>0</v>
      </c>
      <c r="U160" s="315">
        <v>0</v>
      </c>
      <c r="V160" s="315">
        <v>0</v>
      </c>
      <c r="W160" s="315">
        <v>0</v>
      </c>
      <c r="X160" s="315">
        <v>0</v>
      </c>
      <c r="Y160" s="315">
        <v>0</v>
      </c>
      <c r="Z160" s="315">
        <v>0</v>
      </c>
      <c r="AA160" s="315">
        <v>0</v>
      </c>
      <c r="AB160" s="315">
        <v>0</v>
      </c>
      <c r="AC160" s="315">
        <v>0</v>
      </c>
      <c r="AD160" s="315">
        <v>0</v>
      </c>
      <c r="AE160" s="315">
        <v>0</v>
      </c>
      <c r="AF160" s="315">
        <v>0</v>
      </c>
      <c r="AG160" s="315">
        <v>0</v>
      </c>
      <c r="AH160" s="315">
        <v>0</v>
      </c>
      <c r="AI160" s="315">
        <v>0</v>
      </c>
      <c r="AJ160" s="315">
        <v>0</v>
      </c>
      <c r="AK160" s="315">
        <v>0</v>
      </c>
      <c r="AL160" s="315">
        <v>0</v>
      </c>
      <c r="AM160" s="315">
        <v>0</v>
      </c>
      <c r="AN160" s="315">
        <v>0</v>
      </c>
      <c r="AO160" s="315">
        <v>0</v>
      </c>
      <c r="AP160" s="315">
        <v>0</v>
      </c>
      <c r="AQ160" s="315">
        <v>0</v>
      </c>
      <c r="AR160" s="315">
        <v>0</v>
      </c>
      <c r="AS160" s="315">
        <v>0</v>
      </c>
      <c r="AT160" s="315">
        <v>0</v>
      </c>
      <c r="AU160" s="315">
        <v>0</v>
      </c>
      <c r="AV160" s="315">
        <v>0</v>
      </c>
      <c r="AW160" s="315">
        <v>0</v>
      </c>
      <c r="AX160" s="315">
        <v>0</v>
      </c>
      <c r="AY160" s="315">
        <v>0</v>
      </c>
      <c r="AZ160" s="315">
        <v>0</v>
      </c>
      <c r="BA160" s="315">
        <v>0</v>
      </c>
      <c r="BB160" s="315">
        <v>0</v>
      </c>
      <c r="BC160" s="315">
        <v>0</v>
      </c>
      <c r="BD160" s="315">
        <v>0</v>
      </c>
      <c r="BE160" s="315">
        <v>0</v>
      </c>
      <c r="BF160" s="315">
        <v>0</v>
      </c>
      <c r="BG160" s="315">
        <v>0</v>
      </c>
      <c r="BH160" s="315">
        <v>0</v>
      </c>
      <c r="BI160" s="315">
        <v>0</v>
      </c>
      <c r="BJ160" s="315">
        <v>0</v>
      </c>
      <c r="BK160" s="315">
        <v>0</v>
      </c>
      <c r="BL160" s="315">
        <v>0</v>
      </c>
      <c r="BM160" s="315">
        <v>0</v>
      </c>
      <c r="BN160" s="315">
        <v>0</v>
      </c>
      <c r="BO160" s="315">
        <v>0</v>
      </c>
      <c r="BP160" s="315">
        <v>0</v>
      </c>
      <c r="BQ160" s="315">
        <v>0</v>
      </c>
      <c r="BR160" s="315">
        <v>0</v>
      </c>
      <c r="BS160" s="315">
        <v>0</v>
      </c>
      <c r="BT160" s="315">
        <v>0</v>
      </c>
      <c r="BU160" s="315">
        <v>0</v>
      </c>
      <c r="BV160" s="315">
        <v>0</v>
      </c>
    </row>
    <row r="161" spans="12:74" hidden="1" x14ac:dyDescent="0.2">
      <c r="L161" s="315">
        <v>0</v>
      </c>
      <c r="M161" s="315">
        <v>0</v>
      </c>
      <c r="N161" s="315">
        <v>0</v>
      </c>
      <c r="O161" s="315">
        <v>0</v>
      </c>
      <c r="P161" s="315">
        <v>0</v>
      </c>
      <c r="Q161" s="315">
        <v>0</v>
      </c>
      <c r="R161" s="315">
        <v>0</v>
      </c>
      <c r="S161" s="315">
        <v>0</v>
      </c>
      <c r="T161" s="315">
        <v>0</v>
      </c>
      <c r="U161" s="315">
        <v>0</v>
      </c>
      <c r="V161" s="315">
        <v>0</v>
      </c>
      <c r="W161" s="315">
        <v>0</v>
      </c>
      <c r="X161" s="315">
        <v>0</v>
      </c>
      <c r="Y161" s="315">
        <v>0</v>
      </c>
      <c r="Z161" s="315">
        <v>0</v>
      </c>
      <c r="AA161" s="315">
        <v>0</v>
      </c>
      <c r="AB161" s="315">
        <v>0</v>
      </c>
      <c r="AC161" s="315">
        <v>0</v>
      </c>
      <c r="AD161" s="315">
        <v>0</v>
      </c>
      <c r="AE161" s="315">
        <v>0</v>
      </c>
      <c r="AF161" s="315">
        <v>0</v>
      </c>
      <c r="AG161" s="315">
        <v>0</v>
      </c>
      <c r="AH161" s="315">
        <v>0</v>
      </c>
      <c r="AI161" s="315">
        <v>0</v>
      </c>
      <c r="AJ161" s="315">
        <v>0</v>
      </c>
      <c r="AK161" s="315">
        <v>0</v>
      </c>
      <c r="AL161" s="315">
        <v>0</v>
      </c>
      <c r="AM161" s="315">
        <v>0</v>
      </c>
      <c r="AN161" s="315">
        <v>0</v>
      </c>
      <c r="AO161" s="315">
        <v>0</v>
      </c>
      <c r="AP161" s="315">
        <v>0</v>
      </c>
      <c r="AQ161" s="315">
        <v>0</v>
      </c>
      <c r="AR161" s="315">
        <v>0</v>
      </c>
      <c r="AS161" s="315">
        <v>0</v>
      </c>
      <c r="AT161" s="315">
        <v>0</v>
      </c>
      <c r="AU161" s="315">
        <v>0</v>
      </c>
      <c r="AV161" s="315">
        <v>0</v>
      </c>
      <c r="AW161" s="315">
        <v>0</v>
      </c>
      <c r="AX161" s="315">
        <v>0</v>
      </c>
      <c r="AY161" s="315">
        <v>0</v>
      </c>
      <c r="AZ161" s="315">
        <v>0</v>
      </c>
      <c r="BA161" s="315">
        <v>0</v>
      </c>
      <c r="BB161" s="315">
        <v>0</v>
      </c>
      <c r="BC161" s="315">
        <v>0</v>
      </c>
      <c r="BD161" s="315">
        <v>0</v>
      </c>
      <c r="BE161" s="315">
        <v>-57718349</v>
      </c>
      <c r="BF161" s="315">
        <v>0</v>
      </c>
      <c r="BG161" s="315">
        <v>0</v>
      </c>
      <c r="BH161" s="315">
        <v>0</v>
      </c>
      <c r="BI161" s="315">
        <v>0</v>
      </c>
      <c r="BJ161" s="315">
        <v>0</v>
      </c>
      <c r="BK161" s="315">
        <v>0</v>
      </c>
      <c r="BL161" s="315">
        <v>0</v>
      </c>
      <c r="BM161" s="315">
        <v>0</v>
      </c>
      <c r="BN161" s="315">
        <v>0</v>
      </c>
      <c r="BO161" s="315">
        <v>0</v>
      </c>
      <c r="BP161" s="315">
        <v>0</v>
      </c>
      <c r="BQ161" s="315">
        <v>0</v>
      </c>
      <c r="BR161" s="315">
        <v>0</v>
      </c>
      <c r="BS161" s="315">
        <v>0</v>
      </c>
      <c r="BT161" s="315">
        <v>0</v>
      </c>
      <c r="BU161" s="315">
        <v>0</v>
      </c>
      <c r="BV161" s="315">
        <v>0</v>
      </c>
    </row>
    <row r="162" spans="12:74" hidden="1" x14ac:dyDescent="0.2">
      <c r="L162" s="315">
        <v>0</v>
      </c>
      <c r="M162" s="315">
        <v>0</v>
      </c>
      <c r="N162" s="315">
        <v>0</v>
      </c>
      <c r="O162" s="315">
        <v>0</v>
      </c>
      <c r="P162" s="315">
        <v>0</v>
      </c>
      <c r="Q162" s="315">
        <v>0</v>
      </c>
      <c r="R162" s="315">
        <v>0</v>
      </c>
      <c r="S162" s="315">
        <v>0</v>
      </c>
      <c r="T162" s="315">
        <v>0</v>
      </c>
      <c r="U162" s="315">
        <v>0</v>
      </c>
      <c r="V162" s="315">
        <v>0</v>
      </c>
      <c r="W162" s="315">
        <v>0</v>
      </c>
      <c r="X162" s="315">
        <v>0</v>
      </c>
      <c r="Y162" s="315">
        <v>0</v>
      </c>
      <c r="Z162" s="315">
        <v>0</v>
      </c>
      <c r="AA162" s="315">
        <v>0</v>
      </c>
      <c r="AB162" s="315">
        <v>0</v>
      </c>
      <c r="AC162" s="315">
        <v>0</v>
      </c>
      <c r="AD162" s="315">
        <v>0</v>
      </c>
      <c r="AE162" s="315">
        <v>0</v>
      </c>
      <c r="AF162" s="315">
        <v>0</v>
      </c>
      <c r="AG162" s="315">
        <v>0</v>
      </c>
      <c r="AH162" s="315">
        <v>0</v>
      </c>
      <c r="AI162" s="315">
        <v>0</v>
      </c>
      <c r="AJ162" s="315">
        <v>0</v>
      </c>
      <c r="AK162" s="315">
        <v>0</v>
      </c>
      <c r="AL162" s="315">
        <v>0</v>
      </c>
      <c r="AM162" s="315">
        <v>0</v>
      </c>
      <c r="AN162" s="315">
        <v>0</v>
      </c>
      <c r="AO162" s="315">
        <v>0</v>
      </c>
      <c r="AP162" s="315">
        <v>0</v>
      </c>
      <c r="AQ162" s="315">
        <v>0</v>
      </c>
      <c r="AR162" s="315">
        <v>0</v>
      </c>
      <c r="AS162" s="315">
        <v>0</v>
      </c>
      <c r="AT162" s="315">
        <v>0</v>
      </c>
      <c r="AU162" s="315">
        <v>0</v>
      </c>
      <c r="AV162" s="315">
        <v>0</v>
      </c>
      <c r="AW162" s="315">
        <v>0</v>
      </c>
      <c r="AX162" s="315">
        <v>0</v>
      </c>
      <c r="AY162" s="315">
        <v>0</v>
      </c>
      <c r="AZ162" s="315">
        <v>0</v>
      </c>
      <c r="BA162" s="315">
        <v>0</v>
      </c>
      <c r="BB162" s="315">
        <v>0</v>
      </c>
      <c r="BC162" s="315">
        <v>0</v>
      </c>
      <c r="BD162" s="315">
        <v>0</v>
      </c>
      <c r="BE162" s="315">
        <v>-37521037</v>
      </c>
      <c r="BF162" s="315">
        <v>0</v>
      </c>
      <c r="BG162" s="315">
        <v>0</v>
      </c>
      <c r="BH162" s="315">
        <v>0</v>
      </c>
      <c r="BI162" s="315">
        <v>0</v>
      </c>
      <c r="BJ162" s="315">
        <v>0</v>
      </c>
      <c r="BK162" s="315">
        <v>0</v>
      </c>
      <c r="BL162" s="315">
        <v>0</v>
      </c>
      <c r="BM162" s="315">
        <v>0</v>
      </c>
      <c r="BN162" s="315">
        <v>0</v>
      </c>
      <c r="BO162" s="315">
        <v>0</v>
      </c>
      <c r="BP162" s="315">
        <v>0</v>
      </c>
      <c r="BQ162" s="315">
        <v>0</v>
      </c>
      <c r="BR162" s="315">
        <v>0</v>
      </c>
      <c r="BS162" s="315">
        <v>0</v>
      </c>
      <c r="BT162" s="315">
        <v>0</v>
      </c>
      <c r="BU162" s="315">
        <v>0</v>
      </c>
      <c r="BV162" s="315">
        <v>0</v>
      </c>
    </row>
    <row r="163" spans="12:74" hidden="1" x14ac:dyDescent="0.2">
      <c r="L163" s="315" t="e">
        <v>#REF!</v>
      </c>
      <c r="M163" s="315" t="e">
        <v>#REF!</v>
      </c>
      <c r="N163" s="315" t="e">
        <v>#REF!</v>
      </c>
      <c r="O163" s="315" t="e">
        <v>#REF!</v>
      </c>
      <c r="P163" s="315" t="e">
        <v>#REF!</v>
      </c>
      <c r="Q163" s="315" t="e">
        <v>#REF!</v>
      </c>
      <c r="R163" s="315" t="e">
        <v>#REF!</v>
      </c>
      <c r="S163" s="315" t="e">
        <v>#REF!</v>
      </c>
      <c r="T163" s="315" t="e">
        <v>#REF!</v>
      </c>
      <c r="U163" s="315" t="e">
        <v>#REF!</v>
      </c>
      <c r="V163" s="315" t="e">
        <v>#REF!</v>
      </c>
      <c r="W163" s="315" t="e">
        <v>#REF!</v>
      </c>
      <c r="X163" s="315" t="e">
        <v>#REF!</v>
      </c>
      <c r="Y163" s="315" t="e">
        <v>#REF!</v>
      </c>
      <c r="Z163" s="315" t="e">
        <v>#REF!</v>
      </c>
      <c r="AA163" s="315" t="e">
        <v>#REF!</v>
      </c>
      <c r="AB163" s="315" t="e">
        <v>#REF!</v>
      </c>
      <c r="AC163" s="315" t="e">
        <v>#REF!</v>
      </c>
      <c r="AD163" s="315" t="e">
        <v>#REF!</v>
      </c>
      <c r="AE163" s="315" t="e">
        <v>#REF!</v>
      </c>
      <c r="AF163" s="315" t="e">
        <v>#REF!</v>
      </c>
      <c r="AG163" s="315" t="e">
        <v>#REF!</v>
      </c>
      <c r="AH163" s="315" t="e">
        <v>#REF!</v>
      </c>
      <c r="AI163" s="315" t="e">
        <v>#REF!</v>
      </c>
      <c r="AJ163" s="315" t="e">
        <v>#REF!</v>
      </c>
      <c r="AK163" s="315" t="e">
        <v>#REF!</v>
      </c>
      <c r="AL163" s="315" t="e">
        <v>#REF!</v>
      </c>
      <c r="AM163" s="315" t="e">
        <v>#REF!</v>
      </c>
      <c r="AN163" s="315" t="e">
        <v>#REF!</v>
      </c>
      <c r="AO163" s="315" t="e">
        <v>#REF!</v>
      </c>
      <c r="AP163" s="315" t="e">
        <v>#REF!</v>
      </c>
      <c r="AQ163" s="315" t="e">
        <v>#REF!</v>
      </c>
      <c r="AR163" s="315" t="e">
        <v>#REF!</v>
      </c>
      <c r="AS163" s="315" t="e">
        <v>#REF!</v>
      </c>
      <c r="AT163" s="315" t="e">
        <v>#REF!</v>
      </c>
      <c r="AU163" s="315" t="e">
        <v>#REF!</v>
      </c>
      <c r="AV163" s="315" t="e">
        <v>#REF!</v>
      </c>
      <c r="AW163" s="315" t="e">
        <v>#REF!</v>
      </c>
      <c r="AX163" s="315" t="e">
        <v>#REF!</v>
      </c>
      <c r="AY163" s="315" t="e">
        <v>#REF!</v>
      </c>
      <c r="AZ163" s="315" t="e">
        <v>#REF!</v>
      </c>
      <c r="BA163" s="315" t="e">
        <v>#REF!</v>
      </c>
      <c r="BB163" s="315" t="e">
        <v>#REF!</v>
      </c>
      <c r="BC163" s="315" t="e">
        <v>#REF!</v>
      </c>
      <c r="BD163" s="315" t="e">
        <v>#REF!</v>
      </c>
      <c r="BE163" s="315" t="e">
        <v>#REF!</v>
      </c>
      <c r="BF163" s="315" t="e">
        <v>#REF!</v>
      </c>
      <c r="BG163" s="315" t="e">
        <v>#REF!</v>
      </c>
      <c r="BH163" s="315" t="e">
        <v>#REF!</v>
      </c>
      <c r="BI163" s="315" t="e">
        <v>#REF!</v>
      </c>
      <c r="BJ163" s="315" t="e">
        <v>#REF!</v>
      </c>
      <c r="BK163" s="315" t="e">
        <v>#REF!</v>
      </c>
      <c r="BL163" s="315" t="e">
        <v>#REF!</v>
      </c>
      <c r="BM163" s="315" t="e">
        <v>#REF!</v>
      </c>
      <c r="BN163" s="315" t="e">
        <v>#REF!</v>
      </c>
      <c r="BO163" s="315" t="e">
        <v>#REF!</v>
      </c>
      <c r="BP163" s="315" t="e">
        <v>#REF!</v>
      </c>
      <c r="BQ163" s="315" t="e">
        <v>#REF!</v>
      </c>
      <c r="BR163" s="315" t="e">
        <v>#REF!</v>
      </c>
      <c r="BS163" s="315" t="e">
        <v>#REF!</v>
      </c>
      <c r="BT163" s="315" t="e">
        <v>#REF!</v>
      </c>
      <c r="BU163" s="315" t="e">
        <v>#REF!</v>
      </c>
      <c r="BV163" s="315" t="e">
        <v>#REF!</v>
      </c>
    </row>
    <row r="164" spans="12:74" hidden="1" x14ac:dyDescent="0.2">
      <c r="L164" s="315">
        <v>0</v>
      </c>
      <c r="M164" s="315">
        <v>0</v>
      </c>
      <c r="N164" s="315">
        <v>0</v>
      </c>
      <c r="O164" s="315">
        <v>0</v>
      </c>
      <c r="P164" s="315">
        <v>0</v>
      </c>
      <c r="Q164" s="315">
        <v>0</v>
      </c>
      <c r="R164" s="315">
        <v>0</v>
      </c>
      <c r="S164" s="315">
        <v>0</v>
      </c>
      <c r="T164" s="315">
        <v>0</v>
      </c>
      <c r="U164" s="315">
        <v>0</v>
      </c>
      <c r="V164" s="315">
        <v>0</v>
      </c>
      <c r="W164" s="315">
        <v>0</v>
      </c>
      <c r="X164" s="315">
        <v>0</v>
      </c>
      <c r="Y164" s="315">
        <v>0</v>
      </c>
      <c r="Z164" s="315">
        <v>0</v>
      </c>
      <c r="AA164" s="315">
        <v>0</v>
      </c>
      <c r="AB164" s="315">
        <v>0</v>
      </c>
      <c r="AC164" s="315">
        <v>0</v>
      </c>
      <c r="AD164" s="315">
        <v>0</v>
      </c>
      <c r="AE164" s="315">
        <v>0</v>
      </c>
      <c r="AF164" s="315">
        <v>0</v>
      </c>
      <c r="AG164" s="315">
        <v>0</v>
      </c>
      <c r="AH164" s="315">
        <v>0</v>
      </c>
      <c r="AI164" s="315">
        <v>0</v>
      </c>
      <c r="AJ164" s="315">
        <v>0</v>
      </c>
      <c r="AK164" s="315">
        <v>0</v>
      </c>
      <c r="AL164" s="315">
        <v>0</v>
      </c>
      <c r="AM164" s="315">
        <v>0</v>
      </c>
      <c r="AN164" s="315">
        <v>0</v>
      </c>
      <c r="AO164" s="315">
        <v>0</v>
      </c>
      <c r="AP164" s="315">
        <v>0</v>
      </c>
      <c r="AQ164" s="315">
        <v>0</v>
      </c>
      <c r="AR164" s="315">
        <v>0</v>
      </c>
      <c r="AS164" s="315">
        <v>0</v>
      </c>
      <c r="AT164" s="315">
        <v>0</v>
      </c>
      <c r="AU164" s="315">
        <v>0</v>
      </c>
      <c r="AV164" s="315">
        <v>0</v>
      </c>
      <c r="AW164" s="315">
        <v>0</v>
      </c>
      <c r="AX164" s="315">
        <v>0</v>
      </c>
      <c r="AY164" s="315">
        <v>0</v>
      </c>
      <c r="AZ164" s="315">
        <v>0</v>
      </c>
      <c r="BA164" s="315">
        <v>0</v>
      </c>
      <c r="BB164" s="315">
        <v>0</v>
      </c>
      <c r="BC164" s="315">
        <v>0</v>
      </c>
      <c r="BD164" s="315">
        <v>0</v>
      </c>
      <c r="BE164" s="315">
        <v>-20197312</v>
      </c>
      <c r="BF164" s="315">
        <v>0</v>
      </c>
      <c r="BG164" s="315">
        <v>0</v>
      </c>
      <c r="BH164" s="315">
        <v>0</v>
      </c>
      <c r="BI164" s="315">
        <v>0</v>
      </c>
      <c r="BJ164" s="315">
        <v>0</v>
      </c>
      <c r="BK164" s="315">
        <v>0</v>
      </c>
      <c r="BL164" s="315">
        <v>0</v>
      </c>
      <c r="BM164" s="315">
        <v>0</v>
      </c>
      <c r="BN164" s="315">
        <v>0</v>
      </c>
      <c r="BO164" s="315">
        <v>0</v>
      </c>
      <c r="BP164" s="315">
        <v>0</v>
      </c>
      <c r="BQ164" s="315">
        <v>0</v>
      </c>
      <c r="BR164" s="315">
        <v>0</v>
      </c>
      <c r="BS164" s="315">
        <v>0</v>
      </c>
      <c r="BT164" s="315">
        <v>0</v>
      </c>
      <c r="BU164" s="315">
        <v>0</v>
      </c>
      <c r="BV164" s="315">
        <v>0</v>
      </c>
    </row>
    <row r="165" spans="12:74" hidden="1" x14ac:dyDescent="0.2">
      <c r="L165" s="315">
        <v>0</v>
      </c>
      <c r="M165" s="315">
        <v>0</v>
      </c>
      <c r="N165" s="315">
        <v>0</v>
      </c>
      <c r="O165" s="315">
        <v>0</v>
      </c>
      <c r="P165" s="315">
        <v>0</v>
      </c>
      <c r="Q165" s="315">
        <v>0</v>
      </c>
      <c r="R165" s="315">
        <v>0</v>
      </c>
      <c r="S165" s="315">
        <v>0</v>
      </c>
      <c r="T165" s="315">
        <v>0</v>
      </c>
      <c r="U165" s="315">
        <v>0</v>
      </c>
      <c r="V165" s="315">
        <v>0</v>
      </c>
      <c r="W165" s="315">
        <v>0</v>
      </c>
      <c r="X165" s="315">
        <v>0</v>
      </c>
      <c r="Y165" s="315">
        <v>0</v>
      </c>
      <c r="Z165" s="315">
        <v>0</v>
      </c>
      <c r="AA165" s="315">
        <v>0</v>
      </c>
      <c r="AB165" s="315">
        <v>0</v>
      </c>
      <c r="AC165" s="315">
        <v>0</v>
      </c>
      <c r="AD165" s="315">
        <v>0</v>
      </c>
      <c r="AE165" s="315">
        <v>0</v>
      </c>
      <c r="AF165" s="315">
        <v>0</v>
      </c>
      <c r="AG165" s="315">
        <v>0</v>
      </c>
      <c r="AH165" s="315">
        <v>0</v>
      </c>
      <c r="AI165" s="315">
        <v>0</v>
      </c>
      <c r="AJ165" s="315">
        <v>0</v>
      </c>
      <c r="AK165" s="315">
        <v>0</v>
      </c>
      <c r="AL165" s="315">
        <v>0</v>
      </c>
      <c r="AM165" s="315">
        <v>0</v>
      </c>
      <c r="AN165" s="315">
        <v>0</v>
      </c>
      <c r="AO165" s="315">
        <v>0</v>
      </c>
      <c r="AP165" s="315">
        <v>0</v>
      </c>
      <c r="AQ165" s="315">
        <v>0</v>
      </c>
      <c r="AR165" s="315">
        <v>0</v>
      </c>
      <c r="AS165" s="315">
        <v>0</v>
      </c>
      <c r="AT165" s="315">
        <v>0</v>
      </c>
      <c r="AU165" s="315">
        <v>0</v>
      </c>
      <c r="AV165" s="315">
        <v>0</v>
      </c>
      <c r="AW165" s="315">
        <v>0</v>
      </c>
      <c r="AX165" s="315">
        <v>0</v>
      </c>
      <c r="AY165" s="315">
        <v>0</v>
      </c>
      <c r="AZ165" s="315">
        <v>0</v>
      </c>
      <c r="BA165" s="315">
        <v>0</v>
      </c>
      <c r="BB165" s="315">
        <v>0</v>
      </c>
      <c r="BC165" s="315">
        <v>0</v>
      </c>
      <c r="BD165" s="315">
        <v>0</v>
      </c>
      <c r="BE165" s="315">
        <v>0</v>
      </c>
      <c r="BF165" s="315">
        <v>0</v>
      </c>
      <c r="BG165" s="315">
        <v>0</v>
      </c>
      <c r="BH165" s="315">
        <v>0</v>
      </c>
      <c r="BI165" s="315">
        <v>0</v>
      </c>
      <c r="BJ165" s="315">
        <v>0</v>
      </c>
      <c r="BK165" s="315">
        <v>0</v>
      </c>
      <c r="BL165" s="315">
        <v>0</v>
      </c>
      <c r="BM165" s="315">
        <v>0</v>
      </c>
      <c r="BN165" s="315">
        <v>0</v>
      </c>
      <c r="BO165" s="315">
        <v>0</v>
      </c>
      <c r="BP165" s="315">
        <v>0</v>
      </c>
      <c r="BQ165" s="315">
        <v>0</v>
      </c>
      <c r="BR165" s="315">
        <v>0</v>
      </c>
      <c r="BS165" s="315">
        <v>0</v>
      </c>
      <c r="BT165" s="315">
        <v>0</v>
      </c>
      <c r="BU165" s="315">
        <v>0</v>
      </c>
      <c r="BV165" s="315">
        <v>0</v>
      </c>
    </row>
    <row r="166" spans="12:74" hidden="1" x14ac:dyDescent="0.2">
      <c r="L166" s="315">
        <v>0</v>
      </c>
      <c r="M166" s="315">
        <v>0</v>
      </c>
      <c r="N166" s="315">
        <v>0</v>
      </c>
      <c r="O166" s="315">
        <v>0</v>
      </c>
      <c r="P166" s="315">
        <v>0</v>
      </c>
      <c r="Q166" s="315">
        <v>0</v>
      </c>
      <c r="R166" s="315">
        <v>0</v>
      </c>
      <c r="S166" s="315">
        <v>0</v>
      </c>
      <c r="T166" s="315">
        <v>0</v>
      </c>
      <c r="U166" s="315">
        <v>0</v>
      </c>
      <c r="V166" s="315">
        <v>0</v>
      </c>
      <c r="W166" s="315">
        <v>0</v>
      </c>
      <c r="X166" s="315">
        <v>0</v>
      </c>
      <c r="Y166" s="315">
        <v>0</v>
      </c>
      <c r="Z166" s="315">
        <v>0</v>
      </c>
      <c r="AA166" s="315">
        <v>0</v>
      </c>
      <c r="AB166" s="315">
        <v>0</v>
      </c>
      <c r="AC166" s="315">
        <v>0</v>
      </c>
      <c r="AD166" s="315">
        <v>0</v>
      </c>
      <c r="AE166" s="315">
        <v>0</v>
      </c>
      <c r="AF166" s="315">
        <v>0</v>
      </c>
      <c r="AG166" s="315">
        <v>0</v>
      </c>
      <c r="AH166" s="315">
        <v>0</v>
      </c>
      <c r="AI166" s="315">
        <v>0</v>
      </c>
      <c r="AJ166" s="315">
        <v>0</v>
      </c>
      <c r="AK166" s="315">
        <v>0</v>
      </c>
      <c r="AL166" s="315">
        <v>0</v>
      </c>
      <c r="AM166" s="315">
        <v>0</v>
      </c>
      <c r="AN166" s="315">
        <v>0</v>
      </c>
      <c r="AO166" s="315">
        <v>0</v>
      </c>
      <c r="AP166" s="315">
        <v>0</v>
      </c>
      <c r="AQ166" s="315">
        <v>0</v>
      </c>
      <c r="AR166" s="315">
        <v>0</v>
      </c>
      <c r="AS166" s="315">
        <v>0</v>
      </c>
      <c r="AT166" s="315">
        <v>0</v>
      </c>
      <c r="AU166" s="315">
        <v>0</v>
      </c>
      <c r="AV166" s="315">
        <v>0</v>
      </c>
      <c r="AW166" s="315">
        <v>0</v>
      </c>
      <c r="AX166" s="315">
        <v>0</v>
      </c>
      <c r="AY166" s="315">
        <v>0</v>
      </c>
      <c r="AZ166" s="315">
        <v>0</v>
      </c>
      <c r="BA166" s="315">
        <v>0</v>
      </c>
      <c r="BB166" s="315">
        <v>0</v>
      </c>
      <c r="BC166" s="315">
        <v>0</v>
      </c>
      <c r="BD166" s="315">
        <v>0</v>
      </c>
      <c r="BE166" s="315">
        <v>0</v>
      </c>
      <c r="BF166" s="315">
        <v>0</v>
      </c>
      <c r="BG166" s="315">
        <v>0</v>
      </c>
      <c r="BH166" s="315">
        <v>0</v>
      </c>
      <c r="BI166" s="315">
        <v>0</v>
      </c>
      <c r="BJ166" s="315">
        <v>0</v>
      </c>
      <c r="BK166" s="315">
        <v>0</v>
      </c>
      <c r="BL166" s="315">
        <v>0</v>
      </c>
      <c r="BM166" s="315">
        <v>0</v>
      </c>
      <c r="BN166" s="315">
        <v>0</v>
      </c>
      <c r="BO166" s="315">
        <v>0</v>
      </c>
      <c r="BP166" s="315">
        <v>0</v>
      </c>
      <c r="BQ166" s="315">
        <v>0</v>
      </c>
      <c r="BR166" s="315">
        <v>0</v>
      </c>
      <c r="BS166" s="315">
        <v>0</v>
      </c>
      <c r="BT166" s="315">
        <v>0</v>
      </c>
      <c r="BU166" s="315">
        <v>0</v>
      </c>
      <c r="BV166" s="315">
        <v>0</v>
      </c>
    </row>
    <row r="167" spans="12:74" hidden="1" x14ac:dyDescent="0.2">
      <c r="L167" s="315">
        <v>0</v>
      </c>
      <c r="M167" s="315">
        <v>0</v>
      </c>
      <c r="N167" s="315">
        <v>0</v>
      </c>
      <c r="O167" s="315">
        <v>0</v>
      </c>
      <c r="P167" s="315">
        <v>0</v>
      </c>
      <c r="Q167" s="315">
        <v>0</v>
      </c>
      <c r="R167" s="315">
        <v>0</v>
      </c>
      <c r="S167" s="315">
        <v>0</v>
      </c>
      <c r="T167" s="315">
        <v>0</v>
      </c>
      <c r="U167" s="315">
        <v>0</v>
      </c>
      <c r="V167" s="315">
        <v>0</v>
      </c>
      <c r="W167" s="315">
        <v>0</v>
      </c>
      <c r="X167" s="315">
        <v>0</v>
      </c>
      <c r="Y167" s="315">
        <v>0</v>
      </c>
      <c r="Z167" s="315">
        <v>0</v>
      </c>
      <c r="AA167" s="315">
        <v>0</v>
      </c>
      <c r="AB167" s="315">
        <v>0</v>
      </c>
      <c r="AC167" s="315">
        <v>0</v>
      </c>
      <c r="AD167" s="315">
        <v>0</v>
      </c>
      <c r="AE167" s="315">
        <v>0</v>
      </c>
      <c r="AF167" s="315">
        <v>0</v>
      </c>
      <c r="AG167" s="315">
        <v>0</v>
      </c>
      <c r="AH167" s="315">
        <v>0</v>
      </c>
      <c r="AI167" s="315">
        <v>0</v>
      </c>
      <c r="AJ167" s="315">
        <v>0</v>
      </c>
      <c r="AK167" s="315">
        <v>0</v>
      </c>
      <c r="AL167" s="315">
        <v>0</v>
      </c>
      <c r="AM167" s="315">
        <v>0</v>
      </c>
      <c r="AN167" s="315">
        <v>0</v>
      </c>
      <c r="AO167" s="315">
        <v>0</v>
      </c>
      <c r="AP167" s="315">
        <v>0</v>
      </c>
      <c r="AQ167" s="315">
        <v>0</v>
      </c>
      <c r="AR167" s="315">
        <v>0</v>
      </c>
      <c r="AS167" s="315">
        <v>0</v>
      </c>
      <c r="AT167" s="315">
        <v>0</v>
      </c>
      <c r="AU167" s="315">
        <v>0</v>
      </c>
      <c r="AV167" s="315">
        <v>0</v>
      </c>
      <c r="AW167" s="315">
        <v>0</v>
      </c>
      <c r="AX167" s="315">
        <v>0</v>
      </c>
      <c r="AY167" s="315">
        <v>0</v>
      </c>
      <c r="AZ167" s="315">
        <v>0</v>
      </c>
      <c r="BA167" s="315">
        <v>0</v>
      </c>
      <c r="BB167" s="315">
        <v>0</v>
      </c>
      <c r="BC167" s="315">
        <v>0</v>
      </c>
      <c r="BD167" s="315">
        <v>0</v>
      </c>
      <c r="BE167" s="315">
        <v>0</v>
      </c>
      <c r="BF167" s="315">
        <v>0</v>
      </c>
      <c r="BG167" s="315">
        <v>0</v>
      </c>
      <c r="BH167" s="315">
        <v>0</v>
      </c>
      <c r="BI167" s="315">
        <v>0</v>
      </c>
      <c r="BJ167" s="315">
        <v>0</v>
      </c>
      <c r="BK167" s="315">
        <v>0</v>
      </c>
      <c r="BL167" s="315">
        <v>0</v>
      </c>
      <c r="BM167" s="315">
        <v>0</v>
      </c>
      <c r="BN167" s="315">
        <v>0</v>
      </c>
      <c r="BO167" s="315">
        <v>0</v>
      </c>
      <c r="BP167" s="315">
        <v>0</v>
      </c>
      <c r="BQ167" s="315">
        <v>0</v>
      </c>
      <c r="BR167" s="315">
        <v>0</v>
      </c>
      <c r="BS167" s="315">
        <v>0</v>
      </c>
      <c r="BT167" s="315">
        <v>0</v>
      </c>
      <c r="BU167" s="315">
        <v>0</v>
      </c>
      <c r="BV167" s="315">
        <v>0</v>
      </c>
    </row>
    <row r="168" spans="12:74" hidden="1" x14ac:dyDescent="0.2">
      <c r="L168" s="315" t="e">
        <v>#REF!</v>
      </c>
      <c r="M168" s="315" t="e">
        <v>#REF!</v>
      </c>
      <c r="N168" s="315" t="e">
        <v>#REF!</v>
      </c>
      <c r="O168" s="315" t="e">
        <v>#REF!</v>
      </c>
      <c r="P168" s="315" t="e">
        <v>#REF!</v>
      </c>
      <c r="Q168" s="315" t="e">
        <v>#REF!</v>
      </c>
      <c r="R168" s="315" t="e">
        <v>#REF!</v>
      </c>
      <c r="S168" s="315" t="e">
        <v>#REF!</v>
      </c>
      <c r="T168" s="315" t="e">
        <v>#REF!</v>
      </c>
      <c r="U168" s="315" t="e">
        <v>#REF!</v>
      </c>
      <c r="V168" s="315" t="e">
        <v>#REF!</v>
      </c>
      <c r="W168" s="315" t="e">
        <v>#REF!</v>
      </c>
      <c r="X168" s="315" t="e">
        <v>#REF!</v>
      </c>
      <c r="Y168" s="315" t="e">
        <v>#REF!</v>
      </c>
      <c r="Z168" s="315" t="e">
        <v>#REF!</v>
      </c>
      <c r="AA168" s="315" t="e">
        <v>#REF!</v>
      </c>
      <c r="AB168" s="315" t="e">
        <v>#REF!</v>
      </c>
      <c r="AC168" s="315" t="e">
        <v>#REF!</v>
      </c>
      <c r="AD168" s="315" t="e">
        <v>#REF!</v>
      </c>
      <c r="AE168" s="315" t="e">
        <v>#REF!</v>
      </c>
      <c r="AF168" s="315" t="e">
        <v>#REF!</v>
      </c>
      <c r="AG168" s="315" t="e">
        <v>#REF!</v>
      </c>
      <c r="AH168" s="315" t="e">
        <v>#REF!</v>
      </c>
      <c r="AI168" s="315" t="e">
        <v>#REF!</v>
      </c>
      <c r="AJ168" s="315" t="e">
        <v>#REF!</v>
      </c>
      <c r="AK168" s="315" t="e">
        <v>#REF!</v>
      </c>
      <c r="AL168" s="315" t="e">
        <v>#REF!</v>
      </c>
      <c r="AM168" s="315" t="e">
        <v>#REF!</v>
      </c>
      <c r="AN168" s="315" t="e">
        <v>#REF!</v>
      </c>
      <c r="AO168" s="315" t="e">
        <v>#REF!</v>
      </c>
      <c r="AP168" s="315" t="e">
        <v>#REF!</v>
      </c>
      <c r="AQ168" s="315" t="e">
        <v>#REF!</v>
      </c>
      <c r="AR168" s="315" t="e">
        <v>#REF!</v>
      </c>
      <c r="AS168" s="315" t="e">
        <v>#REF!</v>
      </c>
      <c r="AT168" s="315" t="e">
        <v>#REF!</v>
      </c>
      <c r="AU168" s="315" t="e">
        <v>#REF!</v>
      </c>
      <c r="AV168" s="315" t="e">
        <v>#REF!</v>
      </c>
      <c r="AW168" s="315" t="e">
        <v>#REF!</v>
      </c>
      <c r="AX168" s="315" t="e">
        <v>#REF!</v>
      </c>
      <c r="AY168" s="315" t="e">
        <v>#REF!</v>
      </c>
      <c r="AZ168" s="315" t="e">
        <v>#REF!</v>
      </c>
      <c r="BA168" s="315" t="e">
        <v>#REF!</v>
      </c>
      <c r="BB168" s="315" t="e">
        <v>#REF!</v>
      </c>
      <c r="BC168" s="315" t="e">
        <v>#REF!</v>
      </c>
      <c r="BD168" s="315" t="e">
        <v>#REF!</v>
      </c>
      <c r="BE168" s="315" t="e">
        <v>#REF!</v>
      </c>
      <c r="BF168" s="315" t="e">
        <v>#REF!</v>
      </c>
      <c r="BG168" s="315" t="e">
        <v>#REF!</v>
      </c>
      <c r="BH168" s="315" t="e">
        <v>#REF!</v>
      </c>
      <c r="BI168" s="315" t="e">
        <v>#REF!</v>
      </c>
      <c r="BJ168" s="315" t="e">
        <v>#REF!</v>
      </c>
      <c r="BK168" s="315" t="e">
        <v>#REF!</v>
      </c>
      <c r="BL168" s="315" t="e">
        <v>#REF!</v>
      </c>
      <c r="BM168" s="315" t="e">
        <v>#REF!</v>
      </c>
      <c r="BN168" s="315" t="e">
        <v>#REF!</v>
      </c>
      <c r="BO168" s="315" t="e">
        <v>#REF!</v>
      </c>
      <c r="BP168" s="315" t="e">
        <v>#REF!</v>
      </c>
      <c r="BQ168" s="315" t="e">
        <v>#REF!</v>
      </c>
      <c r="BR168" s="315" t="e">
        <v>#REF!</v>
      </c>
      <c r="BS168" s="315" t="e">
        <v>#REF!</v>
      </c>
      <c r="BT168" s="315" t="e">
        <v>#REF!</v>
      </c>
      <c r="BU168" s="315" t="e">
        <v>#REF!</v>
      </c>
      <c r="BV168" s="315" t="e">
        <v>#REF!</v>
      </c>
    </row>
    <row r="169" spans="12:74" hidden="1" x14ac:dyDescent="0.2">
      <c r="L169" s="315">
        <v>0</v>
      </c>
      <c r="M169" s="315">
        <v>0</v>
      </c>
      <c r="N169" s="315">
        <v>0</v>
      </c>
      <c r="O169" s="315">
        <v>0</v>
      </c>
      <c r="P169" s="315">
        <v>0</v>
      </c>
      <c r="Q169" s="315">
        <v>0</v>
      </c>
      <c r="R169" s="315">
        <v>0</v>
      </c>
      <c r="S169" s="315">
        <v>0</v>
      </c>
      <c r="T169" s="315">
        <v>0</v>
      </c>
      <c r="U169" s="315">
        <v>0</v>
      </c>
      <c r="V169" s="315">
        <v>0</v>
      </c>
      <c r="W169" s="315">
        <v>0</v>
      </c>
      <c r="X169" s="315">
        <v>0</v>
      </c>
      <c r="Y169" s="315">
        <v>0</v>
      </c>
      <c r="Z169" s="315">
        <v>0</v>
      </c>
      <c r="AA169" s="315">
        <v>0</v>
      </c>
      <c r="AB169" s="315">
        <v>0</v>
      </c>
      <c r="AC169" s="315">
        <v>0</v>
      </c>
      <c r="AD169" s="315">
        <v>0</v>
      </c>
      <c r="AE169" s="315">
        <v>0</v>
      </c>
      <c r="AF169" s="315">
        <v>0</v>
      </c>
      <c r="AG169" s="315">
        <v>0</v>
      </c>
      <c r="AH169" s="315">
        <v>0</v>
      </c>
      <c r="AI169" s="315">
        <v>0</v>
      </c>
      <c r="AJ169" s="315">
        <v>0</v>
      </c>
      <c r="AK169" s="315">
        <v>0</v>
      </c>
      <c r="AL169" s="315">
        <v>0</v>
      </c>
      <c r="AM169" s="315">
        <v>0</v>
      </c>
      <c r="AN169" s="315">
        <v>0</v>
      </c>
      <c r="AO169" s="315">
        <v>0</v>
      </c>
      <c r="AP169" s="315">
        <v>0</v>
      </c>
      <c r="AQ169" s="315">
        <v>0</v>
      </c>
      <c r="AR169" s="315">
        <v>0</v>
      </c>
      <c r="AS169" s="315">
        <v>0</v>
      </c>
      <c r="AT169" s="315">
        <v>0</v>
      </c>
      <c r="AU169" s="315">
        <v>0</v>
      </c>
      <c r="AV169" s="315">
        <v>0</v>
      </c>
      <c r="AW169" s="315">
        <v>0</v>
      </c>
      <c r="AX169" s="315">
        <v>0</v>
      </c>
      <c r="AY169" s="315">
        <v>0</v>
      </c>
      <c r="AZ169" s="315">
        <v>0</v>
      </c>
      <c r="BA169" s="315">
        <v>0</v>
      </c>
      <c r="BB169" s="315">
        <v>0</v>
      </c>
      <c r="BC169" s="315">
        <v>0</v>
      </c>
      <c r="BD169" s="315">
        <v>0</v>
      </c>
      <c r="BE169" s="315">
        <v>0</v>
      </c>
      <c r="BF169" s="315">
        <v>0</v>
      </c>
      <c r="BG169" s="315">
        <v>0</v>
      </c>
      <c r="BH169" s="315">
        <v>0</v>
      </c>
      <c r="BI169" s="315">
        <v>0</v>
      </c>
      <c r="BJ169" s="315">
        <v>0</v>
      </c>
      <c r="BK169" s="315">
        <v>0</v>
      </c>
      <c r="BL169" s="315">
        <v>0</v>
      </c>
      <c r="BM169" s="315">
        <v>0</v>
      </c>
      <c r="BN169" s="315">
        <v>0</v>
      </c>
      <c r="BO169" s="315">
        <v>0</v>
      </c>
      <c r="BP169" s="315">
        <v>0</v>
      </c>
      <c r="BQ169" s="315">
        <v>0</v>
      </c>
      <c r="BR169" s="315">
        <v>0</v>
      </c>
      <c r="BS169" s="315">
        <v>0</v>
      </c>
      <c r="BT169" s="315">
        <v>0</v>
      </c>
      <c r="BU169" s="315">
        <v>0</v>
      </c>
      <c r="BV169" s="315">
        <v>0</v>
      </c>
    </row>
    <row r="170" spans="12:74" hidden="1" x14ac:dyDescent="0.2">
      <c r="L170" s="315">
        <v>0</v>
      </c>
      <c r="M170" s="315">
        <v>0</v>
      </c>
      <c r="N170" s="315">
        <v>0</v>
      </c>
      <c r="O170" s="315">
        <v>0</v>
      </c>
      <c r="P170" s="315">
        <v>0</v>
      </c>
      <c r="Q170" s="315">
        <v>0</v>
      </c>
      <c r="R170" s="315">
        <v>0</v>
      </c>
      <c r="S170" s="315">
        <v>0</v>
      </c>
      <c r="T170" s="315">
        <v>0</v>
      </c>
      <c r="U170" s="315">
        <v>0</v>
      </c>
      <c r="V170" s="315">
        <v>0</v>
      </c>
      <c r="W170" s="315">
        <v>0</v>
      </c>
      <c r="X170" s="315">
        <v>0</v>
      </c>
      <c r="Y170" s="315">
        <v>0</v>
      </c>
      <c r="Z170" s="315">
        <v>0</v>
      </c>
      <c r="AA170" s="315">
        <v>0</v>
      </c>
      <c r="AB170" s="315">
        <v>0</v>
      </c>
      <c r="AC170" s="315">
        <v>0</v>
      </c>
      <c r="AD170" s="315">
        <v>0</v>
      </c>
      <c r="AE170" s="315">
        <v>0</v>
      </c>
      <c r="AF170" s="315">
        <v>0</v>
      </c>
      <c r="AG170" s="315">
        <v>0</v>
      </c>
      <c r="AH170" s="315">
        <v>0</v>
      </c>
      <c r="AI170" s="315">
        <v>0</v>
      </c>
      <c r="AJ170" s="315">
        <v>0</v>
      </c>
      <c r="AK170" s="315">
        <v>0</v>
      </c>
      <c r="AL170" s="315">
        <v>0</v>
      </c>
      <c r="AM170" s="315">
        <v>0</v>
      </c>
      <c r="AN170" s="315">
        <v>0</v>
      </c>
      <c r="AO170" s="315">
        <v>0</v>
      </c>
      <c r="AP170" s="315">
        <v>0</v>
      </c>
      <c r="AQ170" s="315">
        <v>0</v>
      </c>
      <c r="AR170" s="315">
        <v>0</v>
      </c>
      <c r="AS170" s="315">
        <v>0</v>
      </c>
      <c r="AT170" s="315">
        <v>0</v>
      </c>
      <c r="AU170" s="315">
        <v>0</v>
      </c>
      <c r="AV170" s="315">
        <v>0</v>
      </c>
      <c r="AW170" s="315">
        <v>0</v>
      </c>
      <c r="AX170" s="315">
        <v>0</v>
      </c>
      <c r="AY170" s="315">
        <v>0</v>
      </c>
      <c r="AZ170" s="315">
        <v>0</v>
      </c>
      <c r="BA170" s="315">
        <v>0</v>
      </c>
      <c r="BB170" s="315">
        <v>0</v>
      </c>
      <c r="BC170" s="315">
        <v>0</v>
      </c>
      <c r="BD170" s="315">
        <v>0</v>
      </c>
      <c r="BE170" s="315">
        <v>0</v>
      </c>
      <c r="BF170" s="315">
        <v>0</v>
      </c>
      <c r="BG170" s="315">
        <v>0</v>
      </c>
      <c r="BH170" s="315">
        <v>0</v>
      </c>
      <c r="BI170" s="315">
        <v>0</v>
      </c>
      <c r="BJ170" s="315">
        <v>0</v>
      </c>
      <c r="BK170" s="315">
        <v>0</v>
      </c>
      <c r="BL170" s="315">
        <v>0</v>
      </c>
      <c r="BM170" s="315">
        <v>0</v>
      </c>
      <c r="BN170" s="315">
        <v>0</v>
      </c>
      <c r="BO170" s="315">
        <v>0</v>
      </c>
      <c r="BP170" s="315">
        <v>0</v>
      </c>
      <c r="BQ170" s="315">
        <v>0</v>
      </c>
      <c r="BR170" s="315">
        <v>0</v>
      </c>
      <c r="BS170" s="315">
        <v>0</v>
      </c>
      <c r="BT170" s="315">
        <v>0</v>
      </c>
      <c r="BU170" s="315">
        <v>0</v>
      </c>
      <c r="BV170" s="315">
        <v>0</v>
      </c>
    </row>
    <row r="171" spans="12:74" hidden="1" x14ac:dyDescent="0.2">
      <c r="L171" s="315">
        <v>0</v>
      </c>
      <c r="M171" s="315">
        <v>0</v>
      </c>
      <c r="N171" s="315">
        <v>0</v>
      </c>
      <c r="O171" s="315">
        <v>0</v>
      </c>
      <c r="P171" s="315">
        <v>0</v>
      </c>
      <c r="Q171" s="315">
        <v>0</v>
      </c>
      <c r="R171" s="315">
        <v>0</v>
      </c>
      <c r="S171" s="315">
        <v>0</v>
      </c>
      <c r="T171" s="315">
        <v>0</v>
      </c>
      <c r="U171" s="315">
        <v>0</v>
      </c>
      <c r="V171" s="315">
        <v>0</v>
      </c>
      <c r="W171" s="315">
        <v>0</v>
      </c>
      <c r="X171" s="315">
        <v>0</v>
      </c>
      <c r="Y171" s="315">
        <v>0</v>
      </c>
      <c r="Z171" s="315">
        <v>0</v>
      </c>
      <c r="AA171" s="315">
        <v>0</v>
      </c>
      <c r="AB171" s="315">
        <v>0</v>
      </c>
      <c r="AC171" s="315">
        <v>0</v>
      </c>
      <c r="AD171" s="315">
        <v>0</v>
      </c>
      <c r="AE171" s="315">
        <v>0</v>
      </c>
      <c r="AF171" s="315">
        <v>0</v>
      </c>
      <c r="AG171" s="315">
        <v>0</v>
      </c>
      <c r="AH171" s="315">
        <v>0</v>
      </c>
      <c r="AI171" s="315">
        <v>0</v>
      </c>
      <c r="AJ171" s="315">
        <v>0</v>
      </c>
      <c r="AK171" s="315">
        <v>0</v>
      </c>
      <c r="AL171" s="315">
        <v>0</v>
      </c>
      <c r="AM171" s="315">
        <v>0</v>
      </c>
      <c r="AN171" s="315">
        <v>0</v>
      </c>
      <c r="AO171" s="315">
        <v>0</v>
      </c>
      <c r="AP171" s="315">
        <v>0</v>
      </c>
      <c r="AQ171" s="315">
        <v>0</v>
      </c>
      <c r="AR171" s="315">
        <v>0</v>
      </c>
      <c r="AS171" s="315">
        <v>0</v>
      </c>
      <c r="AT171" s="315">
        <v>0</v>
      </c>
      <c r="AU171" s="315">
        <v>0</v>
      </c>
      <c r="AV171" s="315">
        <v>0</v>
      </c>
      <c r="AW171" s="315">
        <v>0</v>
      </c>
      <c r="AX171" s="315">
        <v>0</v>
      </c>
      <c r="AY171" s="315">
        <v>0</v>
      </c>
      <c r="AZ171" s="315">
        <v>0</v>
      </c>
      <c r="BA171" s="315">
        <v>0</v>
      </c>
      <c r="BB171" s="315">
        <v>0</v>
      </c>
      <c r="BC171" s="315">
        <v>0</v>
      </c>
      <c r="BD171" s="315">
        <v>0</v>
      </c>
      <c r="BE171" s="315">
        <v>0</v>
      </c>
      <c r="BF171" s="315">
        <v>0</v>
      </c>
      <c r="BG171" s="315">
        <v>0</v>
      </c>
      <c r="BH171" s="315">
        <v>0</v>
      </c>
      <c r="BI171" s="315">
        <v>0</v>
      </c>
      <c r="BJ171" s="315">
        <v>0</v>
      </c>
      <c r="BK171" s="315">
        <v>0</v>
      </c>
      <c r="BL171" s="315">
        <v>0</v>
      </c>
      <c r="BM171" s="315">
        <v>0</v>
      </c>
      <c r="BN171" s="315">
        <v>0</v>
      </c>
      <c r="BO171" s="315">
        <v>0</v>
      </c>
      <c r="BP171" s="315">
        <v>0</v>
      </c>
      <c r="BQ171" s="315">
        <v>0</v>
      </c>
      <c r="BR171" s="315">
        <v>0</v>
      </c>
      <c r="BS171" s="315">
        <v>0</v>
      </c>
      <c r="BT171" s="315">
        <v>0</v>
      </c>
      <c r="BU171" s="315">
        <v>0</v>
      </c>
      <c r="BV171" s="315">
        <v>0</v>
      </c>
    </row>
    <row r="172" spans="12:74" hidden="1" x14ac:dyDescent="0.2">
      <c r="L172" s="315">
        <v>0</v>
      </c>
      <c r="M172" s="315">
        <v>0</v>
      </c>
      <c r="N172" s="315">
        <v>0</v>
      </c>
      <c r="O172" s="315">
        <v>0</v>
      </c>
      <c r="P172" s="315">
        <v>0</v>
      </c>
      <c r="Q172" s="315">
        <v>0</v>
      </c>
      <c r="R172" s="315">
        <v>0</v>
      </c>
      <c r="S172" s="315">
        <v>0</v>
      </c>
      <c r="T172" s="315">
        <v>0</v>
      </c>
      <c r="U172" s="315">
        <v>0</v>
      </c>
      <c r="V172" s="315">
        <v>0</v>
      </c>
      <c r="W172" s="315">
        <v>0</v>
      </c>
      <c r="X172" s="315">
        <v>0</v>
      </c>
      <c r="Y172" s="315">
        <v>0</v>
      </c>
      <c r="Z172" s="315">
        <v>0</v>
      </c>
      <c r="AA172" s="315">
        <v>0</v>
      </c>
      <c r="AB172" s="315">
        <v>0</v>
      </c>
      <c r="AC172" s="315">
        <v>0</v>
      </c>
      <c r="AD172" s="315">
        <v>0</v>
      </c>
      <c r="AE172" s="315">
        <v>0</v>
      </c>
      <c r="AF172" s="315">
        <v>0</v>
      </c>
      <c r="AG172" s="315">
        <v>0</v>
      </c>
      <c r="AH172" s="315">
        <v>0</v>
      </c>
      <c r="AI172" s="315">
        <v>0</v>
      </c>
      <c r="AJ172" s="315">
        <v>0</v>
      </c>
      <c r="AK172" s="315">
        <v>0</v>
      </c>
      <c r="AL172" s="315">
        <v>0</v>
      </c>
      <c r="AM172" s="315">
        <v>0</v>
      </c>
      <c r="AN172" s="315">
        <v>0</v>
      </c>
      <c r="AO172" s="315">
        <v>0</v>
      </c>
      <c r="AP172" s="315">
        <v>0</v>
      </c>
      <c r="AQ172" s="315">
        <v>0</v>
      </c>
      <c r="AR172" s="315">
        <v>0</v>
      </c>
      <c r="AS172" s="315">
        <v>0</v>
      </c>
      <c r="AT172" s="315">
        <v>0</v>
      </c>
      <c r="AU172" s="315">
        <v>0</v>
      </c>
      <c r="AV172" s="315">
        <v>0</v>
      </c>
      <c r="AW172" s="315">
        <v>0</v>
      </c>
      <c r="AX172" s="315">
        <v>0</v>
      </c>
      <c r="AY172" s="315">
        <v>0</v>
      </c>
      <c r="AZ172" s="315">
        <v>0</v>
      </c>
      <c r="BA172" s="315">
        <v>0</v>
      </c>
      <c r="BB172" s="315">
        <v>0</v>
      </c>
      <c r="BC172" s="315">
        <v>0</v>
      </c>
      <c r="BD172" s="315">
        <v>0</v>
      </c>
      <c r="BE172" s="315">
        <v>0</v>
      </c>
      <c r="BF172" s="315">
        <v>0</v>
      </c>
      <c r="BG172" s="315">
        <v>0</v>
      </c>
      <c r="BH172" s="315">
        <v>0</v>
      </c>
      <c r="BI172" s="315">
        <v>0</v>
      </c>
      <c r="BJ172" s="315">
        <v>0</v>
      </c>
      <c r="BK172" s="315">
        <v>0</v>
      </c>
      <c r="BL172" s="315">
        <v>0</v>
      </c>
      <c r="BM172" s="315">
        <v>0</v>
      </c>
      <c r="BN172" s="315">
        <v>0</v>
      </c>
      <c r="BO172" s="315">
        <v>0</v>
      </c>
      <c r="BP172" s="315">
        <v>0</v>
      </c>
      <c r="BQ172" s="315">
        <v>0</v>
      </c>
      <c r="BR172" s="315">
        <v>0</v>
      </c>
      <c r="BS172" s="315">
        <v>0</v>
      </c>
      <c r="BT172" s="315">
        <v>0</v>
      </c>
      <c r="BU172" s="315">
        <v>0</v>
      </c>
      <c r="BV172" s="315">
        <v>0</v>
      </c>
    </row>
    <row r="173" spans="12:74" hidden="1" x14ac:dyDescent="0.2">
      <c r="L173" s="315" t="e">
        <v>#REF!</v>
      </c>
      <c r="M173" s="315" t="e">
        <v>#REF!</v>
      </c>
      <c r="N173" s="315" t="e">
        <v>#REF!</v>
      </c>
      <c r="O173" s="315" t="e">
        <v>#REF!</v>
      </c>
      <c r="P173" s="315" t="e">
        <v>#REF!</v>
      </c>
      <c r="Q173" s="315" t="e">
        <v>#REF!</v>
      </c>
      <c r="R173" s="315" t="e">
        <v>#REF!</v>
      </c>
      <c r="S173" s="315" t="e">
        <v>#REF!</v>
      </c>
      <c r="T173" s="315" t="e">
        <v>#REF!</v>
      </c>
      <c r="U173" s="315" t="e">
        <v>#REF!</v>
      </c>
      <c r="V173" s="315" t="e">
        <v>#REF!</v>
      </c>
      <c r="W173" s="315" t="e">
        <v>#REF!</v>
      </c>
      <c r="X173" s="315" t="e">
        <v>#REF!</v>
      </c>
      <c r="Y173" s="315" t="e">
        <v>#REF!</v>
      </c>
      <c r="Z173" s="315" t="e">
        <v>#REF!</v>
      </c>
      <c r="AA173" s="315" t="e">
        <v>#REF!</v>
      </c>
      <c r="AB173" s="315" t="e">
        <v>#REF!</v>
      </c>
      <c r="AC173" s="315" t="e">
        <v>#REF!</v>
      </c>
      <c r="AD173" s="315" t="e">
        <v>#REF!</v>
      </c>
      <c r="AE173" s="315" t="e">
        <v>#REF!</v>
      </c>
      <c r="AF173" s="315" t="e">
        <v>#REF!</v>
      </c>
      <c r="AG173" s="315" t="e">
        <v>#REF!</v>
      </c>
      <c r="AH173" s="315" t="e">
        <v>#REF!</v>
      </c>
      <c r="AI173" s="315" t="e">
        <v>#REF!</v>
      </c>
      <c r="AJ173" s="315" t="e">
        <v>#REF!</v>
      </c>
      <c r="AK173" s="315" t="e">
        <v>#REF!</v>
      </c>
      <c r="AL173" s="315" t="e">
        <v>#REF!</v>
      </c>
      <c r="AM173" s="315" t="e">
        <v>#REF!</v>
      </c>
      <c r="AN173" s="315" t="e">
        <v>#REF!</v>
      </c>
      <c r="AO173" s="315" t="e">
        <v>#REF!</v>
      </c>
      <c r="AP173" s="315" t="e">
        <v>#REF!</v>
      </c>
      <c r="AQ173" s="315" t="e">
        <v>#REF!</v>
      </c>
      <c r="AR173" s="315" t="e">
        <v>#REF!</v>
      </c>
      <c r="AS173" s="315" t="e">
        <v>#REF!</v>
      </c>
      <c r="AT173" s="315" t="e">
        <v>#REF!</v>
      </c>
      <c r="AU173" s="315" t="e">
        <v>#REF!</v>
      </c>
      <c r="AV173" s="315" t="e">
        <v>#REF!</v>
      </c>
      <c r="AW173" s="315" t="e">
        <v>#REF!</v>
      </c>
      <c r="AX173" s="315" t="e">
        <v>#REF!</v>
      </c>
      <c r="AY173" s="315" t="e">
        <v>#REF!</v>
      </c>
      <c r="AZ173" s="315" t="e">
        <v>#REF!</v>
      </c>
      <c r="BA173" s="315" t="e">
        <v>#REF!</v>
      </c>
      <c r="BB173" s="315" t="e">
        <v>#REF!</v>
      </c>
      <c r="BC173" s="315" t="e">
        <v>#REF!</v>
      </c>
      <c r="BD173" s="315" t="e">
        <v>#REF!</v>
      </c>
      <c r="BE173" s="315" t="e">
        <v>#REF!</v>
      </c>
      <c r="BF173" s="315" t="e">
        <v>#REF!</v>
      </c>
      <c r="BG173" s="315" t="e">
        <v>#REF!</v>
      </c>
      <c r="BH173" s="315" t="e">
        <v>#REF!</v>
      </c>
      <c r="BI173" s="315" t="e">
        <v>#REF!</v>
      </c>
      <c r="BJ173" s="315" t="e">
        <v>#REF!</v>
      </c>
      <c r="BK173" s="315" t="e">
        <v>#REF!</v>
      </c>
      <c r="BL173" s="315" t="e">
        <v>#REF!</v>
      </c>
      <c r="BM173" s="315" t="e">
        <v>#REF!</v>
      </c>
      <c r="BN173" s="315" t="e">
        <v>#REF!</v>
      </c>
      <c r="BO173" s="315" t="e">
        <v>#REF!</v>
      </c>
      <c r="BP173" s="315" t="e">
        <v>#REF!</v>
      </c>
      <c r="BQ173" s="315" t="e">
        <v>#REF!</v>
      </c>
      <c r="BR173" s="315" t="e">
        <v>#REF!</v>
      </c>
      <c r="BS173" s="315" t="e">
        <v>#REF!</v>
      </c>
      <c r="BT173" s="315" t="e">
        <v>#REF!</v>
      </c>
      <c r="BU173" s="315" t="e">
        <v>#REF!</v>
      </c>
      <c r="BV173" s="315" t="e">
        <v>#REF!</v>
      </c>
    </row>
    <row r="174" spans="12:74" hidden="1" x14ac:dyDescent="0.2">
      <c r="L174" s="315">
        <v>0</v>
      </c>
      <c r="M174" s="315">
        <v>0</v>
      </c>
      <c r="N174" s="315">
        <v>0</v>
      </c>
      <c r="O174" s="315">
        <v>0</v>
      </c>
      <c r="P174" s="315">
        <v>0</v>
      </c>
      <c r="Q174" s="315">
        <v>0</v>
      </c>
      <c r="R174" s="315">
        <v>0</v>
      </c>
      <c r="S174" s="315">
        <v>0</v>
      </c>
      <c r="T174" s="315">
        <v>0</v>
      </c>
      <c r="U174" s="315">
        <v>0</v>
      </c>
      <c r="V174" s="315">
        <v>0</v>
      </c>
      <c r="W174" s="315">
        <v>0</v>
      </c>
      <c r="X174" s="315">
        <v>0</v>
      </c>
      <c r="Y174" s="315">
        <v>0</v>
      </c>
      <c r="Z174" s="315">
        <v>0</v>
      </c>
      <c r="AA174" s="315">
        <v>0</v>
      </c>
      <c r="AB174" s="315">
        <v>0</v>
      </c>
      <c r="AC174" s="315">
        <v>0</v>
      </c>
      <c r="AD174" s="315">
        <v>0</v>
      </c>
      <c r="AE174" s="315">
        <v>0</v>
      </c>
      <c r="AF174" s="315">
        <v>0</v>
      </c>
      <c r="AG174" s="315">
        <v>0</v>
      </c>
      <c r="AH174" s="315">
        <v>0</v>
      </c>
      <c r="AI174" s="315">
        <v>0</v>
      </c>
      <c r="AJ174" s="315">
        <v>0</v>
      </c>
      <c r="AK174" s="315">
        <v>0</v>
      </c>
      <c r="AL174" s="315">
        <v>0</v>
      </c>
      <c r="AM174" s="315">
        <v>0</v>
      </c>
      <c r="AN174" s="315">
        <v>0</v>
      </c>
      <c r="AO174" s="315">
        <v>0</v>
      </c>
      <c r="AP174" s="315">
        <v>0</v>
      </c>
      <c r="AQ174" s="315">
        <v>0</v>
      </c>
      <c r="AR174" s="315">
        <v>0</v>
      </c>
      <c r="AS174" s="315">
        <v>0</v>
      </c>
      <c r="AT174" s="315">
        <v>0</v>
      </c>
      <c r="AU174" s="315">
        <v>0</v>
      </c>
      <c r="AV174" s="315">
        <v>0</v>
      </c>
      <c r="AW174" s="315">
        <v>0</v>
      </c>
      <c r="AX174" s="315">
        <v>0</v>
      </c>
      <c r="AY174" s="315">
        <v>0</v>
      </c>
      <c r="AZ174" s="315">
        <v>0</v>
      </c>
      <c r="BA174" s="315">
        <v>0</v>
      </c>
      <c r="BB174" s="315">
        <v>0</v>
      </c>
      <c r="BC174" s="315">
        <v>0</v>
      </c>
      <c r="BD174" s="315">
        <v>0</v>
      </c>
      <c r="BE174" s="315">
        <v>0</v>
      </c>
      <c r="BF174" s="315">
        <v>0</v>
      </c>
      <c r="BG174" s="315">
        <v>0</v>
      </c>
      <c r="BH174" s="315">
        <v>0</v>
      </c>
      <c r="BI174" s="315">
        <v>0</v>
      </c>
      <c r="BJ174" s="315">
        <v>0</v>
      </c>
      <c r="BK174" s="315">
        <v>0</v>
      </c>
      <c r="BL174" s="315">
        <v>0</v>
      </c>
      <c r="BM174" s="315">
        <v>0</v>
      </c>
      <c r="BN174" s="315">
        <v>0</v>
      </c>
      <c r="BO174" s="315">
        <v>0</v>
      </c>
      <c r="BP174" s="315">
        <v>0</v>
      </c>
      <c r="BQ174" s="315">
        <v>0</v>
      </c>
      <c r="BR174" s="315">
        <v>0</v>
      </c>
      <c r="BS174" s="315">
        <v>0</v>
      </c>
      <c r="BT174" s="315">
        <v>0</v>
      </c>
      <c r="BU174" s="315">
        <v>0</v>
      </c>
      <c r="BV174" s="315">
        <v>0</v>
      </c>
    </row>
    <row r="175" spans="12:74" hidden="1" x14ac:dyDescent="0.2">
      <c r="L175" s="315">
        <v>0</v>
      </c>
      <c r="M175" s="315">
        <v>0</v>
      </c>
      <c r="N175" s="315">
        <v>0</v>
      </c>
      <c r="O175" s="315">
        <v>0</v>
      </c>
      <c r="P175" s="315">
        <v>0</v>
      </c>
      <c r="Q175" s="315">
        <v>0</v>
      </c>
      <c r="R175" s="315">
        <v>0</v>
      </c>
      <c r="S175" s="315">
        <v>0</v>
      </c>
      <c r="T175" s="315">
        <v>0</v>
      </c>
      <c r="U175" s="315">
        <v>0</v>
      </c>
      <c r="V175" s="315">
        <v>0</v>
      </c>
      <c r="W175" s="315">
        <v>0</v>
      </c>
      <c r="X175" s="315">
        <v>0</v>
      </c>
      <c r="Y175" s="315">
        <v>0</v>
      </c>
      <c r="Z175" s="315">
        <v>0</v>
      </c>
      <c r="AA175" s="315">
        <v>0</v>
      </c>
      <c r="AB175" s="315">
        <v>0</v>
      </c>
      <c r="AC175" s="315">
        <v>0</v>
      </c>
      <c r="AD175" s="315">
        <v>0</v>
      </c>
      <c r="AE175" s="315">
        <v>0</v>
      </c>
      <c r="AF175" s="315">
        <v>0</v>
      </c>
      <c r="AG175" s="315">
        <v>0</v>
      </c>
      <c r="AH175" s="315">
        <v>0</v>
      </c>
      <c r="AI175" s="315">
        <v>0</v>
      </c>
      <c r="AJ175" s="315">
        <v>0</v>
      </c>
      <c r="AK175" s="315">
        <v>0</v>
      </c>
      <c r="AL175" s="315">
        <v>0</v>
      </c>
      <c r="AM175" s="315">
        <v>0</v>
      </c>
      <c r="AN175" s="315">
        <v>0</v>
      </c>
      <c r="AO175" s="315">
        <v>0</v>
      </c>
      <c r="AP175" s="315">
        <v>0</v>
      </c>
      <c r="AQ175" s="315">
        <v>0</v>
      </c>
      <c r="AR175" s="315">
        <v>0</v>
      </c>
      <c r="AS175" s="315">
        <v>0</v>
      </c>
      <c r="AT175" s="315">
        <v>0</v>
      </c>
      <c r="AU175" s="315">
        <v>0</v>
      </c>
      <c r="AV175" s="315">
        <v>0</v>
      </c>
      <c r="AW175" s="315">
        <v>0</v>
      </c>
      <c r="AX175" s="315">
        <v>0</v>
      </c>
      <c r="AY175" s="315">
        <v>0</v>
      </c>
      <c r="AZ175" s="315">
        <v>0</v>
      </c>
      <c r="BA175" s="315">
        <v>0</v>
      </c>
      <c r="BB175" s="315">
        <v>0</v>
      </c>
      <c r="BC175" s="315">
        <v>0</v>
      </c>
      <c r="BD175" s="315">
        <v>0</v>
      </c>
      <c r="BE175" s="315">
        <v>0</v>
      </c>
      <c r="BF175" s="315">
        <v>0</v>
      </c>
      <c r="BG175" s="315">
        <v>0</v>
      </c>
      <c r="BH175" s="315">
        <v>0</v>
      </c>
      <c r="BI175" s="315">
        <v>0</v>
      </c>
      <c r="BJ175" s="315">
        <v>0</v>
      </c>
      <c r="BK175" s="315">
        <v>0</v>
      </c>
      <c r="BL175" s="315">
        <v>0</v>
      </c>
      <c r="BM175" s="315">
        <v>0</v>
      </c>
      <c r="BN175" s="315">
        <v>0</v>
      </c>
      <c r="BO175" s="315">
        <v>0</v>
      </c>
      <c r="BP175" s="315">
        <v>0</v>
      </c>
      <c r="BQ175" s="315">
        <v>0</v>
      </c>
      <c r="BR175" s="315">
        <v>0</v>
      </c>
      <c r="BS175" s="315">
        <v>0</v>
      </c>
      <c r="BT175" s="315">
        <v>0</v>
      </c>
      <c r="BU175" s="315">
        <v>0</v>
      </c>
      <c r="BV175" s="315">
        <v>0</v>
      </c>
    </row>
    <row r="176" spans="12:74" hidden="1" x14ac:dyDescent="0.2">
      <c r="L176" s="315">
        <v>0</v>
      </c>
      <c r="M176" s="315">
        <v>0</v>
      </c>
      <c r="N176" s="315">
        <v>0</v>
      </c>
      <c r="O176" s="315">
        <v>0</v>
      </c>
      <c r="P176" s="315">
        <v>0</v>
      </c>
      <c r="Q176" s="315">
        <v>0</v>
      </c>
      <c r="R176" s="315">
        <v>0</v>
      </c>
      <c r="S176" s="315">
        <v>0</v>
      </c>
      <c r="T176" s="315">
        <v>0</v>
      </c>
      <c r="U176" s="315">
        <v>0</v>
      </c>
      <c r="V176" s="315">
        <v>0</v>
      </c>
      <c r="W176" s="315">
        <v>0</v>
      </c>
      <c r="X176" s="315">
        <v>0</v>
      </c>
      <c r="Y176" s="315">
        <v>0</v>
      </c>
      <c r="Z176" s="315">
        <v>0</v>
      </c>
      <c r="AA176" s="315">
        <v>0</v>
      </c>
      <c r="AB176" s="315">
        <v>0</v>
      </c>
      <c r="AC176" s="315">
        <v>0</v>
      </c>
      <c r="AD176" s="315">
        <v>0</v>
      </c>
      <c r="AE176" s="315">
        <v>0</v>
      </c>
      <c r="AF176" s="315">
        <v>0</v>
      </c>
      <c r="AG176" s="315">
        <v>0</v>
      </c>
      <c r="AH176" s="315">
        <v>0</v>
      </c>
      <c r="AI176" s="315">
        <v>0</v>
      </c>
      <c r="AJ176" s="315">
        <v>0</v>
      </c>
      <c r="AK176" s="315">
        <v>0</v>
      </c>
      <c r="AL176" s="315">
        <v>0</v>
      </c>
      <c r="AM176" s="315">
        <v>0</v>
      </c>
      <c r="AN176" s="315">
        <v>0</v>
      </c>
      <c r="AO176" s="315">
        <v>0</v>
      </c>
      <c r="AP176" s="315">
        <v>0</v>
      </c>
      <c r="AQ176" s="315">
        <v>0</v>
      </c>
      <c r="AR176" s="315">
        <v>0</v>
      </c>
      <c r="AS176" s="315">
        <v>0</v>
      </c>
      <c r="AT176" s="315">
        <v>0</v>
      </c>
      <c r="AU176" s="315">
        <v>0</v>
      </c>
      <c r="AV176" s="315">
        <v>0</v>
      </c>
      <c r="AW176" s="315">
        <v>0</v>
      </c>
      <c r="AX176" s="315">
        <v>0</v>
      </c>
      <c r="AY176" s="315">
        <v>0</v>
      </c>
      <c r="AZ176" s="315">
        <v>0</v>
      </c>
      <c r="BA176" s="315">
        <v>0</v>
      </c>
      <c r="BB176" s="315">
        <v>0</v>
      </c>
      <c r="BC176" s="315">
        <v>0</v>
      </c>
      <c r="BD176" s="315">
        <v>0</v>
      </c>
      <c r="BE176" s="315">
        <v>0</v>
      </c>
      <c r="BF176" s="315">
        <v>0</v>
      </c>
      <c r="BG176" s="315">
        <v>0</v>
      </c>
      <c r="BH176" s="315">
        <v>0</v>
      </c>
      <c r="BI176" s="315">
        <v>0</v>
      </c>
      <c r="BJ176" s="315">
        <v>0</v>
      </c>
      <c r="BK176" s="315">
        <v>0</v>
      </c>
      <c r="BL176" s="315">
        <v>0</v>
      </c>
      <c r="BM176" s="315">
        <v>0</v>
      </c>
      <c r="BN176" s="315">
        <v>0</v>
      </c>
      <c r="BO176" s="315">
        <v>0</v>
      </c>
      <c r="BP176" s="315">
        <v>0</v>
      </c>
      <c r="BQ176" s="315">
        <v>0</v>
      </c>
      <c r="BR176" s="315">
        <v>0</v>
      </c>
      <c r="BS176" s="315">
        <v>0</v>
      </c>
      <c r="BT176" s="315">
        <v>0</v>
      </c>
      <c r="BU176" s="315">
        <v>0</v>
      </c>
      <c r="BV176" s="315">
        <v>0</v>
      </c>
    </row>
    <row r="177" spans="12:74" hidden="1" x14ac:dyDescent="0.2">
      <c r="L177" s="315">
        <v>0</v>
      </c>
      <c r="M177" s="315">
        <v>0</v>
      </c>
      <c r="N177" s="315">
        <v>0</v>
      </c>
      <c r="O177" s="315">
        <v>0</v>
      </c>
      <c r="P177" s="315">
        <v>0</v>
      </c>
      <c r="Q177" s="315">
        <v>0</v>
      </c>
      <c r="R177" s="315">
        <v>0</v>
      </c>
      <c r="S177" s="315">
        <v>0</v>
      </c>
      <c r="T177" s="315">
        <v>0</v>
      </c>
      <c r="U177" s="315">
        <v>0</v>
      </c>
      <c r="V177" s="315">
        <v>0</v>
      </c>
      <c r="W177" s="315">
        <v>0</v>
      </c>
      <c r="X177" s="315">
        <v>0</v>
      </c>
      <c r="Y177" s="315">
        <v>0</v>
      </c>
      <c r="Z177" s="315">
        <v>0</v>
      </c>
      <c r="AA177" s="315">
        <v>0</v>
      </c>
      <c r="AB177" s="315">
        <v>0</v>
      </c>
      <c r="AC177" s="315">
        <v>0</v>
      </c>
      <c r="AD177" s="315">
        <v>0</v>
      </c>
      <c r="AE177" s="315">
        <v>0</v>
      </c>
      <c r="AF177" s="315">
        <v>0</v>
      </c>
      <c r="AG177" s="315">
        <v>0</v>
      </c>
      <c r="AH177" s="315">
        <v>0</v>
      </c>
      <c r="AI177" s="315">
        <v>0</v>
      </c>
      <c r="AJ177" s="315">
        <v>0</v>
      </c>
      <c r="AK177" s="315">
        <v>0</v>
      </c>
      <c r="AL177" s="315">
        <v>0</v>
      </c>
      <c r="AM177" s="315">
        <v>0</v>
      </c>
      <c r="AN177" s="315">
        <v>0</v>
      </c>
      <c r="AO177" s="315">
        <v>0</v>
      </c>
      <c r="AP177" s="315">
        <v>0</v>
      </c>
      <c r="AQ177" s="315">
        <v>0</v>
      </c>
      <c r="AR177" s="315">
        <v>0</v>
      </c>
      <c r="AS177" s="315">
        <v>0</v>
      </c>
      <c r="AT177" s="315">
        <v>0</v>
      </c>
      <c r="AU177" s="315">
        <v>0</v>
      </c>
      <c r="AV177" s="315">
        <v>0</v>
      </c>
      <c r="AW177" s="315">
        <v>0</v>
      </c>
      <c r="AX177" s="315">
        <v>0</v>
      </c>
      <c r="AY177" s="315">
        <v>0</v>
      </c>
      <c r="AZ177" s="315">
        <v>0</v>
      </c>
      <c r="BA177" s="315">
        <v>0</v>
      </c>
      <c r="BB177" s="315">
        <v>0</v>
      </c>
      <c r="BC177" s="315">
        <v>0</v>
      </c>
      <c r="BD177" s="315">
        <v>0</v>
      </c>
      <c r="BE177" s="315">
        <v>0</v>
      </c>
      <c r="BF177" s="315">
        <v>0</v>
      </c>
      <c r="BG177" s="315">
        <v>0</v>
      </c>
      <c r="BH177" s="315">
        <v>0</v>
      </c>
      <c r="BI177" s="315">
        <v>0</v>
      </c>
      <c r="BJ177" s="315">
        <v>0</v>
      </c>
      <c r="BK177" s="315">
        <v>0</v>
      </c>
      <c r="BL177" s="315">
        <v>0</v>
      </c>
      <c r="BM177" s="315">
        <v>0</v>
      </c>
      <c r="BN177" s="315">
        <v>0</v>
      </c>
      <c r="BO177" s="315">
        <v>0</v>
      </c>
      <c r="BP177" s="315">
        <v>0</v>
      </c>
      <c r="BQ177" s="315">
        <v>0</v>
      </c>
      <c r="BR177" s="315">
        <v>0</v>
      </c>
      <c r="BS177" s="315">
        <v>0</v>
      </c>
      <c r="BT177" s="315">
        <v>0</v>
      </c>
      <c r="BU177" s="315">
        <v>0</v>
      </c>
      <c r="BV177" s="315">
        <v>0</v>
      </c>
    </row>
    <row r="178" spans="12:74" hidden="1" x14ac:dyDescent="0.2">
      <c r="L178" s="315" t="e">
        <v>#REF!</v>
      </c>
      <c r="M178" s="315" t="e">
        <v>#REF!</v>
      </c>
      <c r="N178" s="315" t="e">
        <v>#REF!</v>
      </c>
      <c r="O178" s="315" t="e">
        <v>#REF!</v>
      </c>
      <c r="P178" s="315" t="e">
        <v>#REF!</v>
      </c>
      <c r="Q178" s="315" t="e">
        <v>#REF!</v>
      </c>
      <c r="R178" s="315" t="e">
        <v>#REF!</v>
      </c>
      <c r="S178" s="315" t="e">
        <v>#REF!</v>
      </c>
      <c r="T178" s="315" t="e">
        <v>#REF!</v>
      </c>
      <c r="U178" s="315" t="e">
        <v>#REF!</v>
      </c>
      <c r="V178" s="315" t="e">
        <v>#REF!</v>
      </c>
      <c r="W178" s="315" t="e">
        <v>#REF!</v>
      </c>
      <c r="X178" s="315" t="e">
        <v>#REF!</v>
      </c>
      <c r="Y178" s="315" t="e">
        <v>#REF!</v>
      </c>
      <c r="Z178" s="315" t="e">
        <v>#REF!</v>
      </c>
      <c r="AA178" s="315" t="e">
        <v>#REF!</v>
      </c>
      <c r="AB178" s="315" t="e">
        <v>#REF!</v>
      </c>
      <c r="AC178" s="315" t="e">
        <v>#REF!</v>
      </c>
      <c r="AD178" s="315" t="e">
        <v>#REF!</v>
      </c>
      <c r="AE178" s="315" t="e">
        <v>#REF!</v>
      </c>
      <c r="AF178" s="315" t="e">
        <v>#REF!</v>
      </c>
      <c r="AG178" s="315" t="e">
        <v>#REF!</v>
      </c>
      <c r="AH178" s="315" t="e">
        <v>#REF!</v>
      </c>
      <c r="AI178" s="315" t="e">
        <v>#REF!</v>
      </c>
      <c r="AJ178" s="315" t="e">
        <v>#REF!</v>
      </c>
      <c r="AK178" s="315" t="e">
        <v>#REF!</v>
      </c>
      <c r="AL178" s="315" t="e">
        <v>#REF!</v>
      </c>
      <c r="AM178" s="315" t="e">
        <v>#REF!</v>
      </c>
      <c r="AN178" s="315" t="e">
        <v>#REF!</v>
      </c>
      <c r="AO178" s="315" t="e">
        <v>#REF!</v>
      </c>
      <c r="AP178" s="315" t="e">
        <v>#REF!</v>
      </c>
      <c r="AQ178" s="315" t="e">
        <v>#REF!</v>
      </c>
      <c r="AR178" s="315" t="e">
        <v>#REF!</v>
      </c>
      <c r="AS178" s="315" t="e">
        <v>#REF!</v>
      </c>
      <c r="AT178" s="315" t="e">
        <v>#REF!</v>
      </c>
      <c r="AU178" s="315" t="e">
        <v>#REF!</v>
      </c>
      <c r="AV178" s="315" t="e">
        <v>#REF!</v>
      </c>
      <c r="AW178" s="315" t="e">
        <v>#REF!</v>
      </c>
      <c r="AX178" s="315" t="e">
        <v>#REF!</v>
      </c>
      <c r="AY178" s="315" t="e">
        <v>#REF!</v>
      </c>
      <c r="AZ178" s="315" t="e">
        <v>#REF!</v>
      </c>
      <c r="BA178" s="315" t="e">
        <v>#REF!</v>
      </c>
      <c r="BB178" s="315" t="e">
        <v>#REF!</v>
      </c>
      <c r="BC178" s="315" t="e">
        <v>#REF!</v>
      </c>
      <c r="BD178" s="315" t="e">
        <v>#REF!</v>
      </c>
      <c r="BE178" s="315" t="e">
        <v>#REF!</v>
      </c>
      <c r="BF178" s="315" t="e">
        <v>#REF!</v>
      </c>
      <c r="BG178" s="315" t="e">
        <v>#REF!</v>
      </c>
      <c r="BH178" s="315" t="e">
        <v>#REF!</v>
      </c>
      <c r="BI178" s="315" t="e">
        <v>#REF!</v>
      </c>
      <c r="BJ178" s="315" t="e">
        <v>#REF!</v>
      </c>
      <c r="BK178" s="315" t="e">
        <v>#REF!</v>
      </c>
      <c r="BL178" s="315" t="e">
        <v>#REF!</v>
      </c>
      <c r="BM178" s="315" t="e">
        <v>#REF!</v>
      </c>
      <c r="BN178" s="315" t="e">
        <v>#REF!</v>
      </c>
      <c r="BO178" s="315" t="e">
        <v>#REF!</v>
      </c>
      <c r="BP178" s="315" t="e">
        <v>#REF!</v>
      </c>
      <c r="BQ178" s="315" t="e">
        <v>#REF!</v>
      </c>
      <c r="BR178" s="315" t="e">
        <v>#REF!</v>
      </c>
      <c r="BS178" s="315" t="e">
        <v>#REF!</v>
      </c>
      <c r="BT178" s="315" t="e">
        <v>#REF!</v>
      </c>
      <c r="BU178" s="315" t="e">
        <v>#REF!</v>
      </c>
      <c r="BV178" s="315" t="e">
        <v>#REF!</v>
      </c>
    </row>
    <row r="179" spans="12:74" hidden="1" x14ac:dyDescent="0.2">
      <c r="L179" s="315">
        <v>0</v>
      </c>
      <c r="M179" s="315">
        <v>0</v>
      </c>
      <c r="N179" s="315">
        <v>0</v>
      </c>
      <c r="O179" s="315">
        <v>0</v>
      </c>
      <c r="P179" s="315">
        <v>0</v>
      </c>
      <c r="Q179" s="315">
        <v>0</v>
      </c>
      <c r="R179" s="315">
        <v>0</v>
      </c>
      <c r="S179" s="315">
        <v>0</v>
      </c>
      <c r="T179" s="315">
        <v>0</v>
      </c>
      <c r="U179" s="315">
        <v>0</v>
      </c>
      <c r="V179" s="315">
        <v>0</v>
      </c>
      <c r="W179" s="315">
        <v>0</v>
      </c>
      <c r="X179" s="315">
        <v>0</v>
      </c>
      <c r="Y179" s="315">
        <v>0</v>
      </c>
      <c r="Z179" s="315">
        <v>0</v>
      </c>
      <c r="AA179" s="315">
        <v>0</v>
      </c>
      <c r="AB179" s="315">
        <v>0</v>
      </c>
      <c r="AC179" s="315">
        <v>0</v>
      </c>
      <c r="AD179" s="315">
        <v>0</v>
      </c>
      <c r="AE179" s="315">
        <v>0</v>
      </c>
      <c r="AF179" s="315">
        <v>0</v>
      </c>
      <c r="AG179" s="315">
        <v>0</v>
      </c>
      <c r="AH179" s="315">
        <v>0</v>
      </c>
      <c r="AI179" s="315">
        <v>0</v>
      </c>
      <c r="AJ179" s="315">
        <v>0</v>
      </c>
      <c r="AK179" s="315">
        <v>0</v>
      </c>
      <c r="AL179" s="315">
        <v>0</v>
      </c>
      <c r="AM179" s="315">
        <v>0</v>
      </c>
      <c r="AN179" s="315">
        <v>0</v>
      </c>
      <c r="AO179" s="315">
        <v>0</v>
      </c>
      <c r="AP179" s="315">
        <v>0</v>
      </c>
      <c r="AQ179" s="315">
        <v>0</v>
      </c>
      <c r="AR179" s="315">
        <v>0</v>
      </c>
      <c r="AS179" s="315">
        <v>0</v>
      </c>
      <c r="AT179" s="315">
        <v>0</v>
      </c>
      <c r="AU179" s="315">
        <v>0</v>
      </c>
      <c r="AV179" s="315">
        <v>0</v>
      </c>
      <c r="AW179" s="315">
        <v>0</v>
      </c>
      <c r="AX179" s="315">
        <v>0</v>
      </c>
      <c r="AY179" s="315">
        <v>0</v>
      </c>
      <c r="AZ179" s="315">
        <v>0</v>
      </c>
      <c r="BA179" s="315">
        <v>0</v>
      </c>
      <c r="BB179" s="315">
        <v>0</v>
      </c>
      <c r="BC179" s="315">
        <v>0</v>
      </c>
      <c r="BD179" s="315">
        <v>0</v>
      </c>
      <c r="BE179" s="315">
        <v>0</v>
      </c>
      <c r="BF179" s="315">
        <v>0</v>
      </c>
      <c r="BG179" s="315">
        <v>0</v>
      </c>
      <c r="BH179" s="315">
        <v>0</v>
      </c>
      <c r="BI179" s="315">
        <v>0</v>
      </c>
      <c r="BJ179" s="315">
        <v>0</v>
      </c>
      <c r="BK179" s="315">
        <v>0</v>
      </c>
      <c r="BL179" s="315">
        <v>0</v>
      </c>
      <c r="BM179" s="315">
        <v>0</v>
      </c>
      <c r="BN179" s="315">
        <v>0</v>
      </c>
      <c r="BO179" s="315">
        <v>0</v>
      </c>
      <c r="BP179" s="315">
        <v>0</v>
      </c>
      <c r="BQ179" s="315">
        <v>0</v>
      </c>
      <c r="BR179" s="315">
        <v>0</v>
      </c>
      <c r="BS179" s="315">
        <v>0</v>
      </c>
      <c r="BT179" s="315">
        <v>0</v>
      </c>
      <c r="BU179" s="315">
        <v>0</v>
      </c>
      <c r="BV179" s="315">
        <v>0</v>
      </c>
    </row>
    <row r="180" spans="12:74" hidden="1" x14ac:dyDescent="0.2">
      <c r="L180" s="315">
        <v>0</v>
      </c>
      <c r="M180" s="315">
        <v>0</v>
      </c>
      <c r="N180" s="315">
        <v>0</v>
      </c>
      <c r="O180" s="315">
        <v>0</v>
      </c>
      <c r="P180" s="315">
        <v>0</v>
      </c>
      <c r="Q180" s="315">
        <v>0</v>
      </c>
      <c r="R180" s="315">
        <v>0</v>
      </c>
      <c r="S180" s="315">
        <v>0</v>
      </c>
      <c r="T180" s="315">
        <v>0</v>
      </c>
      <c r="U180" s="315">
        <v>0</v>
      </c>
      <c r="V180" s="315">
        <v>0</v>
      </c>
      <c r="W180" s="315">
        <v>0</v>
      </c>
      <c r="X180" s="315">
        <v>0</v>
      </c>
      <c r="Y180" s="315">
        <v>0</v>
      </c>
      <c r="Z180" s="315">
        <v>0</v>
      </c>
      <c r="AA180" s="315">
        <v>0</v>
      </c>
      <c r="AB180" s="315">
        <v>0</v>
      </c>
      <c r="AC180" s="315">
        <v>0</v>
      </c>
      <c r="AD180" s="315">
        <v>0</v>
      </c>
      <c r="AE180" s="315">
        <v>0</v>
      </c>
      <c r="AF180" s="315">
        <v>0</v>
      </c>
      <c r="AG180" s="315">
        <v>0</v>
      </c>
      <c r="AH180" s="315">
        <v>0</v>
      </c>
      <c r="AI180" s="315">
        <v>0</v>
      </c>
      <c r="AJ180" s="315">
        <v>0</v>
      </c>
      <c r="AK180" s="315">
        <v>0</v>
      </c>
      <c r="AL180" s="315">
        <v>0</v>
      </c>
      <c r="AM180" s="315">
        <v>0</v>
      </c>
      <c r="AN180" s="315">
        <v>0</v>
      </c>
      <c r="AO180" s="315">
        <v>0</v>
      </c>
      <c r="AP180" s="315">
        <v>0</v>
      </c>
      <c r="AQ180" s="315">
        <v>0</v>
      </c>
      <c r="AR180" s="315">
        <v>0</v>
      </c>
      <c r="AS180" s="315">
        <v>0</v>
      </c>
      <c r="AT180" s="315">
        <v>0</v>
      </c>
      <c r="AU180" s="315">
        <v>0</v>
      </c>
      <c r="AV180" s="315">
        <v>0</v>
      </c>
      <c r="AW180" s="315">
        <v>0</v>
      </c>
      <c r="AX180" s="315">
        <v>0</v>
      </c>
      <c r="AY180" s="315">
        <v>0</v>
      </c>
      <c r="AZ180" s="315">
        <v>0</v>
      </c>
      <c r="BA180" s="315">
        <v>0</v>
      </c>
      <c r="BB180" s="315">
        <v>0</v>
      </c>
      <c r="BC180" s="315">
        <v>0</v>
      </c>
      <c r="BD180" s="315">
        <v>0</v>
      </c>
      <c r="BE180" s="315">
        <v>0</v>
      </c>
      <c r="BF180" s="315">
        <v>0</v>
      </c>
      <c r="BG180" s="315">
        <v>0</v>
      </c>
      <c r="BH180" s="315">
        <v>0</v>
      </c>
      <c r="BI180" s="315">
        <v>0</v>
      </c>
      <c r="BJ180" s="315">
        <v>0</v>
      </c>
      <c r="BK180" s="315">
        <v>0</v>
      </c>
      <c r="BL180" s="315">
        <v>0</v>
      </c>
      <c r="BM180" s="315">
        <v>0</v>
      </c>
      <c r="BN180" s="315">
        <v>0</v>
      </c>
      <c r="BO180" s="315">
        <v>0</v>
      </c>
      <c r="BP180" s="315">
        <v>0</v>
      </c>
      <c r="BQ180" s="315">
        <v>0</v>
      </c>
      <c r="BR180" s="315">
        <v>0</v>
      </c>
      <c r="BS180" s="315">
        <v>0</v>
      </c>
      <c r="BT180" s="315">
        <v>0</v>
      </c>
      <c r="BU180" s="315">
        <v>0</v>
      </c>
      <c r="BV180" s="315">
        <v>0</v>
      </c>
    </row>
    <row r="181" spans="12:74" hidden="1" x14ac:dyDescent="0.2">
      <c r="L181" s="315">
        <v>-7145000</v>
      </c>
      <c r="M181" s="315">
        <v>0</v>
      </c>
      <c r="N181" s="315">
        <v>0</v>
      </c>
      <c r="O181" s="315">
        <v>0</v>
      </c>
      <c r="P181" s="315">
        <v>0</v>
      </c>
      <c r="Q181" s="315">
        <v>235000</v>
      </c>
      <c r="R181" s="315">
        <v>0</v>
      </c>
      <c r="S181" s="315">
        <v>0</v>
      </c>
      <c r="T181" s="315">
        <v>0</v>
      </c>
      <c r="U181" s="315">
        <v>0</v>
      </c>
      <c r="V181" s="315">
        <v>-5735000</v>
      </c>
      <c r="W181" s="315">
        <v>0</v>
      </c>
      <c r="X181" s="315">
        <v>0</v>
      </c>
      <c r="Y181" s="315">
        <v>0</v>
      </c>
      <c r="Z181" s="315">
        <v>0</v>
      </c>
      <c r="AA181" s="315">
        <v>-3165000</v>
      </c>
      <c r="AB181" s="315">
        <v>0</v>
      </c>
      <c r="AC181" s="315">
        <v>0</v>
      </c>
      <c r="AD181" s="315">
        <v>0</v>
      </c>
      <c r="AE181" s="315">
        <v>0</v>
      </c>
      <c r="AF181" s="315">
        <v>-4370000</v>
      </c>
      <c r="AG181" s="315">
        <v>0</v>
      </c>
      <c r="AH181" s="315">
        <v>0</v>
      </c>
      <c r="AI181" s="315">
        <v>0</v>
      </c>
      <c r="AJ181" s="315">
        <v>0</v>
      </c>
      <c r="AK181" s="315">
        <v>-2270000</v>
      </c>
      <c r="AL181" s="315">
        <v>0</v>
      </c>
      <c r="AM181" s="315">
        <v>0</v>
      </c>
      <c r="AN181" s="315">
        <v>0</v>
      </c>
      <c r="AO181" s="315">
        <v>0</v>
      </c>
      <c r="AP181" s="315">
        <v>-4260000</v>
      </c>
      <c r="AQ181" s="315">
        <v>0</v>
      </c>
      <c r="AR181" s="315">
        <v>0</v>
      </c>
      <c r="AS181" s="315">
        <v>0</v>
      </c>
      <c r="AT181" s="315">
        <v>0</v>
      </c>
      <c r="AU181" s="315">
        <v>-3475000</v>
      </c>
      <c r="AV181" s="315">
        <v>0</v>
      </c>
      <c r="AW181" s="315">
        <v>0</v>
      </c>
      <c r="AX181" s="315">
        <v>0</v>
      </c>
      <c r="AY181" s="315">
        <v>0</v>
      </c>
      <c r="AZ181" s="315">
        <v>-3320000</v>
      </c>
      <c r="BA181" s="315">
        <v>0</v>
      </c>
      <c r="BB181" s="315">
        <v>0</v>
      </c>
      <c r="BC181" s="315">
        <v>0</v>
      </c>
      <c r="BD181" s="315">
        <v>0</v>
      </c>
      <c r="BE181" s="315">
        <v>-2325000</v>
      </c>
      <c r="BF181" s="315">
        <v>0</v>
      </c>
      <c r="BG181" s="315">
        <v>0</v>
      </c>
      <c r="BH181" s="315">
        <v>0</v>
      </c>
      <c r="BI181" s="315">
        <v>0</v>
      </c>
      <c r="BJ181" s="315">
        <v>-2615000</v>
      </c>
      <c r="BK181" s="315">
        <v>0</v>
      </c>
      <c r="BL181" s="315">
        <v>0</v>
      </c>
      <c r="BM181" s="315">
        <v>0</v>
      </c>
      <c r="BN181" s="315">
        <v>0</v>
      </c>
      <c r="BO181" s="315">
        <v>-1885000</v>
      </c>
      <c r="BP181" s="315">
        <v>0</v>
      </c>
      <c r="BQ181" s="315">
        <v>0</v>
      </c>
      <c r="BR181" s="315">
        <v>0</v>
      </c>
      <c r="BS181" s="315">
        <v>0</v>
      </c>
      <c r="BT181" s="315">
        <v>-26710000</v>
      </c>
      <c r="BU181" s="315">
        <v>0</v>
      </c>
      <c r="BV181" s="315">
        <v>0</v>
      </c>
    </row>
    <row r="182" spans="12:74" hidden="1" x14ac:dyDescent="0.2">
      <c r="L182" s="315">
        <v>-7145000</v>
      </c>
      <c r="M182" s="315">
        <v>0</v>
      </c>
      <c r="N182" s="315">
        <v>0</v>
      </c>
      <c r="O182" s="315">
        <v>0</v>
      </c>
      <c r="P182" s="315">
        <v>0</v>
      </c>
      <c r="Q182" s="315">
        <v>235000</v>
      </c>
      <c r="R182" s="315">
        <v>0</v>
      </c>
      <c r="S182" s="315">
        <v>0</v>
      </c>
      <c r="T182" s="315">
        <v>0</v>
      </c>
      <c r="U182" s="315">
        <v>0</v>
      </c>
      <c r="V182" s="315">
        <v>-5735000</v>
      </c>
      <c r="W182" s="315">
        <v>0</v>
      </c>
      <c r="X182" s="315">
        <v>0</v>
      </c>
      <c r="Y182" s="315">
        <v>0</v>
      </c>
      <c r="Z182" s="315">
        <v>0</v>
      </c>
      <c r="AA182" s="315">
        <v>-3165000</v>
      </c>
      <c r="AB182" s="315">
        <v>0</v>
      </c>
      <c r="AC182" s="315">
        <v>0</v>
      </c>
      <c r="AD182" s="315">
        <v>0</v>
      </c>
      <c r="AE182" s="315">
        <v>0</v>
      </c>
      <c r="AF182" s="315">
        <v>-4370000</v>
      </c>
      <c r="AG182" s="315">
        <v>0</v>
      </c>
      <c r="AH182" s="315">
        <v>0</v>
      </c>
      <c r="AI182" s="315">
        <v>0</v>
      </c>
      <c r="AJ182" s="315">
        <v>0</v>
      </c>
      <c r="AK182" s="315">
        <v>-2270000</v>
      </c>
      <c r="AL182" s="315">
        <v>0</v>
      </c>
      <c r="AM182" s="315">
        <v>0</v>
      </c>
      <c r="AN182" s="315">
        <v>0</v>
      </c>
      <c r="AO182" s="315">
        <v>0</v>
      </c>
      <c r="AP182" s="315">
        <v>-4260000</v>
      </c>
      <c r="AQ182" s="315">
        <v>0</v>
      </c>
      <c r="AR182" s="315">
        <v>0</v>
      </c>
      <c r="AS182" s="315">
        <v>0</v>
      </c>
      <c r="AT182" s="315">
        <v>0</v>
      </c>
      <c r="AU182" s="315">
        <v>-3475000</v>
      </c>
      <c r="AV182" s="315">
        <v>0</v>
      </c>
      <c r="AW182" s="315">
        <v>0</v>
      </c>
      <c r="AX182" s="315">
        <v>0</v>
      </c>
      <c r="AY182" s="315">
        <v>0</v>
      </c>
      <c r="AZ182" s="315">
        <v>-3320000</v>
      </c>
      <c r="BA182" s="315">
        <v>0</v>
      </c>
      <c r="BB182" s="315">
        <v>0</v>
      </c>
      <c r="BC182" s="315">
        <v>0</v>
      </c>
      <c r="BD182" s="315">
        <v>0</v>
      </c>
      <c r="BE182" s="315">
        <v>-2325000</v>
      </c>
      <c r="BF182" s="315">
        <v>0</v>
      </c>
      <c r="BG182" s="315">
        <v>0</v>
      </c>
      <c r="BH182" s="315">
        <v>0</v>
      </c>
      <c r="BI182" s="315">
        <v>0</v>
      </c>
      <c r="BJ182" s="315">
        <v>-2615000</v>
      </c>
      <c r="BK182" s="315">
        <v>0</v>
      </c>
      <c r="BL182" s="315">
        <v>0</v>
      </c>
      <c r="BM182" s="315">
        <v>0</v>
      </c>
      <c r="BN182" s="315">
        <v>0</v>
      </c>
      <c r="BO182" s="315">
        <v>-1885000</v>
      </c>
      <c r="BP182" s="315">
        <v>0</v>
      </c>
      <c r="BQ182" s="315">
        <v>0</v>
      </c>
      <c r="BR182" s="315">
        <v>0</v>
      </c>
      <c r="BS182" s="315">
        <v>0</v>
      </c>
      <c r="BT182" s="315">
        <v>-26710000</v>
      </c>
      <c r="BU182" s="315">
        <v>0</v>
      </c>
      <c r="BV182" s="315">
        <v>0</v>
      </c>
    </row>
    <row r="183" spans="12:74" hidden="1" x14ac:dyDescent="0.2">
      <c r="L183" s="315">
        <v>0</v>
      </c>
      <c r="M183" s="315">
        <v>0</v>
      </c>
      <c r="N183" s="315">
        <v>0</v>
      </c>
      <c r="O183" s="315">
        <v>0</v>
      </c>
      <c r="P183" s="315">
        <v>0</v>
      </c>
      <c r="Q183" s="315">
        <v>0</v>
      </c>
      <c r="R183" s="315">
        <v>0</v>
      </c>
      <c r="S183" s="315">
        <v>0</v>
      </c>
      <c r="T183" s="315">
        <v>0</v>
      </c>
      <c r="U183" s="315">
        <v>0</v>
      </c>
      <c r="V183" s="315">
        <v>0</v>
      </c>
      <c r="W183" s="315">
        <v>0</v>
      </c>
      <c r="X183" s="315">
        <v>0</v>
      </c>
      <c r="Y183" s="315">
        <v>0</v>
      </c>
      <c r="Z183" s="315">
        <v>0</v>
      </c>
      <c r="AA183" s="315">
        <v>0</v>
      </c>
      <c r="AB183" s="315">
        <v>0</v>
      </c>
      <c r="AC183" s="315">
        <v>0</v>
      </c>
      <c r="AD183" s="315">
        <v>0</v>
      </c>
      <c r="AE183" s="315">
        <v>0</v>
      </c>
      <c r="AF183" s="315">
        <v>0</v>
      </c>
      <c r="AG183" s="315">
        <v>0</v>
      </c>
      <c r="AH183" s="315">
        <v>0</v>
      </c>
      <c r="AI183" s="315">
        <v>0</v>
      </c>
      <c r="AJ183" s="315">
        <v>0</v>
      </c>
      <c r="AK183" s="315">
        <v>0</v>
      </c>
      <c r="AL183" s="315">
        <v>0</v>
      </c>
      <c r="AM183" s="315">
        <v>0</v>
      </c>
      <c r="AN183" s="315">
        <v>0</v>
      </c>
      <c r="AO183" s="315">
        <v>0</v>
      </c>
      <c r="AP183" s="315">
        <v>0</v>
      </c>
      <c r="AQ183" s="315">
        <v>0</v>
      </c>
      <c r="AR183" s="315">
        <v>0</v>
      </c>
      <c r="AS183" s="315">
        <v>0</v>
      </c>
      <c r="AT183" s="315">
        <v>0</v>
      </c>
      <c r="AU183" s="315">
        <v>0</v>
      </c>
      <c r="AV183" s="315">
        <v>0</v>
      </c>
      <c r="AW183" s="315">
        <v>0</v>
      </c>
      <c r="AX183" s="315">
        <v>0</v>
      </c>
      <c r="AY183" s="315">
        <v>0</v>
      </c>
      <c r="AZ183" s="315">
        <v>0</v>
      </c>
      <c r="BA183" s="315">
        <v>0</v>
      </c>
      <c r="BB183" s="315">
        <v>0</v>
      </c>
      <c r="BC183" s="315">
        <v>0</v>
      </c>
      <c r="BD183" s="315">
        <v>0</v>
      </c>
      <c r="BE183" s="315">
        <v>0</v>
      </c>
      <c r="BF183" s="315">
        <v>0</v>
      </c>
      <c r="BG183" s="315">
        <v>0</v>
      </c>
      <c r="BH183" s="315">
        <v>0</v>
      </c>
      <c r="BI183" s="315">
        <v>0</v>
      </c>
      <c r="BJ183" s="315">
        <v>0</v>
      </c>
      <c r="BK183" s="315">
        <v>0</v>
      </c>
      <c r="BL183" s="315">
        <v>0</v>
      </c>
      <c r="BM183" s="315">
        <v>0</v>
      </c>
      <c r="BN183" s="315">
        <v>0</v>
      </c>
      <c r="BO183" s="315">
        <v>0</v>
      </c>
      <c r="BP183" s="315">
        <v>0</v>
      </c>
      <c r="BQ183" s="315">
        <v>0</v>
      </c>
      <c r="BR183" s="315">
        <v>0</v>
      </c>
      <c r="BS183" s="315">
        <v>0</v>
      </c>
      <c r="BT183" s="315">
        <v>0</v>
      </c>
      <c r="BU183" s="315">
        <v>0</v>
      </c>
      <c r="BV183" s="315">
        <v>0</v>
      </c>
    </row>
    <row r="184" spans="12:74" hidden="1" x14ac:dyDescent="0.2">
      <c r="L184" s="315">
        <v>0</v>
      </c>
      <c r="M184" s="315">
        <v>0</v>
      </c>
      <c r="N184" s="315">
        <v>0</v>
      </c>
      <c r="O184" s="315">
        <v>0</v>
      </c>
      <c r="P184" s="315">
        <v>0</v>
      </c>
      <c r="Q184" s="315">
        <v>0</v>
      </c>
      <c r="R184" s="315">
        <v>0</v>
      </c>
      <c r="S184" s="315">
        <v>0</v>
      </c>
      <c r="T184" s="315">
        <v>0</v>
      </c>
      <c r="U184" s="315">
        <v>0</v>
      </c>
      <c r="V184" s="315">
        <v>0</v>
      </c>
      <c r="W184" s="315">
        <v>0</v>
      </c>
      <c r="X184" s="315">
        <v>0</v>
      </c>
      <c r="Y184" s="315">
        <v>0</v>
      </c>
      <c r="Z184" s="315">
        <v>0</v>
      </c>
      <c r="AA184" s="315">
        <v>0</v>
      </c>
      <c r="AB184" s="315">
        <v>0</v>
      </c>
      <c r="AC184" s="315">
        <v>0</v>
      </c>
      <c r="AD184" s="315">
        <v>0</v>
      </c>
      <c r="AE184" s="315">
        <v>0</v>
      </c>
      <c r="AF184" s="315">
        <v>0</v>
      </c>
      <c r="AG184" s="315">
        <v>0</v>
      </c>
      <c r="AH184" s="315">
        <v>0</v>
      </c>
      <c r="AI184" s="315">
        <v>0</v>
      </c>
      <c r="AJ184" s="315">
        <v>0</v>
      </c>
      <c r="AK184" s="315">
        <v>0</v>
      </c>
      <c r="AL184" s="315">
        <v>0</v>
      </c>
      <c r="AM184" s="315">
        <v>0</v>
      </c>
      <c r="AN184" s="315">
        <v>0</v>
      </c>
      <c r="AO184" s="315">
        <v>0</v>
      </c>
      <c r="AP184" s="315">
        <v>0</v>
      </c>
      <c r="AQ184" s="315">
        <v>0</v>
      </c>
      <c r="AR184" s="315">
        <v>0</v>
      </c>
      <c r="AS184" s="315">
        <v>0</v>
      </c>
      <c r="AT184" s="315">
        <v>0</v>
      </c>
      <c r="AU184" s="315">
        <v>0</v>
      </c>
      <c r="AV184" s="315">
        <v>0</v>
      </c>
      <c r="AW184" s="315">
        <v>0</v>
      </c>
      <c r="AX184" s="315">
        <v>0</v>
      </c>
      <c r="AY184" s="315">
        <v>0</v>
      </c>
      <c r="AZ184" s="315">
        <v>0</v>
      </c>
      <c r="BA184" s="315">
        <v>0</v>
      </c>
      <c r="BB184" s="315">
        <v>0</v>
      </c>
      <c r="BC184" s="315">
        <v>0</v>
      </c>
      <c r="BD184" s="315">
        <v>0</v>
      </c>
      <c r="BE184" s="315">
        <v>0</v>
      </c>
      <c r="BF184" s="315">
        <v>0</v>
      </c>
      <c r="BG184" s="315">
        <v>0</v>
      </c>
      <c r="BH184" s="315">
        <v>0</v>
      </c>
      <c r="BI184" s="315">
        <v>0</v>
      </c>
      <c r="BJ184" s="315">
        <v>0</v>
      </c>
      <c r="BK184" s="315">
        <v>0</v>
      </c>
      <c r="BL184" s="315">
        <v>0</v>
      </c>
      <c r="BM184" s="315">
        <v>0</v>
      </c>
      <c r="BN184" s="315">
        <v>0</v>
      </c>
      <c r="BO184" s="315">
        <v>0</v>
      </c>
      <c r="BP184" s="315">
        <v>0</v>
      </c>
      <c r="BQ184" s="315">
        <v>0</v>
      </c>
      <c r="BR184" s="315">
        <v>0</v>
      </c>
      <c r="BS184" s="315">
        <v>0</v>
      </c>
      <c r="BT184" s="315">
        <v>0</v>
      </c>
      <c r="BU184" s="315">
        <v>0</v>
      </c>
      <c r="BV184" s="315">
        <v>0</v>
      </c>
    </row>
    <row r="185" spans="12:74" hidden="1" x14ac:dyDescent="0.2">
      <c r="L185" s="315">
        <v>0</v>
      </c>
      <c r="M185" s="315">
        <v>0</v>
      </c>
      <c r="N185" s="315">
        <v>0</v>
      </c>
      <c r="O185" s="315">
        <v>0</v>
      </c>
      <c r="P185" s="315">
        <v>0</v>
      </c>
      <c r="Q185" s="315">
        <v>0</v>
      </c>
      <c r="R185" s="315">
        <v>0</v>
      </c>
      <c r="S185" s="315">
        <v>0</v>
      </c>
      <c r="T185" s="315">
        <v>0</v>
      </c>
      <c r="U185" s="315">
        <v>0</v>
      </c>
      <c r="V185" s="315">
        <v>0</v>
      </c>
      <c r="W185" s="315">
        <v>0</v>
      </c>
      <c r="X185" s="315">
        <v>0</v>
      </c>
      <c r="Y185" s="315">
        <v>0</v>
      </c>
      <c r="Z185" s="315">
        <v>0</v>
      </c>
      <c r="AA185" s="315">
        <v>0</v>
      </c>
      <c r="AB185" s="315">
        <v>0</v>
      </c>
      <c r="AC185" s="315">
        <v>0</v>
      </c>
      <c r="AD185" s="315">
        <v>0</v>
      </c>
      <c r="AE185" s="315">
        <v>0</v>
      </c>
      <c r="AF185" s="315">
        <v>0</v>
      </c>
      <c r="AG185" s="315">
        <v>0</v>
      </c>
      <c r="AH185" s="315">
        <v>0</v>
      </c>
      <c r="AI185" s="315">
        <v>0</v>
      </c>
      <c r="AJ185" s="315">
        <v>0</v>
      </c>
      <c r="AK185" s="315">
        <v>0</v>
      </c>
      <c r="AL185" s="315">
        <v>0</v>
      </c>
      <c r="AM185" s="315">
        <v>0</v>
      </c>
      <c r="AN185" s="315">
        <v>0</v>
      </c>
      <c r="AO185" s="315">
        <v>0</v>
      </c>
      <c r="AP185" s="315">
        <v>0</v>
      </c>
      <c r="AQ185" s="315">
        <v>0</v>
      </c>
      <c r="AR185" s="315">
        <v>0</v>
      </c>
      <c r="AS185" s="315">
        <v>0</v>
      </c>
      <c r="AT185" s="315">
        <v>0</v>
      </c>
      <c r="AU185" s="315">
        <v>0</v>
      </c>
      <c r="AV185" s="315">
        <v>0</v>
      </c>
      <c r="AW185" s="315">
        <v>0</v>
      </c>
      <c r="AX185" s="315">
        <v>0</v>
      </c>
      <c r="AY185" s="315">
        <v>0</v>
      </c>
      <c r="AZ185" s="315">
        <v>0</v>
      </c>
      <c r="BA185" s="315">
        <v>0</v>
      </c>
      <c r="BB185" s="315">
        <v>0</v>
      </c>
      <c r="BC185" s="315">
        <v>0</v>
      </c>
      <c r="BD185" s="315">
        <v>0</v>
      </c>
      <c r="BE185" s="315">
        <v>0</v>
      </c>
      <c r="BF185" s="315">
        <v>0</v>
      </c>
      <c r="BG185" s="315">
        <v>0</v>
      </c>
      <c r="BH185" s="315">
        <v>0</v>
      </c>
      <c r="BI185" s="315">
        <v>0</v>
      </c>
      <c r="BJ185" s="315">
        <v>0</v>
      </c>
      <c r="BK185" s="315">
        <v>0</v>
      </c>
      <c r="BL185" s="315">
        <v>0</v>
      </c>
      <c r="BM185" s="315">
        <v>0</v>
      </c>
      <c r="BN185" s="315">
        <v>0</v>
      </c>
      <c r="BO185" s="315">
        <v>0</v>
      </c>
      <c r="BP185" s="315">
        <v>0</v>
      </c>
      <c r="BQ185" s="315">
        <v>0</v>
      </c>
      <c r="BR185" s="315">
        <v>0</v>
      </c>
      <c r="BS185" s="315">
        <v>0</v>
      </c>
      <c r="BT185" s="315">
        <v>0</v>
      </c>
      <c r="BU185" s="315">
        <v>0</v>
      </c>
      <c r="BV185" s="315">
        <v>0</v>
      </c>
    </row>
    <row r="186" spans="12:74" hidden="1" x14ac:dyDescent="0.2">
      <c r="L186" s="315">
        <v>-7145000</v>
      </c>
      <c r="M186" s="315">
        <v>0</v>
      </c>
      <c r="N186" s="315">
        <v>0</v>
      </c>
      <c r="O186" s="315">
        <v>0</v>
      </c>
      <c r="P186" s="315">
        <v>0</v>
      </c>
      <c r="Q186" s="315">
        <v>235000</v>
      </c>
      <c r="R186" s="315">
        <v>0</v>
      </c>
      <c r="S186" s="315">
        <v>0</v>
      </c>
      <c r="T186" s="315">
        <v>0</v>
      </c>
      <c r="U186" s="315">
        <v>0</v>
      </c>
      <c r="V186" s="315">
        <v>-5735000</v>
      </c>
      <c r="W186" s="315">
        <v>0</v>
      </c>
      <c r="X186" s="315">
        <v>0</v>
      </c>
      <c r="Y186" s="315">
        <v>0</v>
      </c>
      <c r="Z186" s="315">
        <v>0</v>
      </c>
      <c r="AA186" s="315">
        <v>-3165000</v>
      </c>
      <c r="AB186" s="315">
        <v>0</v>
      </c>
      <c r="AC186" s="315">
        <v>0</v>
      </c>
      <c r="AD186" s="315">
        <v>0</v>
      </c>
      <c r="AE186" s="315">
        <v>0</v>
      </c>
      <c r="AF186" s="315">
        <v>-4370000</v>
      </c>
      <c r="AG186" s="315">
        <v>0</v>
      </c>
      <c r="AH186" s="315">
        <v>0</v>
      </c>
      <c r="AI186" s="315">
        <v>0</v>
      </c>
      <c r="AJ186" s="315">
        <v>0</v>
      </c>
      <c r="AK186" s="315">
        <v>-2270000</v>
      </c>
      <c r="AL186" s="315">
        <v>0</v>
      </c>
      <c r="AM186" s="315">
        <v>0</v>
      </c>
      <c r="AN186" s="315">
        <v>0</v>
      </c>
      <c r="AO186" s="315">
        <v>0</v>
      </c>
      <c r="AP186" s="315">
        <v>-4260000</v>
      </c>
      <c r="AQ186" s="315">
        <v>0</v>
      </c>
      <c r="AR186" s="315">
        <v>0</v>
      </c>
      <c r="AS186" s="315">
        <v>0</v>
      </c>
      <c r="AT186" s="315">
        <v>0</v>
      </c>
      <c r="AU186" s="315">
        <v>-3475000</v>
      </c>
      <c r="AV186" s="315">
        <v>0</v>
      </c>
      <c r="AW186" s="315">
        <v>0</v>
      </c>
      <c r="AX186" s="315">
        <v>0</v>
      </c>
      <c r="AY186" s="315">
        <v>0</v>
      </c>
      <c r="AZ186" s="315">
        <v>-3320000</v>
      </c>
      <c r="BA186" s="315">
        <v>0</v>
      </c>
      <c r="BB186" s="315">
        <v>0</v>
      </c>
      <c r="BC186" s="315">
        <v>0</v>
      </c>
      <c r="BD186" s="315">
        <v>0</v>
      </c>
      <c r="BE186" s="315">
        <v>-2325000</v>
      </c>
      <c r="BF186" s="315">
        <v>0</v>
      </c>
      <c r="BG186" s="315">
        <v>0</v>
      </c>
      <c r="BH186" s="315">
        <v>0</v>
      </c>
      <c r="BI186" s="315">
        <v>0</v>
      </c>
      <c r="BJ186" s="315">
        <v>-2615000</v>
      </c>
      <c r="BK186" s="315">
        <v>0</v>
      </c>
      <c r="BL186" s="315">
        <v>0</v>
      </c>
      <c r="BM186" s="315">
        <v>0</v>
      </c>
      <c r="BN186" s="315">
        <v>0</v>
      </c>
      <c r="BO186" s="315">
        <v>-1885000</v>
      </c>
      <c r="BP186" s="315">
        <v>0</v>
      </c>
      <c r="BQ186" s="315">
        <v>0</v>
      </c>
      <c r="BR186" s="315">
        <v>0</v>
      </c>
      <c r="BS186" s="315">
        <v>0</v>
      </c>
      <c r="BT186" s="315">
        <v>-26710000</v>
      </c>
      <c r="BU186" s="315">
        <v>0</v>
      </c>
      <c r="BV186" s="315">
        <v>0</v>
      </c>
    </row>
    <row r="187" spans="12:74" hidden="1" x14ac:dyDescent="0.2">
      <c r="L187" s="315">
        <v>-7145000</v>
      </c>
      <c r="M187" s="315">
        <v>0</v>
      </c>
      <c r="N187" s="315">
        <v>0</v>
      </c>
      <c r="O187" s="315">
        <v>0</v>
      </c>
      <c r="P187" s="315">
        <v>0</v>
      </c>
      <c r="Q187" s="315">
        <v>235000</v>
      </c>
      <c r="R187" s="315">
        <v>0</v>
      </c>
      <c r="S187" s="315">
        <v>0</v>
      </c>
      <c r="T187" s="315">
        <v>0</v>
      </c>
      <c r="U187" s="315">
        <v>0</v>
      </c>
      <c r="V187" s="315">
        <v>-5735000</v>
      </c>
      <c r="W187" s="315">
        <v>0</v>
      </c>
      <c r="X187" s="315">
        <v>0</v>
      </c>
      <c r="Y187" s="315">
        <v>0</v>
      </c>
      <c r="Z187" s="315">
        <v>0</v>
      </c>
      <c r="AA187" s="315">
        <v>-3165000</v>
      </c>
      <c r="AB187" s="315">
        <v>0</v>
      </c>
      <c r="AC187" s="315">
        <v>0</v>
      </c>
      <c r="AD187" s="315">
        <v>0</v>
      </c>
      <c r="AE187" s="315">
        <v>0</v>
      </c>
      <c r="AF187" s="315">
        <v>-4370000</v>
      </c>
      <c r="AG187" s="315">
        <v>0</v>
      </c>
      <c r="AH187" s="315">
        <v>0</v>
      </c>
      <c r="AI187" s="315">
        <v>0</v>
      </c>
      <c r="AJ187" s="315">
        <v>0</v>
      </c>
      <c r="AK187" s="315">
        <v>-2270000</v>
      </c>
      <c r="AL187" s="315">
        <v>0</v>
      </c>
      <c r="AM187" s="315">
        <v>0</v>
      </c>
      <c r="AN187" s="315">
        <v>0</v>
      </c>
      <c r="AO187" s="315">
        <v>0</v>
      </c>
      <c r="AP187" s="315">
        <v>-4260000</v>
      </c>
      <c r="AQ187" s="315">
        <v>0</v>
      </c>
      <c r="AR187" s="315">
        <v>0</v>
      </c>
      <c r="AS187" s="315">
        <v>0</v>
      </c>
      <c r="AT187" s="315">
        <v>0</v>
      </c>
      <c r="AU187" s="315">
        <v>-3475000</v>
      </c>
      <c r="AV187" s="315">
        <v>0</v>
      </c>
      <c r="AW187" s="315">
        <v>0</v>
      </c>
      <c r="AX187" s="315">
        <v>0</v>
      </c>
      <c r="AY187" s="315">
        <v>0</v>
      </c>
      <c r="AZ187" s="315">
        <v>-3320000</v>
      </c>
      <c r="BA187" s="315">
        <v>0</v>
      </c>
      <c r="BB187" s="315">
        <v>0</v>
      </c>
      <c r="BC187" s="315">
        <v>0</v>
      </c>
      <c r="BD187" s="315">
        <v>0</v>
      </c>
      <c r="BE187" s="315">
        <v>-2325000</v>
      </c>
      <c r="BF187" s="315">
        <v>0</v>
      </c>
      <c r="BG187" s="315">
        <v>0</v>
      </c>
      <c r="BH187" s="315">
        <v>0</v>
      </c>
      <c r="BI187" s="315">
        <v>0</v>
      </c>
      <c r="BJ187" s="315">
        <v>-2615000</v>
      </c>
      <c r="BK187" s="315">
        <v>0</v>
      </c>
      <c r="BL187" s="315">
        <v>0</v>
      </c>
      <c r="BM187" s="315">
        <v>0</v>
      </c>
      <c r="BN187" s="315">
        <v>0</v>
      </c>
      <c r="BO187" s="315">
        <v>-1885000</v>
      </c>
      <c r="BP187" s="315">
        <v>0</v>
      </c>
      <c r="BQ187" s="315">
        <v>0</v>
      </c>
      <c r="BR187" s="315">
        <v>0</v>
      </c>
      <c r="BS187" s="315">
        <v>0</v>
      </c>
      <c r="BT187" s="315">
        <v>-26710000</v>
      </c>
      <c r="BU187" s="315">
        <v>0</v>
      </c>
      <c r="BV187" s="315">
        <v>0</v>
      </c>
    </row>
    <row r="188" spans="12:74" hidden="1" x14ac:dyDescent="0.2">
      <c r="L188" s="315">
        <v>0</v>
      </c>
      <c r="M188" s="315">
        <v>0</v>
      </c>
      <c r="N188" s="315">
        <v>0</v>
      </c>
      <c r="O188" s="315">
        <v>0</v>
      </c>
      <c r="P188" s="315">
        <v>0</v>
      </c>
      <c r="Q188" s="315">
        <v>0</v>
      </c>
      <c r="R188" s="315">
        <v>0</v>
      </c>
      <c r="S188" s="315">
        <v>0</v>
      </c>
      <c r="T188" s="315">
        <v>0</v>
      </c>
      <c r="U188" s="315">
        <v>0</v>
      </c>
      <c r="V188" s="315">
        <v>0</v>
      </c>
      <c r="W188" s="315">
        <v>0</v>
      </c>
      <c r="X188" s="315">
        <v>0</v>
      </c>
      <c r="Y188" s="315">
        <v>0</v>
      </c>
      <c r="Z188" s="315">
        <v>0</v>
      </c>
      <c r="AA188" s="315">
        <v>0</v>
      </c>
      <c r="AB188" s="315">
        <v>0</v>
      </c>
      <c r="AC188" s="315">
        <v>0</v>
      </c>
      <c r="AD188" s="315">
        <v>0</v>
      </c>
      <c r="AE188" s="315">
        <v>0</v>
      </c>
      <c r="AF188" s="315">
        <v>0</v>
      </c>
      <c r="AG188" s="315">
        <v>0</v>
      </c>
      <c r="AH188" s="315">
        <v>0</v>
      </c>
      <c r="AI188" s="315">
        <v>0</v>
      </c>
      <c r="AJ188" s="315">
        <v>0</v>
      </c>
      <c r="AK188" s="315">
        <v>0</v>
      </c>
      <c r="AL188" s="315">
        <v>0</v>
      </c>
      <c r="AM188" s="315">
        <v>0</v>
      </c>
      <c r="AN188" s="315">
        <v>0</v>
      </c>
      <c r="AO188" s="315">
        <v>0</v>
      </c>
      <c r="AP188" s="315">
        <v>0</v>
      </c>
      <c r="AQ188" s="315">
        <v>0</v>
      </c>
      <c r="AR188" s="315">
        <v>0</v>
      </c>
      <c r="AS188" s="315">
        <v>0</v>
      </c>
      <c r="AT188" s="315">
        <v>0</v>
      </c>
      <c r="AU188" s="315">
        <v>0</v>
      </c>
      <c r="AV188" s="315">
        <v>0</v>
      </c>
      <c r="AW188" s="315">
        <v>0</v>
      </c>
      <c r="AX188" s="315">
        <v>0</v>
      </c>
      <c r="AY188" s="315">
        <v>0</v>
      </c>
      <c r="AZ188" s="315">
        <v>0</v>
      </c>
      <c r="BA188" s="315">
        <v>0</v>
      </c>
      <c r="BB188" s="315">
        <v>0</v>
      </c>
      <c r="BC188" s="315">
        <v>0</v>
      </c>
      <c r="BD188" s="315">
        <v>0</v>
      </c>
      <c r="BE188" s="315">
        <v>0</v>
      </c>
      <c r="BF188" s="315">
        <v>0</v>
      </c>
      <c r="BG188" s="315">
        <v>0</v>
      </c>
      <c r="BH188" s="315">
        <v>0</v>
      </c>
      <c r="BI188" s="315">
        <v>0</v>
      </c>
      <c r="BJ188" s="315">
        <v>0</v>
      </c>
      <c r="BK188" s="315">
        <v>0</v>
      </c>
      <c r="BL188" s="315">
        <v>0</v>
      </c>
      <c r="BM188" s="315">
        <v>0</v>
      </c>
      <c r="BN188" s="315">
        <v>0</v>
      </c>
      <c r="BO188" s="315">
        <v>0</v>
      </c>
      <c r="BP188" s="315">
        <v>0</v>
      </c>
      <c r="BQ188" s="315">
        <v>0</v>
      </c>
      <c r="BR188" s="315">
        <v>0</v>
      </c>
      <c r="BS188" s="315">
        <v>0</v>
      </c>
      <c r="BT188" s="315">
        <v>0</v>
      </c>
      <c r="BU188" s="315">
        <v>0</v>
      </c>
      <c r="BV188" s="315">
        <v>0</v>
      </c>
    </row>
    <row r="189" spans="12:74" hidden="1" x14ac:dyDescent="0.2">
      <c r="L189" s="315">
        <v>0</v>
      </c>
      <c r="M189" s="315">
        <v>0</v>
      </c>
      <c r="N189" s="315">
        <v>0</v>
      </c>
      <c r="O189" s="315">
        <v>0</v>
      </c>
      <c r="P189" s="315">
        <v>0</v>
      </c>
      <c r="Q189" s="315">
        <v>0</v>
      </c>
      <c r="R189" s="315">
        <v>0</v>
      </c>
      <c r="S189" s="315">
        <v>0</v>
      </c>
      <c r="T189" s="315">
        <v>0</v>
      </c>
      <c r="U189" s="315">
        <v>0</v>
      </c>
      <c r="V189" s="315">
        <v>0</v>
      </c>
      <c r="W189" s="315">
        <v>0</v>
      </c>
      <c r="X189" s="315">
        <v>0</v>
      </c>
      <c r="Y189" s="315">
        <v>0</v>
      </c>
      <c r="Z189" s="315">
        <v>0</v>
      </c>
      <c r="AA189" s="315">
        <v>0</v>
      </c>
      <c r="AB189" s="315">
        <v>0</v>
      </c>
      <c r="AC189" s="315">
        <v>0</v>
      </c>
      <c r="AD189" s="315">
        <v>0</v>
      </c>
      <c r="AE189" s="315">
        <v>0</v>
      </c>
      <c r="AF189" s="315">
        <v>0</v>
      </c>
      <c r="AG189" s="315">
        <v>0</v>
      </c>
      <c r="AH189" s="315">
        <v>0</v>
      </c>
      <c r="AI189" s="315">
        <v>0</v>
      </c>
      <c r="AJ189" s="315">
        <v>0</v>
      </c>
      <c r="AK189" s="315">
        <v>0</v>
      </c>
      <c r="AL189" s="315">
        <v>0</v>
      </c>
      <c r="AM189" s="315">
        <v>0</v>
      </c>
      <c r="AN189" s="315">
        <v>0</v>
      </c>
      <c r="AO189" s="315">
        <v>0</v>
      </c>
      <c r="AP189" s="315">
        <v>0</v>
      </c>
      <c r="AQ189" s="315">
        <v>0</v>
      </c>
      <c r="AR189" s="315">
        <v>0</v>
      </c>
      <c r="AS189" s="315">
        <v>0</v>
      </c>
      <c r="AT189" s="315">
        <v>0</v>
      </c>
      <c r="AU189" s="315">
        <v>0</v>
      </c>
      <c r="AV189" s="315">
        <v>0</v>
      </c>
      <c r="AW189" s="315">
        <v>0</v>
      </c>
      <c r="AX189" s="315">
        <v>0</v>
      </c>
      <c r="AY189" s="315">
        <v>0</v>
      </c>
      <c r="AZ189" s="315">
        <v>0</v>
      </c>
      <c r="BA189" s="315">
        <v>0</v>
      </c>
      <c r="BB189" s="315">
        <v>0</v>
      </c>
      <c r="BC189" s="315">
        <v>0</v>
      </c>
      <c r="BD189" s="315">
        <v>0</v>
      </c>
      <c r="BE189" s="315">
        <v>0</v>
      </c>
      <c r="BF189" s="315">
        <v>0</v>
      </c>
      <c r="BG189" s="315">
        <v>0</v>
      </c>
      <c r="BH189" s="315">
        <v>0</v>
      </c>
      <c r="BI189" s="315">
        <v>0</v>
      </c>
      <c r="BJ189" s="315">
        <v>0</v>
      </c>
      <c r="BK189" s="315">
        <v>0</v>
      </c>
      <c r="BL189" s="315">
        <v>0</v>
      </c>
      <c r="BM189" s="315">
        <v>0</v>
      </c>
      <c r="BN189" s="315">
        <v>0</v>
      </c>
      <c r="BO189" s="315">
        <v>0</v>
      </c>
      <c r="BP189" s="315">
        <v>0</v>
      </c>
      <c r="BQ189" s="315">
        <v>0</v>
      </c>
      <c r="BR189" s="315">
        <v>0</v>
      </c>
      <c r="BS189" s="315">
        <v>0</v>
      </c>
      <c r="BT189" s="315">
        <v>0</v>
      </c>
      <c r="BU189" s="315">
        <v>0</v>
      </c>
      <c r="BV189" s="315">
        <v>0</v>
      </c>
    </row>
    <row r="190" spans="12:74" hidden="1" x14ac:dyDescent="0.2">
      <c r="L190" s="315">
        <v>0</v>
      </c>
      <c r="M190" s="315">
        <v>0</v>
      </c>
      <c r="N190" s="315">
        <v>0</v>
      </c>
      <c r="O190" s="315">
        <v>0</v>
      </c>
      <c r="P190" s="315">
        <v>0</v>
      </c>
      <c r="Q190" s="315">
        <v>0</v>
      </c>
      <c r="R190" s="315">
        <v>0</v>
      </c>
      <c r="S190" s="315">
        <v>0</v>
      </c>
      <c r="T190" s="315">
        <v>0</v>
      </c>
      <c r="U190" s="315">
        <v>0</v>
      </c>
      <c r="V190" s="315">
        <v>0</v>
      </c>
      <c r="W190" s="315">
        <v>0</v>
      </c>
      <c r="X190" s="315">
        <v>0</v>
      </c>
      <c r="Y190" s="315">
        <v>0</v>
      </c>
      <c r="Z190" s="315">
        <v>0</v>
      </c>
      <c r="AA190" s="315">
        <v>0</v>
      </c>
      <c r="AB190" s="315">
        <v>0</v>
      </c>
      <c r="AC190" s="315">
        <v>0</v>
      </c>
      <c r="AD190" s="315">
        <v>0</v>
      </c>
      <c r="AE190" s="315">
        <v>0</v>
      </c>
      <c r="AF190" s="315">
        <v>0</v>
      </c>
      <c r="AG190" s="315">
        <v>0</v>
      </c>
      <c r="AH190" s="315">
        <v>0</v>
      </c>
      <c r="AI190" s="315">
        <v>0</v>
      </c>
      <c r="AJ190" s="315">
        <v>0</v>
      </c>
      <c r="AK190" s="315">
        <v>0</v>
      </c>
      <c r="AL190" s="315">
        <v>0</v>
      </c>
      <c r="AM190" s="315">
        <v>0</v>
      </c>
      <c r="AN190" s="315">
        <v>0</v>
      </c>
      <c r="AO190" s="315">
        <v>0</v>
      </c>
      <c r="AP190" s="315">
        <v>0</v>
      </c>
      <c r="AQ190" s="315">
        <v>0</v>
      </c>
      <c r="AR190" s="315">
        <v>0</v>
      </c>
      <c r="AS190" s="315">
        <v>0</v>
      </c>
      <c r="AT190" s="315">
        <v>0</v>
      </c>
      <c r="AU190" s="315">
        <v>0</v>
      </c>
      <c r="AV190" s="315">
        <v>0</v>
      </c>
      <c r="AW190" s="315">
        <v>0</v>
      </c>
      <c r="AX190" s="315">
        <v>0</v>
      </c>
      <c r="AY190" s="315">
        <v>0</v>
      </c>
      <c r="AZ190" s="315">
        <v>0</v>
      </c>
      <c r="BA190" s="315">
        <v>0</v>
      </c>
      <c r="BB190" s="315">
        <v>0</v>
      </c>
      <c r="BC190" s="315">
        <v>0</v>
      </c>
      <c r="BD190" s="315">
        <v>0</v>
      </c>
      <c r="BE190" s="315">
        <v>0</v>
      </c>
      <c r="BF190" s="315">
        <v>0</v>
      </c>
      <c r="BG190" s="315">
        <v>0</v>
      </c>
      <c r="BH190" s="315">
        <v>0</v>
      </c>
      <c r="BI190" s="315">
        <v>0</v>
      </c>
      <c r="BJ190" s="315">
        <v>0</v>
      </c>
      <c r="BK190" s="315">
        <v>0</v>
      </c>
      <c r="BL190" s="315">
        <v>0</v>
      </c>
      <c r="BM190" s="315">
        <v>0</v>
      </c>
      <c r="BN190" s="315">
        <v>0</v>
      </c>
      <c r="BO190" s="315">
        <v>0</v>
      </c>
      <c r="BP190" s="315">
        <v>0</v>
      </c>
      <c r="BQ190" s="315">
        <v>0</v>
      </c>
      <c r="BR190" s="315">
        <v>0</v>
      </c>
      <c r="BS190" s="315">
        <v>0</v>
      </c>
      <c r="BT190" s="315">
        <v>0</v>
      </c>
      <c r="BU190" s="315">
        <v>0</v>
      </c>
      <c r="BV190" s="315">
        <v>0</v>
      </c>
    </row>
    <row r="191" spans="12:74" hidden="1" x14ac:dyDescent="0.2">
      <c r="L191" s="315">
        <v>0</v>
      </c>
      <c r="M191" s="315">
        <v>0</v>
      </c>
      <c r="N191" s="315">
        <v>0</v>
      </c>
      <c r="O191" s="315">
        <v>0</v>
      </c>
      <c r="P191" s="315">
        <v>0</v>
      </c>
      <c r="Q191" s="315">
        <v>0</v>
      </c>
      <c r="R191" s="315">
        <v>0</v>
      </c>
      <c r="S191" s="315">
        <v>0</v>
      </c>
      <c r="T191" s="315">
        <v>0</v>
      </c>
      <c r="U191" s="315">
        <v>0</v>
      </c>
      <c r="V191" s="315">
        <v>0</v>
      </c>
      <c r="W191" s="315">
        <v>0</v>
      </c>
      <c r="X191" s="315">
        <v>0</v>
      </c>
      <c r="Y191" s="315">
        <v>0</v>
      </c>
      <c r="Z191" s="315">
        <v>0</v>
      </c>
      <c r="AA191" s="315">
        <v>0</v>
      </c>
      <c r="AB191" s="315">
        <v>0</v>
      </c>
      <c r="AC191" s="315">
        <v>0</v>
      </c>
      <c r="AD191" s="315">
        <v>0</v>
      </c>
      <c r="AE191" s="315">
        <v>0</v>
      </c>
      <c r="AF191" s="315">
        <v>0</v>
      </c>
      <c r="AG191" s="315">
        <v>0</v>
      </c>
      <c r="AH191" s="315">
        <v>0</v>
      </c>
      <c r="AI191" s="315">
        <v>0</v>
      </c>
      <c r="AJ191" s="315">
        <v>0</v>
      </c>
      <c r="AK191" s="315">
        <v>0</v>
      </c>
      <c r="AL191" s="315">
        <v>0</v>
      </c>
      <c r="AM191" s="315">
        <v>0</v>
      </c>
      <c r="AN191" s="315">
        <v>0</v>
      </c>
      <c r="AO191" s="315">
        <v>0</v>
      </c>
      <c r="AP191" s="315">
        <v>0</v>
      </c>
      <c r="AQ191" s="315">
        <v>0</v>
      </c>
      <c r="AR191" s="315">
        <v>0</v>
      </c>
      <c r="AS191" s="315">
        <v>0</v>
      </c>
      <c r="AT191" s="315">
        <v>0</v>
      </c>
      <c r="AU191" s="315">
        <v>0</v>
      </c>
      <c r="AV191" s="315">
        <v>0</v>
      </c>
      <c r="AW191" s="315">
        <v>0</v>
      </c>
      <c r="AX191" s="315">
        <v>0</v>
      </c>
      <c r="AY191" s="315">
        <v>0</v>
      </c>
      <c r="AZ191" s="315">
        <v>0</v>
      </c>
      <c r="BA191" s="315">
        <v>0</v>
      </c>
      <c r="BB191" s="315">
        <v>0</v>
      </c>
      <c r="BC191" s="315">
        <v>0</v>
      </c>
      <c r="BD191" s="315">
        <v>0</v>
      </c>
      <c r="BE191" s="315">
        <v>0</v>
      </c>
      <c r="BF191" s="315">
        <v>0</v>
      </c>
      <c r="BG191" s="315">
        <v>0</v>
      </c>
      <c r="BH191" s="315">
        <v>0</v>
      </c>
      <c r="BI191" s="315">
        <v>0</v>
      </c>
      <c r="BJ191" s="315">
        <v>0</v>
      </c>
      <c r="BK191" s="315">
        <v>0</v>
      </c>
      <c r="BL191" s="315">
        <v>0</v>
      </c>
      <c r="BM191" s="315">
        <v>0</v>
      </c>
      <c r="BN191" s="315">
        <v>0</v>
      </c>
      <c r="BO191" s="315">
        <v>0</v>
      </c>
      <c r="BP191" s="315">
        <v>0</v>
      </c>
      <c r="BQ191" s="315">
        <v>0</v>
      </c>
      <c r="BR191" s="315">
        <v>0</v>
      </c>
      <c r="BS191" s="315">
        <v>0</v>
      </c>
      <c r="BT191" s="315">
        <v>0</v>
      </c>
      <c r="BU191" s="315">
        <v>0</v>
      </c>
      <c r="BV191" s="315">
        <v>0</v>
      </c>
    </row>
    <row r="192" spans="12:74" hidden="1" x14ac:dyDescent="0.2">
      <c r="L192" s="315">
        <v>0</v>
      </c>
      <c r="M192" s="315">
        <v>0</v>
      </c>
      <c r="N192" s="315">
        <v>0</v>
      </c>
      <c r="O192" s="315">
        <v>0</v>
      </c>
      <c r="P192" s="315">
        <v>0</v>
      </c>
      <c r="Q192" s="315">
        <v>0</v>
      </c>
      <c r="R192" s="315">
        <v>0</v>
      </c>
      <c r="S192" s="315">
        <v>0</v>
      </c>
      <c r="T192" s="315">
        <v>0</v>
      </c>
      <c r="U192" s="315">
        <v>0</v>
      </c>
      <c r="V192" s="315">
        <v>0</v>
      </c>
      <c r="W192" s="315">
        <v>0</v>
      </c>
      <c r="X192" s="315">
        <v>0</v>
      </c>
      <c r="Y192" s="315">
        <v>0</v>
      </c>
      <c r="Z192" s="315">
        <v>0</v>
      </c>
      <c r="AA192" s="315">
        <v>0</v>
      </c>
      <c r="AB192" s="315">
        <v>0</v>
      </c>
      <c r="AC192" s="315">
        <v>0</v>
      </c>
      <c r="AD192" s="315">
        <v>0</v>
      </c>
      <c r="AE192" s="315">
        <v>0</v>
      </c>
      <c r="AF192" s="315">
        <v>0</v>
      </c>
      <c r="AG192" s="315">
        <v>0</v>
      </c>
      <c r="AH192" s="315">
        <v>0</v>
      </c>
      <c r="AI192" s="315">
        <v>0</v>
      </c>
      <c r="AJ192" s="315">
        <v>0</v>
      </c>
      <c r="AK192" s="315">
        <v>0</v>
      </c>
      <c r="AL192" s="315">
        <v>0</v>
      </c>
      <c r="AM192" s="315">
        <v>0</v>
      </c>
      <c r="AN192" s="315">
        <v>0</v>
      </c>
      <c r="AO192" s="315">
        <v>0</v>
      </c>
      <c r="AP192" s="315">
        <v>0</v>
      </c>
      <c r="AQ192" s="315">
        <v>0</v>
      </c>
      <c r="AR192" s="315">
        <v>0</v>
      </c>
      <c r="AS192" s="315">
        <v>0</v>
      </c>
      <c r="AT192" s="315">
        <v>0</v>
      </c>
      <c r="AU192" s="315">
        <v>0</v>
      </c>
      <c r="AV192" s="315">
        <v>0</v>
      </c>
      <c r="AW192" s="315">
        <v>0</v>
      </c>
      <c r="AX192" s="315">
        <v>0</v>
      </c>
      <c r="AY192" s="315">
        <v>0</v>
      </c>
      <c r="AZ192" s="315">
        <v>0</v>
      </c>
      <c r="BA192" s="315">
        <v>0</v>
      </c>
      <c r="BB192" s="315">
        <v>0</v>
      </c>
      <c r="BC192" s="315">
        <v>0</v>
      </c>
      <c r="BD192" s="315">
        <v>0</v>
      </c>
      <c r="BE192" s="315">
        <v>0</v>
      </c>
      <c r="BF192" s="315">
        <v>0</v>
      </c>
      <c r="BG192" s="315">
        <v>0</v>
      </c>
      <c r="BH192" s="315">
        <v>0</v>
      </c>
      <c r="BI192" s="315">
        <v>0</v>
      </c>
      <c r="BJ192" s="315">
        <v>0</v>
      </c>
      <c r="BK192" s="315">
        <v>0</v>
      </c>
      <c r="BL192" s="315">
        <v>0</v>
      </c>
      <c r="BM192" s="315">
        <v>0</v>
      </c>
      <c r="BN192" s="315">
        <v>0</v>
      </c>
      <c r="BO192" s="315">
        <v>0</v>
      </c>
      <c r="BP192" s="315">
        <v>0</v>
      </c>
      <c r="BQ192" s="315">
        <v>0</v>
      </c>
      <c r="BR192" s="315">
        <v>0</v>
      </c>
      <c r="BS192" s="315">
        <v>0</v>
      </c>
      <c r="BT192" s="315">
        <v>0</v>
      </c>
      <c r="BU192" s="315">
        <v>0</v>
      </c>
      <c r="BV192" s="315">
        <v>0</v>
      </c>
    </row>
    <row r="193" spans="12:74" hidden="1" x14ac:dyDescent="0.2">
      <c r="L193" s="315">
        <v>0</v>
      </c>
      <c r="M193" s="315">
        <v>0</v>
      </c>
      <c r="N193" s="315">
        <v>0</v>
      </c>
      <c r="O193" s="315">
        <v>0</v>
      </c>
      <c r="P193" s="315">
        <v>0</v>
      </c>
      <c r="Q193" s="315">
        <v>0</v>
      </c>
      <c r="R193" s="315">
        <v>0</v>
      </c>
      <c r="S193" s="315">
        <v>0</v>
      </c>
      <c r="T193" s="315">
        <v>0</v>
      </c>
      <c r="U193" s="315">
        <v>0</v>
      </c>
      <c r="V193" s="315">
        <v>0</v>
      </c>
      <c r="W193" s="315">
        <v>0</v>
      </c>
      <c r="X193" s="315">
        <v>0</v>
      </c>
      <c r="Y193" s="315">
        <v>0</v>
      </c>
      <c r="Z193" s="315">
        <v>0</v>
      </c>
      <c r="AA193" s="315">
        <v>0</v>
      </c>
      <c r="AB193" s="315">
        <v>0</v>
      </c>
      <c r="AC193" s="315">
        <v>0</v>
      </c>
      <c r="AD193" s="315">
        <v>0</v>
      </c>
      <c r="AE193" s="315">
        <v>0</v>
      </c>
      <c r="AF193" s="315">
        <v>0</v>
      </c>
      <c r="AG193" s="315">
        <v>0</v>
      </c>
      <c r="AH193" s="315">
        <v>0</v>
      </c>
      <c r="AI193" s="315">
        <v>0</v>
      </c>
      <c r="AJ193" s="315">
        <v>0</v>
      </c>
      <c r="AK193" s="315">
        <v>0</v>
      </c>
      <c r="AL193" s="315">
        <v>0</v>
      </c>
      <c r="AM193" s="315">
        <v>0</v>
      </c>
      <c r="AN193" s="315">
        <v>0</v>
      </c>
      <c r="AO193" s="315">
        <v>0</v>
      </c>
      <c r="AP193" s="315">
        <v>0</v>
      </c>
      <c r="AQ193" s="315">
        <v>0</v>
      </c>
      <c r="AR193" s="315">
        <v>0</v>
      </c>
      <c r="AS193" s="315">
        <v>0</v>
      </c>
      <c r="AT193" s="315">
        <v>0</v>
      </c>
      <c r="AU193" s="315">
        <v>0</v>
      </c>
      <c r="AV193" s="315">
        <v>0</v>
      </c>
      <c r="AW193" s="315">
        <v>0</v>
      </c>
      <c r="AX193" s="315">
        <v>0</v>
      </c>
      <c r="AY193" s="315">
        <v>0</v>
      </c>
      <c r="AZ193" s="315">
        <v>0</v>
      </c>
      <c r="BA193" s="315">
        <v>0</v>
      </c>
      <c r="BB193" s="315">
        <v>0</v>
      </c>
      <c r="BC193" s="315">
        <v>0</v>
      </c>
      <c r="BD193" s="315">
        <v>0</v>
      </c>
      <c r="BE193" s="315">
        <v>0</v>
      </c>
      <c r="BF193" s="315">
        <v>0</v>
      </c>
      <c r="BG193" s="315">
        <v>0</v>
      </c>
      <c r="BH193" s="315">
        <v>0</v>
      </c>
      <c r="BI193" s="315">
        <v>0</v>
      </c>
      <c r="BJ193" s="315">
        <v>0</v>
      </c>
      <c r="BK193" s="315">
        <v>0</v>
      </c>
      <c r="BL193" s="315">
        <v>0</v>
      </c>
      <c r="BM193" s="315">
        <v>0</v>
      </c>
      <c r="BN193" s="315">
        <v>0</v>
      </c>
      <c r="BO193" s="315">
        <v>0</v>
      </c>
      <c r="BP193" s="315">
        <v>0</v>
      </c>
      <c r="BQ193" s="315">
        <v>0</v>
      </c>
      <c r="BR193" s="315">
        <v>0</v>
      </c>
      <c r="BS193" s="315">
        <v>0</v>
      </c>
      <c r="BT193" s="315">
        <v>0</v>
      </c>
      <c r="BU193" s="315">
        <v>0</v>
      </c>
      <c r="BV193" s="315">
        <v>0</v>
      </c>
    </row>
    <row r="194" spans="12:74" hidden="1" x14ac:dyDescent="0.2">
      <c r="L194" s="315">
        <v>0</v>
      </c>
      <c r="M194" s="315">
        <v>0</v>
      </c>
      <c r="N194" s="315">
        <v>0</v>
      </c>
      <c r="O194" s="315">
        <v>0</v>
      </c>
      <c r="P194" s="315">
        <v>0</v>
      </c>
      <c r="Q194" s="315">
        <v>0</v>
      </c>
      <c r="R194" s="315">
        <v>0</v>
      </c>
      <c r="S194" s="315">
        <v>0</v>
      </c>
      <c r="T194" s="315">
        <v>0</v>
      </c>
      <c r="U194" s="315">
        <v>0</v>
      </c>
      <c r="V194" s="315">
        <v>0</v>
      </c>
      <c r="W194" s="315">
        <v>0</v>
      </c>
      <c r="X194" s="315">
        <v>0</v>
      </c>
      <c r="Y194" s="315">
        <v>0</v>
      </c>
      <c r="Z194" s="315">
        <v>0</v>
      </c>
      <c r="AA194" s="315">
        <v>0</v>
      </c>
      <c r="AB194" s="315">
        <v>0</v>
      </c>
      <c r="AC194" s="315">
        <v>0</v>
      </c>
      <c r="AD194" s="315">
        <v>0</v>
      </c>
      <c r="AE194" s="315">
        <v>0</v>
      </c>
      <c r="AF194" s="315">
        <v>0</v>
      </c>
      <c r="AG194" s="315">
        <v>0</v>
      </c>
      <c r="AH194" s="315">
        <v>0</v>
      </c>
      <c r="AI194" s="315">
        <v>0</v>
      </c>
      <c r="AJ194" s="315">
        <v>0</v>
      </c>
      <c r="AK194" s="315">
        <v>0</v>
      </c>
      <c r="AL194" s="315">
        <v>0</v>
      </c>
      <c r="AM194" s="315">
        <v>0</v>
      </c>
      <c r="AN194" s="315">
        <v>0</v>
      </c>
      <c r="AO194" s="315">
        <v>0</v>
      </c>
      <c r="AP194" s="315">
        <v>0</v>
      </c>
      <c r="AQ194" s="315">
        <v>0</v>
      </c>
      <c r="AR194" s="315">
        <v>0</v>
      </c>
      <c r="AS194" s="315">
        <v>0</v>
      </c>
      <c r="AT194" s="315">
        <v>0</v>
      </c>
      <c r="AU194" s="315">
        <v>0</v>
      </c>
      <c r="AV194" s="315">
        <v>0</v>
      </c>
      <c r="AW194" s="315">
        <v>0</v>
      </c>
      <c r="AX194" s="315">
        <v>0</v>
      </c>
      <c r="AY194" s="315">
        <v>0</v>
      </c>
      <c r="AZ194" s="315">
        <v>0</v>
      </c>
      <c r="BA194" s="315">
        <v>0</v>
      </c>
      <c r="BB194" s="315">
        <v>0</v>
      </c>
      <c r="BC194" s="315">
        <v>0</v>
      </c>
      <c r="BD194" s="315">
        <v>0</v>
      </c>
      <c r="BE194" s="315">
        <v>0</v>
      </c>
      <c r="BF194" s="315">
        <v>0</v>
      </c>
      <c r="BG194" s="315">
        <v>0</v>
      </c>
      <c r="BH194" s="315">
        <v>0</v>
      </c>
      <c r="BI194" s="315">
        <v>0</v>
      </c>
      <c r="BJ194" s="315">
        <v>0</v>
      </c>
      <c r="BK194" s="315">
        <v>0</v>
      </c>
      <c r="BL194" s="315">
        <v>0</v>
      </c>
      <c r="BM194" s="315">
        <v>0</v>
      </c>
      <c r="BN194" s="315">
        <v>0</v>
      </c>
      <c r="BO194" s="315">
        <v>0</v>
      </c>
      <c r="BP194" s="315">
        <v>0</v>
      </c>
      <c r="BQ194" s="315">
        <v>0</v>
      </c>
      <c r="BR194" s="315">
        <v>0</v>
      </c>
      <c r="BS194" s="315">
        <v>0</v>
      </c>
      <c r="BT194" s="315">
        <v>0</v>
      </c>
      <c r="BU194" s="315">
        <v>0</v>
      </c>
      <c r="BV194" s="315">
        <v>0</v>
      </c>
    </row>
    <row r="195" spans="12:74" hidden="1" x14ac:dyDescent="0.2">
      <c r="L195" s="315">
        <v>0</v>
      </c>
      <c r="M195" s="315">
        <v>0</v>
      </c>
      <c r="N195" s="315">
        <v>0</v>
      </c>
      <c r="O195" s="315">
        <v>0</v>
      </c>
      <c r="P195" s="315">
        <v>0</v>
      </c>
      <c r="Q195" s="315">
        <v>0</v>
      </c>
      <c r="R195" s="315">
        <v>0</v>
      </c>
      <c r="S195" s="315">
        <v>0</v>
      </c>
      <c r="T195" s="315">
        <v>0</v>
      </c>
      <c r="U195" s="315">
        <v>0</v>
      </c>
      <c r="V195" s="315">
        <v>0</v>
      </c>
      <c r="W195" s="315">
        <v>0</v>
      </c>
      <c r="X195" s="315">
        <v>0</v>
      </c>
      <c r="Y195" s="315">
        <v>0</v>
      </c>
      <c r="Z195" s="315">
        <v>0</v>
      </c>
      <c r="AA195" s="315">
        <v>0</v>
      </c>
      <c r="AB195" s="315">
        <v>0</v>
      </c>
      <c r="AC195" s="315">
        <v>0</v>
      </c>
      <c r="AD195" s="315">
        <v>0</v>
      </c>
      <c r="AE195" s="315">
        <v>0</v>
      </c>
      <c r="AF195" s="315">
        <v>0</v>
      </c>
      <c r="AG195" s="315">
        <v>0</v>
      </c>
      <c r="AH195" s="315">
        <v>0</v>
      </c>
      <c r="AI195" s="315">
        <v>0</v>
      </c>
      <c r="AJ195" s="315">
        <v>0</v>
      </c>
      <c r="AK195" s="315">
        <v>0</v>
      </c>
      <c r="AL195" s="315">
        <v>0</v>
      </c>
      <c r="AM195" s="315">
        <v>0</v>
      </c>
      <c r="AN195" s="315">
        <v>0</v>
      </c>
      <c r="AO195" s="315">
        <v>0</v>
      </c>
      <c r="AP195" s="315">
        <v>0</v>
      </c>
      <c r="AQ195" s="315">
        <v>0</v>
      </c>
      <c r="AR195" s="315">
        <v>0</v>
      </c>
      <c r="AS195" s="315">
        <v>0</v>
      </c>
      <c r="AT195" s="315">
        <v>0</v>
      </c>
      <c r="AU195" s="315">
        <v>0</v>
      </c>
      <c r="AV195" s="315">
        <v>0</v>
      </c>
      <c r="AW195" s="315">
        <v>0</v>
      </c>
      <c r="AX195" s="315">
        <v>0</v>
      </c>
      <c r="AY195" s="315">
        <v>0</v>
      </c>
      <c r="AZ195" s="315">
        <v>0</v>
      </c>
      <c r="BA195" s="315">
        <v>0</v>
      </c>
      <c r="BB195" s="315">
        <v>0</v>
      </c>
      <c r="BC195" s="315">
        <v>0</v>
      </c>
      <c r="BD195" s="315">
        <v>0</v>
      </c>
      <c r="BE195" s="315">
        <v>0</v>
      </c>
      <c r="BF195" s="315">
        <v>0</v>
      </c>
      <c r="BG195" s="315">
        <v>0</v>
      </c>
      <c r="BH195" s="315">
        <v>0</v>
      </c>
      <c r="BI195" s="315">
        <v>0</v>
      </c>
      <c r="BJ195" s="315">
        <v>0</v>
      </c>
      <c r="BK195" s="315">
        <v>0</v>
      </c>
      <c r="BL195" s="315">
        <v>0</v>
      </c>
      <c r="BM195" s="315">
        <v>0</v>
      </c>
      <c r="BN195" s="315">
        <v>0</v>
      </c>
      <c r="BO195" s="315">
        <v>0</v>
      </c>
      <c r="BP195" s="315">
        <v>0</v>
      </c>
      <c r="BQ195" s="315">
        <v>0</v>
      </c>
      <c r="BR195" s="315">
        <v>0</v>
      </c>
      <c r="BS195" s="315">
        <v>0</v>
      </c>
      <c r="BT195" s="315">
        <v>0</v>
      </c>
      <c r="BU195" s="315">
        <v>0</v>
      </c>
      <c r="BV195" s="315">
        <v>0</v>
      </c>
    </row>
    <row r="196" spans="12:74" hidden="1" x14ac:dyDescent="0.2">
      <c r="L196" s="315">
        <v>632137</v>
      </c>
      <c r="M196" s="315">
        <v>0</v>
      </c>
      <c r="N196" s="315">
        <v>0</v>
      </c>
      <c r="O196" s="315">
        <v>0</v>
      </c>
      <c r="P196" s="315">
        <v>0</v>
      </c>
      <c r="Q196" s="315">
        <v>3068181</v>
      </c>
      <c r="R196" s="315">
        <v>0</v>
      </c>
      <c r="S196" s="315">
        <v>0</v>
      </c>
      <c r="T196" s="315">
        <v>0</v>
      </c>
      <c r="U196" s="315">
        <v>0</v>
      </c>
      <c r="V196" s="315">
        <v>-48914</v>
      </c>
      <c r="W196" s="315">
        <v>0</v>
      </c>
      <c r="X196" s="315">
        <v>0</v>
      </c>
      <c r="Y196" s="315">
        <v>0</v>
      </c>
      <c r="Z196" s="315">
        <v>0</v>
      </c>
      <c r="AA196" s="315">
        <v>-285032</v>
      </c>
      <c r="AB196" s="315">
        <v>0</v>
      </c>
      <c r="AC196" s="315">
        <v>0</v>
      </c>
      <c r="AD196" s="315">
        <v>0</v>
      </c>
      <c r="AE196" s="315">
        <v>0</v>
      </c>
      <c r="AF196" s="315">
        <v>2716366</v>
      </c>
      <c r="AG196" s="315">
        <v>0</v>
      </c>
      <c r="AH196" s="315">
        <v>0</v>
      </c>
      <c r="AI196" s="315">
        <v>0</v>
      </c>
      <c r="AJ196" s="315">
        <v>0</v>
      </c>
      <c r="AK196" s="315">
        <v>623892</v>
      </c>
      <c r="AL196" s="315">
        <v>0</v>
      </c>
      <c r="AM196" s="315">
        <v>0</v>
      </c>
      <c r="AN196" s="315">
        <v>0</v>
      </c>
      <c r="AO196" s="315">
        <v>0</v>
      </c>
      <c r="AP196" s="315">
        <v>-23569</v>
      </c>
      <c r="AQ196" s="315">
        <v>0</v>
      </c>
      <c r="AR196" s="315">
        <v>0</v>
      </c>
      <c r="AS196" s="315">
        <v>0</v>
      </c>
      <c r="AT196" s="315">
        <v>0</v>
      </c>
      <c r="AU196" s="315">
        <v>-1204105</v>
      </c>
      <c r="AV196" s="315">
        <v>0</v>
      </c>
      <c r="AW196" s="315">
        <v>0</v>
      </c>
      <c r="AX196" s="315">
        <v>0</v>
      </c>
      <c r="AY196" s="315">
        <v>0</v>
      </c>
      <c r="AZ196" s="315">
        <v>-342784</v>
      </c>
      <c r="BA196" s="315">
        <v>0</v>
      </c>
      <c r="BB196" s="315">
        <v>0</v>
      </c>
      <c r="BC196" s="315">
        <v>0</v>
      </c>
      <c r="BD196" s="315">
        <v>0</v>
      </c>
      <c r="BE196" s="315">
        <v>0</v>
      </c>
      <c r="BF196" s="315">
        <v>0</v>
      </c>
      <c r="BG196" s="315">
        <v>0</v>
      </c>
      <c r="BH196" s="315">
        <v>0</v>
      </c>
      <c r="BI196" s="315">
        <v>0</v>
      </c>
      <c r="BJ196" s="315">
        <v>-682120</v>
      </c>
      <c r="BK196" s="315">
        <v>0</v>
      </c>
      <c r="BL196" s="315">
        <v>0</v>
      </c>
      <c r="BM196" s="315">
        <v>0</v>
      </c>
      <c r="BN196" s="315">
        <v>0</v>
      </c>
      <c r="BO196" s="315">
        <v>-3123322</v>
      </c>
      <c r="BP196" s="315">
        <v>0</v>
      </c>
      <c r="BQ196" s="315">
        <v>0</v>
      </c>
      <c r="BR196" s="315">
        <v>0</v>
      </c>
      <c r="BS196" s="315">
        <v>0</v>
      </c>
      <c r="BT196" s="315">
        <v>6683061</v>
      </c>
      <c r="BU196" s="315">
        <v>0</v>
      </c>
      <c r="BV196" s="315">
        <v>0</v>
      </c>
    </row>
    <row r="197" spans="12:74" hidden="1" x14ac:dyDescent="0.2">
      <c r="L197" s="315">
        <v>632137</v>
      </c>
      <c r="M197" s="315">
        <v>0</v>
      </c>
      <c r="N197" s="315">
        <v>0</v>
      </c>
      <c r="O197" s="315">
        <v>0</v>
      </c>
      <c r="P197" s="315">
        <v>0</v>
      </c>
      <c r="Q197" s="315">
        <v>3068181</v>
      </c>
      <c r="R197" s="315">
        <v>0</v>
      </c>
      <c r="S197" s="315">
        <v>0</v>
      </c>
      <c r="T197" s="315">
        <v>0</v>
      </c>
      <c r="U197" s="315">
        <v>0</v>
      </c>
      <c r="V197" s="315">
        <v>-48914</v>
      </c>
      <c r="W197" s="315">
        <v>0</v>
      </c>
      <c r="X197" s="315">
        <v>0</v>
      </c>
      <c r="Y197" s="315">
        <v>0</v>
      </c>
      <c r="Z197" s="315">
        <v>0</v>
      </c>
      <c r="AA197" s="315">
        <v>-285032</v>
      </c>
      <c r="AB197" s="315">
        <v>0</v>
      </c>
      <c r="AC197" s="315">
        <v>0</v>
      </c>
      <c r="AD197" s="315">
        <v>0</v>
      </c>
      <c r="AE197" s="315">
        <v>0</v>
      </c>
      <c r="AF197" s="315">
        <v>2716366</v>
      </c>
      <c r="AG197" s="315">
        <v>0</v>
      </c>
      <c r="AH197" s="315">
        <v>0</v>
      </c>
      <c r="AI197" s="315">
        <v>0</v>
      </c>
      <c r="AJ197" s="315">
        <v>0</v>
      </c>
      <c r="AK197" s="315">
        <v>623892</v>
      </c>
      <c r="AL197" s="315">
        <v>0</v>
      </c>
      <c r="AM197" s="315">
        <v>0</v>
      </c>
      <c r="AN197" s="315">
        <v>0</v>
      </c>
      <c r="AO197" s="315">
        <v>0</v>
      </c>
      <c r="AP197" s="315">
        <v>-23569</v>
      </c>
      <c r="AQ197" s="315">
        <v>0</v>
      </c>
      <c r="AR197" s="315">
        <v>0</v>
      </c>
      <c r="AS197" s="315">
        <v>0</v>
      </c>
      <c r="AT197" s="315">
        <v>0</v>
      </c>
      <c r="AU197" s="315">
        <v>-1204105</v>
      </c>
      <c r="AV197" s="315">
        <v>0</v>
      </c>
      <c r="AW197" s="315">
        <v>0</v>
      </c>
      <c r="AX197" s="315">
        <v>0</v>
      </c>
      <c r="AY197" s="315">
        <v>0</v>
      </c>
      <c r="AZ197" s="315">
        <v>-342784</v>
      </c>
      <c r="BA197" s="315">
        <v>0</v>
      </c>
      <c r="BB197" s="315">
        <v>0</v>
      </c>
      <c r="BC197" s="315">
        <v>0</v>
      </c>
      <c r="BD197" s="315">
        <v>0</v>
      </c>
      <c r="BE197" s="315">
        <v>0</v>
      </c>
      <c r="BF197" s="315">
        <v>0</v>
      </c>
      <c r="BG197" s="315">
        <v>0</v>
      </c>
      <c r="BH197" s="315">
        <v>0</v>
      </c>
      <c r="BI197" s="315">
        <v>0</v>
      </c>
      <c r="BJ197" s="315">
        <v>-682120</v>
      </c>
      <c r="BK197" s="315">
        <v>0</v>
      </c>
      <c r="BL197" s="315">
        <v>0</v>
      </c>
      <c r="BM197" s="315">
        <v>0</v>
      </c>
      <c r="BN197" s="315">
        <v>0</v>
      </c>
      <c r="BO197" s="315">
        <v>-3123322</v>
      </c>
      <c r="BP197" s="315">
        <v>0</v>
      </c>
      <c r="BQ197" s="315">
        <v>0</v>
      </c>
      <c r="BR197" s="315">
        <v>0</v>
      </c>
      <c r="BS197" s="315">
        <v>0</v>
      </c>
      <c r="BT197" s="315">
        <v>6683061</v>
      </c>
      <c r="BU197" s="315">
        <v>0</v>
      </c>
      <c r="BV197" s="315">
        <v>0</v>
      </c>
    </row>
    <row r="198" spans="12:74" hidden="1" x14ac:dyDescent="0.2">
      <c r="L198" s="315">
        <v>0</v>
      </c>
      <c r="M198" s="315">
        <v>0</v>
      </c>
      <c r="N198" s="315">
        <v>0</v>
      </c>
      <c r="O198" s="315">
        <v>0</v>
      </c>
      <c r="P198" s="315">
        <v>0</v>
      </c>
      <c r="Q198" s="315">
        <v>0</v>
      </c>
      <c r="R198" s="315">
        <v>0</v>
      </c>
      <c r="S198" s="315">
        <v>0</v>
      </c>
      <c r="T198" s="315">
        <v>0</v>
      </c>
      <c r="U198" s="315">
        <v>0</v>
      </c>
      <c r="V198" s="315">
        <v>0</v>
      </c>
      <c r="W198" s="315">
        <v>0</v>
      </c>
      <c r="X198" s="315">
        <v>0</v>
      </c>
      <c r="Y198" s="315">
        <v>0</v>
      </c>
      <c r="Z198" s="315">
        <v>0</v>
      </c>
      <c r="AA198" s="315">
        <v>0</v>
      </c>
      <c r="AB198" s="315">
        <v>0</v>
      </c>
      <c r="AC198" s="315">
        <v>0</v>
      </c>
      <c r="AD198" s="315">
        <v>0</v>
      </c>
      <c r="AE198" s="315">
        <v>0</v>
      </c>
      <c r="AF198" s="315">
        <v>0</v>
      </c>
      <c r="AG198" s="315">
        <v>0</v>
      </c>
      <c r="AH198" s="315">
        <v>0</v>
      </c>
      <c r="AI198" s="315">
        <v>0</v>
      </c>
      <c r="AJ198" s="315">
        <v>0</v>
      </c>
      <c r="AK198" s="315">
        <v>0</v>
      </c>
      <c r="AL198" s="315">
        <v>0</v>
      </c>
      <c r="AM198" s="315">
        <v>0</v>
      </c>
      <c r="AN198" s="315">
        <v>0</v>
      </c>
      <c r="AO198" s="315">
        <v>0</v>
      </c>
      <c r="AP198" s="315">
        <v>0</v>
      </c>
      <c r="AQ198" s="315">
        <v>0</v>
      </c>
      <c r="AR198" s="315">
        <v>0</v>
      </c>
      <c r="AS198" s="315">
        <v>0</v>
      </c>
      <c r="AT198" s="315">
        <v>0</v>
      </c>
      <c r="AU198" s="315">
        <v>0</v>
      </c>
      <c r="AV198" s="315">
        <v>0</v>
      </c>
      <c r="AW198" s="315">
        <v>0</v>
      </c>
      <c r="AX198" s="315">
        <v>0</v>
      </c>
      <c r="AY198" s="315">
        <v>0</v>
      </c>
      <c r="AZ198" s="315">
        <v>0</v>
      </c>
      <c r="BA198" s="315">
        <v>0</v>
      </c>
      <c r="BB198" s="315">
        <v>0</v>
      </c>
      <c r="BC198" s="315">
        <v>0</v>
      </c>
      <c r="BD198" s="315">
        <v>0</v>
      </c>
      <c r="BE198" s="315">
        <v>0</v>
      </c>
      <c r="BF198" s="315">
        <v>0</v>
      </c>
      <c r="BG198" s="315">
        <v>0</v>
      </c>
      <c r="BH198" s="315">
        <v>0</v>
      </c>
      <c r="BI198" s="315">
        <v>0</v>
      </c>
      <c r="BJ198" s="315">
        <v>0</v>
      </c>
      <c r="BK198" s="315">
        <v>0</v>
      </c>
      <c r="BL198" s="315">
        <v>0</v>
      </c>
      <c r="BM198" s="315">
        <v>0</v>
      </c>
      <c r="BN198" s="315">
        <v>0</v>
      </c>
      <c r="BO198" s="315">
        <v>-42458</v>
      </c>
      <c r="BP198" s="315">
        <v>0</v>
      </c>
      <c r="BQ198" s="315">
        <v>0</v>
      </c>
      <c r="BR198" s="315">
        <v>0</v>
      </c>
      <c r="BS198" s="315">
        <v>0</v>
      </c>
      <c r="BT198" s="315">
        <v>0</v>
      </c>
      <c r="BU198" s="315">
        <v>0</v>
      </c>
      <c r="BV198" s="315">
        <v>0</v>
      </c>
    </row>
    <row r="199" spans="12:74" hidden="1" x14ac:dyDescent="0.2">
      <c r="L199" s="315">
        <v>0</v>
      </c>
      <c r="M199" s="315">
        <v>0</v>
      </c>
      <c r="N199" s="315">
        <v>0</v>
      </c>
      <c r="O199" s="315">
        <v>0</v>
      </c>
      <c r="P199" s="315">
        <v>0</v>
      </c>
      <c r="Q199" s="315">
        <v>0</v>
      </c>
      <c r="R199" s="315">
        <v>0</v>
      </c>
      <c r="S199" s="315">
        <v>0</v>
      </c>
      <c r="T199" s="315">
        <v>0</v>
      </c>
      <c r="U199" s="315">
        <v>0</v>
      </c>
      <c r="V199" s="315">
        <v>0</v>
      </c>
      <c r="W199" s="315">
        <v>0</v>
      </c>
      <c r="X199" s="315">
        <v>0</v>
      </c>
      <c r="Y199" s="315">
        <v>0</v>
      </c>
      <c r="Z199" s="315">
        <v>0</v>
      </c>
      <c r="AA199" s="315">
        <v>0</v>
      </c>
      <c r="AB199" s="315">
        <v>0</v>
      </c>
      <c r="AC199" s="315">
        <v>0</v>
      </c>
      <c r="AD199" s="315">
        <v>0</v>
      </c>
      <c r="AE199" s="315">
        <v>0</v>
      </c>
      <c r="AF199" s="315">
        <v>0</v>
      </c>
      <c r="AG199" s="315">
        <v>0</v>
      </c>
      <c r="AH199" s="315">
        <v>0</v>
      </c>
      <c r="AI199" s="315">
        <v>0</v>
      </c>
      <c r="AJ199" s="315">
        <v>0</v>
      </c>
      <c r="AK199" s="315">
        <v>0</v>
      </c>
      <c r="AL199" s="315">
        <v>0</v>
      </c>
      <c r="AM199" s="315">
        <v>0</v>
      </c>
      <c r="AN199" s="315">
        <v>0</v>
      </c>
      <c r="AO199" s="315">
        <v>0</v>
      </c>
      <c r="AP199" s="315">
        <v>0</v>
      </c>
      <c r="AQ199" s="315">
        <v>0</v>
      </c>
      <c r="AR199" s="315">
        <v>0</v>
      </c>
      <c r="AS199" s="315">
        <v>0</v>
      </c>
      <c r="AT199" s="315">
        <v>0</v>
      </c>
      <c r="AU199" s="315">
        <v>0</v>
      </c>
      <c r="AV199" s="315">
        <v>0</v>
      </c>
      <c r="AW199" s="315">
        <v>0</v>
      </c>
      <c r="AX199" s="315">
        <v>0</v>
      </c>
      <c r="AY199" s="315">
        <v>0</v>
      </c>
      <c r="AZ199" s="315">
        <v>0</v>
      </c>
      <c r="BA199" s="315">
        <v>0</v>
      </c>
      <c r="BB199" s="315">
        <v>0</v>
      </c>
      <c r="BC199" s="315">
        <v>0</v>
      </c>
      <c r="BD199" s="315">
        <v>0</v>
      </c>
      <c r="BE199" s="315">
        <v>0</v>
      </c>
      <c r="BF199" s="315">
        <v>0</v>
      </c>
      <c r="BG199" s="315">
        <v>0</v>
      </c>
      <c r="BH199" s="315">
        <v>0</v>
      </c>
      <c r="BI199" s="315">
        <v>0</v>
      </c>
      <c r="BJ199" s="315">
        <v>0</v>
      </c>
      <c r="BK199" s="315">
        <v>0</v>
      </c>
      <c r="BL199" s="315">
        <v>0</v>
      </c>
      <c r="BM199" s="315">
        <v>0</v>
      </c>
      <c r="BN199" s="315">
        <v>0</v>
      </c>
      <c r="BO199" s="315">
        <v>-90245</v>
      </c>
      <c r="BP199" s="315">
        <v>0</v>
      </c>
      <c r="BQ199" s="315">
        <v>0</v>
      </c>
      <c r="BR199" s="315">
        <v>0</v>
      </c>
      <c r="BS199" s="315">
        <v>0</v>
      </c>
      <c r="BT199" s="315">
        <v>0</v>
      </c>
      <c r="BU199" s="315">
        <v>0</v>
      </c>
      <c r="BV199" s="315">
        <v>0</v>
      </c>
    </row>
    <row r="200" spans="12:74" hidden="1" x14ac:dyDescent="0.2">
      <c r="L200" s="315">
        <v>0</v>
      </c>
      <c r="M200" s="315">
        <v>0</v>
      </c>
      <c r="N200" s="315">
        <v>0</v>
      </c>
      <c r="O200" s="315">
        <v>0</v>
      </c>
      <c r="P200" s="315">
        <v>0</v>
      </c>
      <c r="Q200" s="315">
        <v>0</v>
      </c>
      <c r="R200" s="315">
        <v>0</v>
      </c>
      <c r="S200" s="315">
        <v>0</v>
      </c>
      <c r="T200" s="315">
        <v>0</v>
      </c>
      <c r="U200" s="315">
        <v>0</v>
      </c>
      <c r="V200" s="315">
        <v>0</v>
      </c>
      <c r="W200" s="315">
        <v>0</v>
      </c>
      <c r="X200" s="315">
        <v>0</v>
      </c>
      <c r="Y200" s="315">
        <v>0</v>
      </c>
      <c r="Z200" s="315">
        <v>0</v>
      </c>
      <c r="AA200" s="315">
        <v>0</v>
      </c>
      <c r="AB200" s="315">
        <v>0</v>
      </c>
      <c r="AC200" s="315">
        <v>0</v>
      </c>
      <c r="AD200" s="315">
        <v>0</v>
      </c>
      <c r="AE200" s="315">
        <v>0</v>
      </c>
      <c r="AF200" s="315">
        <v>0</v>
      </c>
      <c r="AG200" s="315">
        <v>0</v>
      </c>
      <c r="AH200" s="315">
        <v>0</v>
      </c>
      <c r="AI200" s="315">
        <v>0</v>
      </c>
      <c r="AJ200" s="315">
        <v>0</v>
      </c>
      <c r="AK200" s="315">
        <v>0</v>
      </c>
      <c r="AL200" s="315">
        <v>0</v>
      </c>
      <c r="AM200" s="315">
        <v>0</v>
      </c>
      <c r="AN200" s="315">
        <v>0</v>
      </c>
      <c r="AO200" s="315">
        <v>0</v>
      </c>
      <c r="AP200" s="315">
        <v>0</v>
      </c>
      <c r="AQ200" s="315">
        <v>0</v>
      </c>
      <c r="AR200" s="315">
        <v>0</v>
      </c>
      <c r="AS200" s="315">
        <v>0</v>
      </c>
      <c r="AT200" s="315">
        <v>0</v>
      </c>
      <c r="AU200" s="315">
        <v>0</v>
      </c>
      <c r="AV200" s="315">
        <v>0</v>
      </c>
      <c r="AW200" s="315">
        <v>0</v>
      </c>
      <c r="AX200" s="315">
        <v>0</v>
      </c>
      <c r="AY200" s="315">
        <v>0</v>
      </c>
      <c r="AZ200" s="315">
        <v>0</v>
      </c>
      <c r="BA200" s="315">
        <v>0</v>
      </c>
      <c r="BB200" s="315">
        <v>0</v>
      </c>
      <c r="BC200" s="315">
        <v>0</v>
      </c>
      <c r="BD200" s="315">
        <v>0</v>
      </c>
      <c r="BE200" s="315">
        <v>0</v>
      </c>
      <c r="BF200" s="315">
        <v>0</v>
      </c>
      <c r="BG200" s="315">
        <v>0</v>
      </c>
      <c r="BH200" s="315">
        <v>0</v>
      </c>
      <c r="BI200" s="315">
        <v>0</v>
      </c>
      <c r="BJ200" s="315">
        <v>0</v>
      </c>
      <c r="BK200" s="315">
        <v>0</v>
      </c>
      <c r="BL200" s="315">
        <v>0</v>
      </c>
      <c r="BM200" s="315">
        <v>0</v>
      </c>
      <c r="BN200" s="315">
        <v>0</v>
      </c>
      <c r="BO200" s="315">
        <v>-90245</v>
      </c>
      <c r="BP200" s="315">
        <v>0</v>
      </c>
      <c r="BQ200" s="315">
        <v>0</v>
      </c>
      <c r="BR200" s="315">
        <v>0</v>
      </c>
      <c r="BS200" s="315">
        <v>0</v>
      </c>
      <c r="BT200" s="315">
        <v>0</v>
      </c>
      <c r="BU200" s="315">
        <v>0</v>
      </c>
      <c r="BV200" s="315">
        <v>0</v>
      </c>
    </row>
    <row r="201" spans="12:74" hidden="1" x14ac:dyDescent="0.2">
      <c r="L201" s="315">
        <v>0</v>
      </c>
      <c r="M201" s="315">
        <v>0</v>
      </c>
      <c r="N201" s="315">
        <v>0</v>
      </c>
      <c r="O201" s="315">
        <v>0</v>
      </c>
      <c r="P201" s="315">
        <v>0</v>
      </c>
      <c r="Q201" s="315">
        <v>0</v>
      </c>
      <c r="R201" s="315">
        <v>0</v>
      </c>
      <c r="S201" s="315">
        <v>0</v>
      </c>
      <c r="T201" s="315">
        <v>0</v>
      </c>
      <c r="U201" s="315">
        <v>0</v>
      </c>
      <c r="V201" s="315">
        <v>0</v>
      </c>
      <c r="W201" s="315">
        <v>0</v>
      </c>
      <c r="X201" s="315">
        <v>0</v>
      </c>
      <c r="Y201" s="315">
        <v>0</v>
      </c>
      <c r="Z201" s="315">
        <v>0</v>
      </c>
      <c r="AA201" s="315">
        <v>0</v>
      </c>
      <c r="AB201" s="315">
        <v>0</v>
      </c>
      <c r="AC201" s="315">
        <v>0</v>
      </c>
      <c r="AD201" s="315">
        <v>0</v>
      </c>
      <c r="AE201" s="315">
        <v>0</v>
      </c>
      <c r="AF201" s="315">
        <v>0</v>
      </c>
      <c r="AG201" s="315">
        <v>0</v>
      </c>
      <c r="AH201" s="315">
        <v>0</v>
      </c>
      <c r="AI201" s="315">
        <v>0</v>
      </c>
      <c r="AJ201" s="315">
        <v>0</v>
      </c>
      <c r="AK201" s="315">
        <v>0</v>
      </c>
      <c r="AL201" s="315">
        <v>0</v>
      </c>
      <c r="AM201" s="315">
        <v>0</v>
      </c>
      <c r="AN201" s="315">
        <v>0</v>
      </c>
      <c r="AO201" s="315">
        <v>0</v>
      </c>
      <c r="AP201" s="315">
        <v>0</v>
      </c>
      <c r="AQ201" s="315">
        <v>0</v>
      </c>
      <c r="AR201" s="315">
        <v>0</v>
      </c>
      <c r="AS201" s="315">
        <v>0</v>
      </c>
      <c r="AT201" s="315">
        <v>0</v>
      </c>
      <c r="AU201" s="315">
        <v>0</v>
      </c>
      <c r="AV201" s="315">
        <v>0</v>
      </c>
      <c r="AW201" s="315">
        <v>0</v>
      </c>
      <c r="AX201" s="315">
        <v>0</v>
      </c>
      <c r="AY201" s="315">
        <v>0</v>
      </c>
      <c r="AZ201" s="315">
        <v>0</v>
      </c>
      <c r="BA201" s="315">
        <v>0</v>
      </c>
      <c r="BB201" s="315">
        <v>0</v>
      </c>
      <c r="BC201" s="315">
        <v>0</v>
      </c>
      <c r="BD201" s="315">
        <v>0</v>
      </c>
      <c r="BE201" s="315">
        <v>0</v>
      </c>
      <c r="BF201" s="315">
        <v>0</v>
      </c>
      <c r="BG201" s="315">
        <v>0</v>
      </c>
      <c r="BH201" s="315">
        <v>0</v>
      </c>
      <c r="BI201" s="315">
        <v>0</v>
      </c>
      <c r="BJ201" s="315">
        <v>0</v>
      </c>
      <c r="BK201" s="315">
        <v>0</v>
      </c>
      <c r="BL201" s="315">
        <v>0</v>
      </c>
      <c r="BM201" s="315">
        <v>0</v>
      </c>
      <c r="BN201" s="315">
        <v>0</v>
      </c>
      <c r="BO201" s="315">
        <v>0</v>
      </c>
      <c r="BP201" s="315">
        <v>0</v>
      </c>
      <c r="BQ201" s="315">
        <v>0</v>
      </c>
      <c r="BR201" s="315">
        <v>0</v>
      </c>
      <c r="BS201" s="315">
        <v>0</v>
      </c>
      <c r="BT201" s="315">
        <v>0</v>
      </c>
      <c r="BU201" s="315">
        <v>0</v>
      </c>
      <c r="BV201" s="315">
        <v>0</v>
      </c>
    </row>
    <row r="202" spans="12:74" hidden="1" x14ac:dyDescent="0.2">
      <c r="L202" s="315">
        <v>0</v>
      </c>
      <c r="M202" s="315">
        <v>0</v>
      </c>
      <c r="N202" s="315">
        <v>0</v>
      </c>
      <c r="O202" s="315">
        <v>0</v>
      </c>
      <c r="P202" s="315">
        <v>0</v>
      </c>
      <c r="Q202" s="315">
        <v>0</v>
      </c>
      <c r="R202" s="315">
        <v>0</v>
      </c>
      <c r="S202" s="315">
        <v>0</v>
      </c>
      <c r="T202" s="315">
        <v>0</v>
      </c>
      <c r="U202" s="315">
        <v>0</v>
      </c>
      <c r="V202" s="315">
        <v>0</v>
      </c>
      <c r="W202" s="315">
        <v>0</v>
      </c>
      <c r="X202" s="315">
        <v>0</v>
      </c>
      <c r="Y202" s="315">
        <v>0</v>
      </c>
      <c r="Z202" s="315">
        <v>0</v>
      </c>
      <c r="AA202" s="315">
        <v>0</v>
      </c>
      <c r="AB202" s="315">
        <v>0</v>
      </c>
      <c r="AC202" s="315">
        <v>0</v>
      </c>
      <c r="AD202" s="315">
        <v>0</v>
      </c>
      <c r="AE202" s="315">
        <v>0</v>
      </c>
      <c r="AF202" s="315">
        <v>0</v>
      </c>
      <c r="AG202" s="315">
        <v>0</v>
      </c>
      <c r="AH202" s="315">
        <v>0</v>
      </c>
      <c r="AI202" s="315">
        <v>0</v>
      </c>
      <c r="AJ202" s="315">
        <v>0</v>
      </c>
      <c r="AK202" s="315">
        <v>0</v>
      </c>
      <c r="AL202" s="315">
        <v>0</v>
      </c>
      <c r="AM202" s="315">
        <v>0</v>
      </c>
      <c r="AN202" s="315">
        <v>0</v>
      </c>
      <c r="AO202" s="315">
        <v>0</v>
      </c>
      <c r="AP202" s="315">
        <v>0</v>
      </c>
      <c r="AQ202" s="315">
        <v>0</v>
      </c>
      <c r="AR202" s="315">
        <v>0</v>
      </c>
      <c r="AS202" s="315">
        <v>0</v>
      </c>
      <c r="AT202" s="315">
        <v>0</v>
      </c>
      <c r="AU202" s="315">
        <v>0</v>
      </c>
      <c r="AV202" s="315">
        <v>0</v>
      </c>
      <c r="AW202" s="315">
        <v>0</v>
      </c>
      <c r="AX202" s="315">
        <v>0</v>
      </c>
      <c r="AY202" s="315">
        <v>0</v>
      </c>
      <c r="AZ202" s="315">
        <v>0</v>
      </c>
      <c r="BA202" s="315">
        <v>0</v>
      </c>
      <c r="BB202" s="315">
        <v>0</v>
      </c>
      <c r="BC202" s="315">
        <v>0</v>
      </c>
      <c r="BD202" s="315">
        <v>0</v>
      </c>
      <c r="BE202" s="315">
        <v>0</v>
      </c>
      <c r="BF202" s="315">
        <v>0</v>
      </c>
      <c r="BG202" s="315">
        <v>0</v>
      </c>
      <c r="BH202" s="315">
        <v>0</v>
      </c>
      <c r="BI202" s="315">
        <v>0</v>
      </c>
      <c r="BJ202" s="315">
        <v>0</v>
      </c>
      <c r="BK202" s="315">
        <v>0</v>
      </c>
      <c r="BL202" s="315">
        <v>0</v>
      </c>
      <c r="BM202" s="315">
        <v>0</v>
      </c>
      <c r="BN202" s="315">
        <v>0</v>
      </c>
      <c r="BO202" s="315">
        <v>0</v>
      </c>
      <c r="BP202" s="315">
        <v>0</v>
      </c>
      <c r="BQ202" s="315">
        <v>0</v>
      </c>
      <c r="BR202" s="315">
        <v>0</v>
      </c>
      <c r="BS202" s="315">
        <v>0</v>
      </c>
      <c r="BT202" s="315">
        <v>0</v>
      </c>
      <c r="BU202" s="315">
        <v>0</v>
      </c>
      <c r="BV202" s="315">
        <v>0</v>
      </c>
    </row>
    <row r="203" spans="12:74" hidden="1" x14ac:dyDescent="0.2">
      <c r="L203" s="315">
        <v>0</v>
      </c>
      <c r="M203" s="315">
        <v>0</v>
      </c>
      <c r="N203" s="315">
        <v>0</v>
      </c>
      <c r="O203" s="315">
        <v>0</v>
      </c>
      <c r="P203" s="315">
        <v>0</v>
      </c>
      <c r="Q203" s="315">
        <v>0</v>
      </c>
      <c r="R203" s="315">
        <v>0</v>
      </c>
      <c r="S203" s="315">
        <v>0</v>
      </c>
      <c r="T203" s="315">
        <v>0</v>
      </c>
      <c r="U203" s="315">
        <v>0</v>
      </c>
      <c r="V203" s="315">
        <v>0</v>
      </c>
      <c r="W203" s="315">
        <v>0</v>
      </c>
      <c r="X203" s="315">
        <v>0</v>
      </c>
      <c r="Y203" s="315">
        <v>0</v>
      </c>
      <c r="Z203" s="315">
        <v>0</v>
      </c>
      <c r="AA203" s="315">
        <v>0</v>
      </c>
      <c r="AB203" s="315">
        <v>0</v>
      </c>
      <c r="AC203" s="315">
        <v>0</v>
      </c>
      <c r="AD203" s="315">
        <v>0</v>
      </c>
      <c r="AE203" s="315">
        <v>0</v>
      </c>
      <c r="AF203" s="315">
        <v>0</v>
      </c>
      <c r="AG203" s="315">
        <v>0</v>
      </c>
      <c r="AH203" s="315">
        <v>0</v>
      </c>
      <c r="AI203" s="315">
        <v>0</v>
      </c>
      <c r="AJ203" s="315">
        <v>0</v>
      </c>
      <c r="AK203" s="315">
        <v>0</v>
      </c>
      <c r="AL203" s="315">
        <v>0</v>
      </c>
      <c r="AM203" s="315">
        <v>0</v>
      </c>
      <c r="AN203" s="315">
        <v>0</v>
      </c>
      <c r="AO203" s="315">
        <v>0</v>
      </c>
      <c r="AP203" s="315">
        <v>0</v>
      </c>
      <c r="AQ203" s="315">
        <v>0</v>
      </c>
      <c r="AR203" s="315">
        <v>0</v>
      </c>
      <c r="AS203" s="315">
        <v>0</v>
      </c>
      <c r="AT203" s="315">
        <v>0</v>
      </c>
      <c r="AU203" s="315">
        <v>0</v>
      </c>
      <c r="AV203" s="315">
        <v>0</v>
      </c>
      <c r="AW203" s="315">
        <v>0</v>
      </c>
      <c r="AX203" s="315">
        <v>0</v>
      </c>
      <c r="AY203" s="315">
        <v>0</v>
      </c>
      <c r="AZ203" s="315">
        <v>0</v>
      </c>
      <c r="BA203" s="315">
        <v>0</v>
      </c>
      <c r="BB203" s="315">
        <v>0</v>
      </c>
      <c r="BC203" s="315">
        <v>0</v>
      </c>
      <c r="BD203" s="315">
        <v>0</v>
      </c>
      <c r="BE203" s="315">
        <v>0</v>
      </c>
      <c r="BF203" s="315">
        <v>0</v>
      </c>
      <c r="BG203" s="315">
        <v>0</v>
      </c>
      <c r="BH203" s="315">
        <v>0</v>
      </c>
      <c r="BI203" s="315">
        <v>0</v>
      </c>
      <c r="BJ203" s="315">
        <v>0</v>
      </c>
      <c r="BK203" s="315">
        <v>0</v>
      </c>
      <c r="BL203" s="315">
        <v>0</v>
      </c>
      <c r="BM203" s="315">
        <v>0</v>
      </c>
      <c r="BN203" s="315">
        <v>0</v>
      </c>
      <c r="BO203" s="315">
        <v>0</v>
      </c>
      <c r="BP203" s="315">
        <v>0</v>
      </c>
      <c r="BQ203" s="315">
        <v>0</v>
      </c>
      <c r="BR203" s="315">
        <v>0</v>
      </c>
      <c r="BS203" s="315">
        <v>0</v>
      </c>
      <c r="BT203" s="315">
        <v>0</v>
      </c>
      <c r="BU203" s="315">
        <v>0</v>
      </c>
      <c r="BV203" s="315">
        <v>0</v>
      </c>
    </row>
    <row r="204" spans="12:74" hidden="1" x14ac:dyDescent="0.2">
      <c r="L204" s="315">
        <v>0</v>
      </c>
      <c r="M204" s="315">
        <v>0</v>
      </c>
      <c r="N204" s="315">
        <v>0</v>
      </c>
      <c r="O204" s="315">
        <v>0</v>
      </c>
      <c r="P204" s="315">
        <v>0</v>
      </c>
      <c r="Q204" s="315">
        <v>0</v>
      </c>
      <c r="R204" s="315">
        <v>0</v>
      </c>
      <c r="S204" s="315">
        <v>0</v>
      </c>
      <c r="T204" s="315">
        <v>0</v>
      </c>
      <c r="U204" s="315">
        <v>0</v>
      </c>
      <c r="V204" s="315">
        <v>0</v>
      </c>
      <c r="W204" s="315">
        <v>0</v>
      </c>
      <c r="X204" s="315">
        <v>0</v>
      </c>
      <c r="Y204" s="315">
        <v>0</v>
      </c>
      <c r="Z204" s="315">
        <v>0</v>
      </c>
      <c r="AA204" s="315">
        <v>0</v>
      </c>
      <c r="AB204" s="315">
        <v>0</v>
      </c>
      <c r="AC204" s="315">
        <v>0</v>
      </c>
      <c r="AD204" s="315">
        <v>0</v>
      </c>
      <c r="AE204" s="315">
        <v>0</v>
      </c>
      <c r="AF204" s="315">
        <v>0</v>
      </c>
      <c r="AG204" s="315">
        <v>0</v>
      </c>
      <c r="AH204" s="315">
        <v>0</v>
      </c>
      <c r="AI204" s="315">
        <v>0</v>
      </c>
      <c r="AJ204" s="315">
        <v>0</v>
      </c>
      <c r="AK204" s="315">
        <v>0</v>
      </c>
      <c r="AL204" s="315">
        <v>0</v>
      </c>
      <c r="AM204" s="315">
        <v>0</v>
      </c>
      <c r="AN204" s="315">
        <v>0</v>
      </c>
      <c r="AO204" s="315">
        <v>0</v>
      </c>
      <c r="AP204" s="315">
        <v>0</v>
      </c>
      <c r="AQ204" s="315">
        <v>0</v>
      </c>
      <c r="AR204" s="315">
        <v>0</v>
      </c>
      <c r="AS204" s="315">
        <v>0</v>
      </c>
      <c r="AT204" s="315">
        <v>0</v>
      </c>
      <c r="AU204" s="315">
        <v>0</v>
      </c>
      <c r="AV204" s="315">
        <v>0</v>
      </c>
      <c r="AW204" s="315">
        <v>0</v>
      </c>
      <c r="AX204" s="315">
        <v>0</v>
      </c>
      <c r="AY204" s="315">
        <v>0</v>
      </c>
      <c r="AZ204" s="315">
        <v>0</v>
      </c>
      <c r="BA204" s="315">
        <v>0</v>
      </c>
      <c r="BB204" s="315">
        <v>0</v>
      </c>
      <c r="BC204" s="315">
        <v>0</v>
      </c>
      <c r="BD204" s="315">
        <v>0</v>
      </c>
      <c r="BE204" s="315">
        <v>0</v>
      </c>
      <c r="BF204" s="315">
        <v>0</v>
      </c>
      <c r="BG204" s="315">
        <v>0</v>
      </c>
      <c r="BH204" s="315">
        <v>0</v>
      </c>
      <c r="BI204" s="315">
        <v>0</v>
      </c>
      <c r="BJ204" s="315">
        <v>0</v>
      </c>
      <c r="BK204" s="315">
        <v>0</v>
      </c>
      <c r="BL204" s="315">
        <v>0</v>
      </c>
      <c r="BM204" s="315">
        <v>0</v>
      </c>
      <c r="BN204" s="315">
        <v>0</v>
      </c>
      <c r="BO204" s="315">
        <v>0</v>
      </c>
      <c r="BP204" s="315">
        <v>0</v>
      </c>
      <c r="BQ204" s="315">
        <v>0</v>
      </c>
      <c r="BR204" s="315">
        <v>0</v>
      </c>
      <c r="BS204" s="315">
        <v>0</v>
      </c>
      <c r="BT204" s="315">
        <v>0</v>
      </c>
      <c r="BU204" s="315">
        <v>0</v>
      </c>
      <c r="BV204" s="315">
        <v>0</v>
      </c>
    </row>
    <row r="205" spans="12:74" hidden="1" x14ac:dyDescent="0.2">
      <c r="L205" s="315">
        <v>0</v>
      </c>
      <c r="M205" s="315">
        <v>0</v>
      </c>
      <c r="N205" s="315">
        <v>0</v>
      </c>
      <c r="O205" s="315">
        <v>0</v>
      </c>
      <c r="P205" s="315">
        <v>0</v>
      </c>
      <c r="Q205" s="315">
        <v>0</v>
      </c>
      <c r="R205" s="315">
        <v>0</v>
      </c>
      <c r="S205" s="315">
        <v>0</v>
      </c>
      <c r="T205" s="315">
        <v>0</v>
      </c>
      <c r="U205" s="315">
        <v>0</v>
      </c>
      <c r="V205" s="315">
        <v>0</v>
      </c>
      <c r="W205" s="315">
        <v>0</v>
      </c>
      <c r="X205" s="315">
        <v>0</v>
      </c>
      <c r="Y205" s="315">
        <v>0</v>
      </c>
      <c r="Z205" s="315">
        <v>0</v>
      </c>
      <c r="AA205" s="315">
        <v>0</v>
      </c>
      <c r="AB205" s="315">
        <v>0</v>
      </c>
      <c r="AC205" s="315">
        <v>0</v>
      </c>
      <c r="AD205" s="315">
        <v>0</v>
      </c>
      <c r="AE205" s="315">
        <v>0</v>
      </c>
      <c r="AF205" s="315">
        <v>0</v>
      </c>
      <c r="AG205" s="315">
        <v>0</v>
      </c>
      <c r="AH205" s="315">
        <v>0</v>
      </c>
      <c r="AI205" s="315">
        <v>0</v>
      </c>
      <c r="AJ205" s="315">
        <v>0</v>
      </c>
      <c r="AK205" s="315">
        <v>0</v>
      </c>
      <c r="AL205" s="315">
        <v>0</v>
      </c>
      <c r="AM205" s="315">
        <v>0</v>
      </c>
      <c r="AN205" s="315">
        <v>0</v>
      </c>
      <c r="AO205" s="315">
        <v>0</v>
      </c>
      <c r="AP205" s="315">
        <v>0</v>
      </c>
      <c r="AQ205" s="315">
        <v>0</v>
      </c>
      <c r="AR205" s="315">
        <v>0</v>
      </c>
      <c r="AS205" s="315">
        <v>0</v>
      </c>
      <c r="AT205" s="315">
        <v>0</v>
      </c>
      <c r="AU205" s="315">
        <v>0</v>
      </c>
      <c r="AV205" s="315">
        <v>0</v>
      </c>
      <c r="AW205" s="315">
        <v>0</v>
      </c>
      <c r="AX205" s="315">
        <v>0</v>
      </c>
      <c r="AY205" s="315">
        <v>0</v>
      </c>
      <c r="AZ205" s="315">
        <v>0</v>
      </c>
      <c r="BA205" s="315">
        <v>0</v>
      </c>
      <c r="BB205" s="315">
        <v>0</v>
      </c>
      <c r="BC205" s="315">
        <v>0</v>
      </c>
      <c r="BD205" s="315">
        <v>0</v>
      </c>
      <c r="BE205" s="315">
        <v>0</v>
      </c>
      <c r="BF205" s="315">
        <v>0</v>
      </c>
      <c r="BG205" s="315">
        <v>0</v>
      </c>
      <c r="BH205" s="315">
        <v>0</v>
      </c>
      <c r="BI205" s="315">
        <v>0</v>
      </c>
      <c r="BJ205" s="315">
        <v>0</v>
      </c>
      <c r="BK205" s="315">
        <v>0</v>
      </c>
      <c r="BL205" s="315">
        <v>0</v>
      </c>
      <c r="BM205" s="315">
        <v>0</v>
      </c>
      <c r="BN205" s="315">
        <v>0</v>
      </c>
      <c r="BO205" s="315">
        <v>0</v>
      </c>
      <c r="BP205" s="315">
        <v>0</v>
      </c>
      <c r="BQ205" s="315">
        <v>0</v>
      </c>
      <c r="BR205" s="315">
        <v>0</v>
      </c>
      <c r="BS205" s="315">
        <v>0</v>
      </c>
      <c r="BT205" s="315">
        <v>0</v>
      </c>
      <c r="BU205" s="315">
        <v>0</v>
      </c>
      <c r="BV205" s="315">
        <v>0</v>
      </c>
    </row>
    <row r="206" spans="12:74" hidden="1" x14ac:dyDescent="0.2">
      <c r="L206" s="315">
        <v>0</v>
      </c>
      <c r="M206" s="315">
        <v>0</v>
      </c>
      <c r="N206" s="315">
        <v>0</v>
      </c>
      <c r="O206" s="315">
        <v>0</v>
      </c>
      <c r="P206" s="315">
        <v>0</v>
      </c>
      <c r="Q206" s="315">
        <v>0</v>
      </c>
      <c r="R206" s="315">
        <v>0</v>
      </c>
      <c r="S206" s="315">
        <v>0</v>
      </c>
      <c r="T206" s="315">
        <v>0</v>
      </c>
      <c r="U206" s="315">
        <v>0</v>
      </c>
      <c r="V206" s="315">
        <v>0</v>
      </c>
      <c r="W206" s="315">
        <v>0</v>
      </c>
      <c r="X206" s="315">
        <v>0</v>
      </c>
      <c r="Y206" s="315">
        <v>0</v>
      </c>
      <c r="Z206" s="315">
        <v>0</v>
      </c>
      <c r="AA206" s="315">
        <v>0</v>
      </c>
      <c r="AB206" s="315">
        <v>0</v>
      </c>
      <c r="AC206" s="315">
        <v>0</v>
      </c>
      <c r="AD206" s="315">
        <v>0</v>
      </c>
      <c r="AE206" s="315">
        <v>0</v>
      </c>
      <c r="AF206" s="315">
        <v>0</v>
      </c>
      <c r="AG206" s="315">
        <v>0</v>
      </c>
      <c r="AH206" s="315">
        <v>0</v>
      </c>
      <c r="AI206" s="315">
        <v>0</v>
      </c>
      <c r="AJ206" s="315">
        <v>0</v>
      </c>
      <c r="AK206" s="315">
        <v>0</v>
      </c>
      <c r="AL206" s="315">
        <v>0</v>
      </c>
      <c r="AM206" s="315">
        <v>0</v>
      </c>
      <c r="AN206" s="315">
        <v>0</v>
      </c>
      <c r="AO206" s="315">
        <v>0</v>
      </c>
      <c r="AP206" s="315">
        <v>0</v>
      </c>
      <c r="AQ206" s="315">
        <v>0</v>
      </c>
      <c r="AR206" s="315">
        <v>0</v>
      </c>
      <c r="AS206" s="315">
        <v>0</v>
      </c>
      <c r="AT206" s="315">
        <v>0</v>
      </c>
      <c r="AU206" s="315">
        <v>0</v>
      </c>
      <c r="AV206" s="315">
        <v>0</v>
      </c>
      <c r="AW206" s="315">
        <v>0</v>
      </c>
      <c r="AX206" s="315">
        <v>0</v>
      </c>
      <c r="AY206" s="315">
        <v>0</v>
      </c>
      <c r="AZ206" s="315">
        <v>0</v>
      </c>
      <c r="BA206" s="315">
        <v>0</v>
      </c>
      <c r="BB206" s="315">
        <v>0</v>
      </c>
      <c r="BC206" s="315">
        <v>0</v>
      </c>
      <c r="BD206" s="315">
        <v>0</v>
      </c>
      <c r="BE206" s="315">
        <v>0</v>
      </c>
      <c r="BF206" s="315">
        <v>0</v>
      </c>
      <c r="BG206" s="315">
        <v>0</v>
      </c>
      <c r="BH206" s="315">
        <v>0</v>
      </c>
      <c r="BI206" s="315">
        <v>0</v>
      </c>
      <c r="BJ206" s="315">
        <v>0</v>
      </c>
      <c r="BK206" s="315">
        <v>0</v>
      </c>
      <c r="BL206" s="315">
        <v>0</v>
      </c>
      <c r="BM206" s="315">
        <v>0</v>
      </c>
      <c r="BN206" s="315">
        <v>0</v>
      </c>
      <c r="BO206" s="315">
        <v>0</v>
      </c>
      <c r="BP206" s="315">
        <v>0</v>
      </c>
      <c r="BQ206" s="315">
        <v>0</v>
      </c>
      <c r="BR206" s="315">
        <v>0</v>
      </c>
      <c r="BS206" s="315">
        <v>0</v>
      </c>
      <c r="BT206" s="315">
        <v>0</v>
      </c>
      <c r="BU206" s="315">
        <v>0</v>
      </c>
      <c r="BV206" s="315">
        <v>0</v>
      </c>
    </row>
    <row r="207" spans="12:74" hidden="1" x14ac:dyDescent="0.2">
      <c r="L207" s="315">
        <v>0</v>
      </c>
      <c r="M207" s="315">
        <v>0</v>
      </c>
      <c r="N207" s="315">
        <v>0</v>
      </c>
      <c r="O207" s="315">
        <v>0</v>
      </c>
      <c r="P207" s="315">
        <v>0</v>
      </c>
      <c r="Q207" s="315">
        <v>0</v>
      </c>
      <c r="R207" s="315">
        <v>0</v>
      </c>
      <c r="S207" s="315">
        <v>0</v>
      </c>
      <c r="T207" s="315">
        <v>0</v>
      </c>
      <c r="U207" s="315">
        <v>0</v>
      </c>
      <c r="V207" s="315">
        <v>0</v>
      </c>
      <c r="W207" s="315">
        <v>0</v>
      </c>
      <c r="X207" s="315">
        <v>0</v>
      </c>
      <c r="Y207" s="315">
        <v>0</v>
      </c>
      <c r="Z207" s="315">
        <v>0</v>
      </c>
      <c r="AA207" s="315">
        <v>0</v>
      </c>
      <c r="AB207" s="315">
        <v>0</v>
      </c>
      <c r="AC207" s="315">
        <v>0</v>
      </c>
      <c r="AD207" s="315">
        <v>0</v>
      </c>
      <c r="AE207" s="315">
        <v>0</v>
      </c>
      <c r="AF207" s="315">
        <v>0</v>
      </c>
      <c r="AG207" s="315">
        <v>0</v>
      </c>
      <c r="AH207" s="315">
        <v>0</v>
      </c>
      <c r="AI207" s="315">
        <v>0</v>
      </c>
      <c r="AJ207" s="315">
        <v>0</v>
      </c>
      <c r="AK207" s="315">
        <v>0</v>
      </c>
      <c r="AL207" s="315">
        <v>0</v>
      </c>
      <c r="AM207" s="315">
        <v>0</v>
      </c>
      <c r="AN207" s="315">
        <v>0</v>
      </c>
      <c r="AO207" s="315">
        <v>0</v>
      </c>
      <c r="AP207" s="315">
        <v>0</v>
      </c>
      <c r="AQ207" s="315">
        <v>0</v>
      </c>
      <c r="AR207" s="315">
        <v>0</v>
      </c>
      <c r="AS207" s="315">
        <v>0</v>
      </c>
      <c r="AT207" s="315">
        <v>0</v>
      </c>
      <c r="AU207" s="315">
        <v>0</v>
      </c>
      <c r="AV207" s="315">
        <v>0</v>
      </c>
      <c r="AW207" s="315">
        <v>0</v>
      </c>
      <c r="AX207" s="315">
        <v>0</v>
      </c>
      <c r="AY207" s="315">
        <v>0</v>
      </c>
      <c r="AZ207" s="315">
        <v>0</v>
      </c>
      <c r="BA207" s="315">
        <v>0</v>
      </c>
      <c r="BB207" s="315">
        <v>0</v>
      </c>
      <c r="BC207" s="315">
        <v>0</v>
      </c>
      <c r="BD207" s="315">
        <v>0</v>
      </c>
      <c r="BE207" s="315">
        <v>0</v>
      </c>
      <c r="BF207" s="315">
        <v>0</v>
      </c>
      <c r="BG207" s="315">
        <v>0</v>
      </c>
      <c r="BH207" s="315">
        <v>0</v>
      </c>
      <c r="BI207" s="315">
        <v>0</v>
      </c>
      <c r="BJ207" s="315">
        <v>0</v>
      </c>
      <c r="BK207" s="315">
        <v>0</v>
      </c>
      <c r="BL207" s="315">
        <v>0</v>
      </c>
      <c r="BM207" s="315">
        <v>0</v>
      </c>
      <c r="BN207" s="315">
        <v>0</v>
      </c>
      <c r="BO207" s="315">
        <v>0</v>
      </c>
      <c r="BP207" s="315">
        <v>0</v>
      </c>
      <c r="BQ207" s="315">
        <v>0</v>
      </c>
      <c r="BR207" s="315">
        <v>0</v>
      </c>
      <c r="BS207" s="315">
        <v>0</v>
      </c>
      <c r="BT207" s="315">
        <v>0</v>
      </c>
      <c r="BU207" s="315">
        <v>0</v>
      </c>
      <c r="BV207" s="315">
        <v>0</v>
      </c>
    </row>
    <row r="208" spans="12:74" hidden="1" x14ac:dyDescent="0.2">
      <c r="L208" s="315">
        <v>0</v>
      </c>
      <c r="M208" s="315">
        <v>0</v>
      </c>
      <c r="N208" s="315">
        <v>0</v>
      </c>
      <c r="O208" s="315">
        <v>0</v>
      </c>
      <c r="P208" s="315">
        <v>0</v>
      </c>
      <c r="Q208" s="315">
        <v>0</v>
      </c>
      <c r="R208" s="315">
        <v>0</v>
      </c>
      <c r="S208" s="315">
        <v>0</v>
      </c>
      <c r="T208" s="315">
        <v>0</v>
      </c>
      <c r="U208" s="315">
        <v>0</v>
      </c>
      <c r="V208" s="315">
        <v>0</v>
      </c>
      <c r="W208" s="315">
        <v>0</v>
      </c>
      <c r="X208" s="315">
        <v>0</v>
      </c>
      <c r="Y208" s="315">
        <v>0</v>
      </c>
      <c r="Z208" s="315">
        <v>0</v>
      </c>
      <c r="AA208" s="315">
        <v>0</v>
      </c>
      <c r="AB208" s="315">
        <v>0</v>
      </c>
      <c r="AC208" s="315">
        <v>0</v>
      </c>
      <c r="AD208" s="315">
        <v>0</v>
      </c>
      <c r="AE208" s="315">
        <v>0</v>
      </c>
      <c r="AF208" s="315">
        <v>0</v>
      </c>
      <c r="AG208" s="315">
        <v>0</v>
      </c>
      <c r="AH208" s="315">
        <v>0</v>
      </c>
      <c r="AI208" s="315">
        <v>0</v>
      </c>
      <c r="AJ208" s="315">
        <v>0</v>
      </c>
      <c r="AK208" s="315">
        <v>0</v>
      </c>
      <c r="AL208" s="315">
        <v>0</v>
      </c>
      <c r="AM208" s="315">
        <v>0</v>
      </c>
      <c r="AN208" s="315">
        <v>0</v>
      </c>
      <c r="AO208" s="315">
        <v>0</v>
      </c>
      <c r="AP208" s="315">
        <v>0</v>
      </c>
      <c r="AQ208" s="315">
        <v>0</v>
      </c>
      <c r="AR208" s="315">
        <v>0</v>
      </c>
      <c r="AS208" s="315">
        <v>0</v>
      </c>
      <c r="AT208" s="315">
        <v>0</v>
      </c>
      <c r="AU208" s="315">
        <v>0</v>
      </c>
      <c r="AV208" s="315">
        <v>0</v>
      </c>
      <c r="AW208" s="315">
        <v>0</v>
      </c>
      <c r="AX208" s="315">
        <v>0</v>
      </c>
      <c r="AY208" s="315">
        <v>0</v>
      </c>
      <c r="AZ208" s="315">
        <v>0</v>
      </c>
      <c r="BA208" s="315">
        <v>0</v>
      </c>
      <c r="BB208" s="315">
        <v>0</v>
      </c>
      <c r="BC208" s="315">
        <v>0</v>
      </c>
      <c r="BD208" s="315">
        <v>0</v>
      </c>
      <c r="BE208" s="315">
        <v>0</v>
      </c>
      <c r="BF208" s="315">
        <v>0</v>
      </c>
      <c r="BG208" s="315">
        <v>0</v>
      </c>
      <c r="BH208" s="315">
        <v>0</v>
      </c>
      <c r="BI208" s="315">
        <v>0</v>
      </c>
      <c r="BJ208" s="315">
        <v>0</v>
      </c>
      <c r="BK208" s="315">
        <v>0</v>
      </c>
      <c r="BL208" s="315">
        <v>0</v>
      </c>
      <c r="BM208" s="315">
        <v>0</v>
      </c>
      <c r="BN208" s="315">
        <v>0</v>
      </c>
      <c r="BO208" s="315">
        <v>0</v>
      </c>
      <c r="BP208" s="315">
        <v>0</v>
      </c>
      <c r="BQ208" s="315">
        <v>0</v>
      </c>
      <c r="BR208" s="315">
        <v>0</v>
      </c>
      <c r="BS208" s="315">
        <v>0</v>
      </c>
      <c r="BT208" s="315">
        <v>0</v>
      </c>
      <c r="BU208" s="315">
        <v>0</v>
      </c>
      <c r="BV208" s="315">
        <v>0</v>
      </c>
    </row>
    <row r="209" spans="12:74" hidden="1" x14ac:dyDescent="0.2">
      <c r="L209" s="315">
        <v>0</v>
      </c>
      <c r="M209" s="315">
        <v>0</v>
      </c>
      <c r="N209" s="315">
        <v>0</v>
      </c>
      <c r="O209" s="315">
        <v>0</v>
      </c>
      <c r="P209" s="315">
        <v>0</v>
      </c>
      <c r="Q209" s="315">
        <v>0</v>
      </c>
      <c r="R209" s="315">
        <v>0</v>
      </c>
      <c r="S209" s="315">
        <v>0</v>
      </c>
      <c r="T209" s="315">
        <v>0</v>
      </c>
      <c r="U209" s="315">
        <v>0</v>
      </c>
      <c r="V209" s="315">
        <v>0</v>
      </c>
      <c r="W209" s="315">
        <v>0</v>
      </c>
      <c r="X209" s="315">
        <v>0</v>
      </c>
      <c r="Y209" s="315">
        <v>0</v>
      </c>
      <c r="Z209" s="315">
        <v>0</v>
      </c>
      <c r="AA209" s="315">
        <v>0</v>
      </c>
      <c r="AB209" s="315">
        <v>0</v>
      </c>
      <c r="AC209" s="315">
        <v>0</v>
      </c>
      <c r="AD209" s="315">
        <v>0</v>
      </c>
      <c r="AE209" s="315">
        <v>0</v>
      </c>
      <c r="AF209" s="315">
        <v>0</v>
      </c>
      <c r="AG209" s="315">
        <v>0</v>
      </c>
      <c r="AH209" s="315">
        <v>0</v>
      </c>
      <c r="AI209" s="315">
        <v>0</v>
      </c>
      <c r="AJ209" s="315">
        <v>0</v>
      </c>
      <c r="AK209" s="315">
        <v>0</v>
      </c>
      <c r="AL209" s="315">
        <v>0</v>
      </c>
      <c r="AM209" s="315">
        <v>0</v>
      </c>
      <c r="AN209" s="315">
        <v>0</v>
      </c>
      <c r="AO209" s="315">
        <v>0</v>
      </c>
      <c r="AP209" s="315">
        <v>0</v>
      </c>
      <c r="AQ209" s="315">
        <v>0</v>
      </c>
      <c r="AR209" s="315">
        <v>0</v>
      </c>
      <c r="AS209" s="315">
        <v>0</v>
      </c>
      <c r="AT209" s="315">
        <v>0</v>
      </c>
      <c r="AU209" s="315">
        <v>0</v>
      </c>
      <c r="AV209" s="315">
        <v>0</v>
      </c>
      <c r="AW209" s="315">
        <v>0</v>
      </c>
      <c r="AX209" s="315">
        <v>0</v>
      </c>
      <c r="AY209" s="315">
        <v>0</v>
      </c>
      <c r="AZ209" s="315">
        <v>0</v>
      </c>
      <c r="BA209" s="315">
        <v>0</v>
      </c>
      <c r="BB209" s="315">
        <v>0</v>
      </c>
      <c r="BC209" s="315">
        <v>0</v>
      </c>
      <c r="BD209" s="315">
        <v>0</v>
      </c>
      <c r="BE209" s="315">
        <v>0</v>
      </c>
      <c r="BF209" s="315">
        <v>0</v>
      </c>
      <c r="BG209" s="315">
        <v>0</v>
      </c>
      <c r="BH209" s="315">
        <v>0</v>
      </c>
      <c r="BI209" s="315">
        <v>0</v>
      </c>
      <c r="BJ209" s="315">
        <v>0</v>
      </c>
      <c r="BK209" s="315">
        <v>0</v>
      </c>
      <c r="BL209" s="315">
        <v>0</v>
      </c>
      <c r="BM209" s="315">
        <v>0</v>
      </c>
      <c r="BN209" s="315">
        <v>0</v>
      </c>
      <c r="BO209" s="315">
        <v>0</v>
      </c>
      <c r="BP209" s="315">
        <v>0</v>
      </c>
      <c r="BQ209" s="315">
        <v>0</v>
      </c>
      <c r="BR209" s="315">
        <v>0</v>
      </c>
      <c r="BS209" s="315">
        <v>0</v>
      </c>
      <c r="BT209" s="315">
        <v>0</v>
      </c>
      <c r="BU209" s="315">
        <v>0</v>
      </c>
      <c r="BV209" s="315">
        <v>0</v>
      </c>
    </row>
    <row r="210" spans="12:74" hidden="1" x14ac:dyDescent="0.2">
      <c r="L210" s="315">
        <v>0</v>
      </c>
      <c r="M210" s="315">
        <v>0</v>
      </c>
      <c r="N210" s="315">
        <v>0</v>
      </c>
      <c r="O210" s="315">
        <v>0</v>
      </c>
      <c r="P210" s="315">
        <v>0</v>
      </c>
      <c r="Q210" s="315">
        <v>0</v>
      </c>
      <c r="R210" s="315">
        <v>0</v>
      </c>
      <c r="S210" s="315">
        <v>0</v>
      </c>
      <c r="T210" s="315">
        <v>0</v>
      </c>
      <c r="U210" s="315">
        <v>0</v>
      </c>
      <c r="V210" s="315">
        <v>0</v>
      </c>
      <c r="W210" s="315">
        <v>0</v>
      </c>
      <c r="X210" s="315">
        <v>0</v>
      </c>
      <c r="Y210" s="315">
        <v>0</v>
      </c>
      <c r="Z210" s="315">
        <v>0</v>
      </c>
      <c r="AA210" s="315">
        <v>0</v>
      </c>
      <c r="AB210" s="315">
        <v>0</v>
      </c>
      <c r="AC210" s="315">
        <v>0</v>
      </c>
      <c r="AD210" s="315">
        <v>0</v>
      </c>
      <c r="AE210" s="315">
        <v>0</v>
      </c>
      <c r="AF210" s="315">
        <v>0</v>
      </c>
      <c r="AG210" s="315">
        <v>0</v>
      </c>
      <c r="AH210" s="315">
        <v>0</v>
      </c>
      <c r="AI210" s="315">
        <v>0</v>
      </c>
      <c r="AJ210" s="315">
        <v>0</v>
      </c>
      <c r="AK210" s="315">
        <v>0</v>
      </c>
      <c r="AL210" s="315">
        <v>0</v>
      </c>
      <c r="AM210" s="315">
        <v>0</v>
      </c>
      <c r="AN210" s="315">
        <v>0</v>
      </c>
      <c r="AO210" s="315">
        <v>0</v>
      </c>
      <c r="AP210" s="315">
        <v>0</v>
      </c>
      <c r="AQ210" s="315">
        <v>0</v>
      </c>
      <c r="AR210" s="315">
        <v>0</v>
      </c>
      <c r="AS210" s="315">
        <v>0</v>
      </c>
      <c r="AT210" s="315">
        <v>0</v>
      </c>
      <c r="AU210" s="315">
        <v>0</v>
      </c>
      <c r="AV210" s="315">
        <v>0</v>
      </c>
      <c r="AW210" s="315">
        <v>0</v>
      </c>
      <c r="AX210" s="315">
        <v>0</v>
      </c>
      <c r="AY210" s="315">
        <v>0</v>
      </c>
      <c r="AZ210" s="315">
        <v>0</v>
      </c>
      <c r="BA210" s="315">
        <v>0</v>
      </c>
      <c r="BB210" s="315">
        <v>0</v>
      </c>
      <c r="BC210" s="315">
        <v>0</v>
      </c>
      <c r="BD210" s="315">
        <v>0</v>
      </c>
      <c r="BE210" s="315">
        <v>0</v>
      </c>
      <c r="BF210" s="315">
        <v>0</v>
      </c>
      <c r="BG210" s="315">
        <v>0</v>
      </c>
      <c r="BH210" s="315">
        <v>0</v>
      </c>
      <c r="BI210" s="315">
        <v>0</v>
      </c>
      <c r="BJ210" s="315">
        <v>0</v>
      </c>
      <c r="BK210" s="315">
        <v>0</v>
      </c>
      <c r="BL210" s="315">
        <v>0</v>
      </c>
      <c r="BM210" s="315">
        <v>0</v>
      </c>
      <c r="BN210" s="315">
        <v>0</v>
      </c>
      <c r="BO210" s="315">
        <v>0</v>
      </c>
      <c r="BP210" s="315">
        <v>0</v>
      </c>
      <c r="BQ210" s="315">
        <v>0</v>
      </c>
      <c r="BR210" s="315">
        <v>0</v>
      </c>
      <c r="BS210" s="315">
        <v>0</v>
      </c>
      <c r="BT210" s="315">
        <v>0</v>
      </c>
      <c r="BU210" s="315">
        <v>0</v>
      </c>
      <c r="BV210" s="315">
        <v>0</v>
      </c>
    </row>
    <row r="211" spans="12:74" hidden="1" x14ac:dyDescent="0.2">
      <c r="L211" s="315">
        <v>0</v>
      </c>
      <c r="M211" s="315">
        <v>0</v>
      </c>
      <c r="N211" s="315">
        <v>0</v>
      </c>
      <c r="O211" s="315">
        <v>0</v>
      </c>
      <c r="P211" s="315">
        <v>0</v>
      </c>
      <c r="Q211" s="315">
        <v>0</v>
      </c>
      <c r="R211" s="315">
        <v>0</v>
      </c>
      <c r="S211" s="315">
        <v>0</v>
      </c>
      <c r="T211" s="315">
        <v>0</v>
      </c>
      <c r="U211" s="315">
        <v>0</v>
      </c>
      <c r="V211" s="315">
        <v>0</v>
      </c>
      <c r="W211" s="315">
        <v>0</v>
      </c>
      <c r="X211" s="315">
        <v>0</v>
      </c>
      <c r="Y211" s="315">
        <v>0</v>
      </c>
      <c r="Z211" s="315">
        <v>0</v>
      </c>
      <c r="AA211" s="315">
        <v>0</v>
      </c>
      <c r="AB211" s="315">
        <v>0</v>
      </c>
      <c r="AC211" s="315">
        <v>0</v>
      </c>
      <c r="AD211" s="315">
        <v>0</v>
      </c>
      <c r="AE211" s="315">
        <v>0</v>
      </c>
      <c r="AF211" s="315">
        <v>0</v>
      </c>
      <c r="AG211" s="315">
        <v>0</v>
      </c>
      <c r="AH211" s="315">
        <v>0</v>
      </c>
      <c r="AI211" s="315">
        <v>0</v>
      </c>
      <c r="AJ211" s="315">
        <v>0</v>
      </c>
      <c r="AK211" s="315">
        <v>0</v>
      </c>
      <c r="AL211" s="315">
        <v>0</v>
      </c>
      <c r="AM211" s="315">
        <v>0</v>
      </c>
      <c r="AN211" s="315">
        <v>0</v>
      </c>
      <c r="AO211" s="315">
        <v>0</v>
      </c>
      <c r="AP211" s="315">
        <v>0</v>
      </c>
      <c r="AQ211" s="315">
        <v>0</v>
      </c>
      <c r="AR211" s="315">
        <v>0</v>
      </c>
      <c r="AS211" s="315">
        <v>0</v>
      </c>
      <c r="AT211" s="315">
        <v>0</v>
      </c>
      <c r="AU211" s="315">
        <v>0</v>
      </c>
      <c r="AV211" s="315">
        <v>0</v>
      </c>
      <c r="AW211" s="315">
        <v>0</v>
      </c>
      <c r="AX211" s="315">
        <v>0</v>
      </c>
      <c r="AY211" s="315">
        <v>0</v>
      </c>
      <c r="AZ211" s="315">
        <v>0</v>
      </c>
      <c r="BA211" s="315">
        <v>0</v>
      </c>
      <c r="BB211" s="315">
        <v>0</v>
      </c>
      <c r="BC211" s="315">
        <v>0</v>
      </c>
      <c r="BD211" s="315">
        <v>0</v>
      </c>
      <c r="BE211" s="315">
        <v>0</v>
      </c>
      <c r="BF211" s="315">
        <v>0</v>
      </c>
      <c r="BG211" s="315">
        <v>0</v>
      </c>
      <c r="BH211" s="315">
        <v>0</v>
      </c>
      <c r="BI211" s="315">
        <v>0</v>
      </c>
      <c r="BJ211" s="315">
        <v>0</v>
      </c>
      <c r="BK211" s="315">
        <v>0</v>
      </c>
      <c r="BL211" s="315">
        <v>0</v>
      </c>
      <c r="BM211" s="315">
        <v>0</v>
      </c>
      <c r="BN211" s="315">
        <v>0</v>
      </c>
      <c r="BO211" s="315">
        <v>0</v>
      </c>
      <c r="BP211" s="315">
        <v>0</v>
      </c>
      <c r="BQ211" s="315">
        <v>0</v>
      </c>
      <c r="BR211" s="315">
        <v>0</v>
      </c>
      <c r="BS211" s="315">
        <v>0</v>
      </c>
      <c r="BT211" s="315">
        <v>0</v>
      </c>
      <c r="BU211" s="315">
        <v>0</v>
      </c>
      <c r="BV211" s="315">
        <v>0</v>
      </c>
    </row>
    <row r="212" spans="12:74" hidden="1" x14ac:dyDescent="0.2">
      <c r="L212" s="315">
        <v>0</v>
      </c>
      <c r="M212" s="315">
        <v>0</v>
      </c>
      <c r="N212" s="315">
        <v>0</v>
      </c>
      <c r="O212" s="315">
        <v>0</v>
      </c>
      <c r="P212" s="315">
        <v>0</v>
      </c>
      <c r="Q212" s="315">
        <v>0</v>
      </c>
      <c r="R212" s="315">
        <v>0</v>
      </c>
      <c r="S212" s="315">
        <v>0</v>
      </c>
      <c r="T212" s="315">
        <v>0</v>
      </c>
      <c r="U212" s="315">
        <v>0</v>
      </c>
      <c r="V212" s="315">
        <v>0</v>
      </c>
      <c r="W212" s="315">
        <v>0</v>
      </c>
      <c r="X212" s="315">
        <v>0</v>
      </c>
      <c r="Y212" s="315">
        <v>0</v>
      </c>
      <c r="Z212" s="315">
        <v>0</v>
      </c>
      <c r="AA212" s="315">
        <v>0</v>
      </c>
      <c r="AB212" s="315">
        <v>0</v>
      </c>
      <c r="AC212" s="315">
        <v>0</v>
      </c>
      <c r="AD212" s="315">
        <v>0</v>
      </c>
      <c r="AE212" s="315">
        <v>0</v>
      </c>
      <c r="AF212" s="315">
        <v>0</v>
      </c>
      <c r="AG212" s="315">
        <v>0</v>
      </c>
      <c r="AH212" s="315">
        <v>0</v>
      </c>
      <c r="AI212" s="315">
        <v>0</v>
      </c>
      <c r="AJ212" s="315">
        <v>0</v>
      </c>
      <c r="AK212" s="315">
        <v>0</v>
      </c>
      <c r="AL212" s="315">
        <v>0</v>
      </c>
      <c r="AM212" s="315">
        <v>0</v>
      </c>
      <c r="AN212" s="315">
        <v>0</v>
      </c>
      <c r="AO212" s="315">
        <v>0</v>
      </c>
      <c r="AP212" s="315">
        <v>0</v>
      </c>
      <c r="AQ212" s="315">
        <v>0</v>
      </c>
      <c r="AR212" s="315">
        <v>0</v>
      </c>
      <c r="AS212" s="315">
        <v>0</v>
      </c>
      <c r="AT212" s="315">
        <v>0</v>
      </c>
      <c r="AU212" s="315">
        <v>0</v>
      </c>
      <c r="AV212" s="315">
        <v>0</v>
      </c>
      <c r="AW212" s="315">
        <v>0</v>
      </c>
      <c r="AX212" s="315">
        <v>0</v>
      </c>
      <c r="AY212" s="315">
        <v>0</v>
      </c>
      <c r="AZ212" s="315">
        <v>0</v>
      </c>
      <c r="BA212" s="315">
        <v>0</v>
      </c>
      <c r="BB212" s="315">
        <v>0</v>
      </c>
      <c r="BC212" s="315">
        <v>0</v>
      </c>
      <c r="BD212" s="315">
        <v>0</v>
      </c>
      <c r="BE212" s="315">
        <v>0</v>
      </c>
      <c r="BF212" s="315">
        <v>0</v>
      </c>
      <c r="BG212" s="315">
        <v>0</v>
      </c>
      <c r="BH212" s="315">
        <v>0</v>
      </c>
      <c r="BI212" s="315">
        <v>0</v>
      </c>
      <c r="BJ212" s="315">
        <v>0</v>
      </c>
      <c r="BK212" s="315">
        <v>0</v>
      </c>
      <c r="BL212" s="315">
        <v>0</v>
      </c>
      <c r="BM212" s="315">
        <v>0</v>
      </c>
      <c r="BN212" s="315">
        <v>0</v>
      </c>
      <c r="BO212" s="315">
        <v>0</v>
      </c>
      <c r="BP212" s="315">
        <v>0</v>
      </c>
      <c r="BQ212" s="315">
        <v>0</v>
      </c>
      <c r="BR212" s="315">
        <v>0</v>
      </c>
      <c r="BS212" s="315">
        <v>0</v>
      </c>
      <c r="BT212" s="315">
        <v>0</v>
      </c>
      <c r="BU212" s="315">
        <v>0</v>
      </c>
      <c r="BV212" s="315">
        <v>0</v>
      </c>
    </row>
    <row r="213" spans="12:74" hidden="1" x14ac:dyDescent="0.2">
      <c r="L213" s="315">
        <v>0</v>
      </c>
      <c r="M213" s="315">
        <v>0</v>
      </c>
      <c r="N213" s="315">
        <v>0</v>
      </c>
      <c r="O213" s="315">
        <v>0</v>
      </c>
      <c r="P213" s="315">
        <v>0</v>
      </c>
      <c r="Q213" s="315">
        <v>0</v>
      </c>
      <c r="R213" s="315">
        <v>0</v>
      </c>
      <c r="S213" s="315">
        <v>0</v>
      </c>
      <c r="T213" s="315">
        <v>0</v>
      </c>
      <c r="U213" s="315">
        <v>0</v>
      </c>
      <c r="V213" s="315">
        <v>0</v>
      </c>
      <c r="W213" s="315">
        <v>0</v>
      </c>
      <c r="X213" s="315">
        <v>0</v>
      </c>
      <c r="Y213" s="315">
        <v>0</v>
      </c>
      <c r="Z213" s="315">
        <v>0</v>
      </c>
      <c r="AA213" s="315">
        <v>0</v>
      </c>
      <c r="AB213" s="315">
        <v>0</v>
      </c>
      <c r="AC213" s="315">
        <v>0</v>
      </c>
      <c r="AD213" s="315">
        <v>0</v>
      </c>
      <c r="AE213" s="315">
        <v>0</v>
      </c>
      <c r="AF213" s="315">
        <v>0</v>
      </c>
      <c r="AG213" s="315">
        <v>0</v>
      </c>
      <c r="AH213" s="315">
        <v>0</v>
      </c>
      <c r="AI213" s="315">
        <v>0</v>
      </c>
      <c r="AJ213" s="315">
        <v>0</v>
      </c>
      <c r="AK213" s="315">
        <v>0</v>
      </c>
      <c r="AL213" s="315">
        <v>0</v>
      </c>
      <c r="AM213" s="315">
        <v>0</v>
      </c>
      <c r="AN213" s="315">
        <v>0</v>
      </c>
      <c r="AO213" s="315">
        <v>0</v>
      </c>
      <c r="AP213" s="315">
        <v>0</v>
      </c>
      <c r="AQ213" s="315">
        <v>0</v>
      </c>
      <c r="AR213" s="315">
        <v>0</v>
      </c>
      <c r="AS213" s="315">
        <v>0</v>
      </c>
      <c r="AT213" s="315">
        <v>0</v>
      </c>
      <c r="AU213" s="315">
        <v>0</v>
      </c>
      <c r="AV213" s="315">
        <v>0</v>
      </c>
      <c r="AW213" s="315">
        <v>0</v>
      </c>
      <c r="AX213" s="315">
        <v>0</v>
      </c>
      <c r="AY213" s="315">
        <v>0</v>
      </c>
      <c r="AZ213" s="315">
        <v>0</v>
      </c>
      <c r="BA213" s="315">
        <v>0</v>
      </c>
      <c r="BB213" s="315">
        <v>0</v>
      </c>
      <c r="BC213" s="315">
        <v>0</v>
      </c>
      <c r="BD213" s="315">
        <v>0</v>
      </c>
      <c r="BE213" s="315">
        <v>0</v>
      </c>
      <c r="BF213" s="315">
        <v>0</v>
      </c>
      <c r="BG213" s="315">
        <v>0</v>
      </c>
      <c r="BH213" s="315">
        <v>0</v>
      </c>
      <c r="BI213" s="315">
        <v>0</v>
      </c>
      <c r="BJ213" s="315">
        <v>0</v>
      </c>
      <c r="BK213" s="315">
        <v>0</v>
      </c>
      <c r="BL213" s="315">
        <v>0</v>
      </c>
      <c r="BM213" s="315">
        <v>0</v>
      </c>
      <c r="BN213" s="315">
        <v>0</v>
      </c>
      <c r="BO213" s="315">
        <v>0</v>
      </c>
      <c r="BP213" s="315">
        <v>0</v>
      </c>
      <c r="BQ213" s="315">
        <v>0</v>
      </c>
      <c r="BR213" s="315">
        <v>0</v>
      </c>
      <c r="BS213" s="315">
        <v>0</v>
      </c>
      <c r="BT213" s="315">
        <v>0</v>
      </c>
      <c r="BU213" s="315">
        <v>0</v>
      </c>
      <c r="BV213" s="315">
        <v>0</v>
      </c>
    </row>
    <row r="214" spans="12:74" hidden="1" x14ac:dyDescent="0.2">
      <c r="L214" s="315">
        <v>354961</v>
      </c>
      <c r="M214" s="315">
        <v>0</v>
      </c>
      <c r="N214" s="315">
        <v>0</v>
      </c>
      <c r="O214" s="315">
        <v>0</v>
      </c>
      <c r="P214" s="315">
        <v>0</v>
      </c>
      <c r="Q214" s="315">
        <v>1469964</v>
      </c>
      <c r="R214" s="315">
        <v>0</v>
      </c>
      <c r="S214" s="315">
        <v>0</v>
      </c>
      <c r="T214" s="315">
        <v>0</v>
      </c>
      <c r="U214" s="315">
        <v>0</v>
      </c>
      <c r="V214" s="315">
        <v>362091</v>
      </c>
      <c r="W214" s="315">
        <v>0</v>
      </c>
      <c r="X214" s="315">
        <v>0</v>
      </c>
      <c r="Y214" s="315">
        <v>0</v>
      </c>
      <c r="Z214" s="315">
        <v>0</v>
      </c>
      <c r="AA214" s="315">
        <v>0</v>
      </c>
      <c r="AB214" s="315">
        <v>0</v>
      </c>
      <c r="AC214" s="315">
        <v>0</v>
      </c>
      <c r="AD214" s="315">
        <v>0</v>
      </c>
      <c r="AE214" s="315">
        <v>0</v>
      </c>
      <c r="AF214" s="315">
        <v>107401</v>
      </c>
      <c r="AG214" s="315">
        <v>0</v>
      </c>
      <c r="AH214" s="315">
        <v>0</v>
      </c>
      <c r="AI214" s="315">
        <v>0</v>
      </c>
      <c r="AJ214" s="315">
        <v>0</v>
      </c>
      <c r="AK214" s="315">
        <v>46213</v>
      </c>
      <c r="AL214" s="315">
        <v>0</v>
      </c>
      <c r="AM214" s="315">
        <v>0</v>
      </c>
      <c r="AN214" s="315">
        <v>0</v>
      </c>
      <c r="AO214" s="315">
        <v>0</v>
      </c>
      <c r="AP214" s="315">
        <v>0</v>
      </c>
      <c r="AQ214" s="315">
        <v>0</v>
      </c>
      <c r="AR214" s="315">
        <v>0</v>
      </c>
      <c r="AS214" s="315">
        <v>0</v>
      </c>
      <c r="AT214" s="315">
        <v>0</v>
      </c>
      <c r="AU214" s="315">
        <v>0</v>
      </c>
      <c r="AV214" s="315">
        <v>0</v>
      </c>
      <c r="AW214" s="315">
        <v>0</v>
      </c>
      <c r="AX214" s="315">
        <v>0</v>
      </c>
      <c r="AY214" s="315">
        <v>0</v>
      </c>
      <c r="AZ214" s="315">
        <v>-115323</v>
      </c>
      <c r="BA214" s="315">
        <v>0</v>
      </c>
      <c r="BB214" s="315">
        <v>0</v>
      </c>
      <c r="BC214" s="315">
        <v>0</v>
      </c>
      <c r="BD214" s="315">
        <v>0</v>
      </c>
      <c r="BE214" s="315">
        <v>0</v>
      </c>
      <c r="BF214" s="315">
        <v>0</v>
      </c>
      <c r="BG214" s="315">
        <v>0</v>
      </c>
      <c r="BH214" s="315">
        <v>0</v>
      </c>
      <c r="BI214" s="315">
        <v>0</v>
      </c>
      <c r="BJ214" s="315">
        <v>0</v>
      </c>
      <c r="BK214" s="315">
        <v>0</v>
      </c>
      <c r="BL214" s="315">
        <v>0</v>
      </c>
      <c r="BM214" s="315">
        <v>0</v>
      </c>
      <c r="BN214" s="315">
        <v>0</v>
      </c>
      <c r="BO214" s="315">
        <v>-518523</v>
      </c>
      <c r="BP214" s="315">
        <v>0</v>
      </c>
      <c r="BQ214" s="315">
        <v>0</v>
      </c>
      <c r="BR214" s="315">
        <v>0</v>
      </c>
      <c r="BS214" s="315">
        <v>0</v>
      </c>
      <c r="BT214" s="315">
        <v>2340630</v>
      </c>
      <c r="BU214" s="315">
        <v>0</v>
      </c>
      <c r="BV214" s="315">
        <v>0</v>
      </c>
    </row>
    <row r="215" spans="12:74" hidden="1" x14ac:dyDescent="0.2">
      <c r="L215" s="315">
        <v>354961</v>
      </c>
      <c r="M215" s="315">
        <v>0</v>
      </c>
      <c r="N215" s="315">
        <v>0</v>
      </c>
      <c r="O215" s="315">
        <v>0</v>
      </c>
      <c r="P215" s="315">
        <v>0</v>
      </c>
      <c r="Q215" s="315">
        <v>1469964</v>
      </c>
      <c r="R215" s="315">
        <v>0</v>
      </c>
      <c r="S215" s="315">
        <v>0</v>
      </c>
      <c r="T215" s="315">
        <v>0</v>
      </c>
      <c r="U215" s="315">
        <v>0</v>
      </c>
      <c r="V215" s="315">
        <v>362091</v>
      </c>
      <c r="W215" s="315">
        <v>0</v>
      </c>
      <c r="X215" s="315">
        <v>0</v>
      </c>
      <c r="Y215" s="315">
        <v>0</v>
      </c>
      <c r="Z215" s="315">
        <v>0</v>
      </c>
      <c r="AA215" s="315">
        <v>0</v>
      </c>
      <c r="AB215" s="315">
        <v>0</v>
      </c>
      <c r="AC215" s="315">
        <v>0</v>
      </c>
      <c r="AD215" s="315">
        <v>0</v>
      </c>
      <c r="AE215" s="315">
        <v>0</v>
      </c>
      <c r="AF215" s="315">
        <v>107401</v>
      </c>
      <c r="AG215" s="315">
        <v>0</v>
      </c>
      <c r="AH215" s="315">
        <v>0</v>
      </c>
      <c r="AI215" s="315">
        <v>0</v>
      </c>
      <c r="AJ215" s="315">
        <v>0</v>
      </c>
      <c r="AK215" s="315">
        <v>46213</v>
      </c>
      <c r="AL215" s="315">
        <v>0</v>
      </c>
      <c r="AM215" s="315">
        <v>0</v>
      </c>
      <c r="AN215" s="315">
        <v>0</v>
      </c>
      <c r="AO215" s="315">
        <v>0</v>
      </c>
      <c r="AP215" s="315">
        <v>0</v>
      </c>
      <c r="AQ215" s="315">
        <v>0</v>
      </c>
      <c r="AR215" s="315">
        <v>0</v>
      </c>
      <c r="AS215" s="315">
        <v>0</v>
      </c>
      <c r="AT215" s="315">
        <v>0</v>
      </c>
      <c r="AU215" s="315">
        <v>0</v>
      </c>
      <c r="AV215" s="315">
        <v>0</v>
      </c>
      <c r="AW215" s="315">
        <v>0</v>
      </c>
      <c r="AX215" s="315">
        <v>0</v>
      </c>
      <c r="AY215" s="315">
        <v>0</v>
      </c>
      <c r="AZ215" s="315">
        <v>-115323</v>
      </c>
      <c r="BA215" s="315">
        <v>0</v>
      </c>
      <c r="BB215" s="315">
        <v>0</v>
      </c>
      <c r="BC215" s="315">
        <v>0</v>
      </c>
      <c r="BD215" s="315">
        <v>0</v>
      </c>
      <c r="BE215" s="315">
        <v>0</v>
      </c>
      <c r="BF215" s="315">
        <v>0</v>
      </c>
      <c r="BG215" s="315">
        <v>0</v>
      </c>
      <c r="BH215" s="315">
        <v>0</v>
      </c>
      <c r="BI215" s="315">
        <v>0</v>
      </c>
      <c r="BJ215" s="315">
        <v>0</v>
      </c>
      <c r="BK215" s="315">
        <v>0</v>
      </c>
      <c r="BL215" s="315">
        <v>0</v>
      </c>
      <c r="BM215" s="315">
        <v>0</v>
      </c>
      <c r="BN215" s="315">
        <v>0</v>
      </c>
      <c r="BO215" s="315">
        <v>-518523</v>
      </c>
      <c r="BP215" s="315">
        <v>0</v>
      </c>
      <c r="BQ215" s="315">
        <v>0</v>
      </c>
      <c r="BR215" s="315">
        <v>0</v>
      </c>
      <c r="BS215" s="315">
        <v>0</v>
      </c>
      <c r="BT215" s="315">
        <v>2340630</v>
      </c>
      <c r="BU215" s="315">
        <v>0</v>
      </c>
      <c r="BV215" s="315">
        <v>0</v>
      </c>
    </row>
    <row r="216" spans="12:74" hidden="1" x14ac:dyDescent="0.2">
      <c r="L216" s="315">
        <v>0</v>
      </c>
      <c r="M216" s="315">
        <v>0</v>
      </c>
      <c r="N216" s="315">
        <v>0</v>
      </c>
      <c r="O216" s="315">
        <v>0</v>
      </c>
      <c r="P216" s="315">
        <v>0</v>
      </c>
      <c r="Q216" s="315">
        <v>0</v>
      </c>
      <c r="R216" s="315">
        <v>0</v>
      </c>
      <c r="S216" s="315">
        <v>0</v>
      </c>
      <c r="T216" s="315">
        <v>0</v>
      </c>
      <c r="U216" s="315">
        <v>0</v>
      </c>
      <c r="V216" s="315">
        <v>0</v>
      </c>
      <c r="W216" s="315">
        <v>0</v>
      </c>
      <c r="X216" s="315">
        <v>0</v>
      </c>
      <c r="Y216" s="315">
        <v>0</v>
      </c>
      <c r="Z216" s="315">
        <v>0</v>
      </c>
      <c r="AA216" s="315">
        <v>0</v>
      </c>
      <c r="AB216" s="315">
        <v>0</v>
      </c>
      <c r="AC216" s="315">
        <v>0</v>
      </c>
      <c r="AD216" s="315">
        <v>0</v>
      </c>
      <c r="AE216" s="315">
        <v>0</v>
      </c>
      <c r="AF216" s="315">
        <v>0</v>
      </c>
      <c r="AG216" s="315">
        <v>0</v>
      </c>
      <c r="AH216" s="315">
        <v>0</v>
      </c>
      <c r="AI216" s="315">
        <v>0</v>
      </c>
      <c r="AJ216" s="315">
        <v>0</v>
      </c>
      <c r="AK216" s="315">
        <v>0</v>
      </c>
      <c r="AL216" s="315">
        <v>0</v>
      </c>
      <c r="AM216" s="315">
        <v>0</v>
      </c>
      <c r="AN216" s="315">
        <v>0</v>
      </c>
      <c r="AO216" s="315">
        <v>0</v>
      </c>
      <c r="AP216" s="315">
        <v>0</v>
      </c>
      <c r="AQ216" s="315">
        <v>0</v>
      </c>
      <c r="AR216" s="315">
        <v>0</v>
      </c>
      <c r="AS216" s="315">
        <v>0</v>
      </c>
      <c r="AT216" s="315">
        <v>0</v>
      </c>
      <c r="AU216" s="315">
        <v>0</v>
      </c>
      <c r="AV216" s="315">
        <v>0</v>
      </c>
      <c r="AW216" s="315">
        <v>0</v>
      </c>
      <c r="AX216" s="315">
        <v>0</v>
      </c>
      <c r="AY216" s="315">
        <v>0</v>
      </c>
      <c r="AZ216" s="315">
        <v>0</v>
      </c>
      <c r="BA216" s="315">
        <v>0</v>
      </c>
      <c r="BB216" s="315">
        <v>0</v>
      </c>
      <c r="BC216" s="315">
        <v>0</v>
      </c>
      <c r="BD216" s="315">
        <v>0</v>
      </c>
      <c r="BE216" s="315">
        <v>0</v>
      </c>
      <c r="BF216" s="315">
        <v>0</v>
      </c>
      <c r="BG216" s="315">
        <v>0</v>
      </c>
      <c r="BH216" s="315">
        <v>0</v>
      </c>
      <c r="BI216" s="315">
        <v>0</v>
      </c>
      <c r="BJ216" s="315">
        <v>0</v>
      </c>
      <c r="BK216" s="315">
        <v>0</v>
      </c>
      <c r="BL216" s="315">
        <v>0</v>
      </c>
      <c r="BM216" s="315">
        <v>0</v>
      </c>
      <c r="BN216" s="315">
        <v>0</v>
      </c>
      <c r="BO216" s="315">
        <v>0</v>
      </c>
      <c r="BP216" s="315">
        <v>0</v>
      </c>
      <c r="BQ216" s="315">
        <v>0</v>
      </c>
      <c r="BR216" s="315">
        <v>0</v>
      </c>
      <c r="BS216" s="315">
        <v>0</v>
      </c>
      <c r="BT216" s="315">
        <v>0</v>
      </c>
      <c r="BU216" s="315">
        <v>0</v>
      </c>
      <c r="BV216" s="315">
        <v>0</v>
      </c>
    </row>
    <row r="217" spans="12:74" hidden="1" x14ac:dyDescent="0.2">
      <c r="L217" s="315">
        <v>-15296</v>
      </c>
      <c r="M217" s="315">
        <v>0</v>
      </c>
      <c r="N217" s="315">
        <v>0</v>
      </c>
      <c r="O217" s="315">
        <v>0</v>
      </c>
      <c r="P217" s="315">
        <v>0</v>
      </c>
      <c r="Q217" s="315">
        <v>55166</v>
      </c>
      <c r="R217" s="315">
        <v>0</v>
      </c>
      <c r="S217" s="315">
        <v>0</v>
      </c>
      <c r="T217" s="315">
        <v>0</v>
      </c>
      <c r="U217" s="315">
        <v>0</v>
      </c>
      <c r="V217" s="315">
        <v>230067</v>
      </c>
      <c r="W217" s="315">
        <v>0</v>
      </c>
      <c r="X217" s="315">
        <v>0</v>
      </c>
      <c r="Y217" s="315">
        <v>0</v>
      </c>
      <c r="Z217" s="315">
        <v>0</v>
      </c>
      <c r="AA217" s="315">
        <v>0</v>
      </c>
      <c r="AB217" s="315">
        <v>0</v>
      </c>
      <c r="AC217" s="315">
        <v>0</v>
      </c>
      <c r="AD217" s="315">
        <v>0</v>
      </c>
      <c r="AE217" s="315">
        <v>0</v>
      </c>
      <c r="AF217" s="315">
        <v>106768</v>
      </c>
      <c r="AG217" s="315">
        <v>0</v>
      </c>
      <c r="AH217" s="315">
        <v>0</v>
      </c>
      <c r="AI217" s="315">
        <v>0</v>
      </c>
      <c r="AJ217" s="315">
        <v>0</v>
      </c>
      <c r="AK217" s="315">
        <v>0</v>
      </c>
      <c r="AL217" s="315">
        <v>0</v>
      </c>
      <c r="AM217" s="315">
        <v>0</v>
      </c>
      <c r="AN217" s="315">
        <v>0</v>
      </c>
      <c r="AO217" s="315">
        <v>0</v>
      </c>
      <c r="AP217" s="315">
        <v>176497</v>
      </c>
      <c r="AQ217" s="315">
        <v>0</v>
      </c>
      <c r="AR217" s="315">
        <v>0</v>
      </c>
      <c r="AS217" s="315">
        <v>0</v>
      </c>
      <c r="AT217" s="315">
        <v>0</v>
      </c>
      <c r="AU217" s="315">
        <v>0</v>
      </c>
      <c r="AV217" s="315">
        <v>0</v>
      </c>
      <c r="AW217" s="315">
        <v>0</v>
      </c>
      <c r="AX217" s="315">
        <v>0</v>
      </c>
      <c r="AY217" s="315">
        <v>0</v>
      </c>
      <c r="AZ217" s="315">
        <v>-227461</v>
      </c>
      <c r="BA217" s="315">
        <v>0</v>
      </c>
      <c r="BB217" s="315">
        <v>0</v>
      </c>
      <c r="BC217" s="315">
        <v>0</v>
      </c>
      <c r="BD217" s="315">
        <v>0</v>
      </c>
      <c r="BE217" s="315">
        <v>0</v>
      </c>
      <c r="BF217" s="315">
        <v>0</v>
      </c>
      <c r="BG217" s="315">
        <v>0</v>
      </c>
      <c r="BH217" s="315">
        <v>0</v>
      </c>
      <c r="BI217" s="315">
        <v>0</v>
      </c>
      <c r="BJ217" s="315">
        <v>-232101</v>
      </c>
      <c r="BK217" s="315">
        <v>0</v>
      </c>
      <c r="BL217" s="315">
        <v>0</v>
      </c>
      <c r="BM217" s="315">
        <v>0</v>
      </c>
      <c r="BN217" s="315">
        <v>0</v>
      </c>
      <c r="BO217" s="315">
        <v>-782082</v>
      </c>
      <c r="BP217" s="315">
        <v>0</v>
      </c>
      <c r="BQ217" s="315">
        <v>0</v>
      </c>
      <c r="BR217" s="315">
        <v>0</v>
      </c>
      <c r="BS217" s="315">
        <v>0</v>
      </c>
      <c r="BT217" s="315">
        <v>553202</v>
      </c>
      <c r="BU217" s="315">
        <v>0</v>
      </c>
      <c r="BV217" s="315">
        <v>0</v>
      </c>
    </row>
    <row r="218" spans="12:74" hidden="1" x14ac:dyDescent="0.2">
      <c r="L218" s="315">
        <v>-15296</v>
      </c>
      <c r="M218" s="315">
        <v>0</v>
      </c>
      <c r="N218" s="315">
        <v>0</v>
      </c>
      <c r="O218" s="315">
        <v>0</v>
      </c>
      <c r="P218" s="315">
        <v>0</v>
      </c>
      <c r="Q218" s="315">
        <v>55166</v>
      </c>
      <c r="R218" s="315">
        <v>0</v>
      </c>
      <c r="S218" s="315">
        <v>0</v>
      </c>
      <c r="T218" s="315">
        <v>0</v>
      </c>
      <c r="U218" s="315">
        <v>0</v>
      </c>
      <c r="V218" s="315">
        <v>230067</v>
      </c>
      <c r="W218" s="315">
        <v>0</v>
      </c>
      <c r="X218" s="315">
        <v>0</v>
      </c>
      <c r="Y218" s="315">
        <v>0</v>
      </c>
      <c r="Z218" s="315">
        <v>0</v>
      </c>
      <c r="AA218" s="315">
        <v>0</v>
      </c>
      <c r="AB218" s="315">
        <v>0</v>
      </c>
      <c r="AC218" s="315">
        <v>0</v>
      </c>
      <c r="AD218" s="315">
        <v>0</v>
      </c>
      <c r="AE218" s="315">
        <v>0</v>
      </c>
      <c r="AF218" s="315">
        <v>106768</v>
      </c>
      <c r="AG218" s="315">
        <v>0</v>
      </c>
      <c r="AH218" s="315">
        <v>0</v>
      </c>
      <c r="AI218" s="315">
        <v>0</v>
      </c>
      <c r="AJ218" s="315">
        <v>0</v>
      </c>
      <c r="AK218" s="315">
        <v>0</v>
      </c>
      <c r="AL218" s="315">
        <v>0</v>
      </c>
      <c r="AM218" s="315">
        <v>0</v>
      </c>
      <c r="AN218" s="315">
        <v>0</v>
      </c>
      <c r="AO218" s="315">
        <v>0</v>
      </c>
      <c r="AP218" s="315">
        <v>176497</v>
      </c>
      <c r="AQ218" s="315">
        <v>0</v>
      </c>
      <c r="AR218" s="315">
        <v>0</v>
      </c>
      <c r="AS218" s="315">
        <v>0</v>
      </c>
      <c r="AT218" s="315">
        <v>0</v>
      </c>
      <c r="AU218" s="315">
        <v>0</v>
      </c>
      <c r="AV218" s="315">
        <v>0</v>
      </c>
      <c r="AW218" s="315">
        <v>0</v>
      </c>
      <c r="AX218" s="315">
        <v>0</v>
      </c>
      <c r="AY218" s="315">
        <v>0</v>
      </c>
      <c r="AZ218" s="315">
        <v>-227461</v>
      </c>
      <c r="BA218" s="315">
        <v>0</v>
      </c>
      <c r="BB218" s="315">
        <v>0</v>
      </c>
      <c r="BC218" s="315">
        <v>0</v>
      </c>
      <c r="BD218" s="315">
        <v>0</v>
      </c>
      <c r="BE218" s="315">
        <v>0</v>
      </c>
      <c r="BF218" s="315">
        <v>0</v>
      </c>
      <c r="BG218" s="315">
        <v>0</v>
      </c>
      <c r="BH218" s="315">
        <v>0</v>
      </c>
      <c r="BI218" s="315">
        <v>0</v>
      </c>
      <c r="BJ218" s="315">
        <v>-232101</v>
      </c>
      <c r="BK218" s="315">
        <v>0</v>
      </c>
      <c r="BL218" s="315">
        <v>0</v>
      </c>
      <c r="BM218" s="315">
        <v>0</v>
      </c>
      <c r="BN218" s="315">
        <v>0</v>
      </c>
      <c r="BO218" s="315">
        <v>-782082</v>
      </c>
      <c r="BP218" s="315">
        <v>0</v>
      </c>
      <c r="BQ218" s="315">
        <v>0</v>
      </c>
      <c r="BR218" s="315">
        <v>0</v>
      </c>
      <c r="BS218" s="315">
        <v>0</v>
      </c>
      <c r="BT218" s="315">
        <v>553202</v>
      </c>
      <c r="BU218" s="315">
        <v>0</v>
      </c>
      <c r="BV218" s="315">
        <v>0</v>
      </c>
    </row>
    <row r="219" spans="12:74" hidden="1" x14ac:dyDescent="0.2"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>
        <v>0</v>
      </c>
      <c r="Z219" s="315">
        <v>0</v>
      </c>
      <c r="AA219" s="315">
        <v>0</v>
      </c>
      <c r="AB219" s="315">
        <v>0</v>
      </c>
      <c r="AC219" s="315">
        <v>0</v>
      </c>
      <c r="AD219" s="315">
        <v>0</v>
      </c>
      <c r="AE219" s="315">
        <v>0</v>
      </c>
      <c r="AF219" s="315">
        <v>0</v>
      </c>
      <c r="AG219" s="315">
        <v>0</v>
      </c>
      <c r="AH219" s="315">
        <v>0</v>
      </c>
      <c r="AI219" s="315">
        <v>0</v>
      </c>
      <c r="AJ219" s="315">
        <v>0</v>
      </c>
      <c r="AK219" s="315">
        <v>0</v>
      </c>
      <c r="AL219" s="315">
        <v>0</v>
      </c>
      <c r="AM219" s="315">
        <v>0</v>
      </c>
      <c r="AN219" s="315">
        <v>0</v>
      </c>
      <c r="AO219" s="315">
        <v>0</v>
      </c>
      <c r="AP219" s="315">
        <v>0</v>
      </c>
      <c r="AQ219" s="315">
        <v>0</v>
      </c>
      <c r="AR219" s="315">
        <v>0</v>
      </c>
      <c r="AS219" s="315">
        <v>0</v>
      </c>
      <c r="AT219" s="315">
        <v>0</v>
      </c>
      <c r="AU219" s="315">
        <v>0</v>
      </c>
      <c r="AV219" s="315">
        <v>0</v>
      </c>
      <c r="AW219" s="315">
        <v>0</v>
      </c>
      <c r="AX219" s="315">
        <v>0</v>
      </c>
      <c r="AY219" s="315">
        <v>0</v>
      </c>
      <c r="AZ219" s="315">
        <v>0</v>
      </c>
      <c r="BA219" s="315">
        <v>0</v>
      </c>
      <c r="BB219" s="315">
        <v>0</v>
      </c>
      <c r="BC219" s="315">
        <v>0</v>
      </c>
      <c r="BD219" s="315">
        <v>0</v>
      </c>
      <c r="BE219" s="315">
        <v>0</v>
      </c>
      <c r="BF219" s="315">
        <v>0</v>
      </c>
      <c r="BG219" s="315">
        <v>0</v>
      </c>
      <c r="BH219" s="315">
        <v>0</v>
      </c>
      <c r="BI219" s="315">
        <v>0</v>
      </c>
      <c r="BJ219" s="315">
        <v>0</v>
      </c>
      <c r="BK219" s="315">
        <v>0</v>
      </c>
      <c r="BL219" s="315">
        <v>0</v>
      </c>
      <c r="BM219" s="315">
        <v>0</v>
      </c>
      <c r="BN219" s="315">
        <v>0</v>
      </c>
      <c r="BO219" s="315">
        <v>0</v>
      </c>
      <c r="BP219" s="315">
        <v>0</v>
      </c>
      <c r="BQ219" s="315">
        <v>0</v>
      </c>
      <c r="BR219" s="315">
        <v>0</v>
      </c>
      <c r="BS219" s="315">
        <v>0</v>
      </c>
      <c r="BT219" s="315">
        <v>0</v>
      </c>
      <c r="BU219" s="315">
        <v>0</v>
      </c>
      <c r="BV219" s="315">
        <v>0</v>
      </c>
    </row>
    <row r="220" spans="12:74" hidden="1" x14ac:dyDescent="0.2">
      <c r="L220" s="315">
        <v>-41836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>
        <v>0</v>
      </c>
      <c r="Z220" s="315">
        <v>0</v>
      </c>
      <c r="AA220" s="315">
        <v>0</v>
      </c>
      <c r="AB220" s="315">
        <v>0</v>
      </c>
      <c r="AC220" s="315">
        <v>0</v>
      </c>
      <c r="AD220" s="315">
        <v>0</v>
      </c>
      <c r="AE220" s="315">
        <v>0</v>
      </c>
      <c r="AF220" s="315">
        <v>0</v>
      </c>
      <c r="AG220" s="315">
        <v>0</v>
      </c>
      <c r="AH220" s="315">
        <v>0</v>
      </c>
      <c r="AI220" s="315">
        <v>0</v>
      </c>
      <c r="AJ220" s="315">
        <v>0</v>
      </c>
      <c r="AK220" s="315">
        <v>0</v>
      </c>
      <c r="AL220" s="315">
        <v>0</v>
      </c>
      <c r="AM220" s="315">
        <v>0</v>
      </c>
      <c r="AN220" s="315">
        <v>0</v>
      </c>
      <c r="AO220" s="315">
        <v>0</v>
      </c>
      <c r="AP220" s="315">
        <v>0</v>
      </c>
      <c r="AQ220" s="315">
        <v>0</v>
      </c>
      <c r="AR220" s="315">
        <v>0</v>
      </c>
      <c r="AS220" s="315">
        <v>0</v>
      </c>
      <c r="AT220" s="315">
        <v>0</v>
      </c>
      <c r="AU220" s="315">
        <v>0</v>
      </c>
      <c r="AV220" s="315">
        <v>0</v>
      </c>
      <c r="AW220" s="315">
        <v>0</v>
      </c>
      <c r="AX220" s="315">
        <v>0</v>
      </c>
      <c r="AY220" s="315">
        <v>0</v>
      </c>
      <c r="AZ220" s="315">
        <v>0</v>
      </c>
      <c r="BA220" s="315">
        <v>0</v>
      </c>
      <c r="BB220" s="315">
        <v>0</v>
      </c>
      <c r="BC220" s="315">
        <v>0</v>
      </c>
      <c r="BD220" s="315">
        <v>0</v>
      </c>
      <c r="BE220" s="315">
        <v>0</v>
      </c>
      <c r="BF220" s="315">
        <v>0</v>
      </c>
      <c r="BG220" s="315">
        <v>0</v>
      </c>
      <c r="BH220" s="315">
        <v>0</v>
      </c>
      <c r="BI220" s="315">
        <v>0</v>
      </c>
      <c r="BJ220" s="315">
        <v>0</v>
      </c>
      <c r="BK220" s="315">
        <v>0</v>
      </c>
      <c r="BL220" s="315">
        <v>0</v>
      </c>
      <c r="BM220" s="315">
        <v>0</v>
      </c>
      <c r="BN220" s="315">
        <v>0</v>
      </c>
      <c r="BO220" s="315">
        <v>-161224</v>
      </c>
      <c r="BP220" s="315">
        <v>0</v>
      </c>
      <c r="BQ220" s="315">
        <v>0</v>
      </c>
      <c r="BR220" s="315">
        <v>0</v>
      </c>
      <c r="BS220" s="315">
        <v>0</v>
      </c>
      <c r="BT220" s="315">
        <v>-41836</v>
      </c>
      <c r="BU220" s="315">
        <v>0</v>
      </c>
      <c r="BV220" s="315">
        <v>0</v>
      </c>
    </row>
    <row r="221" spans="12:74" hidden="1" x14ac:dyDescent="0.2">
      <c r="L221" s="315">
        <v>-41836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>
        <v>0</v>
      </c>
      <c r="Z221" s="315">
        <v>0</v>
      </c>
      <c r="AA221" s="315">
        <v>0</v>
      </c>
      <c r="AB221" s="315">
        <v>0</v>
      </c>
      <c r="AC221" s="315">
        <v>0</v>
      </c>
      <c r="AD221" s="315">
        <v>0</v>
      </c>
      <c r="AE221" s="315">
        <v>0</v>
      </c>
      <c r="AF221" s="315">
        <v>0</v>
      </c>
      <c r="AG221" s="315">
        <v>0</v>
      </c>
      <c r="AH221" s="315">
        <v>0</v>
      </c>
      <c r="AI221" s="315">
        <v>0</v>
      </c>
      <c r="AJ221" s="315">
        <v>0</v>
      </c>
      <c r="AK221" s="315">
        <v>0</v>
      </c>
      <c r="AL221" s="315">
        <v>0</v>
      </c>
      <c r="AM221" s="315">
        <v>0</v>
      </c>
      <c r="AN221" s="315">
        <v>0</v>
      </c>
      <c r="AO221" s="315">
        <v>0</v>
      </c>
      <c r="AP221" s="315">
        <v>0</v>
      </c>
      <c r="AQ221" s="315">
        <v>0</v>
      </c>
      <c r="AR221" s="315">
        <v>0</v>
      </c>
      <c r="AS221" s="315">
        <v>0</v>
      </c>
      <c r="AT221" s="315">
        <v>0</v>
      </c>
      <c r="AU221" s="315">
        <v>0</v>
      </c>
      <c r="AV221" s="315">
        <v>0</v>
      </c>
      <c r="AW221" s="315">
        <v>0</v>
      </c>
      <c r="AX221" s="315">
        <v>0</v>
      </c>
      <c r="AY221" s="315">
        <v>0</v>
      </c>
      <c r="AZ221" s="315">
        <v>0</v>
      </c>
      <c r="BA221" s="315">
        <v>0</v>
      </c>
      <c r="BB221" s="315">
        <v>0</v>
      </c>
      <c r="BC221" s="315">
        <v>0</v>
      </c>
      <c r="BD221" s="315">
        <v>0</v>
      </c>
      <c r="BE221" s="315">
        <v>0</v>
      </c>
      <c r="BF221" s="315">
        <v>0</v>
      </c>
      <c r="BG221" s="315">
        <v>0</v>
      </c>
      <c r="BH221" s="315">
        <v>0</v>
      </c>
      <c r="BI221" s="315">
        <v>0</v>
      </c>
      <c r="BJ221" s="315">
        <v>0</v>
      </c>
      <c r="BK221" s="315">
        <v>0</v>
      </c>
      <c r="BL221" s="315">
        <v>0</v>
      </c>
      <c r="BM221" s="315">
        <v>0</v>
      </c>
      <c r="BN221" s="315">
        <v>0</v>
      </c>
      <c r="BO221" s="315">
        <v>-161224</v>
      </c>
      <c r="BP221" s="315">
        <v>0</v>
      </c>
      <c r="BQ221" s="315">
        <v>0</v>
      </c>
      <c r="BR221" s="315">
        <v>0</v>
      </c>
      <c r="BS221" s="315">
        <v>0</v>
      </c>
      <c r="BT221" s="315">
        <v>-41836</v>
      </c>
      <c r="BU221" s="315">
        <v>0</v>
      </c>
      <c r="BV221" s="315">
        <v>0</v>
      </c>
    </row>
    <row r="222" spans="12:74" hidden="1" x14ac:dyDescent="0.2">
      <c r="L222" s="315">
        <v>0</v>
      </c>
      <c r="M222" s="315">
        <v>0</v>
      </c>
      <c r="N222" s="315">
        <v>0</v>
      </c>
      <c r="O222" s="315">
        <v>0</v>
      </c>
      <c r="P222" s="315">
        <v>0</v>
      </c>
      <c r="Q222" s="315">
        <v>0</v>
      </c>
      <c r="R222" s="315">
        <v>0</v>
      </c>
      <c r="S222" s="315">
        <v>0</v>
      </c>
      <c r="T222" s="315">
        <v>0</v>
      </c>
      <c r="U222" s="315">
        <v>0</v>
      </c>
      <c r="V222" s="315">
        <v>0</v>
      </c>
      <c r="W222" s="315">
        <v>0</v>
      </c>
      <c r="X222" s="315">
        <v>0</v>
      </c>
      <c r="Y222" s="315">
        <v>0</v>
      </c>
      <c r="Z222" s="315">
        <v>0</v>
      </c>
      <c r="AA222" s="315">
        <v>0</v>
      </c>
      <c r="AB222" s="315">
        <v>0</v>
      </c>
      <c r="AC222" s="315">
        <v>0</v>
      </c>
      <c r="AD222" s="315">
        <v>0</v>
      </c>
      <c r="AE222" s="315">
        <v>0</v>
      </c>
      <c r="AF222" s="315">
        <v>0</v>
      </c>
      <c r="AG222" s="315">
        <v>0</v>
      </c>
      <c r="AH222" s="315">
        <v>0</v>
      </c>
      <c r="AI222" s="315">
        <v>0</v>
      </c>
      <c r="AJ222" s="315">
        <v>0</v>
      </c>
      <c r="AK222" s="315">
        <v>0</v>
      </c>
      <c r="AL222" s="315">
        <v>0</v>
      </c>
      <c r="AM222" s="315">
        <v>0</v>
      </c>
      <c r="AN222" s="315">
        <v>0</v>
      </c>
      <c r="AO222" s="315">
        <v>0</v>
      </c>
      <c r="AP222" s="315">
        <v>0</v>
      </c>
      <c r="AQ222" s="315">
        <v>0</v>
      </c>
      <c r="AR222" s="315">
        <v>0</v>
      </c>
      <c r="AS222" s="315">
        <v>0</v>
      </c>
      <c r="AT222" s="315">
        <v>0</v>
      </c>
      <c r="AU222" s="315">
        <v>0</v>
      </c>
      <c r="AV222" s="315">
        <v>0</v>
      </c>
      <c r="AW222" s="315">
        <v>0</v>
      </c>
      <c r="AX222" s="315">
        <v>0</v>
      </c>
      <c r="AY222" s="315">
        <v>0</v>
      </c>
      <c r="AZ222" s="315">
        <v>0</v>
      </c>
      <c r="BA222" s="315">
        <v>0</v>
      </c>
      <c r="BB222" s="315">
        <v>0</v>
      </c>
      <c r="BC222" s="315">
        <v>0</v>
      </c>
      <c r="BD222" s="315">
        <v>0</v>
      </c>
      <c r="BE222" s="315">
        <v>0</v>
      </c>
      <c r="BF222" s="315">
        <v>0</v>
      </c>
      <c r="BG222" s="315">
        <v>0</v>
      </c>
      <c r="BH222" s="315">
        <v>0</v>
      </c>
      <c r="BI222" s="315">
        <v>0</v>
      </c>
      <c r="BJ222" s="315">
        <v>0</v>
      </c>
      <c r="BK222" s="315">
        <v>0</v>
      </c>
      <c r="BL222" s="315">
        <v>0</v>
      </c>
      <c r="BM222" s="315">
        <v>0</v>
      </c>
      <c r="BN222" s="315">
        <v>0</v>
      </c>
      <c r="BO222" s="315">
        <v>0</v>
      </c>
      <c r="BP222" s="315">
        <v>0</v>
      </c>
      <c r="BQ222" s="315">
        <v>0</v>
      </c>
      <c r="BR222" s="315">
        <v>0</v>
      </c>
      <c r="BS222" s="315">
        <v>0</v>
      </c>
      <c r="BT222" s="315">
        <v>0</v>
      </c>
      <c r="BU222" s="315">
        <v>0</v>
      </c>
      <c r="BV222" s="315">
        <v>0</v>
      </c>
    </row>
    <row r="223" spans="12:74" hidden="1" x14ac:dyDescent="0.2">
      <c r="L223" s="315">
        <v>0</v>
      </c>
      <c r="M223" s="315">
        <v>0</v>
      </c>
      <c r="N223" s="315">
        <v>0</v>
      </c>
      <c r="O223" s="315">
        <v>0</v>
      </c>
      <c r="P223" s="315">
        <v>0</v>
      </c>
      <c r="Q223" s="315">
        <v>87218</v>
      </c>
      <c r="R223" s="315">
        <v>0</v>
      </c>
      <c r="S223" s="315">
        <v>0</v>
      </c>
      <c r="T223" s="315">
        <v>0</v>
      </c>
      <c r="U223" s="315">
        <v>0</v>
      </c>
      <c r="V223" s="315">
        <v>0</v>
      </c>
      <c r="W223" s="315">
        <v>0</v>
      </c>
      <c r="X223" s="315">
        <v>0</v>
      </c>
      <c r="Y223" s="315">
        <v>0</v>
      </c>
      <c r="Z223" s="315">
        <v>0</v>
      </c>
      <c r="AA223" s="315">
        <v>0</v>
      </c>
      <c r="AB223" s="315">
        <v>0</v>
      </c>
      <c r="AC223" s="315">
        <v>0</v>
      </c>
      <c r="AD223" s="315">
        <v>0</v>
      </c>
      <c r="AE223" s="315">
        <v>0</v>
      </c>
      <c r="AF223" s="315">
        <v>0</v>
      </c>
      <c r="AG223" s="315">
        <v>0</v>
      </c>
      <c r="AH223" s="315">
        <v>0</v>
      </c>
      <c r="AI223" s="315">
        <v>0</v>
      </c>
      <c r="AJ223" s="315">
        <v>0</v>
      </c>
      <c r="AK223" s="315">
        <v>0</v>
      </c>
      <c r="AL223" s="315">
        <v>0</v>
      </c>
      <c r="AM223" s="315">
        <v>0</v>
      </c>
      <c r="AN223" s="315">
        <v>0</v>
      </c>
      <c r="AO223" s="315">
        <v>0</v>
      </c>
      <c r="AP223" s="315">
        <v>0</v>
      </c>
      <c r="AQ223" s="315">
        <v>0</v>
      </c>
      <c r="AR223" s="315">
        <v>0</v>
      </c>
      <c r="AS223" s="315">
        <v>0</v>
      </c>
      <c r="AT223" s="315">
        <v>0</v>
      </c>
      <c r="AU223" s="315">
        <v>-530579</v>
      </c>
      <c r="AV223" s="315">
        <v>0</v>
      </c>
      <c r="AW223" s="315">
        <v>0</v>
      </c>
      <c r="AX223" s="315">
        <v>0</v>
      </c>
      <c r="AY223" s="315">
        <v>0</v>
      </c>
      <c r="AZ223" s="315">
        <v>0</v>
      </c>
      <c r="BA223" s="315">
        <v>0</v>
      </c>
      <c r="BB223" s="315">
        <v>0</v>
      </c>
      <c r="BC223" s="315">
        <v>0</v>
      </c>
      <c r="BD223" s="315">
        <v>0</v>
      </c>
      <c r="BE223" s="315">
        <v>0</v>
      </c>
      <c r="BF223" s="315">
        <v>0</v>
      </c>
      <c r="BG223" s="315">
        <v>0</v>
      </c>
      <c r="BH223" s="315">
        <v>0</v>
      </c>
      <c r="BI223" s="315">
        <v>0</v>
      </c>
      <c r="BJ223" s="315">
        <v>0</v>
      </c>
      <c r="BK223" s="315">
        <v>0</v>
      </c>
      <c r="BL223" s="315">
        <v>0</v>
      </c>
      <c r="BM223" s="315">
        <v>0</v>
      </c>
      <c r="BN223" s="315">
        <v>0</v>
      </c>
      <c r="BO223" s="315">
        <v>0</v>
      </c>
      <c r="BP223" s="315">
        <v>0</v>
      </c>
      <c r="BQ223" s="315">
        <v>0</v>
      </c>
      <c r="BR223" s="315">
        <v>0</v>
      </c>
      <c r="BS223" s="315">
        <v>0</v>
      </c>
      <c r="BT223" s="315">
        <v>87218</v>
      </c>
      <c r="BU223" s="315">
        <v>0</v>
      </c>
      <c r="BV223" s="315">
        <v>0</v>
      </c>
    </row>
    <row r="224" spans="12:74" hidden="1" x14ac:dyDescent="0.2">
      <c r="L224" s="315">
        <v>0</v>
      </c>
      <c r="M224" s="315">
        <v>0</v>
      </c>
      <c r="N224" s="315">
        <v>0</v>
      </c>
      <c r="O224" s="315">
        <v>0</v>
      </c>
      <c r="P224" s="315">
        <v>0</v>
      </c>
      <c r="Q224" s="315">
        <v>87218</v>
      </c>
      <c r="R224" s="315">
        <v>0</v>
      </c>
      <c r="S224" s="315">
        <v>0</v>
      </c>
      <c r="T224" s="315">
        <v>0</v>
      </c>
      <c r="U224" s="315">
        <v>0</v>
      </c>
      <c r="V224" s="315">
        <v>0</v>
      </c>
      <c r="W224" s="315">
        <v>0</v>
      </c>
      <c r="X224" s="315">
        <v>0</v>
      </c>
      <c r="Y224" s="315">
        <v>0</v>
      </c>
      <c r="Z224" s="315">
        <v>0</v>
      </c>
      <c r="AA224" s="315">
        <v>0</v>
      </c>
      <c r="AB224" s="315">
        <v>0</v>
      </c>
      <c r="AC224" s="315">
        <v>0</v>
      </c>
      <c r="AD224" s="315">
        <v>0</v>
      </c>
      <c r="AE224" s="315">
        <v>0</v>
      </c>
      <c r="AF224" s="315">
        <v>0</v>
      </c>
      <c r="AG224" s="315">
        <v>0</v>
      </c>
      <c r="AH224" s="315">
        <v>0</v>
      </c>
      <c r="AI224" s="315">
        <v>0</v>
      </c>
      <c r="AJ224" s="315">
        <v>0</v>
      </c>
      <c r="AK224" s="315">
        <v>0</v>
      </c>
      <c r="AL224" s="315">
        <v>0</v>
      </c>
      <c r="AM224" s="315">
        <v>0</v>
      </c>
      <c r="AN224" s="315">
        <v>0</v>
      </c>
      <c r="AO224" s="315">
        <v>0</v>
      </c>
      <c r="AP224" s="315">
        <v>0</v>
      </c>
      <c r="AQ224" s="315">
        <v>0</v>
      </c>
      <c r="AR224" s="315">
        <v>0</v>
      </c>
      <c r="AS224" s="315">
        <v>0</v>
      </c>
      <c r="AT224" s="315">
        <v>0</v>
      </c>
      <c r="AU224" s="315">
        <v>-530579</v>
      </c>
      <c r="AV224" s="315">
        <v>0</v>
      </c>
      <c r="AW224" s="315">
        <v>0</v>
      </c>
      <c r="AX224" s="315">
        <v>0</v>
      </c>
      <c r="AY224" s="315">
        <v>0</v>
      </c>
      <c r="AZ224" s="315">
        <v>0</v>
      </c>
      <c r="BA224" s="315">
        <v>0</v>
      </c>
      <c r="BB224" s="315">
        <v>0</v>
      </c>
      <c r="BC224" s="315">
        <v>0</v>
      </c>
      <c r="BD224" s="315">
        <v>0</v>
      </c>
      <c r="BE224" s="315">
        <v>0</v>
      </c>
      <c r="BF224" s="315">
        <v>0</v>
      </c>
      <c r="BG224" s="315">
        <v>0</v>
      </c>
      <c r="BH224" s="315">
        <v>0</v>
      </c>
      <c r="BI224" s="315">
        <v>0</v>
      </c>
      <c r="BJ224" s="315">
        <v>0</v>
      </c>
      <c r="BK224" s="315">
        <v>0</v>
      </c>
      <c r="BL224" s="315">
        <v>0</v>
      </c>
      <c r="BM224" s="315">
        <v>0</v>
      </c>
      <c r="BN224" s="315">
        <v>0</v>
      </c>
      <c r="BO224" s="315">
        <v>0</v>
      </c>
      <c r="BP224" s="315">
        <v>0</v>
      </c>
      <c r="BQ224" s="315">
        <v>0</v>
      </c>
      <c r="BR224" s="315">
        <v>0</v>
      </c>
      <c r="BS224" s="315">
        <v>0</v>
      </c>
      <c r="BT224" s="315">
        <v>87218</v>
      </c>
      <c r="BU224" s="315">
        <v>0</v>
      </c>
      <c r="BV224" s="315">
        <v>0</v>
      </c>
    </row>
    <row r="225" spans="12:74" hidden="1" x14ac:dyDescent="0.2">
      <c r="L225" s="315">
        <v>0</v>
      </c>
      <c r="M225" s="315">
        <v>0</v>
      </c>
      <c r="N225" s="315">
        <v>0</v>
      </c>
      <c r="O225" s="315">
        <v>0</v>
      </c>
      <c r="P225" s="315">
        <v>0</v>
      </c>
      <c r="Q225" s="315">
        <v>0</v>
      </c>
      <c r="R225" s="315">
        <v>0</v>
      </c>
      <c r="S225" s="315">
        <v>0</v>
      </c>
      <c r="T225" s="315">
        <v>0</v>
      </c>
      <c r="U225" s="315">
        <v>0</v>
      </c>
      <c r="V225" s="315">
        <v>0</v>
      </c>
      <c r="W225" s="315">
        <v>0</v>
      </c>
      <c r="X225" s="315">
        <v>0</v>
      </c>
      <c r="Y225" s="315">
        <v>0</v>
      </c>
      <c r="Z225" s="315">
        <v>0</v>
      </c>
      <c r="AA225" s="315">
        <v>0</v>
      </c>
      <c r="AB225" s="315">
        <v>0</v>
      </c>
      <c r="AC225" s="315">
        <v>0</v>
      </c>
      <c r="AD225" s="315">
        <v>0</v>
      </c>
      <c r="AE225" s="315">
        <v>0</v>
      </c>
      <c r="AF225" s="315">
        <v>0</v>
      </c>
      <c r="AG225" s="315">
        <v>0</v>
      </c>
      <c r="AH225" s="315">
        <v>0</v>
      </c>
      <c r="AI225" s="315">
        <v>0</v>
      </c>
      <c r="AJ225" s="315">
        <v>0</v>
      </c>
      <c r="AK225" s="315">
        <v>0</v>
      </c>
      <c r="AL225" s="315">
        <v>0</v>
      </c>
      <c r="AM225" s="315">
        <v>0</v>
      </c>
      <c r="AN225" s="315">
        <v>0</v>
      </c>
      <c r="AO225" s="315">
        <v>0</v>
      </c>
      <c r="AP225" s="315">
        <v>0</v>
      </c>
      <c r="AQ225" s="315">
        <v>0</v>
      </c>
      <c r="AR225" s="315">
        <v>0</v>
      </c>
      <c r="AS225" s="315">
        <v>0</v>
      </c>
      <c r="AT225" s="315">
        <v>0</v>
      </c>
      <c r="AU225" s="315">
        <v>0</v>
      </c>
      <c r="AV225" s="315">
        <v>0</v>
      </c>
      <c r="AW225" s="315">
        <v>0</v>
      </c>
      <c r="AX225" s="315">
        <v>0</v>
      </c>
      <c r="AY225" s="315">
        <v>0</v>
      </c>
      <c r="AZ225" s="315">
        <v>0</v>
      </c>
      <c r="BA225" s="315">
        <v>0</v>
      </c>
      <c r="BB225" s="315">
        <v>0</v>
      </c>
      <c r="BC225" s="315">
        <v>0</v>
      </c>
      <c r="BD225" s="315">
        <v>0</v>
      </c>
      <c r="BE225" s="315">
        <v>0</v>
      </c>
      <c r="BF225" s="315">
        <v>0</v>
      </c>
      <c r="BG225" s="315">
        <v>0</v>
      </c>
      <c r="BH225" s="315">
        <v>0</v>
      </c>
      <c r="BI225" s="315">
        <v>0</v>
      </c>
      <c r="BJ225" s="315">
        <v>0</v>
      </c>
      <c r="BK225" s="315">
        <v>0</v>
      </c>
      <c r="BL225" s="315">
        <v>0</v>
      </c>
      <c r="BM225" s="315">
        <v>0</v>
      </c>
      <c r="BN225" s="315">
        <v>0</v>
      </c>
      <c r="BO225" s="315">
        <v>0</v>
      </c>
      <c r="BP225" s="315">
        <v>0</v>
      </c>
      <c r="BQ225" s="315">
        <v>0</v>
      </c>
      <c r="BR225" s="315">
        <v>0</v>
      </c>
      <c r="BS225" s="315">
        <v>0</v>
      </c>
      <c r="BT225" s="315">
        <v>0</v>
      </c>
      <c r="BU225" s="315">
        <v>0</v>
      </c>
      <c r="BV225" s="315">
        <v>0</v>
      </c>
    </row>
    <row r="226" spans="12:74" hidden="1" x14ac:dyDescent="0.2">
      <c r="L226" s="315">
        <v>0</v>
      </c>
      <c r="M226" s="315">
        <v>0</v>
      </c>
      <c r="N226" s="315">
        <v>0</v>
      </c>
      <c r="O226" s="315">
        <v>0</v>
      </c>
      <c r="P226" s="315">
        <v>0</v>
      </c>
      <c r="Q226" s="315">
        <v>88771</v>
      </c>
      <c r="R226" s="315">
        <v>0</v>
      </c>
      <c r="S226" s="315">
        <v>0</v>
      </c>
      <c r="T226" s="315">
        <v>0</v>
      </c>
      <c r="U226" s="315">
        <v>0</v>
      </c>
      <c r="V226" s="315">
        <v>0</v>
      </c>
      <c r="W226" s="315">
        <v>0</v>
      </c>
      <c r="X226" s="315">
        <v>0</v>
      </c>
      <c r="Y226" s="315">
        <v>0</v>
      </c>
      <c r="Z226" s="315">
        <v>0</v>
      </c>
      <c r="AA226" s="315">
        <v>0</v>
      </c>
      <c r="AB226" s="315">
        <v>0</v>
      </c>
      <c r="AC226" s="315">
        <v>0</v>
      </c>
      <c r="AD226" s="315">
        <v>0</v>
      </c>
      <c r="AE226" s="315">
        <v>0</v>
      </c>
      <c r="AF226" s="315">
        <v>0</v>
      </c>
      <c r="AG226" s="315">
        <v>0</v>
      </c>
      <c r="AH226" s="315">
        <v>0</v>
      </c>
      <c r="AI226" s="315">
        <v>0</v>
      </c>
      <c r="AJ226" s="315">
        <v>0</v>
      </c>
      <c r="AK226" s="315">
        <v>258046</v>
      </c>
      <c r="AL226" s="315">
        <v>0</v>
      </c>
      <c r="AM226" s="315">
        <v>0</v>
      </c>
      <c r="AN226" s="315">
        <v>0</v>
      </c>
      <c r="AO226" s="315">
        <v>0</v>
      </c>
      <c r="AP226" s="315">
        <v>0</v>
      </c>
      <c r="AQ226" s="315">
        <v>0</v>
      </c>
      <c r="AR226" s="315">
        <v>0</v>
      </c>
      <c r="AS226" s="315">
        <v>0</v>
      </c>
      <c r="AT226" s="315">
        <v>0</v>
      </c>
      <c r="AU226" s="315">
        <v>-179611</v>
      </c>
      <c r="AV226" s="315">
        <v>0</v>
      </c>
      <c r="AW226" s="315">
        <v>0</v>
      </c>
      <c r="AX226" s="315">
        <v>0</v>
      </c>
      <c r="AY226" s="315">
        <v>0</v>
      </c>
      <c r="AZ226" s="315">
        <v>0</v>
      </c>
      <c r="BA226" s="315">
        <v>0</v>
      </c>
      <c r="BB226" s="315">
        <v>0</v>
      </c>
      <c r="BC226" s="315">
        <v>0</v>
      </c>
      <c r="BD226" s="315">
        <v>0</v>
      </c>
      <c r="BE226" s="315">
        <v>0</v>
      </c>
      <c r="BF226" s="315">
        <v>0</v>
      </c>
      <c r="BG226" s="315">
        <v>0</v>
      </c>
      <c r="BH226" s="315">
        <v>0</v>
      </c>
      <c r="BI226" s="315">
        <v>0</v>
      </c>
      <c r="BJ226" s="315">
        <v>0</v>
      </c>
      <c r="BK226" s="315">
        <v>0</v>
      </c>
      <c r="BL226" s="315">
        <v>0</v>
      </c>
      <c r="BM226" s="315">
        <v>0</v>
      </c>
      <c r="BN226" s="315">
        <v>0</v>
      </c>
      <c r="BO226" s="315">
        <v>-701591</v>
      </c>
      <c r="BP226" s="315">
        <v>0</v>
      </c>
      <c r="BQ226" s="315">
        <v>0</v>
      </c>
      <c r="BR226" s="315">
        <v>0</v>
      </c>
      <c r="BS226" s="315">
        <v>0</v>
      </c>
      <c r="BT226" s="315">
        <v>346817</v>
      </c>
      <c r="BU226" s="315">
        <v>0</v>
      </c>
      <c r="BV226" s="315">
        <v>0</v>
      </c>
    </row>
    <row r="227" spans="12:74" hidden="1" x14ac:dyDescent="0.2">
      <c r="L227" s="315">
        <v>0</v>
      </c>
      <c r="M227" s="315">
        <v>0</v>
      </c>
      <c r="N227" s="315">
        <v>0</v>
      </c>
      <c r="O227" s="315">
        <v>0</v>
      </c>
      <c r="P227" s="315">
        <v>0</v>
      </c>
      <c r="Q227" s="315">
        <v>88771</v>
      </c>
      <c r="R227" s="315">
        <v>0</v>
      </c>
      <c r="S227" s="315">
        <v>0</v>
      </c>
      <c r="T227" s="315">
        <v>0</v>
      </c>
      <c r="U227" s="315">
        <v>0</v>
      </c>
      <c r="V227" s="315">
        <v>0</v>
      </c>
      <c r="W227" s="315">
        <v>0</v>
      </c>
      <c r="X227" s="315">
        <v>0</v>
      </c>
      <c r="Y227" s="315">
        <v>0</v>
      </c>
      <c r="Z227" s="315">
        <v>0</v>
      </c>
      <c r="AA227" s="315">
        <v>0</v>
      </c>
      <c r="AB227" s="315">
        <v>0</v>
      </c>
      <c r="AC227" s="315">
        <v>0</v>
      </c>
      <c r="AD227" s="315">
        <v>0</v>
      </c>
      <c r="AE227" s="315">
        <v>0</v>
      </c>
      <c r="AF227" s="315">
        <v>0</v>
      </c>
      <c r="AG227" s="315">
        <v>0</v>
      </c>
      <c r="AH227" s="315">
        <v>0</v>
      </c>
      <c r="AI227" s="315">
        <v>0</v>
      </c>
      <c r="AJ227" s="315">
        <v>0</v>
      </c>
      <c r="AK227" s="315">
        <v>258046</v>
      </c>
      <c r="AL227" s="315">
        <v>0</v>
      </c>
      <c r="AM227" s="315">
        <v>0</v>
      </c>
      <c r="AN227" s="315">
        <v>0</v>
      </c>
      <c r="AO227" s="315">
        <v>0</v>
      </c>
      <c r="AP227" s="315">
        <v>0</v>
      </c>
      <c r="AQ227" s="315">
        <v>0</v>
      </c>
      <c r="AR227" s="315">
        <v>0</v>
      </c>
      <c r="AS227" s="315">
        <v>0</v>
      </c>
      <c r="AT227" s="315">
        <v>0</v>
      </c>
      <c r="AU227" s="315">
        <v>-179611</v>
      </c>
      <c r="AV227" s="315">
        <v>0</v>
      </c>
      <c r="AW227" s="315">
        <v>0</v>
      </c>
      <c r="AX227" s="315">
        <v>0</v>
      </c>
      <c r="AY227" s="315">
        <v>0</v>
      </c>
      <c r="AZ227" s="315">
        <v>0</v>
      </c>
      <c r="BA227" s="315">
        <v>0</v>
      </c>
      <c r="BB227" s="315">
        <v>0</v>
      </c>
      <c r="BC227" s="315">
        <v>0</v>
      </c>
      <c r="BD227" s="315">
        <v>0</v>
      </c>
      <c r="BE227" s="315">
        <v>0</v>
      </c>
      <c r="BF227" s="315">
        <v>0</v>
      </c>
      <c r="BG227" s="315">
        <v>0</v>
      </c>
      <c r="BH227" s="315">
        <v>0</v>
      </c>
      <c r="BI227" s="315">
        <v>0</v>
      </c>
      <c r="BJ227" s="315">
        <v>0</v>
      </c>
      <c r="BK227" s="315">
        <v>0</v>
      </c>
      <c r="BL227" s="315">
        <v>0</v>
      </c>
      <c r="BM227" s="315">
        <v>0</v>
      </c>
      <c r="BN227" s="315">
        <v>0</v>
      </c>
      <c r="BO227" s="315">
        <v>-701591</v>
      </c>
      <c r="BP227" s="315">
        <v>0</v>
      </c>
      <c r="BQ227" s="315">
        <v>0</v>
      </c>
      <c r="BR227" s="315">
        <v>0</v>
      </c>
      <c r="BS227" s="315">
        <v>0</v>
      </c>
      <c r="BT227" s="315">
        <v>346817</v>
      </c>
      <c r="BU227" s="315">
        <v>0</v>
      </c>
      <c r="BV227" s="315">
        <v>0</v>
      </c>
    </row>
    <row r="228" spans="12:74" hidden="1" x14ac:dyDescent="0.2">
      <c r="L228" s="315">
        <v>0</v>
      </c>
      <c r="M228" s="315">
        <v>0</v>
      </c>
      <c r="N228" s="315">
        <v>0</v>
      </c>
      <c r="O228" s="315">
        <v>0</v>
      </c>
      <c r="P228" s="315">
        <v>0</v>
      </c>
      <c r="Q228" s="315">
        <v>0</v>
      </c>
      <c r="R228" s="315">
        <v>0</v>
      </c>
      <c r="S228" s="315">
        <v>0</v>
      </c>
      <c r="T228" s="315">
        <v>0</v>
      </c>
      <c r="U228" s="315">
        <v>0</v>
      </c>
      <c r="V228" s="315">
        <v>0</v>
      </c>
      <c r="W228" s="315">
        <v>0</v>
      </c>
      <c r="X228" s="315">
        <v>0</v>
      </c>
      <c r="Y228" s="315">
        <v>0</v>
      </c>
      <c r="Z228" s="315">
        <v>0</v>
      </c>
      <c r="AA228" s="315">
        <v>0</v>
      </c>
      <c r="AB228" s="315">
        <v>0</v>
      </c>
      <c r="AC228" s="315">
        <v>0</v>
      </c>
      <c r="AD228" s="315">
        <v>0</v>
      </c>
      <c r="AE228" s="315">
        <v>0</v>
      </c>
      <c r="AF228" s="315">
        <v>0</v>
      </c>
      <c r="AG228" s="315">
        <v>0</v>
      </c>
      <c r="AH228" s="315">
        <v>0</v>
      </c>
      <c r="AI228" s="315">
        <v>0</v>
      </c>
      <c r="AJ228" s="315">
        <v>0</v>
      </c>
      <c r="AK228" s="315">
        <v>0</v>
      </c>
      <c r="AL228" s="315">
        <v>0</v>
      </c>
      <c r="AM228" s="315">
        <v>0</v>
      </c>
      <c r="AN228" s="315">
        <v>0</v>
      </c>
      <c r="AO228" s="315">
        <v>0</v>
      </c>
      <c r="AP228" s="315">
        <v>0</v>
      </c>
      <c r="AQ228" s="315">
        <v>0</v>
      </c>
      <c r="AR228" s="315">
        <v>0</v>
      </c>
      <c r="AS228" s="315">
        <v>0</v>
      </c>
      <c r="AT228" s="315">
        <v>0</v>
      </c>
      <c r="AU228" s="315">
        <v>0</v>
      </c>
      <c r="AV228" s="315">
        <v>0</v>
      </c>
      <c r="AW228" s="315">
        <v>0</v>
      </c>
      <c r="AX228" s="315">
        <v>0</v>
      </c>
      <c r="AY228" s="315">
        <v>0</v>
      </c>
      <c r="AZ228" s="315">
        <v>0</v>
      </c>
      <c r="BA228" s="315">
        <v>0</v>
      </c>
      <c r="BB228" s="315">
        <v>0</v>
      </c>
      <c r="BC228" s="315">
        <v>0</v>
      </c>
      <c r="BD228" s="315">
        <v>0</v>
      </c>
      <c r="BE228" s="315">
        <v>0</v>
      </c>
      <c r="BF228" s="315">
        <v>0</v>
      </c>
      <c r="BG228" s="315">
        <v>0</v>
      </c>
      <c r="BH228" s="315">
        <v>0</v>
      </c>
      <c r="BI228" s="315">
        <v>0</v>
      </c>
      <c r="BJ228" s="315">
        <v>0</v>
      </c>
      <c r="BK228" s="315">
        <v>0</v>
      </c>
      <c r="BL228" s="315">
        <v>0</v>
      </c>
      <c r="BM228" s="315">
        <v>0</v>
      </c>
      <c r="BN228" s="315">
        <v>0</v>
      </c>
      <c r="BO228" s="315">
        <v>0</v>
      </c>
      <c r="BP228" s="315">
        <v>0</v>
      </c>
      <c r="BQ228" s="315">
        <v>0</v>
      </c>
      <c r="BR228" s="315">
        <v>0</v>
      </c>
      <c r="BS228" s="315">
        <v>0</v>
      </c>
      <c r="BT228" s="315">
        <v>0</v>
      </c>
      <c r="BU228" s="315">
        <v>0</v>
      </c>
      <c r="BV228" s="315">
        <v>0</v>
      </c>
    </row>
    <row r="229" spans="12:74" hidden="1" x14ac:dyDescent="0.2">
      <c r="L229" s="315">
        <v>0</v>
      </c>
      <c r="M229" s="315">
        <v>0</v>
      </c>
      <c r="N229" s="315">
        <v>0</v>
      </c>
      <c r="O229" s="315">
        <v>0</v>
      </c>
      <c r="P229" s="315">
        <v>0</v>
      </c>
      <c r="Q229" s="315">
        <v>0</v>
      </c>
      <c r="R229" s="315">
        <v>0</v>
      </c>
      <c r="S229" s="315">
        <v>0</v>
      </c>
      <c r="T229" s="315">
        <v>0</v>
      </c>
      <c r="U229" s="315">
        <v>0</v>
      </c>
      <c r="V229" s="315">
        <v>0</v>
      </c>
      <c r="W229" s="315">
        <v>0</v>
      </c>
      <c r="X229" s="315">
        <v>0</v>
      </c>
      <c r="Y229" s="315">
        <v>0</v>
      </c>
      <c r="Z229" s="315">
        <v>0</v>
      </c>
      <c r="AA229" s="315">
        <v>0</v>
      </c>
      <c r="AB229" s="315">
        <v>0</v>
      </c>
      <c r="AC229" s="315">
        <v>0</v>
      </c>
      <c r="AD229" s="315">
        <v>0</v>
      </c>
      <c r="AE229" s="315">
        <v>0</v>
      </c>
      <c r="AF229" s="315">
        <v>0</v>
      </c>
      <c r="AG229" s="315">
        <v>0</v>
      </c>
      <c r="AH229" s="315">
        <v>0</v>
      </c>
      <c r="AI229" s="315">
        <v>0</v>
      </c>
      <c r="AJ229" s="315">
        <v>0</v>
      </c>
      <c r="AK229" s="315">
        <v>0</v>
      </c>
      <c r="AL229" s="315">
        <v>0</v>
      </c>
      <c r="AM229" s="315">
        <v>0</v>
      </c>
      <c r="AN229" s="315">
        <v>0</v>
      </c>
      <c r="AO229" s="315">
        <v>0</v>
      </c>
      <c r="AP229" s="315">
        <v>-55605</v>
      </c>
      <c r="AQ229" s="315">
        <v>0</v>
      </c>
      <c r="AR229" s="315">
        <v>0</v>
      </c>
      <c r="AS229" s="315">
        <v>0</v>
      </c>
      <c r="AT229" s="315">
        <v>0</v>
      </c>
      <c r="AU229" s="315">
        <v>-129971</v>
      </c>
      <c r="AV229" s="315">
        <v>0</v>
      </c>
      <c r="AW229" s="315">
        <v>0</v>
      </c>
      <c r="AX229" s="315">
        <v>0</v>
      </c>
      <c r="AY229" s="315">
        <v>0</v>
      </c>
      <c r="AZ229" s="315">
        <v>0</v>
      </c>
      <c r="BA229" s="315">
        <v>0</v>
      </c>
      <c r="BB229" s="315">
        <v>0</v>
      </c>
      <c r="BC229" s="315">
        <v>0</v>
      </c>
      <c r="BD229" s="315">
        <v>0</v>
      </c>
      <c r="BE229" s="315">
        <v>0</v>
      </c>
      <c r="BF229" s="315">
        <v>0</v>
      </c>
      <c r="BG229" s="315">
        <v>0</v>
      </c>
      <c r="BH229" s="315">
        <v>0</v>
      </c>
      <c r="BI229" s="315">
        <v>0</v>
      </c>
      <c r="BJ229" s="315">
        <v>0</v>
      </c>
      <c r="BK229" s="315">
        <v>0</v>
      </c>
      <c r="BL229" s="315">
        <v>0</v>
      </c>
      <c r="BM229" s="315">
        <v>0</v>
      </c>
      <c r="BN229" s="315">
        <v>0</v>
      </c>
      <c r="BO229" s="315">
        <v>0</v>
      </c>
      <c r="BP229" s="315">
        <v>0</v>
      </c>
      <c r="BQ229" s="315">
        <v>0</v>
      </c>
      <c r="BR229" s="315">
        <v>0</v>
      </c>
      <c r="BS229" s="315">
        <v>0</v>
      </c>
      <c r="BT229" s="315">
        <v>-55605</v>
      </c>
      <c r="BU229" s="315">
        <v>0</v>
      </c>
      <c r="BV229" s="315">
        <v>0</v>
      </c>
    </row>
    <row r="230" spans="12:74" hidden="1" x14ac:dyDescent="0.2">
      <c r="L230" s="315">
        <v>0</v>
      </c>
      <c r="M230" s="315">
        <v>0</v>
      </c>
      <c r="N230" s="315">
        <v>0</v>
      </c>
      <c r="O230" s="315">
        <v>0</v>
      </c>
      <c r="P230" s="315">
        <v>0</v>
      </c>
      <c r="Q230" s="315">
        <v>0</v>
      </c>
      <c r="R230" s="315">
        <v>0</v>
      </c>
      <c r="S230" s="315">
        <v>0</v>
      </c>
      <c r="T230" s="315">
        <v>0</v>
      </c>
      <c r="U230" s="315">
        <v>0</v>
      </c>
      <c r="V230" s="315">
        <v>0</v>
      </c>
      <c r="W230" s="315">
        <v>0</v>
      </c>
      <c r="X230" s="315">
        <v>0</v>
      </c>
      <c r="Y230" s="315">
        <v>0</v>
      </c>
      <c r="Z230" s="315">
        <v>0</v>
      </c>
      <c r="AA230" s="315">
        <v>0</v>
      </c>
      <c r="AB230" s="315">
        <v>0</v>
      </c>
      <c r="AC230" s="315">
        <v>0</v>
      </c>
      <c r="AD230" s="315">
        <v>0</v>
      </c>
      <c r="AE230" s="315">
        <v>0</v>
      </c>
      <c r="AF230" s="315">
        <v>0</v>
      </c>
      <c r="AG230" s="315">
        <v>0</v>
      </c>
      <c r="AH230" s="315">
        <v>0</v>
      </c>
      <c r="AI230" s="315">
        <v>0</v>
      </c>
      <c r="AJ230" s="315">
        <v>0</v>
      </c>
      <c r="AK230" s="315">
        <v>0</v>
      </c>
      <c r="AL230" s="315">
        <v>0</v>
      </c>
      <c r="AM230" s="315">
        <v>0</v>
      </c>
      <c r="AN230" s="315">
        <v>0</v>
      </c>
      <c r="AO230" s="315">
        <v>0</v>
      </c>
      <c r="AP230" s="315">
        <v>-55605</v>
      </c>
      <c r="AQ230" s="315">
        <v>0</v>
      </c>
      <c r="AR230" s="315">
        <v>0</v>
      </c>
      <c r="AS230" s="315">
        <v>0</v>
      </c>
      <c r="AT230" s="315">
        <v>0</v>
      </c>
      <c r="AU230" s="315">
        <v>-129971</v>
      </c>
      <c r="AV230" s="315">
        <v>0</v>
      </c>
      <c r="AW230" s="315">
        <v>0</v>
      </c>
      <c r="AX230" s="315">
        <v>0</v>
      </c>
      <c r="AY230" s="315">
        <v>0</v>
      </c>
      <c r="AZ230" s="315">
        <v>0</v>
      </c>
      <c r="BA230" s="315">
        <v>0</v>
      </c>
      <c r="BB230" s="315">
        <v>0</v>
      </c>
      <c r="BC230" s="315">
        <v>0</v>
      </c>
      <c r="BD230" s="315">
        <v>0</v>
      </c>
      <c r="BE230" s="315">
        <v>0</v>
      </c>
      <c r="BF230" s="315">
        <v>0</v>
      </c>
      <c r="BG230" s="315">
        <v>0</v>
      </c>
      <c r="BH230" s="315">
        <v>0</v>
      </c>
      <c r="BI230" s="315">
        <v>0</v>
      </c>
      <c r="BJ230" s="315">
        <v>0</v>
      </c>
      <c r="BK230" s="315">
        <v>0</v>
      </c>
      <c r="BL230" s="315">
        <v>0</v>
      </c>
      <c r="BM230" s="315">
        <v>0</v>
      </c>
      <c r="BN230" s="315">
        <v>0</v>
      </c>
      <c r="BO230" s="315">
        <v>0</v>
      </c>
      <c r="BP230" s="315">
        <v>0</v>
      </c>
      <c r="BQ230" s="315">
        <v>0</v>
      </c>
      <c r="BR230" s="315">
        <v>0</v>
      </c>
      <c r="BS230" s="315">
        <v>0</v>
      </c>
      <c r="BT230" s="315">
        <v>-55605</v>
      </c>
      <c r="BU230" s="315">
        <v>0</v>
      </c>
      <c r="BV230" s="315">
        <v>0</v>
      </c>
    </row>
    <row r="231" spans="12:74" hidden="1" x14ac:dyDescent="0.2">
      <c r="L231" s="315">
        <v>0</v>
      </c>
      <c r="M231" s="315">
        <v>0</v>
      </c>
      <c r="N231" s="315">
        <v>0</v>
      </c>
      <c r="O231" s="315">
        <v>0</v>
      </c>
      <c r="P231" s="315">
        <v>0</v>
      </c>
      <c r="Q231" s="315">
        <v>0</v>
      </c>
      <c r="R231" s="315">
        <v>0</v>
      </c>
      <c r="S231" s="315">
        <v>0</v>
      </c>
      <c r="T231" s="315">
        <v>0</v>
      </c>
      <c r="U231" s="315">
        <v>0</v>
      </c>
      <c r="V231" s="315">
        <v>0</v>
      </c>
      <c r="W231" s="315">
        <v>0</v>
      </c>
      <c r="X231" s="315">
        <v>0</v>
      </c>
      <c r="Y231" s="315">
        <v>0</v>
      </c>
      <c r="Z231" s="315">
        <v>0</v>
      </c>
      <c r="AA231" s="315">
        <v>0</v>
      </c>
      <c r="AB231" s="315">
        <v>0</v>
      </c>
      <c r="AC231" s="315">
        <v>0</v>
      </c>
      <c r="AD231" s="315">
        <v>0</v>
      </c>
      <c r="AE231" s="315">
        <v>0</v>
      </c>
      <c r="AF231" s="315">
        <v>0</v>
      </c>
      <c r="AG231" s="315">
        <v>0</v>
      </c>
      <c r="AH231" s="315">
        <v>0</v>
      </c>
      <c r="AI231" s="315">
        <v>0</v>
      </c>
      <c r="AJ231" s="315">
        <v>0</v>
      </c>
      <c r="AK231" s="315">
        <v>0</v>
      </c>
      <c r="AL231" s="315">
        <v>0</v>
      </c>
      <c r="AM231" s="315">
        <v>0</v>
      </c>
      <c r="AN231" s="315">
        <v>0</v>
      </c>
      <c r="AO231" s="315">
        <v>0</v>
      </c>
      <c r="AP231" s="315">
        <v>0</v>
      </c>
      <c r="AQ231" s="315">
        <v>0</v>
      </c>
      <c r="AR231" s="315">
        <v>0</v>
      </c>
      <c r="AS231" s="315">
        <v>0</v>
      </c>
      <c r="AT231" s="315">
        <v>0</v>
      </c>
      <c r="AU231" s="315">
        <v>0</v>
      </c>
      <c r="AV231" s="315">
        <v>0</v>
      </c>
      <c r="AW231" s="315">
        <v>0</v>
      </c>
      <c r="AX231" s="315">
        <v>0</v>
      </c>
      <c r="AY231" s="315">
        <v>0</v>
      </c>
      <c r="AZ231" s="315">
        <v>0</v>
      </c>
      <c r="BA231" s="315">
        <v>0</v>
      </c>
      <c r="BB231" s="315">
        <v>0</v>
      </c>
      <c r="BC231" s="315">
        <v>0</v>
      </c>
      <c r="BD231" s="315">
        <v>0</v>
      </c>
      <c r="BE231" s="315">
        <v>0</v>
      </c>
      <c r="BF231" s="315">
        <v>0</v>
      </c>
      <c r="BG231" s="315">
        <v>0</v>
      </c>
      <c r="BH231" s="315">
        <v>0</v>
      </c>
      <c r="BI231" s="315">
        <v>0</v>
      </c>
      <c r="BJ231" s="315">
        <v>0</v>
      </c>
      <c r="BK231" s="315">
        <v>0</v>
      </c>
      <c r="BL231" s="315">
        <v>0</v>
      </c>
      <c r="BM231" s="315">
        <v>0</v>
      </c>
      <c r="BN231" s="315">
        <v>0</v>
      </c>
      <c r="BO231" s="315">
        <v>0</v>
      </c>
      <c r="BP231" s="315">
        <v>0</v>
      </c>
      <c r="BQ231" s="315">
        <v>0</v>
      </c>
      <c r="BR231" s="315">
        <v>0</v>
      </c>
      <c r="BS231" s="315">
        <v>0</v>
      </c>
      <c r="BT231" s="315">
        <v>0</v>
      </c>
      <c r="BU231" s="315">
        <v>0</v>
      </c>
      <c r="BV231" s="315">
        <v>0</v>
      </c>
    </row>
    <row r="232" spans="12:74" hidden="1" x14ac:dyDescent="0.2">
      <c r="L232" s="315">
        <v>0</v>
      </c>
      <c r="M232" s="315">
        <v>0</v>
      </c>
      <c r="N232" s="315">
        <v>0</v>
      </c>
      <c r="O232" s="315">
        <v>0</v>
      </c>
      <c r="P232" s="315">
        <v>0</v>
      </c>
      <c r="Q232" s="315">
        <v>0</v>
      </c>
      <c r="R232" s="315">
        <v>0</v>
      </c>
      <c r="S232" s="315">
        <v>0</v>
      </c>
      <c r="T232" s="315">
        <v>0</v>
      </c>
      <c r="U232" s="315">
        <v>0</v>
      </c>
      <c r="V232" s="315">
        <v>92637</v>
      </c>
      <c r="W232" s="315">
        <v>0</v>
      </c>
      <c r="X232" s="315">
        <v>0</v>
      </c>
      <c r="Y232" s="315">
        <v>0</v>
      </c>
      <c r="Z232" s="315">
        <v>0</v>
      </c>
      <c r="AA232" s="315">
        <v>0</v>
      </c>
      <c r="AB232" s="315">
        <v>0</v>
      </c>
      <c r="AC232" s="315">
        <v>0</v>
      </c>
      <c r="AD232" s="315">
        <v>0</v>
      </c>
      <c r="AE232" s="315">
        <v>0</v>
      </c>
      <c r="AF232" s="315">
        <v>0</v>
      </c>
      <c r="AG232" s="315">
        <v>0</v>
      </c>
      <c r="AH232" s="315">
        <v>0</v>
      </c>
      <c r="AI232" s="315">
        <v>0</v>
      </c>
      <c r="AJ232" s="315">
        <v>0</v>
      </c>
      <c r="AK232" s="315">
        <v>0</v>
      </c>
      <c r="AL232" s="315">
        <v>0</v>
      </c>
      <c r="AM232" s="315">
        <v>0</v>
      </c>
      <c r="AN232" s="315">
        <v>0</v>
      </c>
      <c r="AO232" s="315">
        <v>0</v>
      </c>
      <c r="AP232" s="315">
        <v>0</v>
      </c>
      <c r="AQ232" s="315">
        <v>0</v>
      </c>
      <c r="AR232" s="315">
        <v>0</v>
      </c>
      <c r="AS232" s="315">
        <v>0</v>
      </c>
      <c r="AT232" s="315">
        <v>0</v>
      </c>
      <c r="AU232" s="315">
        <v>0</v>
      </c>
      <c r="AV232" s="315">
        <v>0</v>
      </c>
      <c r="AW232" s="315">
        <v>0</v>
      </c>
      <c r="AX232" s="315">
        <v>0</v>
      </c>
      <c r="AY232" s="315">
        <v>0</v>
      </c>
      <c r="AZ232" s="315">
        <v>0</v>
      </c>
      <c r="BA232" s="315">
        <v>0</v>
      </c>
      <c r="BB232" s="315">
        <v>0</v>
      </c>
      <c r="BC232" s="315">
        <v>0</v>
      </c>
      <c r="BD232" s="315">
        <v>0</v>
      </c>
      <c r="BE232" s="315">
        <v>0</v>
      </c>
      <c r="BF232" s="315">
        <v>0</v>
      </c>
      <c r="BG232" s="315">
        <v>0</v>
      </c>
      <c r="BH232" s="315">
        <v>0</v>
      </c>
      <c r="BI232" s="315">
        <v>0</v>
      </c>
      <c r="BJ232" s="315">
        <v>0</v>
      </c>
      <c r="BK232" s="315">
        <v>0</v>
      </c>
      <c r="BL232" s="315">
        <v>0</v>
      </c>
      <c r="BM232" s="315">
        <v>0</v>
      </c>
      <c r="BN232" s="315">
        <v>0</v>
      </c>
      <c r="BO232" s="315">
        <v>-56461</v>
      </c>
      <c r="BP232" s="315">
        <v>0</v>
      </c>
      <c r="BQ232" s="315">
        <v>0</v>
      </c>
      <c r="BR232" s="315">
        <v>0</v>
      </c>
      <c r="BS232" s="315">
        <v>0</v>
      </c>
      <c r="BT232" s="315">
        <v>92637</v>
      </c>
      <c r="BU232" s="315">
        <v>0</v>
      </c>
      <c r="BV232" s="315">
        <v>0</v>
      </c>
    </row>
    <row r="233" spans="12:74" hidden="1" x14ac:dyDescent="0.2">
      <c r="L233" s="315">
        <v>0</v>
      </c>
      <c r="M233" s="315">
        <v>0</v>
      </c>
      <c r="N233" s="315">
        <v>0</v>
      </c>
      <c r="O233" s="315">
        <v>0</v>
      </c>
      <c r="P233" s="315">
        <v>0</v>
      </c>
      <c r="Q233" s="315">
        <v>0</v>
      </c>
      <c r="R233" s="315">
        <v>0</v>
      </c>
      <c r="S233" s="315">
        <v>0</v>
      </c>
      <c r="T233" s="315">
        <v>0</v>
      </c>
      <c r="U233" s="315">
        <v>0</v>
      </c>
      <c r="V233" s="315">
        <v>92637</v>
      </c>
      <c r="W233" s="315">
        <v>0</v>
      </c>
      <c r="X233" s="315">
        <v>0</v>
      </c>
      <c r="Y233" s="315">
        <v>0</v>
      </c>
      <c r="Z233" s="315">
        <v>0</v>
      </c>
      <c r="AA233" s="315">
        <v>0</v>
      </c>
      <c r="AB233" s="315">
        <v>0</v>
      </c>
      <c r="AC233" s="315">
        <v>0</v>
      </c>
      <c r="AD233" s="315">
        <v>0</v>
      </c>
      <c r="AE233" s="315">
        <v>0</v>
      </c>
      <c r="AF233" s="315">
        <v>0</v>
      </c>
      <c r="AG233" s="315">
        <v>0</v>
      </c>
      <c r="AH233" s="315">
        <v>0</v>
      </c>
      <c r="AI233" s="315">
        <v>0</v>
      </c>
      <c r="AJ233" s="315">
        <v>0</v>
      </c>
      <c r="AK233" s="315">
        <v>0</v>
      </c>
      <c r="AL233" s="315">
        <v>0</v>
      </c>
      <c r="AM233" s="315">
        <v>0</v>
      </c>
      <c r="AN233" s="315">
        <v>0</v>
      </c>
      <c r="AO233" s="315">
        <v>0</v>
      </c>
      <c r="AP233" s="315">
        <v>0</v>
      </c>
      <c r="AQ233" s="315">
        <v>0</v>
      </c>
      <c r="AR233" s="315">
        <v>0</v>
      </c>
      <c r="AS233" s="315">
        <v>0</v>
      </c>
      <c r="AT233" s="315">
        <v>0</v>
      </c>
      <c r="AU233" s="315">
        <v>0</v>
      </c>
      <c r="AV233" s="315">
        <v>0</v>
      </c>
      <c r="AW233" s="315">
        <v>0</v>
      </c>
      <c r="AX233" s="315">
        <v>0</v>
      </c>
      <c r="AY233" s="315">
        <v>0</v>
      </c>
      <c r="AZ233" s="315">
        <v>0</v>
      </c>
      <c r="BA233" s="315">
        <v>0</v>
      </c>
      <c r="BB233" s="315">
        <v>0</v>
      </c>
      <c r="BC233" s="315">
        <v>0</v>
      </c>
      <c r="BD233" s="315">
        <v>0</v>
      </c>
      <c r="BE233" s="315">
        <v>0</v>
      </c>
      <c r="BF233" s="315">
        <v>0</v>
      </c>
      <c r="BG233" s="315">
        <v>0</v>
      </c>
      <c r="BH233" s="315">
        <v>0</v>
      </c>
      <c r="BI233" s="315">
        <v>0</v>
      </c>
      <c r="BJ233" s="315">
        <v>0</v>
      </c>
      <c r="BK233" s="315">
        <v>0</v>
      </c>
      <c r="BL233" s="315">
        <v>0</v>
      </c>
      <c r="BM233" s="315">
        <v>0</v>
      </c>
      <c r="BN233" s="315">
        <v>0</v>
      </c>
      <c r="BO233" s="315">
        <v>-56461</v>
      </c>
      <c r="BP233" s="315">
        <v>0</v>
      </c>
      <c r="BQ233" s="315">
        <v>0</v>
      </c>
      <c r="BR233" s="315">
        <v>0</v>
      </c>
      <c r="BS233" s="315">
        <v>0</v>
      </c>
      <c r="BT233" s="315">
        <v>92637</v>
      </c>
      <c r="BU233" s="315">
        <v>0</v>
      </c>
      <c r="BV233" s="315">
        <v>0</v>
      </c>
    </row>
    <row r="234" spans="12:74" hidden="1" x14ac:dyDescent="0.2">
      <c r="L234" s="315">
        <v>0</v>
      </c>
      <c r="M234" s="315">
        <v>0</v>
      </c>
      <c r="N234" s="315">
        <v>0</v>
      </c>
      <c r="O234" s="315">
        <v>0</v>
      </c>
      <c r="P234" s="315">
        <v>0</v>
      </c>
      <c r="Q234" s="315">
        <v>0</v>
      </c>
      <c r="R234" s="315">
        <v>0</v>
      </c>
      <c r="S234" s="315">
        <v>0</v>
      </c>
      <c r="T234" s="315">
        <v>0</v>
      </c>
      <c r="U234" s="315">
        <v>0</v>
      </c>
      <c r="V234" s="315">
        <v>0</v>
      </c>
      <c r="W234" s="315">
        <v>0</v>
      </c>
      <c r="X234" s="315">
        <v>0</v>
      </c>
      <c r="Y234" s="315">
        <v>0</v>
      </c>
      <c r="Z234" s="315">
        <v>0</v>
      </c>
      <c r="AA234" s="315">
        <v>0</v>
      </c>
      <c r="AB234" s="315">
        <v>0</v>
      </c>
      <c r="AC234" s="315">
        <v>0</v>
      </c>
      <c r="AD234" s="315">
        <v>0</v>
      </c>
      <c r="AE234" s="315">
        <v>0</v>
      </c>
      <c r="AF234" s="315">
        <v>0</v>
      </c>
      <c r="AG234" s="315">
        <v>0</v>
      </c>
      <c r="AH234" s="315">
        <v>0</v>
      </c>
      <c r="AI234" s="315">
        <v>0</v>
      </c>
      <c r="AJ234" s="315">
        <v>0</v>
      </c>
      <c r="AK234" s="315">
        <v>0</v>
      </c>
      <c r="AL234" s="315">
        <v>0</v>
      </c>
      <c r="AM234" s="315">
        <v>0</v>
      </c>
      <c r="AN234" s="315">
        <v>0</v>
      </c>
      <c r="AO234" s="315">
        <v>0</v>
      </c>
      <c r="AP234" s="315">
        <v>0</v>
      </c>
      <c r="AQ234" s="315">
        <v>0</v>
      </c>
      <c r="AR234" s="315">
        <v>0</v>
      </c>
      <c r="AS234" s="315">
        <v>0</v>
      </c>
      <c r="AT234" s="315">
        <v>0</v>
      </c>
      <c r="AU234" s="315">
        <v>0</v>
      </c>
      <c r="AV234" s="315">
        <v>0</v>
      </c>
      <c r="AW234" s="315">
        <v>0</v>
      </c>
      <c r="AX234" s="315">
        <v>0</v>
      </c>
      <c r="AY234" s="315">
        <v>0</v>
      </c>
      <c r="AZ234" s="315">
        <v>0</v>
      </c>
      <c r="BA234" s="315">
        <v>0</v>
      </c>
      <c r="BB234" s="315">
        <v>0</v>
      </c>
      <c r="BC234" s="315">
        <v>0</v>
      </c>
      <c r="BD234" s="315">
        <v>0</v>
      </c>
      <c r="BE234" s="315">
        <v>0</v>
      </c>
      <c r="BF234" s="315">
        <v>0</v>
      </c>
      <c r="BG234" s="315">
        <v>0</v>
      </c>
      <c r="BH234" s="315">
        <v>0</v>
      </c>
      <c r="BI234" s="315">
        <v>0</v>
      </c>
      <c r="BJ234" s="315">
        <v>0</v>
      </c>
      <c r="BK234" s="315">
        <v>0</v>
      </c>
      <c r="BL234" s="315">
        <v>0</v>
      </c>
      <c r="BM234" s="315">
        <v>0</v>
      </c>
      <c r="BN234" s="315">
        <v>0</v>
      </c>
      <c r="BO234" s="315">
        <v>0</v>
      </c>
      <c r="BP234" s="315">
        <v>0</v>
      </c>
      <c r="BQ234" s="315">
        <v>0</v>
      </c>
      <c r="BR234" s="315">
        <v>0</v>
      </c>
      <c r="BS234" s="315">
        <v>0</v>
      </c>
      <c r="BT234" s="315">
        <v>0</v>
      </c>
      <c r="BU234" s="315">
        <v>0</v>
      </c>
      <c r="BV234" s="315">
        <v>0</v>
      </c>
    </row>
    <row r="235" spans="12:74" hidden="1" x14ac:dyDescent="0.2">
      <c r="L235" s="315">
        <v>259191</v>
      </c>
      <c r="M235" s="315">
        <v>0</v>
      </c>
      <c r="N235" s="315">
        <v>0</v>
      </c>
      <c r="O235" s="315">
        <v>0</v>
      </c>
      <c r="P235" s="315">
        <v>0</v>
      </c>
      <c r="Q235" s="315">
        <v>0</v>
      </c>
      <c r="R235" s="315">
        <v>0</v>
      </c>
      <c r="S235" s="315">
        <v>0</v>
      </c>
      <c r="T235" s="315">
        <v>0</v>
      </c>
      <c r="U235" s="315">
        <v>0</v>
      </c>
      <c r="V235" s="315">
        <v>0</v>
      </c>
      <c r="W235" s="315">
        <v>0</v>
      </c>
      <c r="X235" s="315">
        <v>0</v>
      </c>
      <c r="Y235" s="315">
        <v>0</v>
      </c>
      <c r="Z235" s="315">
        <v>0</v>
      </c>
      <c r="AA235" s="315">
        <v>0</v>
      </c>
      <c r="AB235" s="315">
        <v>0</v>
      </c>
      <c r="AC235" s="315">
        <v>0</v>
      </c>
      <c r="AD235" s="315">
        <v>0</v>
      </c>
      <c r="AE235" s="315">
        <v>0</v>
      </c>
      <c r="AF235" s="315">
        <v>0</v>
      </c>
      <c r="AG235" s="315">
        <v>0</v>
      </c>
      <c r="AH235" s="315">
        <v>0</v>
      </c>
      <c r="AI235" s="315">
        <v>0</v>
      </c>
      <c r="AJ235" s="315">
        <v>0</v>
      </c>
      <c r="AK235" s="315">
        <v>126747</v>
      </c>
      <c r="AL235" s="315">
        <v>0</v>
      </c>
      <c r="AM235" s="315">
        <v>0</v>
      </c>
      <c r="AN235" s="315">
        <v>0</v>
      </c>
      <c r="AO235" s="315">
        <v>0</v>
      </c>
      <c r="AP235" s="315">
        <v>0</v>
      </c>
      <c r="AQ235" s="315">
        <v>0</v>
      </c>
      <c r="AR235" s="315">
        <v>0</v>
      </c>
      <c r="AS235" s="315">
        <v>0</v>
      </c>
      <c r="AT235" s="315">
        <v>0</v>
      </c>
      <c r="AU235" s="315">
        <v>0</v>
      </c>
      <c r="AV235" s="315">
        <v>0</v>
      </c>
      <c r="AW235" s="315">
        <v>0</v>
      </c>
      <c r="AX235" s="315">
        <v>0</v>
      </c>
      <c r="AY235" s="315">
        <v>0</v>
      </c>
      <c r="AZ235" s="315">
        <v>0</v>
      </c>
      <c r="BA235" s="315">
        <v>0</v>
      </c>
      <c r="BB235" s="315">
        <v>0</v>
      </c>
      <c r="BC235" s="315">
        <v>0</v>
      </c>
      <c r="BD235" s="315">
        <v>0</v>
      </c>
      <c r="BE235" s="315">
        <v>0</v>
      </c>
      <c r="BF235" s="315">
        <v>0</v>
      </c>
      <c r="BG235" s="315">
        <v>0</v>
      </c>
      <c r="BH235" s="315">
        <v>0</v>
      </c>
      <c r="BI235" s="315">
        <v>0</v>
      </c>
      <c r="BJ235" s="315">
        <v>0</v>
      </c>
      <c r="BK235" s="315">
        <v>0</v>
      </c>
      <c r="BL235" s="315">
        <v>0</v>
      </c>
      <c r="BM235" s="315">
        <v>0</v>
      </c>
      <c r="BN235" s="315">
        <v>0</v>
      </c>
      <c r="BO235" s="315">
        <v>-410666</v>
      </c>
      <c r="BP235" s="315">
        <v>0</v>
      </c>
      <c r="BQ235" s="315">
        <v>0</v>
      </c>
      <c r="BR235" s="315">
        <v>0</v>
      </c>
      <c r="BS235" s="315">
        <v>0</v>
      </c>
      <c r="BT235" s="315">
        <v>385938</v>
      </c>
      <c r="BU235" s="315">
        <v>0</v>
      </c>
      <c r="BV235" s="315">
        <v>0</v>
      </c>
    </row>
    <row r="236" spans="12:74" hidden="1" x14ac:dyDescent="0.2">
      <c r="L236" s="315">
        <v>259191</v>
      </c>
      <c r="M236" s="315">
        <v>0</v>
      </c>
      <c r="N236" s="315">
        <v>0</v>
      </c>
      <c r="O236" s="315">
        <v>0</v>
      </c>
      <c r="P236" s="315">
        <v>0</v>
      </c>
      <c r="Q236" s="315">
        <v>0</v>
      </c>
      <c r="R236" s="315">
        <v>0</v>
      </c>
      <c r="S236" s="315">
        <v>0</v>
      </c>
      <c r="T236" s="315">
        <v>0</v>
      </c>
      <c r="U236" s="315">
        <v>0</v>
      </c>
      <c r="V236" s="315">
        <v>0</v>
      </c>
      <c r="W236" s="315">
        <v>0</v>
      </c>
      <c r="X236" s="315">
        <v>0</v>
      </c>
      <c r="Y236" s="315">
        <v>0</v>
      </c>
      <c r="Z236" s="315">
        <v>0</v>
      </c>
      <c r="AA236" s="315">
        <v>0</v>
      </c>
      <c r="AB236" s="315">
        <v>0</v>
      </c>
      <c r="AC236" s="315">
        <v>0</v>
      </c>
      <c r="AD236" s="315">
        <v>0</v>
      </c>
      <c r="AE236" s="315">
        <v>0</v>
      </c>
      <c r="AF236" s="315">
        <v>0</v>
      </c>
      <c r="AG236" s="315">
        <v>0</v>
      </c>
      <c r="AH236" s="315">
        <v>0</v>
      </c>
      <c r="AI236" s="315">
        <v>0</v>
      </c>
      <c r="AJ236" s="315">
        <v>0</v>
      </c>
      <c r="AK236" s="315">
        <v>126747</v>
      </c>
      <c r="AL236" s="315">
        <v>0</v>
      </c>
      <c r="AM236" s="315">
        <v>0</v>
      </c>
      <c r="AN236" s="315">
        <v>0</v>
      </c>
      <c r="AO236" s="315">
        <v>0</v>
      </c>
      <c r="AP236" s="315">
        <v>0</v>
      </c>
      <c r="AQ236" s="315">
        <v>0</v>
      </c>
      <c r="AR236" s="315">
        <v>0</v>
      </c>
      <c r="AS236" s="315">
        <v>0</v>
      </c>
      <c r="AT236" s="315">
        <v>0</v>
      </c>
      <c r="AU236" s="315">
        <v>0</v>
      </c>
      <c r="AV236" s="315">
        <v>0</v>
      </c>
      <c r="AW236" s="315">
        <v>0</v>
      </c>
      <c r="AX236" s="315">
        <v>0</v>
      </c>
      <c r="AY236" s="315">
        <v>0</v>
      </c>
      <c r="AZ236" s="315">
        <v>0</v>
      </c>
      <c r="BA236" s="315">
        <v>0</v>
      </c>
      <c r="BB236" s="315">
        <v>0</v>
      </c>
      <c r="BC236" s="315">
        <v>0</v>
      </c>
      <c r="BD236" s="315">
        <v>0</v>
      </c>
      <c r="BE236" s="315">
        <v>0</v>
      </c>
      <c r="BF236" s="315">
        <v>0</v>
      </c>
      <c r="BG236" s="315">
        <v>0</v>
      </c>
      <c r="BH236" s="315">
        <v>0</v>
      </c>
      <c r="BI236" s="315">
        <v>0</v>
      </c>
      <c r="BJ236" s="315">
        <v>0</v>
      </c>
      <c r="BK236" s="315">
        <v>0</v>
      </c>
      <c r="BL236" s="315">
        <v>0</v>
      </c>
      <c r="BM236" s="315">
        <v>0</v>
      </c>
      <c r="BN236" s="315">
        <v>0</v>
      </c>
      <c r="BO236" s="315">
        <v>-410666</v>
      </c>
      <c r="BP236" s="315">
        <v>0</v>
      </c>
      <c r="BQ236" s="315">
        <v>0</v>
      </c>
      <c r="BR236" s="315">
        <v>0</v>
      </c>
      <c r="BS236" s="315">
        <v>0</v>
      </c>
      <c r="BT236" s="315">
        <v>385938</v>
      </c>
      <c r="BU236" s="315">
        <v>0</v>
      </c>
      <c r="BV236" s="315">
        <v>0</v>
      </c>
    </row>
    <row r="237" spans="12:74" hidden="1" x14ac:dyDescent="0.2">
      <c r="L237" s="315">
        <v>0</v>
      </c>
      <c r="M237" s="315">
        <v>0</v>
      </c>
      <c r="N237" s="315">
        <v>0</v>
      </c>
      <c r="O237" s="315">
        <v>0</v>
      </c>
      <c r="P237" s="315">
        <v>0</v>
      </c>
      <c r="Q237" s="315">
        <v>0</v>
      </c>
      <c r="R237" s="315">
        <v>0</v>
      </c>
      <c r="S237" s="315">
        <v>0</v>
      </c>
      <c r="T237" s="315">
        <v>0</v>
      </c>
      <c r="U237" s="315">
        <v>0</v>
      </c>
      <c r="V237" s="315">
        <v>0</v>
      </c>
      <c r="W237" s="315">
        <v>0</v>
      </c>
      <c r="X237" s="315">
        <v>0</v>
      </c>
      <c r="Y237" s="315">
        <v>0</v>
      </c>
      <c r="Z237" s="315">
        <v>0</v>
      </c>
      <c r="AA237" s="315">
        <v>0</v>
      </c>
      <c r="AB237" s="315">
        <v>0</v>
      </c>
      <c r="AC237" s="315">
        <v>0</v>
      </c>
      <c r="AD237" s="315">
        <v>0</v>
      </c>
      <c r="AE237" s="315">
        <v>0</v>
      </c>
      <c r="AF237" s="315">
        <v>0</v>
      </c>
      <c r="AG237" s="315">
        <v>0</v>
      </c>
      <c r="AH237" s="315">
        <v>0</v>
      </c>
      <c r="AI237" s="315">
        <v>0</v>
      </c>
      <c r="AJ237" s="315">
        <v>0</v>
      </c>
      <c r="AK237" s="315">
        <v>0</v>
      </c>
      <c r="AL237" s="315">
        <v>0</v>
      </c>
      <c r="AM237" s="315">
        <v>0</v>
      </c>
      <c r="AN237" s="315">
        <v>0</v>
      </c>
      <c r="AO237" s="315">
        <v>0</v>
      </c>
      <c r="AP237" s="315">
        <v>0</v>
      </c>
      <c r="AQ237" s="315">
        <v>0</v>
      </c>
      <c r="AR237" s="315">
        <v>0</v>
      </c>
      <c r="AS237" s="315">
        <v>0</v>
      </c>
      <c r="AT237" s="315">
        <v>0</v>
      </c>
      <c r="AU237" s="315">
        <v>0</v>
      </c>
      <c r="AV237" s="315">
        <v>0</v>
      </c>
      <c r="AW237" s="315">
        <v>0</v>
      </c>
      <c r="AX237" s="315">
        <v>0</v>
      </c>
      <c r="AY237" s="315">
        <v>0</v>
      </c>
      <c r="AZ237" s="315">
        <v>0</v>
      </c>
      <c r="BA237" s="315">
        <v>0</v>
      </c>
      <c r="BB237" s="315">
        <v>0</v>
      </c>
      <c r="BC237" s="315">
        <v>0</v>
      </c>
      <c r="BD237" s="315">
        <v>0</v>
      </c>
      <c r="BE237" s="315">
        <v>0</v>
      </c>
      <c r="BF237" s="315">
        <v>0</v>
      </c>
      <c r="BG237" s="315">
        <v>0</v>
      </c>
      <c r="BH237" s="315">
        <v>0</v>
      </c>
      <c r="BI237" s="315">
        <v>0</v>
      </c>
      <c r="BJ237" s="315">
        <v>0</v>
      </c>
      <c r="BK237" s="315">
        <v>0</v>
      </c>
      <c r="BL237" s="315">
        <v>0</v>
      </c>
      <c r="BM237" s="315">
        <v>0</v>
      </c>
      <c r="BN237" s="315">
        <v>0</v>
      </c>
      <c r="BO237" s="315">
        <v>0</v>
      </c>
      <c r="BP237" s="315">
        <v>0</v>
      </c>
      <c r="BQ237" s="315">
        <v>0</v>
      </c>
      <c r="BR237" s="315">
        <v>0</v>
      </c>
      <c r="BS237" s="315">
        <v>0</v>
      </c>
      <c r="BT237" s="315">
        <v>0</v>
      </c>
      <c r="BU237" s="315">
        <v>0</v>
      </c>
      <c r="BV237" s="315">
        <v>0</v>
      </c>
    </row>
    <row r="238" spans="12:74" hidden="1" x14ac:dyDescent="0.2">
      <c r="L238" s="315">
        <v>0</v>
      </c>
      <c r="M238" s="315">
        <v>0</v>
      </c>
      <c r="N238" s="315">
        <v>0</v>
      </c>
      <c r="O238" s="315">
        <v>0</v>
      </c>
      <c r="P238" s="315">
        <v>0</v>
      </c>
      <c r="Q238" s="315">
        <v>0</v>
      </c>
      <c r="R238" s="315">
        <v>0</v>
      </c>
      <c r="S238" s="315">
        <v>0</v>
      </c>
      <c r="T238" s="315">
        <v>0</v>
      </c>
      <c r="U238" s="315">
        <v>0</v>
      </c>
      <c r="V238" s="315">
        <v>129145</v>
      </c>
      <c r="W238" s="315">
        <v>0</v>
      </c>
      <c r="X238" s="315">
        <v>0</v>
      </c>
      <c r="Y238" s="315">
        <v>0</v>
      </c>
      <c r="Z238" s="315">
        <v>0</v>
      </c>
      <c r="AA238" s="315">
        <v>0</v>
      </c>
      <c r="AB238" s="315">
        <v>0</v>
      </c>
      <c r="AC238" s="315">
        <v>0</v>
      </c>
      <c r="AD238" s="315">
        <v>0</v>
      </c>
      <c r="AE238" s="315">
        <v>0</v>
      </c>
      <c r="AF238" s="315">
        <v>1420214</v>
      </c>
      <c r="AG238" s="315">
        <v>0</v>
      </c>
      <c r="AH238" s="315">
        <v>0</v>
      </c>
      <c r="AI238" s="315">
        <v>0</v>
      </c>
      <c r="AJ238" s="315">
        <v>0</v>
      </c>
      <c r="AK238" s="315">
        <v>69867</v>
      </c>
      <c r="AL238" s="315">
        <v>0</v>
      </c>
      <c r="AM238" s="315">
        <v>0</v>
      </c>
      <c r="AN238" s="315">
        <v>0</v>
      </c>
      <c r="AO238" s="315">
        <v>0</v>
      </c>
      <c r="AP238" s="315">
        <v>0</v>
      </c>
      <c r="AQ238" s="315">
        <v>0</v>
      </c>
      <c r="AR238" s="315">
        <v>0</v>
      </c>
      <c r="AS238" s="315">
        <v>0</v>
      </c>
      <c r="AT238" s="315">
        <v>0</v>
      </c>
      <c r="AU238" s="315">
        <v>0</v>
      </c>
      <c r="AV238" s="315">
        <v>0</v>
      </c>
      <c r="AW238" s="315">
        <v>0</v>
      </c>
      <c r="AX238" s="315">
        <v>0</v>
      </c>
      <c r="AY238" s="315">
        <v>0</v>
      </c>
      <c r="AZ238" s="315">
        <v>0</v>
      </c>
      <c r="BA238" s="315">
        <v>0</v>
      </c>
      <c r="BB238" s="315">
        <v>0</v>
      </c>
      <c r="BC238" s="315">
        <v>0</v>
      </c>
      <c r="BD238" s="315">
        <v>0</v>
      </c>
      <c r="BE238" s="315">
        <v>0</v>
      </c>
      <c r="BF238" s="315">
        <v>0</v>
      </c>
      <c r="BG238" s="315">
        <v>0</v>
      </c>
      <c r="BH238" s="315">
        <v>0</v>
      </c>
      <c r="BI238" s="315">
        <v>0</v>
      </c>
      <c r="BJ238" s="315">
        <v>-92640</v>
      </c>
      <c r="BK238" s="315">
        <v>0</v>
      </c>
      <c r="BL238" s="315">
        <v>0</v>
      </c>
      <c r="BM238" s="315">
        <v>0</v>
      </c>
      <c r="BN238" s="315">
        <v>0</v>
      </c>
      <c r="BO238" s="315">
        <v>0</v>
      </c>
      <c r="BP238" s="315">
        <v>0</v>
      </c>
      <c r="BQ238" s="315">
        <v>0</v>
      </c>
      <c r="BR238" s="315">
        <v>0</v>
      </c>
      <c r="BS238" s="315">
        <v>0</v>
      </c>
      <c r="BT238" s="315">
        <v>1619226</v>
      </c>
      <c r="BU238" s="315">
        <v>0</v>
      </c>
      <c r="BV238" s="315">
        <v>0</v>
      </c>
    </row>
    <row r="239" spans="12:74" hidden="1" x14ac:dyDescent="0.2">
      <c r="L239" s="315">
        <v>0</v>
      </c>
      <c r="M239" s="315">
        <v>0</v>
      </c>
      <c r="N239" s="315">
        <v>0</v>
      </c>
      <c r="O239" s="315">
        <v>0</v>
      </c>
      <c r="P239" s="315">
        <v>0</v>
      </c>
      <c r="Q239" s="315">
        <v>0</v>
      </c>
      <c r="R239" s="315">
        <v>0</v>
      </c>
      <c r="S239" s="315">
        <v>0</v>
      </c>
      <c r="T239" s="315">
        <v>0</v>
      </c>
      <c r="U239" s="315">
        <v>0</v>
      </c>
      <c r="V239" s="315">
        <v>129145</v>
      </c>
      <c r="W239" s="315">
        <v>0</v>
      </c>
      <c r="X239" s="315">
        <v>0</v>
      </c>
      <c r="Y239" s="315">
        <v>0</v>
      </c>
      <c r="Z239" s="315">
        <v>0</v>
      </c>
      <c r="AA239" s="315">
        <v>0</v>
      </c>
      <c r="AB239" s="315">
        <v>0</v>
      </c>
      <c r="AC239" s="315">
        <v>0</v>
      </c>
      <c r="AD239" s="315">
        <v>0</v>
      </c>
      <c r="AE239" s="315">
        <v>0</v>
      </c>
      <c r="AF239" s="315">
        <v>1420214</v>
      </c>
      <c r="AG239" s="315">
        <v>0</v>
      </c>
      <c r="AH239" s="315">
        <v>0</v>
      </c>
      <c r="AI239" s="315">
        <v>0</v>
      </c>
      <c r="AJ239" s="315">
        <v>0</v>
      </c>
      <c r="AK239" s="315">
        <v>69867</v>
      </c>
      <c r="AL239" s="315">
        <v>0</v>
      </c>
      <c r="AM239" s="315">
        <v>0</v>
      </c>
      <c r="AN239" s="315">
        <v>0</v>
      </c>
      <c r="AO239" s="315">
        <v>0</v>
      </c>
      <c r="AP239" s="315">
        <v>0</v>
      </c>
      <c r="AQ239" s="315">
        <v>0</v>
      </c>
      <c r="AR239" s="315">
        <v>0</v>
      </c>
      <c r="AS239" s="315">
        <v>0</v>
      </c>
      <c r="AT239" s="315">
        <v>0</v>
      </c>
      <c r="AU239" s="315">
        <v>0</v>
      </c>
      <c r="AV239" s="315">
        <v>0</v>
      </c>
      <c r="AW239" s="315">
        <v>0</v>
      </c>
      <c r="AX239" s="315">
        <v>0</v>
      </c>
      <c r="AY239" s="315">
        <v>0</v>
      </c>
      <c r="AZ239" s="315">
        <v>0</v>
      </c>
      <c r="BA239" s="315">
        <v>0</v>
      </c>
      <c r="BB239" s="315">
        <v>0</v>
      </c>
      <c r="BC239" s="315">
        <v>0</v>
      </c>
      <c r="BD239" s="315">
        <v>0</v>
      </c>
      <c r="BE239" s="315">
        <v>0</v>
      </c>
      <c r="BF239" s="315">
        <v>0</v>
      </c>
      <c r="BG239" s="315">
        <v>0</v>
      </c>
      <c r="BH239" s="315">
        <v>0</v>
      </c>
      <c r="BI239" s="315">
        <v>0</v>
      </c>
      <c r="BJ239" s="315">
        <v>-92640</v>
      </c>
      <c r="BK239" s="315">
        <v>0</v>
      </c>
      <c r="BL239" s="315">
        <v>0</v>
      </c>
      <c r="BM239" s="315">
        <v>0</v>
      </c>
      <c r="BN239" s="315">
        <v>0</v>
      </c>
      <c r="BO239" s="315">
        <v>0</v>
      </c>
      <c r="BP239" s="315">
        <v>0</v>
      </c>
      <c r="BQ239" s="315">
        <v>0</v>
      </c>
      <c r="BR239" s="315">
        <v>0</v>
      </c>
      <c r="BS239" s="315">
        <v>0</v>
      </c>
      <c r="BT239" s="315">
        <v>1619226</v>
      </c>
      <c r="BU239" s="315">
        <v>0</v>
      </c>
      <c r="BV239" s="315">
        <v>0</v>
      </c>
    </row>
    <row r="240" spans="12:74" hidden="1" x14ac:dyDescent="0.2">
      <c r="L240" s="315">
        <v>0</v>
      </c>
      <c r="M240" s="315">
        <v>0</v>
      </c>
      <c r="N240" s="315">
        <v>0</v>
      </c>
      <c r="O240" s="315">
        <v>0</v>
      </c>
      <c r="P240" s="315">
        <v>0</v>
      </c>
      <c r="Q240" s="315">
        <v>0</v>
      </c>
      <c r="R240" s="315">
        <v>0</v>
      </c>
      <c r="S240" s="315">
        <v>0</v>
      </c>
      <c r="T240" s="315">
        <v>0</v>
      </c>
      <c r="U240" s="315">
        <v>0</v>
      </c>
      <c r="V240" s="315">
        <v>0</v>
      </c>
      <c r="W240" s="315">
        <v>0</v>
      </c>
      <c r="X240" s="315">
        <v>0</v>
      </c>
      <c r="Y240" s="315">
        <v>0</v>
      </c>
      <c r="Z240" s="315">
        <v>0</v>
      </c>
      <c r="AA240" s="315">
        <v>0</v>
      </c>
      <c r="AB240" s="315">
        <v>0</v>
      </c>
      <c r="AC240" s="315">
        <v>0</v>
      </c>
      <c r="AD240" s="315">
        <v>0</v>
      </c>
      <c r="AE240" s="315">
        <v>0</v>
      </c>
      <c r="AF240" s="315">
        <v>0</v>
      </c>
      <c r="AG240" s="315">
        <v>0</v>
      </c>
      <c r="AH240" s="315">
        <v>0</v>
      </c>
      <c r="AI240" s="315">
        <v>0</v>
      </c>
      <c r="AJ240" s="315">
        <v>0</v>
      </c>
      <c r="AK240" s="315">
        <v>0</v>
      </c>
      <c r="AL240" s="315">
        <v>0</v>
      </c>
      <c r="AM240" s="315">
        <v>0</v>
      </c>
      <c r="AN240" s="315">
        <v>0</v>
      </c>
      <c r="AO240" s="315">
        <v>0</v>
      </c>
      <c r="AP240" s="315">
        <v>0</v>
      </c>
      <c r="AQ240" s="315">
        <v>0</v>
      </c>
      <c r="AR240" s="315">
        <v>0</v>
      </c>
      <c r="AS240" s="315">
        <v>0</v>
      </c>
      <c r="AT240" s="315">
        <v>0</v>
      </c>
      <c r="AU240" s="315">
        <v>0</v>
      </c>
      <c r="AV240" s="315">
        <v>0</v>
      </c>
      <c r="AW240" s="315">
        <v>0</v>
      </c>
      <c r="AX240" s="315">
        <v>0</v>
      </c>
      <c r="AY240" s="315">
        <v>0</v>
      </c>
      <c r="AZ240" s="315">
        <v>0</v>
      </c>
      <c r="BA240" s="315">
        <v>0</v>
      </c>
      <c r="BB240" s="315">
        <v>0</v>
      </c>
      <c r="BC240" s="315">
        <v>0</v>
      </c>
      <c r="BD240" s="315">
        <v>0</v>
      </c>
      <c r="BE240" s="315">
        <v>0</v>
      </c>
      <c r="BF240" s="315">
        <v>0</v>
      </c>
      <c r="BG240" s="315">
        <v>0</v>
      </c>
      <c r="BH240" s="315">
        <v>0</v>
      </c>
      <c r="BI240" s="315">
        <v>0</v>
      </c>
      <c r="BJ240" s="315">
        <v>0</v>
      </c>
      <c r="BK240" s="315">
        <v>0</v>
      </c>
      <c r="BL240" s="315">
        <v>0</v>
      </c>
      <c r="BM240" s="315">
        <v>0</v>
      </c>
      <c r="BN240" s="315">
        <v>0</v>
      </c>
      <c r="BO240" s="315">
        <v>0</v>
      </c>
      <c r="BP240" s="315">
        <v>0</v>
      </c>
      <c r="BQ240" s="315">
        <v>0</v>
      </c>
      <c r="BR240" s="315">
        <v>0</v>
      </c>
      <c r="BS240" s="315">
        <v>0</v>
      </c>
      <c r="BT240" s="315">
        <v>0</v>
      </c>
      <c r="BU240" s="315">
        <v>0</v>
      </c>
      <c r="BV240" s="315">
        <v>0</v>
      </c>
    </row>
    <row r="241" spans="12:74" hidden="1" x14ac:dyDescent="0.2">
      <c r="L241" s="315">
        <v>0</v>
      </c>
      <c r="M241" s="315">
        <v>0</v>
      </c>
      <c r="N241" s="315">
        <v>0</v>
      </c>
      <c r="O241" s="315">
        <v>0</v>
      </c>
      <c r="P241" s="315">
        <v>0</v>
      </c>
      <c r="Q241" s="315">
        <v>39629</v>
      </c>
      <c r="R241" s="315">
        <v>0</v>
      </c>
      <c r="S241" s="315">
        <v>0</v>
      </c>
      <c r="T241" s="315">
        <v>0</v>
      </c>
      <c r="U241" s="315">
        <v>0</v>
      </c>
      <c r="V241" s="315">
        <v>0</v>
      </c>
      <c r="W241" s="315">
        <v>0</v>
      </c>
      <c r="X241" s="315">
        <v>0</v>
      </c>
      <c r="Y241" s="315">
        <v>0</v>
      </c>
      <c r="Z241" s="315">
        <v>0</v>
      </c>
      <c r="AA241" s="315">
        <v>0</v>
      </c>
      <c r="AB241" s="315">
        <v>0</v>
      </c>
      <c r="AC241" s="315">
        <v>0</v>
      </c>
      <c r="AD241" s="315">
        <v>0</v>
      </c>
      <c r="AE241" s="315">
        <v>0</v>
      </c>
      <c r="AF241" s="315">
        <v>-83879</v>
      </c>
      <c r="AG241" s="315">
        <v>0</v>
      </c>
      <c r="AH241" s="315">
        <v>0</v>
      </c>
      <c r="AI241" s="315">
        <v>0</v>
      </c>
      <c r="AJ241" s="315">
        <v>0</v>
      </c>
      <c r="AK241" s="315">
        <v>0</v>
      </c>
      <c r="AL241" s="315">
        <v>0</v>
      </c>
      <c r="AM241" s="315">
        <v>0</v>
      </c>
      <c r="AN241" s="315">
        <v>0</v>
      </c>
      <c r="AO241" s="315">
        <v>0</v>
      </c>
      <c r="AP241" s="315">
        <v>0</v>
      </c>
      <c r="AQ241" s="315">
        <v>0</v>
      </c>
      <c r="AR241" s="315">
        <v>0</v>
      </c>
      <c r="AS241" s="315">
        <v>0</v>
      </c>
      <c r="AT241" s="315">
        <v>0</v>
      </c>
      <c r="AU241" s="315">
        <v>0</v>
      </c>
      <c r="AV241" s="315">
        <v>0</v>
      </c>
      <c r="AW241" s="315">
        <v>0</v>
      </c>
      <c r="AX241" s="315">
        <v>0</v>
      </c>
      <c r="AY241" s="315">
        <v>0</v>
      </c>
      <c r="AZ241" s="315">
        <v>0</v>
      </c>
      <c r="BA241" s="315">
        <v>0</v>
      </c>
      <c r="BB241" s="315">
        <v>0</v>
      </c>
      <c r="BC241" s="315">
        <v>0</v>
      </c>
      <c r="BD241" s="315">
        <v>0</v>
      </c>
      <c r="BE241" s="315">
        <v>0</v>
      </c>
      <c r="BF241" s="315">
        <v>0</v>
      </c>
      <c r="BG241" s="315">
        <v>0</v>
      </c>
      <c r="BH241" s="315">
        <v>0</v>
      </c>
      <c r="BI241" s="315">
        <v>0</v>
      </c>
      <c r="BJ241" s="315">
        <v>0</v>
      </c>
      <c r="BK241" s="315">
        <v>0</v>
      </c>
      <c r="BL241" s="315">
        <v>0</v>
      </c>
      <c r="BM241" s="315">
        <v>0</v>
      </c>
      <c r="BN241" s="315">
        <v>0</v>
      </c>
      <c r="BO241" s="315">
        <v>-173102</v>
      </c>
      <c r="BP241" s="315">
        <v>0</v>
      </c>
      <c r="BQ241" s="315">
        <v>0</v>
      </c>
      <c r="BR241" s="315">
        <v>0</v>
      </c>
      <c r="BS241" s="315">
        <v>0</v>
      </c>
      <c r="BT241" s="315">
        <v>-44250</v>
      </c>
      <c r="BU241" s="315">
        <v>0</v>
      </c>
      <c r="BV241" s="315">
        <v>0</v>
      </c>
    </row>
    <row r="242" spans="12:74" hidden="1" x14ac:dyDescent="0.2">
      <c r="L242" s="315">
        <v>0</v>
      </c>
      <c r="M242" s="315">
        <v>0</v>
      </c>
      <c r="N242" s="315">
        <v>0</v>
      </c>
      <c r="O242" s="315">
        <v>0</v>
      </c>
      <c r="P242" s="315">
        <v>0</v>
      </c>
      <c r="Q242" s="315">
        <v>39629</v>
      </c>
      <c r="R242" s="315">
        <v>0</v>
      </c>
      <c r="S242" s="315">
        <v>0</v>
      </c>
      <c r="T242" s="315">
        <v>0</v>
      </c>
      <c r="U242" s="315">
        <v>0</v>
      </c>
      <c r="V242" s="315">
        <v>0</v>
      </c>
      <c r="W242" s="315">
        <v>0</v>
      </c>
      <c r="X242" s="315">
        <v>0</v>
      </c>
      <c r="Y242" s="315">
        <v>0</v>
      </c>
      <c r="Z242" s="315">
        <v>0</v>
      </c>
      <c r="AA242" s="315">
        <v>0</v>
      </c>
      <c r="AB242" s="315">
        <v>0</v>
      </c>
      <c r="AC242" s="315">
        <v>0</v>
      </c>
      <c r="AD242" s="315">
        <v>0</v>
      </c>
      <c r="AE242" s="315">
        <v>0</v>
      </c>
      <c r="AF242" s="315">
        <v>-83879</v>
      </c>
      <c r="AG242" s="315">
        <v>0</v>
      </c>
      <c r="AH242" s="315">
        <v>0</v>
      </c>
      <c r="AI242" s="315">
        <v>0</v>
      </c>
      <c r="AJ242" s="315">
        <v>0</v>
      </c>
      <c r="AK242" s="315">
        <v>0</v>
      </c>
      <c r="AL242" s="315">
        <v>0</v>
      </c>
      <c r="AM242" s="315">
        <v>0</v>
      </c>
      <c r="AN242" s="315">
        <v>0</v>
      </c>
      <c r="AO242" s="315">
        <v>0</v>
      </c>
      <c r="AP242" s="315">
        <v>0</v>
      </c>
      <c r="AQ242" s="315">
        <v>0</v>
      </c>
      <c r="AR242" s="315">
        <v>0</v>
      </c>
      <c r="AS242" s="315">
        <v>0</v>
      </c>
      <c r="AT242" s="315">
        <v>0</v>
      </c>
      <c r="AU242" s="315">
        <v>0</v>
      </c>
      <c r="AV242" s="315">
        <v>0</v>
      </c>
      <c r="AW242" s="315">
        <v>0</v>
      </c>
      <c r="AX242" s="315">
        <v>0</v>
      </c>
      <c r="AY242" s="315">
        <v>0</v>
      </c>
      <c r="AZ242" s="315">
        <v>0</v>
      </c>
      <c r="BA242" s="315">
        <v>0</v>
      </c>
      <c r="BB242" s="315">
        <v>0</v>
      </c>
      <c r="BC242" s="315">
        <v>0</v>
      </c>
      <c r="BD242" s="315">
        <v>0</v>
      </c>
      <c r="BE242" s="315">
        <v>0</v>
      </c>
      <c r="BF242" s="315">
        <v>0</v>
      </c>
      <c r="BG242" s="315">
        <v>0</v>
      </c>
      <c r="BH242" s="315">
        <v>0</v>
      </c>
      <c r="BI242" s="315">
        <v>0</v>
      </c>
      <c r="BJ242" s="315">
        <v>0</v>
      </c>
      <c r="BK242" s="315">
        <v>0</v>
      </c>
      <c r="BL242" s="315">
        <v>0</v>
      </c>
      <c r="BM242" s="315">
        <v>0</v>
      </c>
      <c r="BN242" s="315">
        <v>0</v>
      </c>
      <c r="BO242" s="315">
        <v>-173102</v>
      </c>
      <c r="BP242" s="315">
        <v>0</v>
      </c>
      <c r="BQ242" s="315">
        <v>0</v>
      </c>
      <c r="BR242" s="315">
        <v>0</v>
      </c>
      <c r="BS242" s="315">
        <v>0</v>
      </c>
      <c r="BT242" s="315">
        <v>-44250</v>
      </c>
      <c r="BU242" s="315">
        <v>0</v>
      </c>
      <c r="BV242" s="315">
        <v>0</v>
      </c>
    </row>
    <row r="243" spans="12:74" hidden="1" x14ac:dyDescent="0.2">
      <c r="L243" s="315">
        <v>0</v>
      </c>
      <c r="M243" s="315">
        <v>0</v>
      </c>
      <c r="N243" s="315">
        <v>0</v>
      </c>
      <c r="O243" s="315">
        <v>0</v>
      </c>
      <c r="P243" s="315">
        <v>0</v>
      </c>
      <c r="Q243" s="315">
        <v>0</v>
      </c>
      <c r="R243" s="315">
        <v>0</v>
      </c>
      <c r="S243" s="315">
        <v>0</v>
      </c>
      <c r="T243" s="315">
        <v>0</v>
      </c>
      <c r="U243" s="315">
        <v>0</v>
      </c>
      <c r="V243" s="315">
        <v>0</v>
      </c>
      <c r="W243" s="315">
        <v>0</v>
      </c>
      <c r="X243" s="315">
        <v>0</v>
      </c>
      <c r="Y243" s="315">
        <v>0</v>
      </c>
      <c r="Z243" s="315">
        <v>0</v>
      </c>
      <c r="AA243" s="315">
        <v>0</v>
      </c>
      <c r="AB243" s="315">
        <v>0</v>
      </c>
      <c r="AC243" s="315">
        <v>0</v>
      </c>
      <c r="AD243" s="315">
        <v>0</v>
      </c>
      <c r="AE243" s="315">
        <v>0</v>
      </c>
      <c r="AF243" s="315">
        <v>0</v>
      </c>
      <c r="AG243" s="315">
        <v>0</v>
      </c>
      <c r="AH243" s="315">
        <v>0</v>
      </c>
      <c r="AI243" s="315">
        <v>0</v>
      </c>
      <c r="AJ243" s="315">
        <v>0</v>
      </c>
      <c r="AK243" s="315">
        <v>0</v>
      </c>
      <c r="AL243" s="315">
        <v>0</v>
      </c>
      <c r="AM243" s="315">
        <v>0</v>
      </c>
      <c r="AN243" s="315">
        <v>0</v>
      </c>
      <c r="AO243" s="315">
        <v>0</v>
      </c>
      <c r="AP243" s="315">
        <v>0</v>
      </c>
      <c r="AQ243" s="315">
        <v>0</v>
      </c>
      <c r="AR243" s="315">
        <v>0</v>
      </c>
      <c r="AS243" s="315">
        <v>0</v>
      </c>
      <c r="AT243" s="315">
        <v>0</v>
      </c>
      <c r="AU243" s="315">
        <v>0</v>
      </c>
      <c r="AV243" s="315">
        <v>0</v>
      </c>
      <c r="AW243" s="315">
        <v>0</v>
      </c>
      <c r="AX243" s="315">
        <v>0</v>
      </c>
      <c r="AY243" s="315">
        <v>0</v>
      </c>
      <c r="AZ243" s="315">
        <v>0</v>
      </c>
      <c r="BA243" s="315">
        <v>0</v>
      </c>
      <c r="BB243" s="315">
        <v>0</v>
      </c>
      <c r="BC243" s="315">
        <v>0</v>
      </c>
      <c r="BD243" s="315">
        <v>0</v>
      </c>
      <c r="BE243" s="315">
        <v>0</v>
      </c>
      <c r="BF243" s="315">
        <v>0</v>
      </c>
      <c r="BG243" s="315">
        <v>0</v>
      </c>
      <c r="BH243" s="315">
        <v>0</v>
      </c>
      <c r="BI243" s="315">
        <v>0</v>
      </c>
      <c r="BJ243" s="315">
        <v>0</v>
      </c>
      <c r="BK243" s="315">
        <v>0</v>
      </c>
      <c r="BL243" s="315">
        <v>0</v>
      </c>
      <c r="BM243" s="315">
        <v>0</v>
      </c>
      <c r="BN243" s="315">
        <v>0</v>
      </c>
      <c r="BO243" s="315">
        <v>0</v>
      </c>
      <c r="BP243" s="315">
        <v>0</v>
      </c>
      <c r="BQ243" s="315">
        <v>0</v>
      </c>
      <c r="BR243" s="315">
        <v>0</v>
      </c>
      <c r="BS243" s="315">
        <v>0</v>
      </c>
      <c r="BT243" s="315">
        <v>0</v>
      </c>
      <c r="BU243" s="315">
        <v>0</v>
      </c>
      <c r="BV243" s="315">
        <v>0</v>
      </c>
    </row>
    <row r="244" spans="12:74" hidden="1" x14ac:dyDescent="0.2">
      <c r="L244" s="315">
        <v>0</v>
      </c>
      <c r="M244" s="315">
        <v>0</v>
      </c>
      <c r="N244" s="315">
        <v>0</v>
      </c>
      <c r="O244" s="315">
        <v>0</v>
      </c>
      <c r="P244" s="315">
        <v>0</v>
      </c>
      <c r="Q244" s="315">
        <v>88512</v>
      </c>
      <c r="R244" s="315">
        <v>0</v>
      </c>
      <c r="S244" s="315">
        <v>0</v>
      </c>
      <c r="T244" s="315">
        <v>0</v>
      </c>
      <c r="U244" s="315">
        <v>0</v>
      </c>
      <c r="V244" s="315">
        <v>0</v>
      </c>
      <c r="W244" s="315">
        <v>0</v>
      </c>
      <c r="X244" s="315">
        <v>0</v>
      </c>
      <c r="Y244" s="315">
        <v>0</v>
      </c>
      <c r="Z244" s="315">
        <v>0</v>
      </c>
      <c r="AA244" s="315">
        <v>0</v>
      </c>
      <c r="AB244" s="315">
        <v>0</v>
      </c>
      <c r="AC244" s="315">
        <v>0</v>
      </c>
      <c r="AD244" s="315">
        <v>0</v>
      </c>
      <c r="AE244" s="315">
        <v>0</v>
      </c>
      <c r="AF244" s="315">
        <v>0</v>
      </c>
      <c r="AG244" s="315">
        <v>0</v>
      </c>
      <c r="AH244" s="315">
        <v>0</v>
      </c>
      <c r="AI244" s="315">
        <v>0</v>
      </c>
      <c r="AJ244" s="315">
        <v>0</v>
      </c>
      <c r="AK244" s="315">
        <v>0</v>
      </c>
      <c r="AL244" s="315">
        <v>0</v>
      </c>
      <c r="AM244" s="315">
        <v>0</v>
      </c>
      <c r="AN244" s="315">
        <v>0</v>
      </c>
      <c r="AO244" s="315">
        <v>0</v>
      </c>
      <c r="AP244" s="315">
        <v>0</v>
      </c>
      <c r="AQ244" s="315">
        <v>0</v>
      </c>
      <c r="AR244" s="315">
        <v>0</v>
      </c>
      <c r="AS244" s="315">
        <v>0</v>
      </c>
      <c r="AT244" s="315">
        <v>0</v>
      </c>
      <c r="AU244" s="315">
        <v>0</v>
      </c>
      <c r="AV244" s="315">
        <v>0</v>
      </c>
      <c r="AW244" s="315">
        <v>0</v>
      </c>
      <c r="AX244" s="315">
        <v>0</v>
      </c>
      <c r="AY244" s="315">
        <v>0</v>
      </c>
      <c r="AZ244" s="315">
        <v>0</v>
      </c>
      <c r="BA244" s="315">
        <v>0</v>
      </c>
      <c r="BB244" s="315">
        <v>0</v>
      </c>
      <c r="BC244" s="315">
        <v>0</v>
      </c>
      <c r="BD244" s="315">
        <v>0</v>
      </c>
      <c r="BE244" s="315">
        <v>0</v>
      </c>
      <c r="BF244" s="315">
        <v>0</v>
      </c>
      <c r="BG244" s="315">
        <v>0</v>
      </c>
      <c r="BH244" s="315">
        <v>0</v>
      </c>
      <c r="BI244" s="315">
        <v>0</v>
      </c>
      <c r="BJ244" s="315">
        <v>0</v>
      </c>
      <c r="BK244" s="315">
        <v>0</v>
      </c>
      <c r="BL244" s="315">
        <v>0</v>
      </c>
      <c r="BM244" s="315">
        <v>0</v>
      </c>
      <c r="BN244" s="315">
        <v>0</v>
      </c>
      <c r="BO244" s="315">
        <v>-99343</v>
      </c>
      <c r="BP244" s="315">
        <v>0</v>
      </c>
      <c r="BQ244" s="315">
        <v>0</v>
      </c>
      <c r="BR244" s="315">
        <v>0</v>
      </c>
      <c r="BS244" s="315">
        <v>0</v>
      </c>
      <c r="BT244" s="315">
        <v>88512</v>
      </c>
      <c r="BU244" s="315">
        <v>0</v>
      </c>
      <c r="BV244" s="315">
        <v>0</v>
      </c>
    </row>
    <row r="245" spans="12:74" hidden="1" x14ac:dyDescent="0.2">
      <c r="L245" s="315">
        <v>0</v>
      </c>
      <c r="M245" s="315">
        <v>0</v>
      </c>
      <c r="N245" s="315">
        <v>0</v>
      </c>
      <c r="O245" s="315">
        <v>0</v>
      </c>
      <c r="P245" s="315">
        <v>0</v>
      </c>
      <c r="Q245" s="315">
        <v>88512</v>
      </c>
      <c r="R245" s="315">
        <v>0</v>
      </c>
      <c r="S245" s="315">
        <v>0</v>
      </c>
      <c r="T245" s="315">
        <v>0</v>
      </c>
      <c r="U245" s="315">
        <v>0</v>
      </c>
      <c r="V245" s="315">
        <v>0</v>
      </c>
      <c r="W245" s="315">
        <v>0</v>
      </c>
      <c r="X245" s="315">
        <v>0</v>
      </c>
      <c r="Y245" s="315">
        <v>0</v>
      </c>
      <c r="Z245" s="315">
        <v>0</v>
      </c>
      <c r="AA245" s="315">
        <v>0</v>
      </c>
      <c r="AB245" s="315">
        <v>0</v>
      </c>
      <c r="AC245" s="315">
        <v>0</v>
      </c>
      <c r="AD245" s="315">
        <v>0</v>
      </c>
      <c r="AE245" s="315">
        <v>0</v>
      </c>
      <c r="AF245" s="315">
        <v>0</v>
      </c>
      <c r="AG245" s="315">
        <v>0</v>
      </c>
      <c r="AH245" s="315">
        <v>0</v>
      </c>
      <c r="AI245" s="315">
        <v>0</v>
      </c>
      <c r="AJ245" s="315">
        <v>0</v>
      </c>
      <c r="AK245" s="315">
        <v>0</v>
      </c>
      <c r="AL245" s="315">
        <v>0</v>
      </c>
      <c r="AM245" s="315">
        <v>0</v>
      </c>
      <c r="AN245" s="315">
        <v>0</v>
      </c>
      <c r="AO245" s="315">
        <v>0</v>
      </c>
      <c r="AP245" s="315">
        <v>0</v>
      </c>
      <c r="AQ245" s="315">
        <v>0</v>
      </c>
      <c r="AR245" s="315">
        <v>0</v>
      </c>
      <c r="AS245" s="315">
        <v>0</v>
      </c>
      <c r="AT245" s="315">
        <v>0</v>
      </c>
      <c r="AU245" s="315">
        <v>0</v>
      </c>
      <c r="AV245" s="315">
        <v>0</v>
      </c>
      <c r="AW245" s="315">
        <v>0</v>
      </c>
      <c r="AX245" s="315">
        <v>0</v>
      </c>
      <c r="AY245" s="315">
        <v>0</v>
      </c>
      <c r="AZ245" s="315">
        <v>0</v>
      </c>
      <c r="BA245" s="315">
        <v>0</v>
      </c>
      <c r="BB245" s="315">
        <v>0</v>
      </c>
      <c r="BC245" s="315">
        <v>0</v>
      </c>
      <c r="BD245" s="315">
        <v>0</v>
      </c>
      <c r="BE245" s="315">
        <v>0</v>
      </c>
      <c r="BF245" s="315">
        <v>0</v>
      </c>
      <c r="BG245" s="315">
        <v>0</v>
      </c>
      <c r="BH245" s="315">
        <v>0</v>
      </c>
      <c r="BI245" s="315">
        <v>0</v>
      </c>
      <c r="BJ245" s="315">
        <v>0</v>
      </c>
      <c r="BK245" s="315">
        <v>0</v>
      </c>
      <c r="BL245" s="315">
        <v>0</v>
      </c>
      <c r="BM245" s="315">
        <v>0</v>
      </c>
      <c r="BN245" s="315">
        <v>0</v>
      </c>
      <c r="BO245" s="315">
        <v>-99343</v>
      </c>
      <c r="BP245" s="315">
        <v>0</v>
      </c>
      <c r="BQ245" s="315">
        <v>0</v>
      </c>
      <c r="BR245" s="315">
        <v>0</v>
      </c>
      <c r="BS245" s="315">
        <v>0</v>
      </c>
      <c r="BT245" s="315">
        <v>88512</v>
      </c>
      <c r="BU245" s="315">
        <v>0</v>
      </c>
      <c r="BV245" s="315">
        <v>0</v>
      </c>
    </row>
    <row r="246" spans="12:74" hidden="1" x14ac:dyDescent="0.2">
      <c r="L246" s="315">
        <v>0</v>
      </c>
      <c r="M246" s="315">
        <v>0</v>
      </c>
      <c r="N246" s="315">
        <v>0</v>
      </c>
      <c r="O246" s="315">
        <v>0</v>
      </c>
      <c r="P246" s="315">
        <v>0</v>
      </c>
      <c r="Q246" s="315">
        <v>0</v>
      </c>
      <c r="R246" s="315">
        <v>0</v>
      </c>
      <c r="S246" s="315">
        <v>0</v>
      </c>
      <c r="T246" s="315">
        <v>0</v>
      </c>
      <c r="U246" s="315">
        <v>0</v>
      </c>
      <c r="V246" s="315">
        <v>0</v>
      </c>
      <c r="W246" s="315">
        <v>0</v>
      </c>
      <c r="X246" s="315">
        <v>0</v>
      </c>
      <c r="Y246" s="315">
        <v>0</v>
      </c>
      <c r="Z246" s="315">
        <v>0</v>
      </c>
      <c r="AA246" s="315">
        <v>0</v>
      </c>
      <c r="AB246" s="315">
        <v>0</v>
      </c>
      <c r="AC246" s="315">
        <v>0</v>
      </c>
      <c r="AD246" s="315">
        <v>0</v>
      </c>
      <c r="AE246" s="315">
        <v>0</v>
      </c>
      <c r="AF246" s="315">
        <v>0</v>
      </c>
      <c r="AG246" s="315">
        <v>0</v>
      </c>
      <c r="AH246" s="315">
        <v>0</v>
      </c>
      <c r="AI246" s="315">
        <v>0</v>
      </c>
      <c r="AJ246" s="315">
        <v>0</v>
      </c>
      <c r="AK246" s="315">
        <v>0</v>
      </c>
      <c r="AL246" s="315">
        <v>0</v>
      </c>
      <c r="AM246" s="315">
        <v>0</v>
      </c>
      <c r="AN246" s="315">
        <v>0</v>
      </c>
      <c r="AO246" s="315">
        <v>0</v>
      </c>
      <c r="AP246" s="315">
        <v>0</v>
      </c>
      <c r="AQ246" s="315">
        <v>0</v>
      </c>
      <c r="AR246" s="315">
        <v>0</v>
      </c>
      <c r="AS246" s="315">
        <v>0</v>
      </c>
      <c r="AT246" s="315">
        <v>0</v>
      </c>
      <c r="AU246" s="315">
        <v>0</v>
      </c>
      <c r="AV246" s="315">
        <v>0</v>
      </c>
      <c r="AW246" s="315">
        <v>0</v>
      </c>
      <c r="AX246" s="315">
        <v>0</v>
      </c>
      <c r="AY246" s="315">
        <v>0</v>
      </c>
      <c r="AZ246" s="315">
        <v>0</v>
      </c>
      <c r="BA246" s="315">
        <v>0</v>
      </c>
      <c r="BB246" s="315">
        <v>0</v>
      </c>
      <c r="BC246" s="315">
        <v>0</v>
      </c>
      <c r="BD246" s="315">
        <v>0</v>
      </c>
      <c r="BE246" s="315">
        <v>0</v>
      </c>
      <c r="BF246" s="315">
        <v>0</v>
      </c>
      <c r="BG246" s="315">
        <v>0</v>
      </c>
      <c r="BH246" s="315">
        <v>0</v>
      </c>
      <c r="BI246" s="315">
        <v>0</v>
      </c>
      <c r="BJ246" s="315">
        <v>0</v>
      </c>
      <c r="BK246" s="315">
        <v>0</v>
      </c>
      <c r="BL246" s="315">
        <v>0</v>
      </c>
      <c r="BM246" s="315">
        <v>0</v>
      </c>
      <c r="BN246" s="315">
        <v>0</v>
      </c>
      <c r="BO246" s="315">
        <v>0</v>
      </c>
      <c r="BP246" s="315">
        <v>0</v>
      </c>
      <c r="BQ246" s="315">
        <v>0</v>
      </c>
      <c r="BR246" s="315">
        <v>0</v>
      </c>
      <c r="BS246" s="315">
        <v>0</v>
      </c>
      <c r="BT246" s="315">
        <v>0</v>
      </c>
      <c r="BU246" s="315">
        <v>0</v>
      </c>
      <c r="BV246" s="315">
        <v>0</v>
      </c>
    </row>
    <row r="247" spans="12:74" hidden="1" x14ac:dyDescent="0.2">
      <c r="L247" s="315">
        <v>0</v>
      </c>
      <c r="M247" s="315">
        <v>0</v>
      </c>
      <c r="N247" s="315">
        <v>0</v>
      </c>
      <c r="O247" s="315">
        <v>0</v>
      </c>
      <c r="P247" s="315">
        <v>0</v>
      </c>
      <c r="Q247" s="315">
        <v>0</v>
      </c>
      <c r="R247" s="315">
        <v>0</v>
      </c>
      <c r="S247" s="315">
        <v>0</v>
      </c>
      <c r="T247" s="315">
        <v>0</v>
      </c>
      <c r="U247" s="315">
        <v>0</v>
      </c>
      <c r="V247" s="315">
        <v>0</v>
      </c>
      <c r="W247" s="315">
        <v>0</v>
      </c>
      <c r="X247" s="315">
        <v>0</v>
      </c>
      <c r="Y247" s="315">
        <v>0</v>
      </c>
      <c r="Z247" s="315">
        <v>0</v>
      </c>
      <c r="AA247" s="315">
        <v>0</v>
      </c>
      <c r="AB247" s="315">
        <v>0</v>
      </c>
      <c r="AC247" s="315">
        <v>0</v>
      </c>
      <c r="AD247" s="315">
        <v>0</v>
      </c>
      <c r="AE247" s="315">
        <v>0</v>
      </c>
      <c r="AF247" s="315">
        <v>0</v>
      </c>
      <c r="AG247" s="315">
        <v>0</v>
      </c>
      <c r="AH247" s="315">
        <v>0</v>
      </c>
      <c r="AI247" s="315">
        <v>0</v>
      </c>
      <c r="AJ247" s="315">
        <v>0</v>
      </c>
      <c r="AK247" s="315">
        <v>0</v>
      </c>
      <c r="AL247" s="315">
        <v>0</v>
      </c>
      <c r="AM247" s="315">
        <v>0</v>
      </c>
      <c r="AN247" s="315">
        <v>0</v>
      </c>
      <c r="AO247" s="315">
        <v>0</v>
      </c>
      <c r="AP247" s="315">
        <v>0</v>
      </c>
      <c r="AQ247" s="315">
        <v>0</v>
      </c>
      <c r="AR247" s="315">
        <v>0</v>
      </c>
      <c r="AS247" s="315">
        <v>0</v>
      </c>
      <c r="AT247" s="315">
        <v>0</v>
      </c>
      <c r="AU247" s="315">
        <v>0</v>
      </c>
      <c r="AV247" s="315">
        <v>0</v>
      </c>
      <c r="AW247" s="315">
        <v>0</v>
      </c>
      <c r="AX247" s="315">
        <v>0</v>
      </c>
      <c r="AY247" s="315">
        <v>0</v>
      </c>
      <c r="AZ247" s="315">
        <v>0</v>
      </c>
      <c r="BA247" s="315">
        <v>0</v>
      </c>
      <c r="BB247" s="315">
        <v>0</v>
      </c>
      <c r="BC247" s="315">
        <v>0</v>
      </c>
      <c r="BD247" s="315">
        <v>0</v>
      </c>
      <c r="BE247" s="315">
        <v>0</v>
      </c>
      <c r="BF247" s="315">
        <v>0</v>
      </c>
      <c r="BG247" s="315">
        <v>0</v>
      </c>
      <c r="BH247" s="315">
        <v>0</v>
      </c>
      <c r="BI247" s="315">
        <v>0</v>
      </c>
      <c r="BJ247" s="315">
        <v>0</v>
      </c>
      <c r="BK247" s="315">
        <v>0</v>
      </c>
      <c r="BL247" s="315">
        <v>0</v>
      </c>
      <c r="BM247" s="315">
        <v>0</v>
      </c>
      <c r="BN247" s="315">
        <v>0</v>
      </c>
      <c r="BO247" s="315">
        <v>0</v>
      </c>
      <c r="BP247" s="315">
        <v>0</v>
      </c>
      <c r="BQ247" s="315">
        <v>0</v>
      </c>
      <c r="BR247" s="315">
        <v>0</v>
      </c>
      <c r="BS247" s="315">
        <v>0</v>
      </c>
      <c r="BT247" s="315">
        <v>0</v>
      </c>
      <c r="BU247" s="315">
        <v>0</v>
      </c>
      <c r="BV247" s="315">
        <v>0</v>
      </c>
    </row>
    <row r="248" spans="12:74" hidden="1" x14ac:dyDescent="0.2">
      <c r="L248" s="315">
        <v>0</v>
      </c>
      <c r="M248" s="315">
        <v>0</v>
      </c>
      <c r="N248" s="315">
        <v>0</v>
      </c>
      <c r="O248" s="315">
        <v>0</v>
      </c>
      <c r="P248" s="315">
        <v>0</v>
      </c>
      <c r="Q248" s="315">
        <v>0</v>
      </c>
      <c r="R248" s="315">
        <v>0</v>
      </c>
      <c r="S248" s="315">
        <v>0</v>
      </c>
      <c r="T248" s="315">
        <v>0</v>
      </c>
      <c r="U248" s="315">
        <v>0</v>
      </c>
      <c r="V248" s="315">
        <v>0</v>
      </c>
      <c r="W248" s="315">
        <v>0</v>
      </c>
      <c r="X248" s="315">
        <v>0</v>
      </c>
      <c r="Y248" s="315">
        <v>0</v>
      </c>
      <c r="Z248" s="315">
        <v>0</v>
      </c>
      <c r="AA248" s="315">
        <v>0</v>
      </c>
      <c r="AB248" s="315">
        <v>0</v>
      </c>
      <c r="AC248" s="315">
        <v>0</v>
      </c>
      <c r="AD248" s="315">
        <v>0</v>
      </c>
      <c r="AE248" s="315">
        <v>0</v>
      </c>
      <c r="AF248" s="315">
        <v>0</v>
      </c>
      <c r="AG248" s="315">
        <v>0</v>
      </c>
      <c r="AH248" s="315">
        <v>0</v>
      </c>
      <c r="AI248" s="315">
        <v>0</v>
      </c>
      <c r="AJ248" s="315">
        <v>0</v>
      </c>
      <c r="AK248" s="315">
        <v>0</v>
      </c>
      <c r="AL248" s="315">
        <v>0</v>
      </c>
      <c r="AM248" s="315">
        <v>0</v>
      </c>
      <c r="AN248" s="315">
        <v>0</v>
      </c>
      <c r="AO248" s="315">
        <v>0</v>
      </c>
      <c r="AP248" s="315">
        <v>0</v>
      </c>
      <c r="AQ248" s="315">
        <v>0</v>
      </c>
      <c r="AR248" s="315">
        <v>0</v>
      </c>
      <c r="AS248" s="315">
        <v>0</v>
      </c>
      <c r="AT248" s="315">
        <v>0</v>
      </c>
      <c r="AU248" s="315">
        <v>0</v>
      </c>
      <c r="AV248" s="315">
        <v>0</v>
      </c>
      <c r="AW248" s="315">
        <v>0</v>
      </c>
      <c r="AX248" s="315">
        <v>0</v>
      </c>
      <c r="AY248" s="315">
        <v>0</v>
      </c>
      <c r="AZ248" s="315">
        <v>0</v>
      </c>
      <c r="BA248" s="315">
        <v>0</v>
      </c>
      <c r="BB248" s="315">
        <v>0</v>
      </c>
      <c r="BC248" s="315">
        <v>0</v>
      </c>
      <c r="BD248" s="315">
        <v>0</v>
      </c>
      <c r="BE248" s="315">
        <v>0</v>
      </c>
      <c r="BF248" s="315">
        <v>0</v>
      </c>
      <c r="BG248" s="315">
        <v>0</v>
      </c>
      <c r="BH248" s="315">
        <v>0</v>
      </c>
      <c r="BI248" s="315">
        <v>0</v>
      </c>
      <c r="BJ248" s="315">
        <v>0</v>
      </c>
      <c r="BK248" s="315">
        <v>0</v>
      </c>
      <c r="BL248" s="315">
        <v>0</v>
      </c>
      <c r="BM248" s="315">
        <v>0</v>
      </c>
      <c r="BN248" s="315">
        <v>0</v>
      </c>
      <c r="BO248" s="315">
        <v>0</v>
      </c>
      <c r="BP248" s="315">
        <v>0</v>
      </c>
      <c r="BQ248" s="315">
        <v>0</v>
      </c>
      <c r="BR248" s="315">
        <v>0</v>
      </c>
      <c r="BS248" s="315">
        <v>0</v>
      </c>
      <c r="BT248" s="315">
        <v>0</v>
      </c>
      <c r="BU248" s="315">
        <v>0</v>
      </c>
      <c r="BV248" s="315">
        <v>0</v>
      </c>
    </row>
    <row r="249" spans="12:74" hidden="1" x14ac:dyDescent="0.2">
      <c r="L249" s="315">
        <v>0</v>
      </c>
      <c r="M249" s="315">
        <v>0</v>
      </c>
      <c r="N249" s="315">
        <v>0</v>
      </c>
      <c r="O249" s="315">
        <v>0</v>
      </c>
      <c r="P249" s="315">
        <v>0</v>
      </c>
      <c r="Q249" s="315">
        <v>0</v>
      </c>
      <c r="R249" s="315">
        <v>0</v>
      </c>
      <c r="S249" s="315">
        <v>0</v>
      </c>
      <c r="T249" s="315">
        <v>0</v>
      </c>
      <c r="U249" s="315">
        <v>0</v>
      </c>
      <c r="V249" s="315">
        <v>0</v>
      </c>
      <c r="W249" s="315">
        <v>0</v>
      </c>
      <c r="X249" s="315">
        <v>0</v>
      </c>
      <c r="Y249" s="315">
        <v>0</v>
      </c>
      <c r="Z249" s="315">
        <v>0</v>
      </c>
      <c r="AA249" s="315">
        <v>0</v>
      </c>
      <c r="AB249" s="315">
        <v>0</v>
      </c>
      <c r="AC249" s="315">
        <v>0</v>
      </c>
      <c r="AD249" s="315">
        <v>0</v>
      </c>
      <c r="AE249" s="315">
        <v>0</v>
      </c>
      <c r="AF249" s="315">
        <v>0</v>
      </c>
      <c r="AG249" s="315">
        <v>0</v>
      </c>
      <c r="AH249" s="315">
        <v>0</v>
      </c>
      <c r="AI249" s="315">
        <v>0</v>
      </c>
      <c r="AJ249" s="315">
        <v>0</v>
      </c>
      <c r="AK249" s="315">
        <v>0</v>
      </c>
      <c r="AL249" s="315">
        <v>0</v>
      </c>
      <c r="AM249" s="315">
        <v>0</v>
      </c>
      <c r="AN249" s="315">
        <v>0</v>
      </c>
      <c r="AO249" s="315">
        <v>0</v>
      </c>
      <c r="AP249" s="315">
        <v>0</v>
      </c>
      <c r="AQ249" s="315">
        <v>0</v>
      </c>
      <c r="AR249" s="315">
        <v>0</v>
      </c>
      <c r="AS249" s="315">
        <v>0</v>
      </c>
      <c r="AT249" s="315">
        <v>0</v>
      </c>
      <c r="AU249" s="315">
        <v>0</v>
      </c>
      <c r="AV249" s="315">
        <v>0</v>
      </c>
      <c r="AW249" s="315">
        <v>0</v>
      </c>
      <c r="AX249" s="315">
        <v>0</v>
      </c>
      <c r="AY249" s="315">
        <v>0</v>
      </c>
      <c r="AZ249" s="315">
        <v>0</v>
      </c>
      <c r="BA249" s="315">
        <v>0</v>
      </c>
      <c r="BB249" s="315">
        <v>0</v>
      </c>
      <c r="BC249" s="315">
        <v>0</v>
      </c>
      <c r="BD249" s="315">
        <v>0</v>
      </c>
      <c r="BE249" s="315">
        <v>0</v>
      </c>
      <c r="BF249" s="315">
        <v>0</v>
      </c>
      <c r="BG249" s="315">
        <v>0</v>
      </c>
      <c r="BH249" s="315">
        <v>0</v>
      </c>
      <c r="BI249" s="315">
        <v>0</v>
      </c>
      <c r="BJ249" s="315">
        <v>0</v>
      </c>
      <c r="BK249" s="315">
        <v>0</v>
      </c>
      <c r="BL249" s="315">
        <v>0</v>
      </c>
      <c r="BM249" s="315">
        <v>0</v>
      </c>
      <c r="BN249" s="315">
        <v>0</v>
      </c>
      <c r="BO249" s="315">
        <v>0</v>
      </c>
      <c r="BP249" s="315">
        <v>0</v>
      </c>
      <c r="BQ249" s="315">
        <v>0</v>
      </c>
      <c r="BR249" s="315">
        <v>0</v>
      </c>
      <c r="BS249" s="315">
        <v>0</v>
      </c>
      <c r="BT249" s="315">
        <v>0</v>
      </c>
      <c r="BU249" s="315">
        <v>0</v>
      </c>
      <c r="BV249" s="315">
        <v>0</v>
      </c>
    </row>
    <row r="250" spans="12:74" hidden="1" x14ac:dyDescent="0.2">
      <c r="L250" s="315">
        <v>0</v>
      </c>
      <c r="M250" s="315">
        <v>0</v>
      </c>
      <c r="N250" s="315">
        <v>0</v>
      </c>
      <c r="O250" s="315">
        <v>0</v>
      </c>
      <c r="P250" s="315">
        <v>0</v>
      </c>
      <c r="Q250" s="315">
        <v>0</v>
      </c>
      <c r="R250" s="315">
        <v>0</v>
      </c>
      <c r="S250" s="315">
        <v>0</v>
      </c>
      <c r="T250" s="315">
        <v>0</v>
      </c>
      <c r="U250" s="315">
        <v>0</v>
      </c>
      <c r="V250" s="315">
        <v>0</v>
      </c>
      <c r="W250" s="315">
        <v>0</v>
      </c>
      <c r="X250" s="315">
        <v>0</v>
      </c>
      <c r="Y250" s="315">
        <v>0</v>
      </c>
      <c r="Z250" s="315">
        <v>0</v>
      </c>
      <c r="AA250" s="315">
        <v>0</v>
      </c>
      <c r="AB250" s="315">
        <v>0</v>
      </c>
      <c r="AC250" s="315">
        <v>0</v>
      </c>
      <c r="AD250" s="315">
        <v>0</v>
      </c>
      <c r="AE250" s="315">
        <v>0</v>
      </c>
      <c r="AF250" s="315">
        <v>0</v>
      </c>
      <c r="AG250" s="315">
        <v>0</v>
      </c>
      <c r="AH250" s="315">
        <v>0</v>
      </c>
      <c r="AI250" s="315">
        <v>0</v>
      </c>
      <c r="AJ250" s="315">
        <v>0</v>
      </c>
      <c r="AK250" s="315">
        <v>0</v>
      </c>
      <c r="AL250" s="315">
        <v>0</v>
      </c>
      <c r="AM250" s="315">
        <v>0</v>
      </c>
      <c r="AN250" s="315">
        <v>0</v>
      </c>
      <c r="AO250" s="315">
        <v>0</v>
      </c>
      <c r="AP250" s="315">
        <v>0</v>
      </c>
      <c r="AQ250" s="315">
        <v>0</v>
      </c>
      <c r="AR250" s="315">
        <v>0</v>
      </c>
      <c r="AS250" s="315">
        <v>0</v>
      </c>
      <c r="AT250" s="315">
        <v>0</v>
      </c>
      <c r="AU250" s="315">
        <v>0</v>
      </c>
      <c r="AV250" s="315">
        <v>0</v>
      </c>
      <c r="AW250" s="315">
        <v>0</v>
      </c>
      <c r="AX250" s="315">
        <v>0</v>
      </c>
      <c r="AY250" s="315">
        <v>0</v>
      </c>
      <c r="AZ250" s="315">
        <v>0</v>
      </c>
      <c r="BA250" s="315">
        <v>0</v>
      </c>
      <c r="BB250" s="315">
        <v>0</v>
      </c>
      <c r="BC250" s="315">
        <v>0</v>
      </c>
      <c r="BD250" s="315">
        <v>0</v>
      </c>
      <c r="BE250" s="315">
        <v>0</v>
      </c>
      <c r="BF250" s="315">
        <v>0</v>
      </c>
      <c r="BG250" s="315">
        <v>0</v>
      </c>
      <c r="BH250" s="315">
        <v>0</v>
      </c>
      <c r="BI250" s="315">
        <v>0</v>
      </c>
      <c r="BJ250" s="315">
        <v>0</v>
      </c>
      <c r="BK250" s="315">
        <v>0</v>
      </c>
      <c r="BL250" s="315">
        <v>0</v>
      </c>
      <c r="BM250" s="315">
        <v>0</v>
      </c>
      <c r="BN250" s="315">
        <v>0</v>
      </c>
      <c r="BO250" s="315">
        <v>0</v>
      </c>
      <c r="BP250" s="315">
        <v>0</v>
      </c>
      <c r="BQ250" s="315">
        <v>0</v>
      </c>
      <c r="BR250" s="315">
        <v>0</v>
      </c>
      <c r="BS250" s="315">
        <v>0</v>
      </c>
      <c r="BT250" s="315">
        <v>0</v>
      </c>
      <c r="BU250" s="315">
        <v>0</v>
      </c>
      <c r="BV250" s="315">
        <v>0</v>
      </c>
    </row>
    <row r="251" spans="12:74" hidden="1" x14ac:dyDescent="0.2">
      <c r="L251" s="315">
        <v>0</v>
      </c>
      <c r="M251" s="315">
        <v>0</v>
      </c>
      <c r="N251" s="315">
        <v>0</v>
      </c>
      <c r="O251" s="315">
        <v>0</v>
      </c>
      <c r="P251" s="315">
        <v>0</v>
      </c>
      <c r="Q251" s="315">
        <v>0</v>
      </c>
      <c r="R251" s="315">
        <v>0</v>
      </c>
      <c r="S251" s="315">
        <v>0</v>
      </c>
      <c r="T251" s="315">
        <v>0</v>
      </c>
      <c r="U251" s="315">
        <v>0</v>
      </c>
      <c r="V251" s="315">
        <v>0</v>
      </c>
      <c r="W251" s="315">
        <v>0</v>
      </c>
      <c r="X251" s="315">
        <v>0</v>
      </c>
      <c r="Y251" s="315">
        <v>0</v>
      </c>
      <c r="Z251" s="315">
        <v>0</v>
      </c>
      <c r="AA251" s="315">
        <v>0</v>
      </c>
      <c r="AB251" s="315">
        <v>0</v>
      </c>
      <c r="AC251" s="315">
        <v>0</v>
      </c>
      <c r="AD251" s="315">
        <v>0</v>
      </c>
      <c r="AE251" s="315">
        <v>0</v>
      </c>
      <c r="AF251" s="315">
        <v>0</v>
      </c>
      <c r="AG251" s="315">
        <v>0</v>
      </c>
      <c r="AH251" s="315">
        <v>0</v>
      </c>
      <c r="AI251" s="315">
        <v>0</v>
      </c>
      <c r="AJ251" s="315">
        <v>0</v>
      </c>
      <c r="AK251" s="315">
        <v>0</v>
      </c>
      <c r="AL251" s="315">
        <v>0</v>
      </c>
      <c r="AM251" s="315">
        <v>0</v>
      </c>
      <c r="AN251" s="315">
        <v>0</v>
      </c>
      <c r="AO251" s="315">
        <v>0</v>
      </c>
      <c r="AP251" s="315">
        <v>0</v>
      </c>
      <c r="AQ251" s="315">
        <v>0</v>
      </c>
      <c r="AR251" s="315">
        <v>0</v>
      </c>
      <c r="AS251" s="315">
        <v>0</v>
      </c>
      <c r="AT251" s="315">
        <v>0</v>
      </c>
      <c r="AU251" s="315">
        <v>0</v>
      </c>
      <c r="AV251" s="315">
        <v>0</v>
      </c>
      <c r="AW251" s="315">
        <v>0</v>
      </c>
      <c r="AX251" s="315">
        <v>0</v>
      </c>
      <c r="AY251" s="315">
        <v>0</v>
      </c>
      <c r="AZ251" s="315">
        <v>0</v>
      </c>
      <c r="BA251" s="315">
        <v>0</v>
      </c>
      <c r="BB251" s="315">
        <v>0</v>
      </c>
      <c r="BC251" s="315">
        <v>0</v>
      </c>
      <c r="BD251" s="315">
        <v>0</v>
      </c>
      <c r="BE251" s="315">
        <v>0</v>
      </c>
      <c r="BF251" s="315">
        <v>0</v>
      </c>
      <c r="BG251" s="315">
        <v>0</v>
      </c>
      <c r="BH251" s="315">
        <v>0</v>
      </c>
      <c r="BI251" s="315">
        <v>0</v>
      </c>
      <c r="BJ251" s="315">
        <v>0</v>
      </c>
      <c r="BK251" s="315">
        <v>0</v>
      </c>
      <c r="BL251" s="315">
        <v>0</v>
      </c>
      <c r="BM251" s="315">
        <v>0</v>
      </c>
      <c r="BN251" s="315">
        <v>0</v>
      </c>
      <c r="BO251" s="315">
        <v>0</v>
      </c>
      <c r="BP251" s="315">
        <v>0</v>
      </c>
      <c r="BQ251" s="315">
        <v>0</v>
      </c>
      <c r="BR251" s="315">
        <v>0</v>
      </c>
      <c r="BS251" s="315">
        <v>0</v>
      </c>
      <c r="BT251" s="315">
        <v>0</v>
      </c>
      <c r="BU251" s="315">
        <v>0</v>
      </c>
      <c r="BV251" s="315">
        <v>0</v>
      </c>
    </row>
    <row r="252" spans="12:74" hidden="1" x14ac:dyDescent="0.2">
      <c r="L252" s="315">
        <v>0</v>
      </c>
      <c r="M252" s="315">
        <v>0</v>
      </c>
      <c r="N252" s="315">
        <v>0</v>
      </c>
      <c r="O252" s="315">
        <v>0</v>
      </c>
      <c r="P252" s="315">
        <v>0</v>
      </c>
      <c r="Q252" s="315">
        <v>0</v>
      </c>
      <c r="R252" s="315">
        <v>0</v>
      </c>
      <c r="S252" s="315">
        <v>0</v>
      </c>
      <c r="T252" s="315">
        <v>0</v>
      </c>
      <c r="U252" s="315">
        <v>0</v>
      </c>
      <c r="V252" s="315">
        <v>0</v>
      </c>
      <c r="W252" s="315">
        <v>0</v>
      </c>
      <c r="X252" s="315">
        <v>0</v>
      </c>
      <c r="Y252" s="315">
        <v>0</v>
      </c>
      <c r="Z252" s="315">
        <v>0</v>
      </c>
      <c r="AA252" s="315">
        <v>0</v>
      </c>
      <c r="AB252" s="315">
        <v>0</v>
      </c>
      <c r="AC252" s="315">
        <v>0</v>
      </c>
      <c r="AD252" s="315">
        <v>0</v>
      </c>
      <c r="AE252" s="315">
        <v>0</v>
      </c>
      <c r="AF252" s="315">
        <v>0</v>
      </c>
      <c r="AG252" s="315">
        <v>0</v>
      </c>
      <c r="AH252" s="315">
        <v>0</v>
      </c>
      <c r="AI252" s="315">
        <v>0</v>
      </c>
      <c r="AJ252" s="315">
        <v>0</v>
      </c>
      <c r="AK252" s="315">
        <v>0</v>
      </c>
      <c r="AL252" s="315">
        <v>0</v>
      </c>
      <c r="AM252" s="315">
        <v>0</v>
      </c>
      <c r="AN252" s="315">
        <v>0</v>
      </c>
      <c r="AO252" s="315">
        <v>0</v>
      </c>
      <c r="AP252" s="315">
        <v>0</v>
      </c>
      <c r="AQ252" s="315">
        <v>0</v>
      </c>
      <c r="AR252" s="315">
        <v>0</v>
      </c>
      <c r="AS252" s="315">
        <v>0</v>
      </c>
      <c r="AT252" s="315">
        <v>0</v>
      </c>
      <c r="AU252" s="315">
        <v>0</v>
      </c>
      <c r="AV252" s="315">
        <v>0</v>
      </c>
      <c r="AW252" s="315">
        <v>0</v>
      </c>
      <c r="AX252" s="315">
        <v>0</v>
      </c>
      <c r="AY252" s="315">
        <v>0</v>
      </c>
      <c r="AZ252" s="315">
        <v>0</v>
      </c>
      <c r="BA252" s="315">
        <v>0</v>
      </c>
      <c r="BB252" s="315">
        <v>0</v>
      </c>
      <c r="BC252" s="315">
        <v>0</v>
      </c>
      <c r="BD252" s="315">
        <v>0</v>
      </c>
      <c r="BE252" s="315">
        <v>0</v>
      </c>
      <c r="BF252" s="315">
        <v>0</v>
      </c>
      <c r="BG252" s="315">
        <v>0</v>
      </c>
      <c r="BH252" s="315">
        <v>0</v>
      </c>
      <c r="BI252" s="315">
        <v>0</v>
      </c>
      <c r="BJ252" s="315">
        <v>0</v>
      </c>
      <c r="BK252" s="315">
        <v>0</v>
      </c>
      <c r="BL252" s="315">
        <v>0</v>
      </c>
      <c r="BM252" s="315">
        <v>0</v>
      </c>
      <c r="BN252" s="315">
        <v>0</v>
      </c>
      <c r="BO252" s="315">
        <v>0</v>
      </c>
      <c r="BP252" s="315">
        <v>0</v>
      </c>
      <c r="BQ252" s="315">
        <v>0</v>
      </c>
      <c r="BR252" s="315">
        <v>0</v>
      </c>
      <c r="BS252" s="315">
        <v>0</v>
      </c>
      <c r="BT252" s="315">
        <v>0</v>
      </c>
      <c r="BU252" s="315">
        <v>0</v>
      </c>
      <c r="BV252" s="315">
        <v>0</v>
      </c>
    </row>
    <row r="253" spans="12:74" hidden="1" x14ac:dyDescent="0.2">
      <c r="L253" s="315">
        <v>0</v>
      </c>
      <c r="M253" s="315">
        <v>0</v>
      </c>
      <c r="N253" s="315">
        <v>0</v>
      </c>
      <c r="O253" s="315">
        <v>0</v>
      </c>
      <c r="P253" s="315">
        <v>0</v>
      </c>
      <c r="Q253" s="315">
        <v>0</v>
      </c>
      <c r="R253" s="315">
        <v>0</v>
      </c>
      <c r="S253" s="315">
        <v>0</v>
      </c>
      <c r="T253" s="315">
        <v>0</v>
      </c>
      <c r="U253" s="315">
        <v>0</v>
      </c>
      <c r="V253" s="315">
        <v>0</v>
      </c>
      <c r="W253" s="315">
        <v>0</v>
      </c>
      <c r="X253" s="315">
        <v>0</v>
      </c>
      <c r="Y253" s="315">
        <v>0</v>
      </c>
      <c r="Z253" s="315">
        <v>0</v>
      </c>
      <c r="AA253" s="315">
        <v>0</v>
      </c>
      <c r="AB253" s="315">
        <v>0</v>
      </c>
      <c r="AC253" s="315">
        <v>0</v>
      </c>
      <c r="AD253" s="315">
        <v>0</v>
      </c>
      <c r="AE253" s="315">
        <v>0</v>
      </c>
      <c r="AF253" s="315">
        <v>0</v>
      </c>
      <c r="AG253" s="315">
        <v>0</v>
      </c>
      <c r="AH253" s="315">
        <v>0</v>
      </c>
      <c r="AI253" s="315">
        <v>0</v>
      </c>
      <c r="AJ253" s="315">
        <v>0</v>
      </c>
      <c r="AK253" s="315">
        <v>0</v>
      </c>
      <c r="AL253" s="315">
        <v>0</v>
      </c>
      <c r="AM253" s="315">
        <v>0</v>
      </c>
      <c r="AN253" s="315">
        <v>0</v>
      </c>
      <c r="AO253" s="315">
        <v>0</v>
      </c>
      <c r="AP253" s="315">
        <v>0</v>
      </c>
      <c r="AQ253" s="315">
        <v>0</v>
      </c>
      <c r="AR253" s="315">
        <v>0</v>
      </c>
      <c r="AS253" s="315">
        <v>0</v>
      </c>
      <c r="AT253" s="315">
        <v>0</v>
      </c>
      <c r="AU253" s="315">
        <v>0</v>
      </c>
      <c r="AV253" s="315">
        <v>0</v>
      </c>
      <c r="AW253" s="315">
        <v>0</v>
      </c>
      <c r="AX253" s="315">
        <v>0</v>
      </c>
      <c r="AY253" s="315">
        <v>0</v>
      </c>
      <c r="AZ253" s="315">
        <v>0</v>
      </c>
      <c r="BA253" s="315">
        <v>0</v>
      </c>
      <c r="BB253" s="315">
        <v>0</v>
      </c>
      <c r="BC253" s="315">
        <v>0</v>
      </c>
      <c r="BD253" s="315">
        <v>0</v>
      </c>
      <c r="BE253" s="315">
        <v>0</v>
      </c>
      <c r="BF253" s="315">
        <v>0</v>
      </c>
      <c r="BG253" s="315">
        <v>0</v>
      </c>
      <c r="BH253" s="315">
        <v>0</v>
      </c>
      <c r="BI253" s="315">
        <v>0</v>
      </c>
      <c r="BJ253" s="315">
        <v>0</v>
      </c>
      <c r="BK253" s="315">
        <v>0</v>
      </c>
      <c r="BL253" s="315">
        <v>0</v>
      </c>
      <c r="BM253" s="315">
        <v>0</v>
      </c>
      <c r="BN253" s="315">
        <v>0</v>
      </c>
      <c r="BO253" s="315">
        <v>0</v>
      </c>
      <c r="BP253" s="315">
        <v>0</v>
      </c>
      <c r="BQ253" s="315">
        <v>0</v>
      </c>
      <c r="BR253" s="315">
        <v>0</v>
      </c>
      <c r="BS253" s="315">
        <v>0</v>
      </c>
      <c r="BT253" s="315">
        <v>0</v>
      </c>
      <c r="BU253" s="315">
        <v>0</v>
      </c>
      <c r="BV253" s="315">
        <v>0</v>
      </c>
    </row>
    <row r="254" spans="12:74" hidden="1" x14ac:dyDescent="0.2">
      <c r="L254" s="315">
        <v>0</v>
      </c>
      <c r="M254" s="315">
        <v>0</v>
      </c>
      <c r="N254" s="315">
        <v>0</v>
      </c>
      <c r="O254" s="315">
        <v>0</v>
      </c>
      <c r="P254" s="315">
        <v>0</v>
      </c>
      <c r="Q254" s="315">
        <v>0</v>
      </c>
      <c r="R254" s="315">
        <v>0</v>
      </c>
      <c r="S254" s="315">
        <v>0</v>
      </c>
      <c r="T254" s="315">
        <v>0</v>
      </c>
      <c r="U254" s="315">
        <v>0</v>
      </c>
      <c r="V254" s="315">
        <v>0</v>
      </c>
      <c r="W254" s="315">
        <v>0</v>
      </c>
      <c r="X254" s="315">
        <v>0</v>
      </c>
      <c r="Y254" s="315">
        <v>0</v>
      </c>
      <c r="Z254" s="315">
        <v>0</v>
      </c>
      <c r="AA254" s="315">
        <v>0</v>
      </c>
      <c r="AB254" s="315">
        <v>0</v>
      </c>
      <c r="AC254" s="315">
        <v>0</v>
      </c>
      <c r="AD254" s="315">
        <v>0</v>
      </c>
      <c r="AE254" s="315">
        <v>0</v>
      </c>
      <c r="AF254" s="315">
        <v>0</v>
      </c>
      <c r="AG254" s="315">
        <v>0</v>
      </c>
      <c r="AH254" s="315">
        <v>0</v>
      </c>
      <c r="AI254" s="315">
        <v>0</v>
      </c>
      <c r="AJ254" s="315">
        <v>0</v>
      </c>
      <c r="AK254" s="315">
        <v>0</v>
      </c>
      <c r="AL254" s="315">
        <v>0</v>
      </c>
      <c r="AM254" s="315">
        <v>0</v>
      </c>
      <c r="AN254" s="315">
        <v>0</v>
      </c>
      <c r="AO254" s="315">
        <v>0</v>
      </c>
      <c r="AP254" s="315">
        <v>0</v>
      </c>
      <c r="AQ254" s="315">
        <v>0</v>
      </c>
      <c r="AR254" s="315">
        <v>0</v>
      </c>
      <c r="AS254" s="315">
        <v>0</v>
      </c>
      <c r="AT254" s="315">
        <v>0</v>
      </c>
      <c r="AU254" s="315">
        <v>0</v>
      </c>
      <c r="AV254" s="315">
        <v>0</v>
      </c>
      <c r="AW254" s="315">
        <v>0</v>
      </c>
      <c r="AX254" s="315">
        <v>0</v>
      </c>
      <c r="AY254" s="315">
        <v>0</v>
      </c>
      <c r="AZ254" s="315">
        <v>0</v>
      </c>
      <c r="BA254" s="315">
        <v>0</v>
      </c>
      <c r="BB254" s="315">
        <v>0</v>
      </c>
      <c r="BC254" s="315">
        <v>0</v>
      </c>
      <c r="BD254" s="315">
        <v>0</v>
      </c>
      <c r="BE254" s="315">
        <v>0</v>
      </c>
      <c r="BF254" s="315">
        <v>0</v>
      </c>
      <c r="BG254" s="315">
        <v>0</v>
      </c>
      <c r="BH254" s="315">
        <v>0</v>
      </c>
      <c r="BI254" s="315">
        <v>0</v>
      </c>
      <c r="BJ254" s="315">
        <v>0</v>
      </c>
      <c r="BK254" s="315">
        <v>0</v>
      </c>
      <c r="BL254" s="315">
        <v>0</v>
      </c>
      <c r="BM254" s="315">
        <v>0</v>
      </c>
      <c r="BN254" s="315">
        <v>0</v>
      </c>
      <c r="BO254" s="315">
        <v>0</v>
      </c>
      <c r="BP254" s="315">
        <v>0</v>
      </c>
      <c r="BQ254" s="315">
        <v>0</v>
      </c>
      <c r="BR254" s="315">
        <v>0</v>
      </c>
      <c r="BS254" s="315">
        <v>0</v>
      </c>
      <c r="BT254" s="315">
        <v>0</v>
      </c>
      <c r="BU254" s="315">
        <v>0</v>
      </c>
      <c r="BV254" s="315">
        <v>0</v>
      </c>
    </row>
    <row r="255" spans="12:74" hidden="1" x14ac:dyDescent="0.2">
      <c r="L255" s="315">
        <v>0</v>
      </c>
      <c r="M255" s="315">
        <v>0</v>
      </c>
      <c r="N255" s="315">
        <v>0</v>
      </c>
      <c r="O255" s="315">
        <v>0</v>
      </c>
      <c r="P255" s="315">
        <v>0</v>
      </c>
      <c r="Q255" s="315">
        <v>0</v>
      </c>
      <c r="R255" s="315">
        <v>0</v>
      </c>
      <c r="S255" s="315">
        <v>0</v>
      </c>
      <c r="T255" s="315">
        <v>0</v>
      </c>
      <c r="U255" s="315">
        <v>0</v>
      </c>
      <c r="V255" s="315">
        <v>0</v>
      </c>
      <c r="W255" s="315">
        <v>0</v>
      </c>
      <c r="X255" s="315">
        <v>0</v>
      </c>
      <c r="Y255" s="315">
        <v>0</v>
      </c>
      <c r="Z255" s="315">
        <v>0</v>
      </c>
      <c r="AA255" s="315">
        <v>0</v>
      </c>
      <c r="AB255" s="315">
        <v>0</v>
      </c>
      <c r="AC255" s="315">
        <v>0</v>
      </c>
      <c r="AD255" s="315">
        <v>0</v>
      </c>
      <c r="AE255" s="315">
        <v>0</v>
      </c>
      <c r="AF255" s="315">
        <v>0</v>
      </c>
      <c r="AG255" s="315">
        <v>0</v>
      </c>
      <c r="AH255" s="315">
        <v>0</v>
      </c>
      <c r="AI255" s="315">
        <v>0</v>
      </c>
      <c r="AJ255" s="315">
        <v>0</v>
      </c>
      <c r="AK255" s="315">
        <v>0</v>
      </c>
      <c r="AL255" s="315">
        <v>0</v>
      </c>
      <c r="AM255" s="315">
        <v>0</v>
      </c>
      <c r="AN255" s="315">
        <v>0</v>
      </c>
      <c r="AO255" s="315">
        <v>0</v>
      </c>
      <c r="AP255" s="315">
        <v>0</v>
      </c>
      <c r="AQ255" s="315">
        <v>0</v>
      </c>
      <c r="AR255" s="315">
        <v>0</v>
      </c>
      <c r="AS255" s="315">
        <v>0</v>
      </c>
      <c r="AT255" s="315">
        <v>0</v>
      </c>
      <c r="AU255" s="315">
        <v>0</v>
      </c>
      <c r="AV255" s="315">
        <v>0</v>
      </c>
      <c r="AW255" s="315">
        <v>0</v>
      </c>
      <c r="AX255" s="315">
        <v>0</v>
      </c>
      <c r="AY255" s="315">
        <v>0</v>
      </c>
      <c r="AZ255" s="315">
        <v>0</v>
      </c>
      <c r="BA255" s="315">
        <v>0</v>
      </c>
      <c r="BB255" s="315">
        <v>0</v>
      </c>
      <c r="BC255" s="315">
        <v>0</v>
      </c>
      <c r="BD255" s="315">
        <v>0</v>
      </c>
      <c r="BE255" s="315">
        <v>0</v>
      </c>
      <c r="BF255" s="315">
        <v>0</v>
      </c>
      <c r="BG255" s="315">
        <v>0</v>
      </c>
      <c r="BH255" s="315">
        <v>0</v>
      </c>
      <c r="BI255" s="315">
        <v>0</v>
      </c>
      <c r="BJ255" s="315">
        <v>0</v>
      </c>
      <c r="BK255" s="315">
        <v>0</v>
      </c>
      <c r="BL255" s="315">
        <v>0</v>
      </c>
      <c r="BM255" s="315">
        <v>0</v>
      </c>
      <c r="BN255" s="315">
        <v>0</v>
      </c>
      <c r="BO255" s="315">
        <v>0</v>
      </c>
      <c r="BP255" s="315">
        <v>0</v>
      </c>
      <c r="BQ255" s="315">
        <v>0</v>
      </c>
      <c r="BR255" s="315">
        <v>0</v>
      </c>
      <c r="BS255" s="315">
        <v>0</v>
      </c>
      <c r="BT255" s="315">
        <v>0</v>
      </c>
      <c r="BU255" s="315">
        <v>0</v>
      </c>
      <c r="BV255" s="315">
        <v>0</v>
      </c>
    </row>
    <row r="256" spans="12:74" hidden="1" x14ac:dyDescent="0.2">
      <c r="L256" s="315">
        <v>0</v>
      </c>
      <c r="M256" s="315">
        <v>0</v>
      </c>
      <c r="N256" s="315">
        <v>0</v>
      </c>
      <c r="O256" s="315">
        <v>0</v>
      </c>
      <c r="P256" s="315">
        <v>0</v>
      </c>
      <c r="Q256" s="315">
        <v>0</v>
      </c>
      <c r="R256" s="315">
        <v>0</v>
      </c>
      <c r="S256" s="315">
        <v>0</v>
      </c>
      <c r="T256" s="315">
        <v>0</v>
      </c>
      <c r="U256" s="315">
        <v>0</v>
      </c>
      <c r="V256" s="315">
        <v>0</v>
      </c>
      <c r="W256" s="315">
        <v>0</v>
      </c>
      <c r="X256" s="315">
        <v>0</v>
      </c>
      <c r="Y256" s="315">
        <v>0</v>
      </c>
      <c r="Z256" s="315">
        <v>0</v>
      </c>
      <c r="AA256" s="315">
        <v>0</v>
      </c>
      <c r="AB256" s="315">
        <v>0</v>
      </c>
      <c r="AC256" s="315">
        <v>0</v>
      </c>
      <c r="AD256" s="315">
        <v>0</v>
      </c>
      <c r="AE256" s="315">
        <v>0</v>
      </c>
      <c r="AF256" s="315">
        <v>0</v>
      </c>
      <c r="AG256" s="315">
        <v>0</v>
      </c>
      <c r="AH256" s="315">
        <v>0</v>
      </c>
      <c r="AI256" s="315">
        <v>0</v>
      </c>
      <c r="AJ256" s="315">
        <v>0</v>
      </c>
      <c r="AK256" s="315">
        <v>0</v>
      </c>
      <c r="AL256" s="315">
        <v>0</v>
      </c>
      <c r="AM256" s="315">
        <v>0</v>
      </c>
      <c r="AN256" s="315">
        <v>0</v>
      </c>
      <c r="AO256" s="315">
        <v>0</v>
      </c>
      <c r="AP256" s="315">
        <v>0</v>
      </c>
      <c r="AQ256" s="315">
        <v>0</v>
      </c>
      <c r="AR256" s="315">
        <v>0</v>
      </c>
      <c r="AS256" s="315">
        <v>0</v>
      </c>
      <c r="AT256" s="315">
        <v>0</v>
      </c>
      <c r="AU256" s="315">
        <v>0</v>
      </c>
      <c r="AV256" s="315">
        <v>0</v>
      </c>
      <c r="AW256" s="315">
        <v>0</v>
      </c>
      <c r="AX256" s="315">
        <v>0</v>
      </c>
      <c r="AY256" s="315">
        <v>0</v>
      </c>
      <c r="AZ256" s="315">
        <v>0</v>
      </c>
      <c r="BA256" s="315">
        <v>0</v>
      </c>
      <c r="BB256" s="315">
        <v>0</v>
      </c>
      <c r="BC256" s="315">
        <v>0</v>
      </c>
      <c r="BD256" s="315">
        <v>0</v>
      </c>
      <c r="BE256" s="315">
        <v>0</v>
      </c>
      <c r="BF256" s="315">
        <v>0</v>
      </c>
      <c r="BG256" s="315">
        <v>0</v>
      </c>
      <c r="BH256" s="315">
        <v>0</v>
      </c>
      <c r="BI256" s="315">
        <v>0</v>
      </c>
      <c r="BJ256" s="315">
        <v>0</v>
      </c>
      <c r="BK256" s="315">
        <v>0</v>
      </c>
      <c r="BL256" s="315">
        <v>0</v>
      </c>
      <c r="BM256" s="315">
        <v>0</v>
      </c>
      <c r="BN256" s="315">
        <v>0</v>
      </c>
      <c r="BO256" s="315">
        <v>0</v>
      </c>
      <c r="BP256" s="315">
        <v>0</v>
      </c>
      <c r="BQ256" s="315">
        <v>0</v>
      </c>
      <c r="BR256" s="315">
        <v>0</v>
      </c>
      <c r="BS256" s="315">
        <v>0</v>
      </c>
      <c r="BT256" s="315">
        <v>0</v>
      </c>
      <c r="BU256" s="315">
        <v>0</v>
      </c>
      <c r="BV256" s="315">
        <v>0</v>
      </c>
    </row>
    <row r="257" spans="12:74" hidden="1" x14ac:dyDescent="0.2">
      <c r="L257" s="315">
        <v>0</v>
      </c>
      <c r="M257" s="315">
        <v>0</v>
      </c>
      <c r="N257" s="315">
        <v>0</v>
      </c>
      <c r="O257" s="315">
        <v>0</v>
      </c>
      <c r="P257" s="315">
        <v>0</v>
      </c>
      <c r="Q257" s="315">
        <v>0</v>
      </c>
      <c r="R257" s="315">
        <v>0</v>
      </c>
      <c r="S257" s="315">
        <v>0</v>
      </c>
      <c r="T257" s="315">
        <v>0</v>
      </c>
      <c r="U257" s="315">
        <v>0</v>
      </c>
      <c r="V257" s="315">
        <v>0</v>
      </c>
      <c r="W257" s="315">
        <v>0</v>
      </c>
      <c r="X257" s="315">
        <v>0</v>
      </c>
      <c r="Y257" s="315">
        <v>0</v>
      </c>
      <c r="Z257" s="315">
        <v>0</v>
      </c>
      <c r="AA257" s="315">
        <v>0</v>
      </c>
      <c r="AB257" s="315">
        <v>0</v>
      </c>
      <c r="AC257" s="315">
        <v>0</v>
      </c>
      <c r="AD257" s="315">
        <v>0</v>
      </c>
      <c r="AE257" s="315">
        <v>0</v>
      </c>
      <c r="AF257" s="315">
        <v>0</v>
      </c>
      <c r="AG257" s="315">
        <v>0</v>
      </c>
      <c r="AH257" s="315">
        <v>0</v>
      </c>
      <c r="AI257" s="315">
        <v>0</v>
      </c>
      <c r="AJ257" s="315">
        <v>0</v>
      </c>
      <c r="AK257" s="315">
        <v>0</v>
      </c>
      <c r="AL257" s="315">
        <v>0</v>
      </c>
      <c r="AM257" s="315">
        <v>0</v>
      </c>
      <c r="AN257" s="315">
        <v>0</v>
      </c>
      <c r="AO257" s="315">
        <v>0</v>
      </c>
      <c r="AP257" s="315">
        <v>0</v>
      </c>
      <c r="AQ257" s="315">
        <v>0</v>
      </c>
      <c r="AR257" s="315">
        <v>0</v>
      </c>
      <c r="AS257" s="315">
        <v>0</v>
      </c>
      <c r="AT257" s="315">
        <v>0</v>
      </c>
      <c r="AU257" s="315">
        <v>0</v>
      </c>
      <c r="AV257" s="315">
        <v>0</v>
      </c>
      <c r="AW257" s="315">
        <v>0</v>
      </c>
      <c r="AX257" s="315">
        <v>0</v>
      </c>
      <c r="AY257" s="315">
        <v>0</v>
      </c>
      <c r="AZ257" s="315">
        <v>0</v>
      </c>
      <c r="BA257" s="315">
        <v>0</v>
      </c>
      <c r="BB257" s="315">
        <v>0</v>
      </c>
      <c r="BC257" s="315">
        <v>0</v>
      </c>
      <c r="BD257" s="315">
        <v>0</v>
      </c>
      <c r="BE257" s="315">
        <v>0</v>
      </c>
      <c r="BF257" s="315">
        <v>0</v>
      </c>
      <c r="BG257" s="315">
        <v>0</v>
      </c>
      <c r="BH257" s="315">
        <v>0</v>
      </c>
      <c r="BI257" s="315">
        <v>0</v>
      </c>
      <c r="BJ257" s="315">
        <v>0</v>
      </c>
      <c r="BK257" s="315">
        <v>0</v>
      </c>
      <c r="BL257" s="315">
        <v>0</v>
      </c>
      <c r="BM257" s="315">
        <v>0</v>
      </c>
      <c r="BN257" s="315">
        <v>0</v>
      </c>
      <c r="BO257" s="315">
        <v>0</v>
      </c>
      <c r="BP257" s="315">
        <v>0</v>
      </c>
      <c r="BQ257" s="315">
        <v>0</v>
      </c>
      <c r="BR257" s="315">
        <v>0</v>
      </c>
      <c r="BS257" s="315">
        <v>0</v>
      </c>
      <c r="BT257" s="315">
        <v>0</v>
      </c>
      <c r="BU257" s="315">
        <v>0</v>
      </c>
      <c r="BV257" s="315">
        <v>0</v>
      </c>
    </row>
    <row r="258" spans="12:74" hidden="1" x14ac:dyDescent="0.2">
      <c r="L258" s="315">
        <v>0</v>
      </c>
      <c r="M258" s="315">
        <v>0</v>
      </c>
      <c r="N258" s="315">
        <v>0</v>
      </c>
      <c r="O258" s="315">
        <v>0</v>
      </c>
      <c r="P258" s="315">
        <v>0</v>
      </c>
      <c r="Q258" s="315">
        <v>0</v>
      </c>
      <c r="R258" s="315">
        <v>0</v>
      </c>
      <c r="S258" s="315">
        <v>0</v>
      </c>
      <c r="T258" s="315">
        <v>0</v>
      </c>
      <c r="U258" s="315">
        <v>0</v>
      </c>
      <c r="V258" s="315">
        <v>0</v>
      </c>
      <c r="W258" s="315">
        <v>0</v>
      </c>
      <c r="X258" s="315">
        <v>0</v>
      </c>
      <c r="Y258" s="315">
        <v>0</v>
      </c>
      <c r="Z258" s="315">
        <v>0</v>
      </c>
      <c r="AA258" s="315">
        <v>0</v>
      </c>
      <c r="AB258" s="315">
        <v>0</v>
      </c>
      <c r="AC258" s="315">
        <v>0</v>
      </c>
      <c r="AD258" s="315">
        <v>0</v>
      </c>
      <c r="AE258" s="315">
        <v>0</v>
      </c>
      <c r="AF258" s="315">
        <v>0</v>
      </c>
      <c r="AG258" s="315">
        <v>0</v>
      </c>
      <c r="AH258" s="315">
        <v>0</v>
      </c>
      <c r="AI258" s="315">
        <v>0</v>
      </c>
      <c r="AJ258" s="315">
        <v>0</v>
      </c>
      <c r="AK258" s="315">
        <v>0</v>
      </c>
      <c r="AL258" s="315">
        <v>0</v>
      </c>
      <c r="AM258" s="315">
        <v>0</v>
      </c>
      <c r="AN258" s="315">
        <v>0</v>
      </c>
      <c r="AO258" s="315">
        <v>0</v>
      </c>
      <c r="AP258" s="315">
        <v>0</v>
      </c>
      <c r="AQ258" s="315">
        <v>0</v>
      </c>
      <c r="AR258" s="315">
        <v>0</v>
      </c>
      <c r="AS258" s="315">
        <v>0</v>
      </c>
      <c r="AT258" s="315">
        <v>0</v>
      </c>
      <c r="AU258" s="315">
        <v>0</v>
      </c>
      <c r="AV258" s="315">
        <v>0</v>
      </c>
      <c r="AW258" s="315">
        <v>0</v>
      </c>
      <c r="AX258" s="315">
        <v>0</v>
      </c>
      <c r="AY258" s="315">
        <v>0</v>
      </c>
      <c r="AZ258" s="315">
        <v>0</v>
      </c>
      <c r="BA258" s="315">
        <v>0</v>
      </c>
      <c r="BB258" s="315">
        <v>0</v>
      </c>
      <c r="BC258" s="315">
        <v>0</v>
      </c>
      <c r="BD258" s="315">
        <v>0</v>
      </c>
      <c r="BE258" s="315">
        <v>0</v>
      </c>
      <c r="BF258" s="315">
        <v>0</v>
      </c>
      <c r="BG258" s="315">
        <v>0</v>
      </c>
      <c r="BH258" s="315">
        <v>0</v>
      </c>
      <c r="BI258" s="315">
        <v>0</v>
      </c>
      <c r="BJ258" s="315">
        <v>0</v>
      </c>
      <c r="BK258" s="315">
        <v>0</v>
      </c>
      <c r="BL258" s="315">
        <v>0</v>
      </c>
      <c r="BM258" s="315">
        <v>0</v>
      </c>
      <c r="BN258" s="315">
        <v>0</v>
      </c>
      <c r="BO258" s="315">
        <v>0</v>
      </c>
      <c r="BP258" s="315">
        <v>0</v>
      </c>
      <c r="BQ258" s="315">
        <v>0</v>
      </c>
      <c r="BR258" s="315">
        <v>0</v>
      </c>
      <c r="BS258" s="315">
        <v>0</v>
      </c>
      <c r="BT258" s="315">
        <v>0</v>
      </c>
      <c r="BU258" s="315">
        <v>0</v>
      </c>
      <c r="BV258" s="315">
        <v>0</v>
      </c>
    </row>
    <row r="259" spans="12:74" hidden="1" x14ac:dyDescent="0.2">
      <c r="L259" s="315">
        <v>0</v>
      </c>
      <c r="M259" s="315">
        <v>0</v>
      </c>
      <c r="N259" s="315">
        <v>0</v>
      </c>
      <c r="O259" s="315">
        <v>0</v>
      </c>
      <c r="P259" s="315">
        <v>0</v>
      </c>
      <c r="Q259" s="315">
        <v>0</v>
      </c>
      <c r="R259" s="315">
        <v>0</v>
      </c>
      <c r="S259" s="315">
        <v>0</v>
      </c>
      <c r="T259" s="315">
        <v>0</v>
      </c>
      <c r="U259" s="315">
        <v>0</v>
      </c>
      <c r="V259" s="315">
        <v>0</v>
      </c>
      <c r="W259" s="315">
        <v>0</v>
      </c>
      <c r="X259" s="315">
        <v>0</v>
      </c>
      <c r="Y259" s="315">
        <v>0</v>
      </c>
      <c r="Z259" s="315">
        <v>0</v>
      </c>
      <c r="AA259" s="315">
        <v>0</v>
      </c>
      <c r="AB259" s="315">
        <v>0</v>
      </c>
      <c r="AC259" s="315">
        <v>0</v>
      </c>
      <c r="AD259" s="315">
        <v>0</v>
      </c>
      <c r="AE259" s="315">
        <v>0</v>
      </c>
      <c r="AF259" s="315">
        <v>0</v>
      </c>
      <c r="AG259" s="315">
        <v>0</v>
      </c>
      <c r="AH259" s="315">
        <v>0</v>
      </c>
      <c r="AI259" s="315">
        <v>0</v>
      </c>
      <c r="AJ259" s="315">
        <v>0</v>
      </c>
      <c r="AK259" s="315">
        <v>0</v>
      </c>
      <c r="AL259" s="315">
        <v>0</v>
      </c>
      <c r="AM259" s="315">
        <v>0</v>
      </c>
      <c r="AN259" s="315">
        <v>0</v>
      </c>
      <c r="AO259" s="315">
        <v>0</v>
      </c>
      <c r="AP259" s="315">
        <v>0</v>
      </c>
      <c r="AQ259" s="315">
        <v>0</v>
      </c>
      <c r="AR259" s="315">
        <v>0</v>
      </c>
      <c r="AS259" s="315">
        <v>0</v>
      </c>
      <c r="AT259" s="315">
        <v>0</v>
      </c>
      <c r="AU259" s="315">
        <v>0</v>
      </c>
      <c r="AV259" s="315">
        <v>0</v>
      </c>
      <c r="AW259" s="315">
        <v>0</v>
      </c>
      <c r="AX259" s="315">
        <v>0</v>
      </c>
      <c r="AY259" s="315">
        <v>0</v>
      </c>
      <c r="AZ259" s="315">
        <v>0</v>
      </c>
      <c r="BA259" s="315">
        <v>0</v>
      </c>
      <c r="BB259" s="315">
        <v>0</v>
      </c>
      <c r="BC259" s="315">
        <v>0</v>
      </c>
      <c r="BD259" s="315">
        <v>0</v>
      </c>
      <c r="BE259" s="315">
        <v>0</v>
      </c>
      <c r="BF259" s="315">
        <v>0</v>
      </c>
      <c r="BG259" s="315">
        <v>0</v>
      </c>
      <c r="BH259" s="315">
        <v>0</v>
      </c>
      <c r="BI259" s="315">
        <v>0</v>
      </c>
      <c r="BJ259" s="315">
        <v>0</v>
      </c>
      <c r="BK259" s="315">
        <v>0</v>
      </c>
      <c r="BL259" s="315">
        <v>0</v>
      </c>
      <c r="BM259" s="315">
        <v>0</v>
      </c>
      <c r="BN259" s="315">
        <v>0</v>
      </c>
      <c r="BO259" s="315">
        <v>0</v>
      </c>
      <c r="BP259" s="315">
        <v>0</v>
      </c>
      <c r="BQ259" s="315">
        <v>0</v>
      </c>
      <c r="BR259" s="315">
        <v>0</v>
      </c>
      <c r="BS259" s="315">
        <v>0</v>
      </c>
      <c r="BT259" s="315">
        <v>0</v>
      </c>
      <c r="BU259" s="315">
        <v>0</v>
      </c>
      <c r="BV259" s="315">
        <v>0</v>
      </c>
    </row>
    <row r="260" spans="12:74" hidden="1" x14ac:dyDescent="0.2">
      <c r="L260" s="315">
        <v>0</v>
      </c>
      <c r="M260" s="315">
        <v>0</v>
      </c>
      <c r="N260" s="315">
        <v>0</v>
      </c>
      <c r="O260" s="315">
        <v>0</v>
      </c>
      <c r="P260" s="315">
        <v>0</v>
      </c>
      <c r="Q260" s="315">
        <v>0</v>
      </c>
      <c r="R260" s="315">
        <v>0</v>
      </c>
      <c r="S260" s="315">
        <v>0</v>
      </c>
      <c r="T260" s="315">
        <v>0</v>
      </c>
      <c r="U260" s="315">
        <v>0</v>
      </c>
      <c r="V260" s="315">
        <v>0</v>
      </c>
      <c r="W260" s="315">
        <v>0</v>
      </c>
      <c r="X260" s="315">
        <v>0</v>
      </c>
      <c r="Y260" s="315">
        <v>0</v>
      </c>
      <c r="Z260" s="315">
        <v>0</v>
      </c>
      <c r="AA260" s="315">
        <v>0</v>
      </c>
      <c r="AB260" s="315">
        <v>0</v>
      </c>
      <c r="AC260" s="315">
        <v>0</v>
      </c>
      <c r="AD260" s="315">
        <v>0</v>
      </c>
      <c r="AE260" s="315">
        <v>0</v>
      </c>
      <c r="AF260" s="315">
        <v>0</v>
      </c>
      <c r="AG260" s="315">
        <v>0</v>
      </c>
      <c r="AH260" s="315">
        <v>0</v>
      </c>
      <c r="AI260" s="315">
        <v>0</v>
      </c>
      <c r="AJ260" s="315">
        <v>0</v>
      </c>
      <c r="AK260" s="315">
        <v>0</v>
      </c>
      <c r="AL260" s="315">
        <v>0</v>
      </c>
      <c r="AM260" s="315">
        <v>0</v>
      </c>
      <c r="AN260" s="315">
        <v>0</v>
      </c>
      <c r="AO260" s="315">
        <v>0</v>
      </c>
      <c r="AP260" s="315">
        <v>0</v>
      </c>
      <c r="AQ260" s="315">
        <v>0</v>
      </c>
      <c r="AR260" s="315">
        <v>0</v>
      </c>
      <c r="AS260" s="315">
        <v>0</v>
      </c>
      <c r="AT260" s="315">
        <v>0</v>
      </c>
      <c r="AU260" s="315">
        <v>0</v>
      </c>
      <c r="AV260" s="315">
        <v>0</v>
      </c>
      <c r="AW260" s="315">
        <v>0</v>
      </c>
      <c r="AX260" s="315">
        <v>0</v>
      </c>
      <c r="AY260" s="315">
        <v>0</v>
      </c>
      <c r="AZ260" s="315">
        <v>0</v>
      </c>
      <c r="BA260" s="315">
        <v>0</v>
      </c>
      <c r="BB260" s="315">
        <v>0</v>
      </c>
      <c r="BC260" s="315">
        <v>0</v>
      </c>
      <c r="BD260" s="315">
        <v>0</v>
      </c>
      <c r="BE260" s="315">
        <v>0</v>
      </c>
      <c r="BF260" s="315">
        <v>0</v>
      </c>
      <c r="BG260" s="315">
        <v>0</v>
      </c>
      <c r="BH260" s="315">
        <v>0</v>
      </c>
      <c r="BI260" s="315">
        <v>0</v>
      </c>
      <c r="BJ260" s="315">
        <v>0</v>
      </c>
      <c r="BK260" s="315">
        <v>0</v>
      </c>
      <c r="BL260" s="315">
        <v>0</v>
      </c>
      <c r="BM260" s="315">
        <v>0</v>
      </c>
      <c r="BN260" s="315">
        <v>0</v>
      </c>
      <c r="BO260" s="315">
        <v>0</v>
      </c>
      <c r="BP260" s="315">
        <v>0</v>
      </c>
      <c r="BQ260" s="315">
        <v>0</v>
      </c>
      <c r="BR260" s="315">
        <v>0</v>
      </c>
      <c r="BS260" s="315">
        <v>0</v>
      </c>
      <c r="BT260" s="315">
        <v>0</v>
      </c>
      <c r="BU260" s="315">
        <v>0</v>
      </c>
      <c r="BV260" s="315">
        <v>0</v>
      </c>
    </row>
    <row r="261" spans="12:74" hidden="1" x14ac:dyDescent="0.2">
      <c r="L261" s="315">
        <v>0</v>
      </c>
      <c r="M261" s="315">
        <v>0</v>
      </c>
      <c r="N261" s="315">
        <v>0</v>
      </c>
      <c r="O261" s="315">
        <v>0</v>
      </c>
      <c r="P261" s="315">
        <v>0</v>
      </c>
      <c r="Q261" s="315">
        <v>0</v>
      </c>
      <c r="R261" s="315">
        <v>0</v>
      </c>
      <c r="S261" s="315">
        <v>0</v>
      </c>
      <c r="T261" s="315">
        <v>0</v>
      </c>
      <c r="U261" s="315">
        <v>0</v>
      </c>
      <c r="V261" s="315">
        <v>0</v>
      </c>
      <c r="W261" s="315">
        <v>0</v>
      </c>
      <c r="X261" s="315">
        <v>0</v>
      </c>
      <c r="Y261" s="315">
        <v>0</v>
      </c>
      <c r="Z261" s="315">
        <v>0</v>
      </c>
      <c r="AA261" s="315">
        <v>0</v>
      </c>
      <c r="AB261" s="315">
        <v>0</v>
      </c>
      <c r="AC261" s="315">
        <v>0</v>
      </c>
      <c r="AD261" s="315">
        <v>0</v>
      </c>
      <c r="AE261" s="315">
        <v>0</v>
      </c>
      <c r="AF261" s="315">
        <v>0</v>
      </c>
      <c r="AG261" s="315">
        <v>0</v>
      </c>
      <c r="AH261" s="315">
        <v>0</v>
      </c>
      <c r="AI261" s="315">
        <v>0</v>
      </c>
      <c r="AJ261" s="315">
        <v>0</v>
      </c>
      <c r="AK261" s="315">
        <v>0</v>
      </c>
      <c r="AL261" s="315">
        <v>0</v>
      </c>
      <c r="AM261" s="315">
        <v>0</v>
      </c>
      <c r="AN261" s="315">
        <v>0</v>
      </c>
      <c r="AO261" s="315">
        <v>0</v>
      </c>
      <c r="AP261" s="315">
        <v>0</v>
      </c>
      <c r="AQ261" s="315">
        <v>0</v>
      </c>
      <c r="AR261" s="315">
        <v>0</v>
      </c>
      <c r="AS261" s="315">
        <v>0</v>
      </c>
      <c r="AT261" s="315">
        <v>0</v>
      </c>
      <c r="AU261" s="315">
        <v>0</v>
      </c>
      <c r="AV261" s="315">
        <v>0</v>
      </c>
      <c r="AW261" s="315">
        <v>0</v>
      </c>
      <c r="AX261" s="315">
        <v>0</v>
      </c>
      <c r="AY261" s="315">
        <v>0</v>
      </c>
      <c r="AZ261" s="315">
        <v>0</v>
      </c>
      <c r="BA261" s="315">
        <v>0</v>
      </c>
      <c r="BB261" s="315">
        <v>0</v>
      </c>
      <c r="BC261" s="315">
        <v>0</v>
      </c>
      <c r="BD261" s="315">
        <v>0</v>
      </c>
      <c r="BE261" s="315">
        <v>0</v>
      </c>
      <c r="BF261" s="315">
        <v>0</v>
      </c>
      <c r="BG261" s="315">
        <v>0</v>
      </c>
      <c r="BH261" s="315">
        <v>0</v>
      </c>
      <c r="BI261" s="315">
        <v>0</v>
      </c>
      <c r="BJ261" s="315">
        <v>0</v>
      </c>
      <c r="BK261" s="315">
        <v>0</v>
      </c>
      <c r="BL261" s="315">
        <v>0</v>
      </c>
      <c r="BM261" s="315">
        <v>0</v>
      </c>
      <c r="BN261" s="315">
        <v>0</v>
      </c>
      <c r="BO261" s="315">
        <v>0</v>
      </c>
      <c r="BP261" s="315">
        <v>0</v>
      </c>
      <c r="BQ261" s="315">
        <v>0</v>
      </c>
      <c r="BR261" s="315">
        <v>0</v>
      </c>
      <c r="BS261" s="315">
        <v>0</v>
      </c>
      <c r="BT261" s="315">
        <v>0</v>
      </c>
      <c r="BU261" s="315">
        <v>0</v>
      </c>
      <c r="BV261" s="315">
        <v>0</v>
      </c>
    </row>
    <row r="262" spans="12:74" hidden="1" x14ac:dyDescent="0.2">
      <c r="L262" s="315">
        <v>0</v>
      </c>
      <c r="M262" s="315">
        <v>0</v>
      </c>
      <c r="N262" s="315">
        <v>0</v>
      </c>
      <c r="O262" s="315">
        <v>0</v>
      </c>
      <c r="P262" s="315">
        <v>0</v>
      </c>
      <c r="Q262" s="315">
        <v>0</v>
      </c>
      <c r="R262" s="315">
        <v>0</v>
      </c>
      <c r="S262" s="315">
        <v>0</v>
      </c>
      <c r="T262" s="315">
        <v>0</v>
      </c>
      <c r="U262" s="315">
        <v>0</v>
      </c>
      <c r="V262" s="315">
        <v>0</v>
      </c>
      <c r="W262" s="315">
        <v>0</v>
      </c>
      <c r="X262" s="315">
        <v>0</v>
      </c>
      <c r="Y262" s="315">
        <v>0</v>
      </c>
      <c r="Z262" s="315">
        <v>0</v>
      </c>
      <c r="AA262" s="315">
        <v>0</v>
      </c>
      <c r="AB262" s="315">
        <v>0</v>
      </c>
      <c r="AC262" s="315">
        <v>0</v>
      </c>
      <c r="AD262" s="315">
        <v>0</v>
      </c>
      <c r="AE262" s="315">
        <v>0</v>
      </c>
      <c r="AF262" s="315">
        <v>0</v>
      </c>
      <c r="AG262" s="315">
        <v>0</v>
      </c>
      <c r="AH262" s="315">
        <v>0</v>
      </c>
      <c r="AI262" s="315">
        <v>0</v>
      </c>
      <c r="AJ262" s="315">
        <v>0</v>
      </c>
      <c r="AK262" s="315">
        <v>0</v>
      </c>
      <c r="AL262" s="315">
        <v>0</v>
      </c>
      <c r="AM262" s="315">
        <v>0</v>
      </c>
      <c r="AN262" s="315">
        <v>0</v>
      </c>
      <c r="AO262" s="315">
        <v>0</v>
      </c>
      <c r="AP262" s="315">
        <v>0</v>
      </c>
      <c r="AQ262" s="315">
        <v>0</v>
      </c>
      <c r="AR262" s="315">
        <v>0</v>
      </c>
      <c r="AS262" s="315">
        <v>0</v>
      </c>
      <c r="AT262" s="315">
        <v>0</v>
      </c>
      <c r="AU262" s="315">
        <v>0</v>
      </c>
      <c r="AV262" s="315">
        <v>0</v>
      </c>
      <c r="AW262" s="315">
        <v>0</v>
      </c>
      <c r="AX262" s="315">
        <v>0</v>
      </c>
      <c r="AY262" s="315">
        <v>0</v>
      </c>
      <c r="AZ262" s="315">
        <v>0</v>
      </c>
      <c r="BA262" s="315">
        <v>0</v>
      </c>
      <c r="BB262" s="315">
        <v>0</v>
      </c>
      <c r="BC262" s="315">
        <v>0</v>
      </c>
      <c r="BD262" s="315">
        <v>0</v>
      </c>
      <c r="BE262" s="315">
        <v>0</v>
      </c>
      <c r="BF262" s="315">
        <v>0</v>
      </c>
      <c r="BG262" s="315">
        <v>0</v>
      </c>
      <c r="BH262" s="315">
        <v>0</v>
      </c>
      <c r="BI262" s="315">
        <v>0</v>
      </c>
      <c r="BJ262" s="315">
        <v>0</v>
      </c>
      <c r="BK262" s="315">
        <v>0</v>
      </c>
      <c r="BL262" s="315">
        <v>0</v>
      </c>
      <c r="BM262" s="315">
        <v>0</v>
      </c>
      <c r="BN262" s="315">
        <v>0</v>
      </c>
      <c r="BO262" s="315">
        <v>0</v>
      </c>
      <c r="BP262" s="315">
        <v>0</v>
      </c>
      <c r="BQ262" s="315">
        <v>0</v>
      </c>
      <c r="BR262" s="315">
        <v>0</v>
      </c>
      <c r="BS262" s="315">
        <v>0</v>
      </c>
      <c r="BT262" s="315">
        <v>0</v>
      </c>
      <c r="BU262" s="315">
        <v>0</v>
      </c>
      <c r="BV262" s="315">
        <v>0</v>
      </c>
    </row>
    <row r="263" spans="12:74" hidden="1" x14ac:dyDescent="0.2">
      <c r="L263" s="315">
        <v>0</v>
      </c>
      <c r="M263" s="315">
        <v>0</v>
      </c>
      <c r="N263" s="315">
        <v>0</v>
      </c>
      <c r="O263" s="315">
        <v>0</v>
      </c>
      <c r="P263" s="315">
        <v>0</v>
      </c>
      <c r="Q263" s="315">
        <v>0</v>
      </c>
      <c r="R263" s="315">
        <v>0</v>
      </c>
      <c r="S263" s="315">
        <v>0</v>
      </c>
      <c r="T263" s="315">
        <v>0</v>
      </c>
      <c r="U263" s="315">
        <v>0</v>
      </c>
      <c r="V263" s="315">
        <v>0</v>
      </c>
      <c r="W263" s="315">
        <v>0</v>
      </c>
      <c r="X263" s="315">
        <v>0</v>
      </c>
      <c r="Y263" s="315">
        <v>0</v>
      </c>
      <c r="Z263" s="315">
        <v>0</v>
      </c>
      <c r="AA263" s="315">
        <v>0</v>
      </c>
      <c r="AB263" s="315">
        <v>0</v>
      </c>
      <c r="AC263" s="315">
        <v>0</v>
      </c>
      <c r="AD263" s="315">
        <v>0</v>
      </c>
      <c r="AE263" s="315">
        <v>0</v>
      </c>
      <c r="AF263" s="315">
        <v>0</v>
      </c>
      <c r="AG263" s="315">
        <v>0</v>
      </c>
      <c r="AH263" s="315">
        <v>0</v>
      </c>
      <c r="AI263" s="315">
        <v>0</v>
      </c>
      <c r="AJ263" s="315">
        <v>0</v>
      </c>
      <c r="AK263" s="315">
        <v>0</v>
      </c>
      <c r="AL263" s="315">
        <v>0</v>
      </c>
      <c r="AM263" s="315">
        <v>0</v>
      </c>
      <c r="AN263" s="315">
        <v>0</v>
      </c>
      <c r="AO263" s="315">
        <v>0</v>
      </c>
      <c r="AP263" s="315">
        <v>0</v>
      </c>
      <c r="AQ263" s="315">
        <v>0</v>
      </c>
      <c r="AR263" s="315">
        <v>0</v>
      </c>
      <c r="AS263" s="315">
        <v>0</v>
      </c>
      <c r="AT263" s="315">
        <v>0</v>
      </c>
      <c r="AU263" s="315">
        <v>0</v>
      </c>
      <c r="AV263" s="315">
        <v>0</v>
      </c>
      <c r="AW263" s="315">
        <v>0</v>
      </c>
      <c r="AX263" s="315">
        <v>0</v>
      </c>
      <c r="AY263" s="315">
        <v>0</v>
      </c>
      <c r="AZ263" s="315">
        <v>0</v>
      </c>
      <c r="BA263" s="315">
        <v>0</v>
      </c>
      <c r="BB263" s="315">
        <v>0</v>
      </c>
      <c r="BC263" s="315">
        <v>0</v>
      </c>
      <c r="BD263" s="315">
        <v>0</v>
      </c>
      <c r="BE263" s="315">
        <v>0</v>
      </c>
      <c r="BF263" s="315">
        <v>0</v>
      </c>
      <c r="BG263" s="315">
        <v>0</v>
      </c>
      <c r="BH263" s="315">
        <v>0</v>
      </c>
      <c r="BI263" s="315">
        <v>0</v>
      </c>
      <c r="BJ263" s="315">
        <v>0</v>
      </c>
      <c r="BK263" s="315">
        <v>0</v>
      </c>
      <c r="BL263" s="315">
        <v>0</v>
      </c>
      <c r="BM263" s="315">
        <v>0</v>
      </c>
      <c r="BN263" s="315">
        <v>0</v>
      </c>
      <c r="BO263" s="315">
        <v>0</v>
      </c>
      <c r="BP263" s="315">
        <v>0</v>
      </c>
      <c r="BQ263" s="315">
        <v>0</v>
      </c>
      <c r="BR263" s="315">
        <v>0</v>
      </c>
      <c r="BS263" s="315">
        <v>0</v>
      </c>
      <c r="BT263" s="315">
        <v>0</v>
      </c>
      <c r="BU263" s="315">
        <v>0</v>
      </c>
      <c r="BV263" s="315">
        <v>0</v>
      </c>
    </row>
    <row r="264" spans="12:74" hidden="1" x14ac:dyDescent="0.2">
      <c r="L264" s="315">
        <v>0</v>
      </c>
      <c r="M264" s="315">
        <v>0</v>
      </c>
      <c r="N264" s="315">
        <v>0</v>
      </c>
      <c r="O264" s="315">
        <v>0</v>
      </c>
      <c r="P264" s="315">
        <v>0</v>
      </c>
      <c r="Q264" s="315">
        <v>0</v>
      </c>
      <c r="R264" s="315">
        <v>0</v>
      </c>
      <c r="S264" s="315">
        <v>0</v>
      </c>
      <c r="T264" s="315">
        <v>0</v>
      </c>
      <c r="U264" s="315">
        <v>0</v>
      </c>
      <c r="V264" s="315">
        <v>0</v>
      </c>
      <c r="W264" s="315">
        <v>0</v>
      </c>
      <c r="X264" s="315">
        <v>0</v>
      </c>
      <c r="Y264" s="315">
        <v>0</v>
      </c>
      <c r="Z264" s="315">
        <v>0</v>
      </c>
      <c r="AA264" s="315">
        <v>0</v>
      </c>
      <c r="AB264" s="315">
        <v>0</v>
      </c>
      <c r="AC264" s="315">
        <v>0</v>
      </c>
      <c r="AD264" s="315">
        <v>0</v>
      </c>
      <c r="AE264" s="315">
        <v>0</v>
      </c>
      <c r="AF264" s="315">
        <v>0</v>
      </c>
      <c r="AG264" s="315">
        <v>0</v>
      </c>
      <c r="AH264" s="315">
        <v>0</v>
      </c>
      <c r="AI264" s="315">
        <v>0</v>
      </c>
      <c r="AJ264" s="315">
        <v>0</v>
      </c>
      <c r="AK264" s="315">
        <v>0</v>
      </c>
      <c r="AL264" s="315">
        <v>0</v>
      </c>
      <c r="AM264" s="315">
        <v>0</v>
      </c>
      <c r="AN264" s="315">
        <v>0</v>
      </c>
      <c r="AO264" s="315">
        <v>0</v>
      </c>
      <c r="AP264" s="315">
        <v>0</v>
      </c>
      <c r="AQ264" s="315">
        <v>0</v>
      </c>
      <c r="AR264" s="315">
        <v>0</v>
      </c>
      <c r="AS264" s="315">
        <v>0</v>
      </c>
      <c r="AT264" s="315">
        <v>0</v>
      </c>
      <c r="AU264" s="315">
        <v>0</v>
      </c>
      <c r="AV264" s="315">
        <v>0</v>
      </c>
      <c r="AW264" s="315">
        <v>0</v>
      </c>
      <c r="AX264" s="315">
        <v>0</v>
      </c>
      <c r="AY264" s="315">
        <v>0</v>
      </c>
      <c r="AZ264" s="315">
        <v>0</v>
      </c>
      <c r="BA264" s="315">
        <v>0</v>
      </c>
      <c r="BB264" s="315">
        <v>0</v>
      </c>
      <c r="BC264" s="315">
        <v>0</v>
      </c>
      <c r="BD264" s="315">
        <v>0</v>
      </c>
      <c r="BE264" s="315">
        <v>0</v>
      </c>
      <c r="BF264" s="315">
        <v>0</v>
      </c>
      <c r="BG264" s="315">
        <v>0</v>
      </c>
      <c r="BH264" s="315">
        <v>0</v>
      </c>
      <c r="BI264" s="315">
        <v>0</v>
      </c>
      <c r="BJ264" s="315">
        <v>0</v>
      </c>
      <c r="BK264" s="315">
        <v>0</v>
      </c>
      <c r="BL264" s="315">
        <v>0</v>
      </c>
      <c r="BM264" s="315">
        <v>0</v>
      </c>
      <c r="BN264" s="315">
        <v>0</v>
      </c>
      <c r="BO264" s="315">
        <v>0</v>
      </c>
      <c r="BP264" s="315">
        <v>0</v>
      </c>
      <c r="BQ264" s="315">
        <v>0</v>
      </c>
      <c r="BR264" s="315">
        <v>0</v>
      </c>
      <c r="BS264" s="315">
        <v>0</v>
      </c>
      <c r="BT264" s="315">
        <v>0</v>
      </c>
      <c r="BU264" s="315">
        <v>0</v>
      </c>
      <c r="BV264" s="315">
        <v>0</v>
      </c>
    </row>
    <row r="265" spans="12:74" hidden="1" x14ac:dyDescent="0.2">
      <c r="L265" s="315">
        <v>0</v>
      </c>
      <c r="M265" s="315">
        <v>0</v>
      </c>
      <c r="N265" s="315">
        <v>0</v>
      </c>
      <c r="O265" s="315">
        <v>0</v>
      </c>
      <c r="P265" s="315">
        <v>0</v>
      </c>
      <c r="Q265" s="315">
        <v>0</v>
      </c>
      <c r="R265" s="315">
        <v>0</v>
      </c>
      <c r="S265" s="315">
        <v>0</v>
      </c>
      <c r="T265" s="315">
        <v>0</v>
      </c>
      <c r="U265" s="315">
        <v>0</v>
      </c>
      <c r="V265" s="315">
        <v>0</v>
      </c>
      <c r="W265" s="315">
        <v>0</v>
      </c>
      <c r="X265" s="315">
        <v>0</v>
      </c>
      <c r="Y265" s="315">
        <v>0</v>
      </c>
      <c r="Z265" s="315">
        <v>0</v>
      </c>
      <c r="AA265" s="315">
        <v>0</v>
      </c>
      <c r="AB265" s="315">
        <v>0</v>
      </c>
      <c r="AC265" s="315">
        <v>0</v>
      </c>
      <c r="AD265" s="315">
        <v>0</v>
      </c>
      <c r="AE265" s="315">
        <v>0</v>
      </c>
      <c r="AF265" s="315">
        <v>0</v>
      </c>
      <c r="AG265" s="315">
        <v>0</v>
      </c>
      <c r="AH265" s="315">
        <v>0</v>
      </c>
      <c r="AI265" s="315">
        <v>0</v>
      </c>
      <c r="AJ265" s="315">
        <v>0</v>
      </c>
      <c r="AK265" s="315">
        <v>0</v>
      </c>
      <c r="AL265" s="315">
        <v>0</v>
      </c>
      <c r="AM265" s="315">
        <v>0</v>
      </c>
      <c r="AN265" s="315">
        <v>0</v>
      </c>
      <c r="AO265" s="315">
        <v>0</v>
      </c>
      <c r="AP265" s="315">
        <v>0</v>
      </c>
      <c r="AQ265" s="315">
        <v>0</v>
      </c>
      <c r="AR265" s="315">
        <v>0</v>
      </c>
      <c r="AS265" s="315">
        <v>0</v>
      </c>
      <c r="AT265" s="315">
        <v>0</v>
      </c>
      <c r="AU265" s="315">
        <v>0</v>
      </c>
      <c r="AV265" s="315">
        <v>0</v>
      </c>
      <c r="AW265" s="315">
        <v>0</v>
      </c>
      <c r="AX265" s="315">
        <v>0</v>
      </c>
      <c r="AY265" s="315">
        <v>0</v>
      </c>
      <c r="AZ265" s="315">
        <v>0</v>
      </c>
      <c r="BA265" s="315">
        <v>0</v>
      </c>
      <c r="BB265" s="315">
        <v>0</v>
      </c>
      <c r="BC265" s="315">
        <v>0</v>
      </c>
      <c r="BD265" s="315">
        <v>0</v>
      </c>
      <c r="BE265" s="315">
        <v>0</v>
      </c>
      <c r="BF265" s="315">
        <v>0</v>
      </c>
      <c r="BG265" s="315">
        <v>0</v>
      </c>
      <c r="BH265" s="315">
        <v>0</v>
      </c>
      <c r="BI265" s="315">
        <v>0</v>
      </c>
      <c r="BJ265" s="315">
        <v>0</v>
      </c>
      <c r="BK265" s="315">
        <v>0</v>
      </c>
      <c r="BL265" s="315">
        <v>0</v>
      </c>
      <c r="BM265" s="315">
        <v>0</v>
      </c>
      <c r="BN265" s="315">
        <v>0</v>
      </c>
      <c r="BO265" s="315">
        <v>0</v>
      </c>
      <c r="BP265" s="315">
        <v>0</v>
      </c>
      <c r="BQ265" s="315">
        <v>0</v>
      </c>
      <c r="BR265" s="315">
        <v>0</v>
      </c>
      <c r="BS265" s="315">
        <v>0</v>
      </c>
      <c r="BT265" s="315">
        <v>0</v>
      </c>
      <c r="BU265" s="315">
        <v>0</v>
      </c>
      <c r="BV265" s="315">
        <v>0</v>
      </c>
    </row>
    <row r="266" spans="12:74" hidden="1" x14ac:dyDescent="0.2">
      <c r="L266" s="315">
        <v>0</v>
      </c>
      <c r="M266" s="315">
        <v>0</v>
      </c>
      <c r="N266" s="315">
        <v>0</v>
      </c>
      <c r="O266" s="315">
        <v>0</v>
      </c>
      <c r="P266" s="315">
        <v>0</v>
      </c>
      <c r="Q266" s="315">
        <v>0</v>
      </c>
      <c r="R266" s="315">
        <v>0</v>
      </c>
      <c r="S266" s="315">
        <v>0</v>
      </c>
      <c r="T266" s="315">
        <v>0</v>
      </c>
      <c r="U266" s="315">
        <v>0</v>
      </c>
      <c r="V266" s="315">
        <v>0</v>
      </c>
      <c r="W266" s="315">
        <v>0</v>
      </c>
      <c r="X266" s="315">
        <v>0</v>
      </c>
      <c r="Y266" s="315">
        <v>0</v>
      </c>
      <c r="Z266" s="315">
        <v>0</v>
      </c>
      <c r="AA266" s="315">
        <v>0</v>
      </c>
      <c r="AB266" s="315">
        <v>0</v>
      </c>
      <c r="AC266" s="315">
        <v>0</v>
      </c>
      <c r="AD266" s="315">
        <v>0</v>
      </c>
      <c r="AE266" s="315">
        <v>0</v>
      </c>
      <c r="AF266" s="315">
        <v>0</v>
      </c>
      <c r="AG266" s="315">
        <v>0</v>
      </c>
      <c r="AH266" s="315">
        <v>0</v>
      </c>
      <c r="AI266" s="315">
        <v>0</v>
      </c>
      <c r="AJ266" s="315">
        <v>0</v>
      </c>
      <c r="AK266" s="315">
        <v>0</v>
      </c>
      <c r="AL266" s="315">
        <v>0</v>
      </c>
      <c r="AM266" s="315">
        <v>0</v>
      </c>
      <c r="AN266" s="315">
        <v>0</v>
      </c>
      <c r="AO266" s="315">
        <v>0</v>
      </c>
      <c r="AP266" s="315">
        <v>0</v>
      </c>
      <c r="AQ266" s="315">
        <v>0</v>
      </c>
      <c r="AR266" s="315">
        <v>0</v>
      </c>
      <c r="AS266" s="315">
        <v>0</v>
      </c>
      <c r="AT266" s="315">
        <v>0</v>
      </c>
      <c r="AU266" s="315">
        <v>0</v>
      </c>
      <c r="AV266" s="315">
        <v>0</v>
      </c>
      <c r="AW266" s="315">
        <v>0</v>
      </c>
      <c r="AX266" s="315">
        <v>0</v>
      </c>
      <c r="AY266" s="315">
        <v>0</v>
      </c>
      <c r="AZ266" s="315">
        <v>0</v>
      </c>
      <c r="BA266" s="315">
        <v>0</v>
      </c>
      <c r="BB266" s="315">
        <v>0</v>
      </c>
      <c r="BC266" s="315">
        <v>0</v>
      </c>
      <c r="BD266" s="315">
        <v>0</v>
      </c>
      <c r="BE266" s="315">
        <v>0</v>
      </c>
      <c r="BF266" s="315">
        <v>0</v>
      </c>
      <c r="BG266" s="315">
        <v>0</v>
      </c>
      <c r="BH266" s="315">
        <v>0</v>
      </c>
      <c r="BI266" s="315">
        <v>0</v>
      </c>
      <c r="BJ266" s="315">
        <v>0</v>
      </c>
      <c r="BK266" s="315">
        <v>0</v>
      </c>
      <c r="BL266" s="315">
        <v>0</v>
      </c>
      <c r="BM266" s="315">
        <v>0</v>
      </c>
      <c r="BN266" s="315">
        <v>0</v>
      </c>
      <c r="BO266" s="315">
        <v>0</v>
      </c>
      <c r="BP266" s="315">
        <v>0</v>
      </c>
      <c r="BQ266" s="315">
        <v>0</v>
      </c>
      <c r="BR266" s="315">
        <v>0</v>
      </c>
      <c r="BS266" s="315">
        <v>0</v>
      </c>
      <c r="BT266" s="315">
        <v>0</v>
      </c>
      <c r="BU266" s="315">
        <v>0</v>
      </c>
      <c r="BV266" s="315">
        <v>0</v>
      </c>
    </row>
    <row r="267" spans="12:74" hidden="1" x14ac:dyDescent="0.2">
      <c r="L267" s="315">
        <v>0</v>
      </c>
      <c r="M267" s="315">
        <v>0</v>
      </c>
      <c r="N267" s="315">
        <v>0</v>
      </c>
      <c r="O267" s="315">
        <v>0</v>
      </c>
      <c r="P267" s="315">
        <v>0</v>
      </c>
      <c r="Q267" s="315">
        <v>0</v>
      </c>
      <c r="R267" s="315">
        <v>0</v>
      </c>
      <c r="S267" s="315">
        <v>0</v>
      </c>
      <c r="T267" s="315">
        <v>0</v>
      </c>
      <c r="U267" s="315">
        <v>0</v>
      </c>
      <c r="V267" s="315">
        <v>0</v>
      </c>
      <c r="W267" s="315">
        <v>0</v>
      </c>
      <c r="X267" s="315">
        <v>0</v>
      </c>
      <c r="Y267" s="315">
        <v>0</v>
      </c>
      <c r="Z267" s="315">
        <v>0</v>
      </c>
      <c r="AA267" s="315">
        <v>0</v>
      </c>
      <c r="AB267" s="315">
        <v>0</v>
      </c>
      <c r="AC267" s="315">
        <v>0</v>
      </c>
      <c r="AD267" s="315">
        <v>0</v>
      </c>
      <c r="AE267" s="315">
        <v>0</v>
      </c>
      <c r="AF267" s="315">
        <v>0</v>
      </c>
      <c r="AG267" s="315">
        <v>0</v>
      </c>
      <c r="AH267" s="315">
        <v>0</v>
      </c>
      <c r="AI267" s="315">
        <v>0</v>
      </c>
      <c r="AJ267" s="315">
        <v>0</v>
      </c>
      <c r="AK267" s="315">
        <v>0</v>
      </c>
      <c r="AL267" s="315">
        <v>0</v>
      </c>
      <c r="AM267" s="315">
        <v>0</v>
      </c>
      <c r="AN267" s="315">
        <v>0</v>
      </c>
      <c r="AO267" s="315">
        <v>0</v>
      </c>
      <c r="AP267" s="315">
        <v>0</v>
      </c>
      <c r="AQ267" s="315">
        <v>0</v>
      </c>
      <c r="AR267" s="315">
        <v>0</v>
      </c>
      <c r="AS267" s="315">
        <v>0</v>
      </c>
      <c r="AT267" s="315">
        <v>0</v>
      </c>
      <c r="AU267" s="315">
        <v>0</v>
      </c>
      <c r="AV267" s="315">
        <v>0</v>
      </c>
      <c r="AW267" s="315">
        <v>0</v>
      </c>
      <c r="AX267" s="315">
        <v>0</v>
      </c>
      <c r="AY267" s="315">
        <v>0</v>
      </c>
      <c r="AZ267" s="315">
        <v>0</v>
      </c>
      <c r="BA267" s="315">
        <v>0</v>
      </c>
      <c r="BB267" s="315">
        <v>0</v>
      </c>
      <c r="BC267" s="315">
        <v>0</v>
      </c>
      <c r="BD267" s="315">
        <v>0</v>
      </c>
      <c r="BE267" s="315">
        <v>0</v>
      </c>
      <c r="BF267" s="315">
        <v>0</v>
      </c>
      <c r="BG267" s="315">
        <v>0</v>
      </c>
      <c r="BH267" s="315">
        <v>0</v>
      </c>
      <c r="BI267" s="315">
        <v>0</v>
      </c>
      <c r="BJ267" s="315">
        <v>0</v>
      </c>
      <c r="BK267" s="315">
        <v>0</v>
      </c>
      <c r="BL267" s="315">
        <v>0</v>
      </c>
      <c r="BM267" s="315">
        <v>0</v>
      </c>
      <c r="BN267" s="315">
        <v>0</v>
      </c>
      <c r="BO267" s="315">
        <v>0</v>
      </c>
      <c r="BP267" s="315">
        <v>0</v>
      </c>
      <c r="BQ267" s="315">
        <v>0</v>
      </c>
      <c r="BR267" s="315">
        <v>0</v>
      </c>
      <c r="BS267" s="315">
        <v>0</v>
      </c>
      <c r="BT267" s="315">
        <v>0</v>
      </c>
      <c r="BU267" s="315">
        <v>0</v>
      </c>
      <c r="BV267" s="315">
        <v>0</v>
      </c>
    </row>
    <row r="268" spans="12:74" hidden="1" x14ac:dyDescent="0.2">
      <c r="L268" s="315">
        <v>0</v>
      </c>
      <c r="M268" s="315">
        <v>0</v>
      </c>
      <c r="N268" s="315">
        <v>0</v>
      </c>
      <c r="O268" s="315">
        <v>0</v>
      </c>
      <c r="P268" s="315">
        <v>0</v>
      </c>
      <c r="Q268" s="315">
        <v>0</v>
      </c>
      <c r="R268" s="315">
        <v>0</v>
      </c>
      <c r="S268" s="315">
        <v>0</v>
      </c>
      <c r="T268" s="315">
        <v>0</v>
      </c>
      <c r="U268" s="315">
        <v>0</v>
      </c>
      <c r="V268" s="315">
        <v>0</v>
      </c>
      <c r="W268" s="315">
        <v>0</v>
      </c>
      <c r="X268" s="315">
        <v>0</v>
      </c>
      <c r="Y268" s="315">
        <v>0</v>
      </c>
      <c r="Z268" s="315">
        <v>0</v>
      </c>
      <c r="AA268" s="315">
        <v>0</v>
      </c>
      <c r="AB268" s="315">
        <v>0</v>
      </c>
      <c r="AC268" s="315">
        <v>0</v>
      </c>
      <c r="AD268" s="315">
        <v>0</v>
      </c>
      <c r="AE268" s="315">
        <v>0</v>
      </c>
      <c r="AF268" s="315">
        <v>0</v>
      </c>
      <c r="AG268" s="315">
        <v>0</v>
      </c>
      <c r="AH268" s="315">
        <v>0</v>
      </c>
      <c r="AI268" s="315">
        <v>0</v>
      </c>
      <c r="AJ268" s="315">
        <v>0</v>
      </c>
      <c r="AK268" s="315">
        <v>0</v>
      </c>
      <c r="AL268" s="315">
        <v>0</v>
      </c>
      <c r="AM268" s="315">
        <v>0</v>
      </c>
      <c r="AN268" s="315">
        <v>0</v>
      </c>
      <c r="AO268" s="315">
        <v>0</v>
      </c>
      <c r="AP268" s="315">
        <v>0</v>
      </c>
      <c r="AQ268" s="315">
        <v>0</v>
      </c>
      <c r="AR268" s="315">
        <v>0</v>
      </c>
      <c r="AS268" s="315">
        <v>0</v>
      </c>
      <c r="AT268" s="315">
        <v>0</v>
      </c>
      <c r="AU268" s="315">
        <v>0</v>
      </c>
      <c r="AV268" s="315">
        <v>0</v>
      </c>
      <c r="AW268" s="315">
        <v>0</v>
      </c>
      <c r="AX268" s="315">
        <v>0</v>
      </c>
      <c r="AY268" s="315">
        <v>0</v>
      </c>
      <c r="AZ268" s="315">
        <v>0</v>
      </c>
      <c r="BA268" s="315">
        <v>0</v>
      </c>
      <c r="BB268" s="315">
        <v>0</v>
      </c>
      <c r="BC268" s="315">
        <v>0</v>
      </c>
      <c r="BD268" s="315">
        <v>0</v>
      </c>
      <c r="BE268" s="315">
        <v>0</v>
      </c>
      <c r="BF268" s="315">
        <v>0</v>
      </c>
      <c r="BG268" s="315">
        <v>0</v>
      </c>
      <c r="BH268" s="315">
        <v>0</v>
      </c>
      <c r="BI268" s="315">
        <v>0</v>
      </c>
      <c r="BJ268" s="315">
        <v>0</v>
      </c>
      <c r="BK268" s="315">
        <v>0</v>
      </c>
      <c r="BL268" s="315">
        <v>0</v>
      </c>
      <c r="BM268" s="315">
        <v>0</v>
      </c>
      <c r="BN268" s="315">
        <v>0</v>
      </c>
      <c r="BO268" s="315">
        <v>0</v>
      </c>
      <c r="BP268" s="315">
        <v>0</v>
      </c>
      <c r="BQ268" s="315">
        <v>0</v>
      </c>
      <c r="BR268" s="315">
        <v>0</v>
      </c>
      <c r="BS268" s="315">
        <v>0</v>
      </c>
      <c r="BT268" s="315">
        <v>0</v>
      </c>
      <c r="BU268" s="315">
        <v>0</v>
      </c>
      <c r="BV268" s="315">
        <v>0</v>
      </c>
    </row>
    <row r="269" spans="12:74" hidden="1" x14ac:dyDescent="0.2">
      <c r="L269" s="315">
        <v>0</v>
      </c>
      <c r="M269" s="315">
        <v>0</v>
      </c>
      <c r="N269" s="315">
        <v>0</v>
      </c>
      <c r="O269" s="315">
        <v>0</v>
      </c>
      <c r="P269" s="315">
        <v>0</v>
      </c>
      <c r="Q269" s="315">
        <v>0</v>
      </c>
      <c r="R269" s="315">
        <v>0</v>
      </c>
      <c r="S269" s="315">
        <v>0</v>
      </c>
      <c r="T269" s="315">
        <v>0</v>
      </c>
      <c r="U269" s="315">
        <v>0</v>
      </c>
      <c r="V269" s="315">
        <v>0</v>
      </c>
      <c r="W269" s="315">
        <v>0</v>
      </c>
      <c r="X269" s="315">
        <v>0</v>
      </c>
      <c r="Y269" s="315">
        <v>0</v>
      </c>
      <c r="Z269" s="315">
        <v>0</v>
      </c>
      <c r="AA269" s="315">
        <v>0</v>
      </c>
      <c r="AB269" s="315">
        <v>0</v>
      </c>
      <c r="AC269" s="315">
        <v>0</v>
      </c>
      <c r="AD269" s="315">
        <v>0</v>
      </c>
      <c r="AE269" s="315">
        <v>0</v>
      </c>
      <c r="AF269" s="315">
        <v>0</v>
      </c>
      <c r="AG269" s="315">
        <v>0</v>
      </c>
      <c r="AH269" s="315">
        <v>0</v>
      </c>
      <c r="AI269" s="315">
        <v>0</v>
      </c>
      <c r="AJ269" s="315">
        <v>0</v>
      </c>
      <c r="AK269" s="315">
        <v>0</v>
      </c>
      <c r="AL269" s="315">
        <v>0</v>
      </c>
      <c r="AM269" s="315">
        <v>0</v>
      </c>
      <c r="AN269" s="315">
        <v>0</v>
      </c>
      <c r="AO269" s="315">
        <v>0</v>
      </c>
      <c r="AP269" s="315">
        <v>0</v>
      </c>
      <c r="AQ269" s="315">
        <v>0</v>
      </c>
      <c r="AR269" s="315">
        <v>0</v>
      </c>
      <c r="AS269" s="315">
        <v>0</v>
      </c>
      <c r="AT269" s="315">
        <v>0</v>
      </c>
      <c r="AU269" s="315">
        <v>0</v>
      </c>
      <c r="AV269" s="315">
        <v>0</v>
      </c>
      <c r="AW269" s="315">
        <v>0</v>
      </c>
      <c r="AX269" s="315">
        <v>0</v>
      </c>
      <c r="AY269" s="315">
        <v>0</v>
      </c>
      <c r="AZ269" s="315">
        <v>0</v>
      </c>
      <c r="BA269" s="315">
        <v>0</v>
      </c>
      <c r="BB269" s="315">
        <v>0</v>
      </c>
      <c r="BC269" s="315">
        <v>0</v>
      </c>
      <c r="BD269" s="315">
        <v>0</v>
      </c>
      <c r="BE269" s="315">
        <v>0</v>
      </c>
      <c r="BF269" s="315">
        <v>0</v>
      </c>
      <c r="BG269" s="315">
        <v>0</v>
      </c>
      <c r="BH269" s="315">
        <v>0</v>
      </c>
      <c r="BI269" s="315">
        <v>0</v>
      </c>
      <c r="BJ269" s="315">
        <v>0</v>
      </c>
      <c r="BK269" s="315">
        <v>0</v>
      </c>
      <c r="BL269" s="315">
        <v>0</v>
      </c>
      <c r="BM269" s="315">
        <v>0</v>
      </c>
      <c r="BN269" s="315">
        <v>0</v>
      </c>
      <c r="BO269" s="315">
        <v>0</v>
      </c>
      <c r="BP269" s="315">
        <v>0</v>
      </c>
      <c r="BQ269" s="315">
        <v>0</v>
      </c>
      <c r="BR269" s="315">
        <v>0</v>
      </c>
      <c r="BS269" s="315">
        <v>0</v>
      </c>
      <c r="BT269" s="315">
        <v>0</v>
      </c>
      <c r="BU269" s="315">
        <v>0</v>
      </c>
      <c r="BV269" s="315">
        <v>0</v>
      </c>
    </row>
    <row r="270" spans="12:74" hidden="1" x14ac:dyDescent="0.2">
      <c r="L270" s="315">
        <v>0</v>
      </c>
      <c r="M270" s="315">
        <v>0</v>
      </c>
      <c r="N270" s="315">
        <v>0</v>
      </c>
      <c r="O270" s="315">
        <v>0</v>
      </c>
      <c r="P270" s="315">
        <v>0</v>
      </c>
      <c r="Q270" s="315">
        <v>0</v>
      </c>
      <c r="R270" s="315">
        <v>0</v>
      </c>
      <c r="S270" s="315">
        <v>0</v>
      </c>
      <c r="T270" s="315">
        <v>0</v>
      </c>
      <c r="U270" s="315">
        <v>0</v>
      </c>
      <c r="V270" s="315">
        <v>0</v>
      </c>
      <c r="W270" s="315">
        <v>0</v>
      </c>
      <c r="X270" s="315">
        <v>0</v>
      </c>
      <c r="Y270" s="315">
        <v>0</v>
      </c>
      <c r="Z270" s="315">
        <v>0</v>
      </c>
      <c r="AA270" s="315">
        <v>0</v>
      </c>
      <c r="AB270" s="315">
        <v>0</v>
      </c>
      <c r="AC270" s="315">
        <v>0</v>
      </c>
      <c r="AD270" s="315">
        <v>0</v>
      </c>
      <c r="AE270" s="315">
        <v>0</v>
      </c>
      <c r="AF270" s="315">
        <v>0</v>
      </c>
      <c r="AG270" s="315">
        <v>0</v>
      </c>
      <c r="AH270" s="315">
        <v>0</v>
      </c>
      <c r="AI270" s="315">
        <v>0</v>
      </c>
      <c r="AJ270" s="315">
        <v>0</v>
      </c>
      <c r="AK270" s="315">
        <v>0</v>
      </c>
      <c r="AL270" s="315">
        <v>0</v>
      </c>
      <c r="AM270" s="315">
        <v>0</v>
      </c>
      <c r="AN270" s="315">
        <v>0</v>
      </c>
      <c r="AO270" s="315">
        <v>0</v>
      </c>
      <c r="AP270" s="315">
        <v>0</v>
      </c>
      <c r="AQ270" s="315">
        <v>0</v>
      </c>
      <c r="AR270" s="315">
        <v>0</v>
      </c>
      <c r="AS270" s="315">
        <v>0</v>
      </c>
      <c r="AT270" s="315">
        <v>0</v>
      </c>
      <c r="AU270" s="315">
        <v>0</v>
      </c>
      <c r="AV270" s="315">
        <v>0</v>
      </c>
      <c r="AW270" s="315">
        <v>0</v>
      </c>
      <c r="AX270" s="315">
        <v>0</v>
      </c>
      <c r="AY270" s="315">
        <v>0</v>
      </c>
      <c r="AZ270" s="315">
        <v>0</v>
      </c>
      <c r="BA270" s="315">
        <v>0</v>
      </c>
      <c r="BB270" s="315">
        <v>0</v>
      </c>
      <c r="BC270" s="315">
        <v>0</v>
      </c>
      <c r="BD270" s="315">
        <v>0</v>
      </c>
      <c r="BE270" s="315">
        <v>0</v>
      </c>
      <c r="BF270" s="315">
        <v>0</v>
      </c>
      <c r="BG270" s="315">
        <v>0</v>
      </c>
      <c r="BH270" s="315">
        <v>0</v>
      </c>
      <c r="BI270" s="315">
        <v>0</v>
      </c>
      <c r="BJ270" s="315">
        <v>0</v>
      </c>
      <c r="BK270" s="315">
        <v>0</v>
      </c>
      <c r="BL270" s="315">
        <v>0</v>
      </c>
      <c r="BM270" s="315">
        <v>0</v>
      </c>
      <c r="BN270" s="315">
        <v>0</v>
      </c>
      <c r="BO270" s="315">
        <v>0</v>
      </c>
      <c r="BP270" s="315">
        <v>0</v>
      </c>
      <c r="BQ270" s="315">
        <v>0</v>
      </c>
      <c r="BR270" s="315">
        <v>0</v>
      </c>
      <c r="BS270" s="315">
        <v>0</v>
      </c>
      <c r="BT270" s="315">
        <v>0</v>
      </c>
      <c r="BU270" s="315">
        <v>0</v>
      </c>
      <c r="BV270" s="315">
        <v>0</v>
      </c>
    </row>
    <row r="271" spans="12:74" hidden="1" x14ac:dyDescent="0.2">
      <c r="L271" s="315">
        <v>0</v>
      </c>
      <c r="M271" s="315">
        <v>0</v>
      </c>
      <c r="N271" s="315">
        <v>0</v>
      </c>
      <c r="O271" s="315">
        <v>0</v>
      </c>
      <c r="P271" s="315">
        <v>0</v>
      </c>
      <c r="Q271" s="315">
        <v>0</v>
      </c>
      <c r="R271" s="315">
        <v>0</v>
      </c>
      <c r="S271" s="315">
        <v>0</v>
      </c>
      <c r="T271" s="315">
        <v>0</v>
      </c>
      <c r="U271" s="315">
        <v>0</v>
      </c>
      <c r="V271" s="315">
        <v>0</v>
      </c>
      <c r="W271" s="315">
        <v>0</v>
      </c>
      <c r="X271" s="315">
        <v>0</v>
      </c>
      <c r="Y271" s="315">
        <v>0</v>
      </c>
      <c r="Z271" s="315">
        <v>0</v>
      </c>
      <c r="AA271" s="315">
        <v>0</v>
      </c>
      <c r="AB271" s="315">
        <v>0</v>
      </c>
      <c r="AC271" s="315">
        <v>0</v>
      </c>
      <c r="AD271" s="315">
        <v>0</v>
      </c>
      <c r="AE271" s="315">
        <v>0</v>
      </c>
      <c r="AF271" s="315">
        <v>0</v>
      </c>
      <c r="AG271" s="315">
        <v>0</v>
      </c>
      <c r="AH271" s="315">
        <v>0</v>
      </c>
      <c r="AI271" s="315">
        <v>0</v>
      </c>
      <c r="AJ271" s="315">
        <v>0</v>
      </c>
      <c r="AK271" s="315">
        <v>0</v>
      </c>
      <c r="AL271" s="315">
        <v>0</v>
      </c>
      <c r="AM271" s="315">
        <v>0</v>
      </c>
      <c r="AN271" s="315">
        <v>0</v>
      </c>
      <c r="AO271" s="315">
        <v>0</v>
      </c>
      <c r="AP271" s="315">
        <v>0</v>
      </c>
      <c r="AQ271" s="315">
        <v>0</v>
      </c>
      <c r="AR271" s="315">
        <v>0</v>
      </c>
      <c r="AS271" s="315">
        <v>0</v>
      </c>
      <c r="AT271" s="315">
        <v>0</v>
      </c>
      <c r="AU271" s="315">
        <v>0</v>
      </c>
      <c r="AV271" s="315">
        <v>0</v>
      </c>
      <c r="AW271" s="315">
        <v>0</v>
      </c>
      <c r="AX271" s="315">
        <v>0</v>
      </c>
      <c r="AY271" s="315">
        <v>0</v>
      </c>
      <c r="AZ271" s="315">
        <v>0</v>
      </c>
      <c r="BA271" s="315">
        <v>0</v>
      </c>
      <c r="BB271" s="315">
        <v>0</v>
      </c>
      <c r="BC271" s="315">
        <v>0</v>
      </c>
      <c r="BD271" s="315">
        <v>0</v>
      </c>
      <c r="BE271" s="315">
        <v>0</v>
      </c>
      <c r="BF271" s="315">
        <v>0</v>
      </c>
      <c r="BG271" s="315">
        <v>0</v>
      </c>
      <c r="BH271" s="315">
        <v>0</v>
      </c>
      <c r="BI271" s="315">
        <v>0</v>
      </c>
      <c r="BJ271" s="315">
        <v>0</v>
      </c>
      <c r="BK271" s="315">
        <v>0</v>
      </c>
      <c r="BL271" s="315">
        <v>0</v>
      </c>
      <c r="BM271" s="315">
        <v>0</v>
      </c>
      <c r="BN271" s="315">
        <v>0</v>
      </c>
      <c r="BO271" s="315">
        <v>0</v>
      </c>
      <c r="BP271" s="315">
        <v>0</v>
      </c>
      <c r="BQ271" s="315">
        <v>0</v>
      </c>
      <c r="BR271" s="315">
        <v>0</v>
      </c>
      <c r="BS271" s="315">
        <v>0</v>
      </c>
      <c r="BT271" s="315">
        <v>0</v>
      </c>
      <c r="BU271" s="315">
        <v>0</v>
      </c>
      <c r="BV271" s="315">
        <v>0</v>
      </c>
    </row>
    <row r="272" spans="12:74" hidden="1" x14ac:dyDescent="0.2">
      <c r="L272" s="315">
        <v>0</v>
      </c>
      <c r="M272" s="315">
        <v>0</v>
      </c>
      <c r="N272" s="315">
        <v>0</v>
      </c>
      <c r="O272" s="315">
        <v>0</v>
      </c>
      <c r="P272" s="315">
        <v>0</v>
      </c>
      <c r="Q272" s="315">
        <v>0</v>
      </c>
      <c r="R272" s="315">
        <v>0</v>
      </c>
      <c r="S272" s="315">
        <v>0</v>
      </c>
      <c r="T272" s="315">
        <v>0</v>
      </c>
      <c r="U272" s="315">
        <v>0</v>
      </c>
      <c r="V272" s="315">
        <v>0</v>
      </c>
      <c r="W272" s="315">
        <v>0</v>
      </c>
      <c r="X272" s="315">
        <v>0</v>
      </c>
      <c r="Y272" s="315">
        <v>0</v>
      </c>
      <c r="Z272" s="315">
        <v>0</v>
      </c>
      <c r="AA272" s="315">
        <v>0</v>
      </c>
      <c r="AB272" s="315">
        <v>0</v>
      </c>
      <c r="AC272" s="315">
        <v>0</v>
      </c>
      <c r="AD272" s="315">
        <v>0</v>
      </c>
      <c r="AE272" s="315">
        <v>0</v>
      </c>
      <c r="AF272" s="315">
        <v>0</v>
      </c>
      <c r="AG272" s="315">
        <v>0</v>
      </c>
      <c r="AH272" s="315">
        <v>0</v>
      </c>
      <c r="AI272" s="315">
        <v>0</v>
      </c>
      <c r="AJ272" s="315">
        <v>0</v>
      </c>
      <c r="AK272" s="315">
        <v>0</v>
      </c>
      <c r="AL272" s="315">
        <v>0</v>
      </c>
      <c r="AM272" s="315">
        <v>0</v>
      </c>
      <c r="AN272" s="315">
        <v>0</v>
      </c>
      <c r="AO272" s="315">
        <v>0</v>
      </c>
      <c r="AP272" s="315">
        <v>0</v>
      </c>
      <c r="AQ272" s="315">
        <v>0</v>
      </c>
      <c r="AR272" s="315">
        <v>0</v>
      </c>
      <c r="AS272" s="315">
        <v>0</v>
      </c>
      <c r="AT272" s="315">
        <v>0</v>
      </c>
      <c r="AU272" s="315">
        <v>0</v>
      </c>
      <c r="AV272" s="315">
        <v>0</v>
      </c>
      <c r="AW272" s="315">
        <v>0</v>
      </c>
      <c r="AX272" s="315">
        <v>0</v>
      </c>
      <c r="AY272" s="315">
        <v>0</v>
      </c>
      <c r="AZ272" s="315">
        <v>0</v>
      </c>
      <c r="BA272" s="315">
        <v>0</v>
      </c>
      <c r="BB272" s="315">
        <v>0</v>
      </c>
      <c r="BC272" s="315">
        <v>0</v>
      </c>
      <c r="BD272" s="315">
        <v>0</v>
      </c>
      <c r="BE272" s="315">
        <v>0</v>
      </c>
      <c r="BF272" s="315">
        <v>0</v>
      </c>
      <c r="BG272" s="315">
        <v>0</v>
      </c>
      <c r="BH272" s="315">
        <v>0</v>
      </c>
      <c r="BI272" s="315">
        <v>0</v>
      </c>
      <c r="BJ272" s="315">
        <v>0</v>
      </c>
      <c r="BK272" s="315">
        <v>0</v>
      </c>
      <c r="BL272" s="315">
        <v>0</v>
      </c>
      <c r="BM272" s="315">
        <v>0</v>
      </c>
      <c r="BN272" s="315">
        <v>0</v>
      </c>
      <c r="BO272" s="315">
        <v>0</v>
      </c>
      <c r="BP272" s="315">
        <v>0</v>
      </c>
      <c r="BQ272" s="315">
        <v>0</v>
      </c>
      <c r="BR272" s="315">
        <v>0</v>
      </c>
      <c r="BS272" s="315">
        <v>0</v>
      </c>
      <c r="BT272" s="315">
        <v>0</v>
      </c>
      <c r="BU272" s="315">
        <v>0</v>
      </c>
      <c r="BV272" s="315">
        <v>0</v>
      </c>
    </row>
    <row r="273" spans="12:74" hidden="1" x14ac:dyDescent="0.2">
      <c r="L273" s="315">
        <v>0</v>
      </c>
      <c r="M273" s="315">
        <v>0</v>
      </c>
      <c r="N273" s="315">
        <v>0</v>
      </c>
      <c r="O273" s="315">
        <v>0</v>
      </c>
      <c r="P273" s="315">
        <v>0</v>
      </c>
      <c r="Q273" s="315">
        <v>0</v>
      </c>
      <c r="R273" s="315">
        <v>0</v>
      </c>
      <c r="S273" s="315">
        <v>0</v>
      </c>
      <c r="T273" s="315">
        <v>0</v>
      </c>
      <c r="U273" s="315">
        <v>0</v>
      </c>
      <c r="V273" s="315">
        <v>0</v>
      </c>
      <c r="W273" s="315">
        <v>0</v>
      </c>
      <c r="X273" s="315">
        <v>0</v>
      </c>
      <c r="Y273" s="315">
        <v>0</v>
      </c>
      <c r="Z273" s="315">
        <v>0</v>
      </c>
      <c r="AA273" s="315">
        <v>0</v>
      </c>
      <c r="AB273" s="315">
        <v>0</v>
      </c>
      <c r="AC273" s="315">
        <v>0</v>
      </c>
      <c r="AD273" s="315">
        <v>0</v>
      </c>
      <c r="AE273" s="315">
        <v>0</v>
      </c>
      <c r="AF273" s="315">
        <v>0</v>
      </c>
      <c r="AG273" s="315">
        <v>0</v>
      </c>
      <c r="AH273" s="315">
        <v>0</v>
      </c>
      <c r="AI273" s="315">
        <v>0</v>
      </c>
      <c r="AJ273" s="315">
        <v>0</v>
      </c>
      <c r="AK273" s="315">
        <v>0</v>
      </c>
      <c r="AL273" s="315">
        <v>0</v>
      </c>
      <c r="AM273" s="315">
        <v>0</v>
      </c>
      <c r="AN273" s="315">
        <v>0</v>
      </c>
      <c r="AO273" s="315">
        <v>0</v>
      </c>
      <c r="AP273" s="315">
        <v>0</v>
      </c>
      <c r="AQ273" s="315">
        <v>0</v>
      </c>
      <c r="AR273" s="315">
        <v>0</v>
      </c>
      <c r="AS273" s="315">
        <v>0</v>
      </c>
      <c r="AT273" s="315">
        <v>0</v>
      </c>
      <c r="AU273" s="315">
        <v>0</v>
      </c>
      <c r="AV273" s="315">
        <v>0</v>
      </c>
      <c r="AW273" s="315">
        <v>0</v>
      </c>
      <c r="AX273" s="315">
        <v>0</v>
      </c>
      <c r="AY273" s="315">
        <v>0</v>
      </c>
      <c r="AZ273" s="315">
        <v>0</v>
      </c>
      <c r="BA273" s="315">
        <v>0</v>
      </c>
      <c r="BB273" s="315">
        <v>0</v>
      </c>
      <c r="BC273" s="315">
        <v>0</v>
      </c>
      <c r="BD273" s="315">
        <v>0</v>
      </c>
      <c r="BE273" s="315">
        <v>0</v>
      </c>
      <c r="BF273" s="315">
        <v>0</v>
      </c>
      <c r="BG273" s="315">
        <v>0</v>
      </c>
      <c r="BH273" s="315">
        <v>0</v>
      </c>
      <c r="BI273" s="315">
        <v>0</v>
      </c>
      <c r="BJ273" s="315">
        <v>0</v>
      </c>
      <c r="BK273" s="315">
        <v>0</v>
      </c>
      <c r="BL273" s="315">
        <v>0</v>
      </c>
      <c r="BM273" s="315">
        <v>0</v>
      </c>
      <c r="BN273" s="315">
        <v>0</v>
      </c>
      <c r="BO273" s="315">
        <v>0</v>
      </c>
      <c r="BP273" s="315">
        <v>0</v>
      </c>
      <c r="BQ273" s="315">
        <v>0</v>
      </c>
      <c r="BR273" s="315">
        <v>0</v>
      </c>
      <c r="BS273" s="315">
        <v>0</v>
      </c>
      <c r="BT273" s="315">
        <v>0</v>
      </c>
      <c r="BU273" s="315">
        <v>0</v>
      </c>
      <c r="BV273" s="315">
        <v>0</v>
      </c>
    </row>
    <row r="274" spans="12:74" hidden="1" x14ac:dyDescent="0.2">
      <c r="L274" s="315">
        <v>0</v>
      </c>
      <c r="M274" s="315">
        <v>0</v>
      </c>
      <c r="N274" s="315">
        <v>0</v>
      </c>
      <c r="O274" s="315">
        <v>0</v>
      </c>
      <c r="P274" s="315">
        <v>0</v>
      </c>
      <c r="Q274" s="315">
        <v>0</v>
      </c>
      <c r="R274" s="315">
        <v>0</v>
      </c>
      <c r="S274" s="315">
        <v>0</v>
      </c>
      <c r="T274" s="315">
        <v>0</v>
      </c>
      <c r="U274" s="315">
        <v>0</v>
      </c>
      <c r="V274" s="315">
        <v>0</v>
      </c>
      <c r="W274" s="315">
        <v>0</v>
      </c>
      <c r="X274" s="315">
        <v>0</v>
      </c>
      <c r="Y274" s="315">
        <v>0</v>
      </c>
      <c r="Z274" s="315">
        <v>0</v>
      </c>
      <c r="AA274" s="315">
        <v>0</v>
      </c>
      <c r="AB274" s="315">
        <v>0</v>
      </c>
      <c r="AC274" s="315">
        <v>0</v>
      </c>
      <c r="AD274" s="315">
        <v>0</v>
      </c>
      <c r="AE274" s="315">
        <v>0</v>
      </c>
      <c r="AF274" s="315">
        <v>0</v>
      </c>
      <c r="AG274" s="315">
        <v>0</v>
      </c>
      <c r="AH274" s="315">
        <v>0</v>
      </c>
      <c r="AI274" s="315">
        <v>0</v>
      </c>
      <c r="AJ274" s="315">
        <v>0</v>
      </c>
      <c r="AK274" s="315">
        <v>0</v>
      </c>
      <c r="AL274" s="315">
        <v>0</v>
      </c>
      <c r="AM274" s="315">
        <v>0</v>
      </c>
      <c r="AN274" s="315">
        <v>0</v>
      </c>
      <c r="AO274" s="315">
        <v>0</v>
      </c>
      <c r="AP274" s="315">
        <v>0</v>
      </c>
      <c r="AQ274" s="315">
        <v>0</v>
      </c>
      <c r="AR274" s="315">
        <v>0</v>
      </c>
      <c r="AS274" s="315">
        <v>0</v>
      </c>
      <c r="AT274" s="315">
        <v>0</v>
      </c>
      <c r="AU274" s="315">
        <v>0</v>
      </c>
      <c r="AV274" s="315">
        <v>0</v>
      </c>
      <c r="AW274" s="315">
        <v>0</v>
      </c>
      <c r="AX274" s="315">
        <v>0</v>
      </c>
      <c r="AY274" s="315">
        <v>0</v>
      </c>
      <c r="AZ274" s="315">
        <v>0</v>
      </c>
      <c r="BA274" s="315">
        <v>0</v>
      </c>
      <c r="BB274" s="315">
        <v>0</v>
      </c>
      <c r="BC274" s="315">
        <v>0</v>
      </c>
      <c r="BD274" s="315">
        <v>0</v>
      </c>
      <c r="BE274" s="315">
        <v>0</v>
      </c>
      <c r="BF274" s="315">
        <v>0</v>
      </c>
      <c r="BG274" s="315">
        <v>0</v>
      </c>
      <c r="BH274" s="315">
        <v>0</v>
      </c>
      <c r="BI274" s="315">
        <v>0</v>
      </c>
      <c r="BJ274" s="315">
        <v>0</v>
      </c>
      <c r="BK274" s="315">
        <v>0</v>
      </c>
      <c r="BL274" s="315">
        <v>0</v>
      </c>
      <c r="BM274" s="315">
        <v>0</v>
      </c>
      <c r="BN274" s="315">
        <v>0</v>
      </c>
      <c r="BO274" s="315">
        <v>0</v>
      </c>
      <c r="BP274" s="315">
        <v>0</v>
      </c>
      <c r="BQ274" s="315">
        <v>0</v>
      </c>
      <c r="BR274" s="315">
        <v>0</v>
      </c>
      <c r="BS274" s="315">
        <v>0</v>
      </c>
      <c r="BT274" s="315">
        <v>0</v>
      </c>
      <c r="BU274" s="315">
        <v>0</v>
      </c>
      <c r="BV274" s="315">
        <v>0</v>
      </c>
    </row>
    <row r="275" spans="12:74" hidden="1" x14ac:dyDescent="0.2">
      <c r="L275" s="315">
        <v>0</v>
      </c>
      <c r="M275" s="315">
        <v>0</v>
      </c>
      <c r="N275" s="315">
        <v>0</v>
      </c>
      <c r="O275" s="315">
        <v>0</v>
      </c>
      <c r="P275" s="315">
        <v>0</v>
      </c>
      <c r="Q275" s="315">
        <v>0</v>
      </c>
      <c r="R275" s="315">
        <v>0</v>
      </c>
      <c r="S275" s="315">
        <v>0</v>
      </c>
      <c r="T275" s="315">
        <v>0</v>
      </c>
      <c r="U275" s="315">
        <v>0</v>
      </c>
      <c r="V275" s="315">
        <v>0</v>
      </c>
      <c r="W275" s="315">
        <v>0</v>
      </c>
      <c r="X275" s="315">
        <v>0</v>
      </c>
      <c r="Y275" s="315">
        <v>0</v>
      </c>
      <c r="Z275" s="315">
        <v>0</v>
      </c>
      <c r="AA275" s="315">
        <v>0</v>
      </c>
      <c r="AB275" s="315">
        <v>0</v>
      </c>
      <c r="AC275" s="315">
        <v>0</v>
      </c>
      <c r="AD275" s="315">
        <v>0</v>
      </c>
      <c r="AE275" s="315">
        <v>0</v>
      </c>
      <c r="AF275" s="315">
        <v>0</v>
      </c>
      <c r="AG275" s="315">
        <v>0</v>
      </c>
      <c r="AH275" s="315">
        <v>0</v>
      </c>
      <c r="AI275" s="315">
        <v>0</v>
      </c>
      <c r="AJ275" s="315">
        <v>0</v>
      </c>
      <c r="AK275" s="315">
        <v>0</v>
      </c>
      <c r="AL275" s="315">
        <v>0</v>
      </c>
      <c r="AM275" s="315">
        <v>0</v>
      </c>
      <c r="AN275" s="315">
        <v>0</v>
      </c>
      <c r="AO275" s="315">
        <v>0</v>
      </c>
      <c r="AP275" s="315">
        <v>0</v>
      </c>
      <c r="AQ275" s="315">
        <v>0</v>
      </c>
      <c r="AR275" s="315">
        <v>0</v>
      </c>
      <c r="AS275" s="315">
        <v>0</v>
      </c>
      <c r="AT275" s="315">
        <v>0</v>
      </c>
      <c r="AU275" s="315">
        <v>0</v>
      </c>
      <c r="AV275" s="315">
        <v>0</v>
      </c>
      <c r="AW275" s="315">
        <v>0</v>
      </c>
      <c r="AX275" s="315">
        <v>0</v>
      </c>
      <c r="AY275" s="315">
        <v>0</v>
      </c>
      <c r="AZ275" s="315">
        <v>0</v>
      </c>
      <c r="BA275" s="315">
        <v>0</v>
      </c>
      <c r="BB275" s="315">
        <v>0</v>
      </c>
      <c r="BC275" s="315">
        <v>0</v>
      </c>
      <c r="BD275" s="315">
        <v>0</v>
      </c>
      <c r="BE275" s="315">
        <v>0</v>
      </c>
      <c r="BF275" s="315">
        <v>0</v>
      </c>
      <c r="BG275" s="315">
        <v>0</v>
      </c>
      <c r="BH275" s="315">
        <v>0</v>
      </c>
      <c r="BI275" s="315">
        <v>0</v>
      </c>
      <c r="BJ275" s="315">
        <v>0</v>
      </c>
      <c r="BK275" s="315">
        <v>0</v>
      </c>
      <c r="BL275" s="315">
        <v>0</v>
      </c>
      <c r="BM275" s="315">
        <v>0</v>
      </c>
      <c r="BN275" s="315">
        <v>0</v>
      </c>
      <c r="BO275" s="315">
        <v>0</v>
      </c>
      <c r="BP275" s="315">
        <v>0</v>
      </c>
      <c r="BQ275" s="315">
        <v>0</v>
      </c>
      <c r="BR275" s="315">
        <v>0</v>
      </c>
      <c r="BS275" s="315">
        <v>0</v>
      </c>
      <c r="BT275" s="315">
        <v>0</v>
      </c>
      <c r="BU275" s="315">
        <v>0</v>
      </c>
      <c r="BV275" s="315">
        <v>0</v>
      </c>
    </row>
    <row r="276" spans="12:74" hidden="1" x14ac:dyDescent="0.2">
      <c r="L276" s="315">
        <v>0</v>
      </c>
      <c r="M276" s="315">
        <v>0</v>
      </c>
      <c r="N276" s="315">
        <v>0</v>
      </c>
      <c r="O276" s="315">
        <v>0</v>
      </c>
      <c r="P276" s="315">
        <v>0</v>
      </c>
      <c r="Q276" s="315">
        <v>0</v>
      </c>
      <c r="R276" s="315">
        <v>0</v>
      </c>
      <c r="S276" s="315">
        <v>0</v>
      </c>
      <c r="T276" s="315">
        <v>0</v>
      </c>
      <c r="U276" s="315">
        <v>0</v>
      </c>
      <c r="V276" s="315">
        <v>0</v>
      </c>
      <c r="W276" s="315">
        <v>0</v>
      </c>
      <c r="X276" s="315">
        <v>0</v>
      </c>
      <c r="Y276" s="315">
        <v>0</v>
      </c>
      <c r="Z276" s="315">
        <v>0</v>
      </c>
      <c r="AA276" s="315">
        <v>0</v>
      </c>
      <c r="AB276" s="315">
        <v>0</v>
      </c>
      <c r="AC276" s="315">
        <v>0</v>
      </c>
      <c r="AD276" s="315">
        <v>0</v>
      </c>
      <c r="AE276" s="315">
        <v>0</v>
      </c>
      <c r="AF276" s="315">
        <v>0</v>
      </c>
      <c r="AG276" s="315">
        <v>0</v>
      </c>
      <c r="AH276" s="315">
        <v>0</v>
      </c>
      <c r="AI276" s="315">
        <v>0</v>
      </c>
      <c r="AJ276" s="315">
        <v>0</v>
      </c>
      <c r="AK276" s="315">
        <v>0</v>
      </c>
      <c r="AL276" s="315">
        <v>0</v>
      </c>
      <c r="AM276" s="315">
        <v>0</v>
      </c>
      <c r="AN276" s="315">
        <v>0</v>
      </c>
      <c r="AO276" s="315">
        <v>0</v>
      </c>
      <c r="AP276" s="315">
        <v>0</v>
      </c>
      <c r="AQ276" s="315">
        <v>0</v>
      </c>
      <c r="AR276" s="315">
        <v>0</v>
      </c>
      <c r="AS276" s="315">
        <v>0</v>
      </c>
      <c r="AT276" s="315">
        <v>0</v>
      </c>
      <c r="AU276" s="315">
        <v>0</v>
      </c>
      <c r="AV276" s="315">
        <v>0</v>
      </c>
      <c r="AW276" s="315">
        <v>0</v>
      </c>
      <c r="AX276" s="315">
        <v>0</v>
      </c>
      <c r="AY276" s="315">
        <v>0</v>
      </c>
      <c r="AZ276" s="315">
        <v>0</v>
      </c>
      <c r="BA276" s="315">
        <v>0</v>
      </c>
      <c r="BB276" s="315">
        <v>0</v>
      </c>
      <c r="BC276" s="315">
        <v>0</v>
      </c>
      <c r="BD276" s="315">
        <v>0</v>
      </c>
      <c r="BE276" s="315">
        <v>0</v>
      </c>
      <c r="BF276" s="315">
        <v>0</v>
      </c>
      <c r="BG276" s="315">
        <v>0</v>
      </c>
      <c r="BH276" s="315">
        <v>0</v>
      </c>
      <c r="BI276" s="315">
        <v>0</v>
      </c>
      <c r="BJ276" s="315">
        <v>0</v>
      </c>
      <c r="BK276" s="315">
        <v>0</v>
      </c>
      <c r="BL276" s="315">
        <v>0</v>
      </c>
      <c r="BM276" s="315">
        <v>0</v>
      </c>
      <c r="BN276" s="315">
        <v>0</v>
      </c>
      <c r="BO276" s="315">
        <v>0</v>
      </c>
      <c r="BP276" s="315">
        <v>0</v>
      </c>
      <c r="BQ276" s="315">
        <v>0</v>
      </c>
      <c r="BR276" s="315">
        <v>0</v>
      </c>
      <c r="BS276" s="315">
        <v>0</v>
      </c>
      <c r="BT276" s="315">
        <v>0</v>
      </c>
      <c r="BU276" s="315">
        <v>0</v>
      </c>
      <c r="BV276" s="315">
        <v>0</v>
      </c>
    </row>
    <row r="277" spans="12:74" hidden="1" x14ac:dyDescent="0.2">
      <c r="L277" s="315">
        <v>0</v>
      </c>
      <c r="M277" s="315">
        <v>0</v>
      </c>
      <c r="N277" s="315">
        <v>0</v>
      </c>
      <c r="O277" s="315">
        <v>0</v>
      </c>
      <c r="P277" s="315">
        <v>0</v>
      </c>
      <c r="Q277" s="315">
        <v>0</v>
      </c>
      <c r="R277" s="315">
        <v>0</v>
      </c>
      <c r="S277" s="315">
        <v>0</v>
      </c>
      <c r="T277" s="315">
        <v>0</v>
      </c>
      <c r="U277" s="315">
        <v>0</v>
      </c>
      <c r="V277" s="315">
        <v>0</v>
      </c>
      <c r="W277" s="315">
        <v>0</v>
      </c>
      <c r="X277" s="315">
        <v>0</v>
      </c>
      <c r="Y277" s="315">
        <v>0</v>
      </c>
      <c r="Z277" s="315">
        <v>0</v>
      </c>
      <c r="AA277" s="315">
        <v>0</v>
      </c>
      <c r="AB277" s="315">
        <v>0</v>
      </c>
      <c r="AC277" s="315">
        <v>0</v>
      </c>
      <c r="AD277" s="315">
        <v>0</v>
      </c>
      <c r="AE277" s="315">
        <v>0</v>
      </c>
      <c r="AF277" s="315">
        <v>0</v>
      </c>
      <c r="AG277" s="315">
        <v>0</v>
      </c>
      <c r="AH277" s="315">
        <v>0</v>
      </c>
      <c r="AI277" s="315">
        <v>0</v>
      </c>
      <c r="AJ277" s="315">
        <v>0</v>
      </c>
      <c r="AK277" s="315">
        <v>0</v>
      </c>
      <c r="AL277" s="315">
        <v>0</v>
      </c>
      <c r="AM277" s="315">
        <v>0</v>
      </c>
      <c r="AN277" s="315">
        <v>0</v>
      </c>
      <c r="AO277" s="315">
        <v>0</v>
      </c>
      <c r="AP277" s="315">
        <v>0</v>
      </c>
      <c r="AQ277" s="315">
        <v>0</v>
      </c>
      <c r="AR277" s="315">
        <v>0</v>
      </c>
      <c r="AS277" s="315">
        <v>0</v>
      </c>
      <c r="AT277" s="315">
        <v>0</v>
      </c>
      <c r="AU277" s="315">
        <v>0</v>
      </c>
      <c r="AV277" s="315">
        <v>0</v>
      </c>
      <c r="AW277" s="315">
        <v>0</v>
      </c>
      <c r="AX277" s="315">
        <v>0</v>
      </c>
      <c r="AY277" s="315">
        <v>0</v>
      </c>
      <c r="AZ277" s="315">
        <v>0</v>
      </c>
      <c r="BA277" s="315">
        <v>0</v>
      </c>
      <c r="BB277" s="315">
        <v>0</v>
      </c>
      <c r="BC277" s="315">
        <v>0</v>
      </c>
      <c r="BD277" s="315">
        <v>0</v>
      </c>
      <c r="BE277" s="315">
        <v>0</v>
      </c>
      <c r="BF277" s="315">
        <v>0</v>
      </c>
      <c r="BG277" s="315">
        <v>0</v>
      </c>
      <c r="BH277" s="315">
        <v>0</v>
      </c>
      <c r="BI277" s="315">
        <v>0</v>
      </c>
      <c r="BJ277" s="315">
        <v>0</v>
      </c>
      <c r="BK277" s="315">
        <v>0</v>
      </c>
      <c r="BL277" s="315">
        <v>0</v>
      </c>
      <c r="BM277" s="315">
        <v>0</v>
      </c>
      <c r="BN277" s="315">
        <v>0</v>
      </c>
      <c r="BO277" s="315">
        <v>0</v>
      </c>
      <c r="BP277" s="315">
        <v>0</v>
      </c>
      <c r="BQ277" s="315">
        <v>0</v>
      </c>
      <c r="BR277" s="315">
        <v>0</v>
      </c>
      <c r="BS277" s="315">
        <v>0</v>
      </c>
      <c r="BT277" s="315">
        <v>0</v>
      </c>
      <c r="BU277" s="315">
        <v>0</v>
      </c>
      <c r="BV277" s="315">
        <v>0</v>
      </c>
    </row>
    <row r="278" spans="12:74" hidden="1" x14ac:dyDescent="0.2">
      <c r="L278" s="315">
        <v>0</v>
      </c>
      <c r="M278" s="315">
        <v>0</v>
      </c>
      <c r="N278" s="315">
        <v>0</v>
      </c>
      <c r="O278" s="315">
        <v>0</v>
      </c>
      <c r="P278" s="315">
        <v>0</v>
      </c>
      <c r="Q278" s="315">
        <v>0</v>
      </c>
      <c r="R278" s="315">
        <v>0</v>
      </c>
      <c r="S278" s="315">
        <v>0</v>
      </c>
      <c r="T278" s="315">
        <v>0</v>
      </c>
      <c r="U278" s="315">
        <v>0</v>
      </c>
      <c r="V278" s="315">
        <v>0</v>
      </c>
      <c r="W278" s="315">
        <v>0</v>
      </c>
      <c r="X278" s="315">
        <v>0</v>
      </c>
      <c r="Y278" s="315">
        <v>0</v>
      </c>
      <c r="Z278" s="315">
        <v>0</v>
      </c>
      <c r="AA278" s="315">
        <v>0</v>
      </c>
      <c r="AB278" s="315">
        <v>0</v>
      </c>
      <c r="AC278" s="315">
        <v>0</v>
      </c>
      <c r="AD278" s="315">
        <v>0</v>
      </c>
      <c r="AE278" s="315">
        <v>0</v>
      </c>
      <c r="AF278" s="315">
        <v>0</v>
      </c>
      <c r="AG278" s="315">
        <v>0</v>
      </c>
      <c r="AH278" s="315">
        <v>0</v>
      </c>
      <c r="AI278" s="315">
        <v>0</v>
      </c>
      <c r="AJ278" s="315">
        <v>0</v>
      </c>
      <c r="AK278" s="315">
        <v>0</v>
      </c>
      <c r="AL278" s="315">
        <v>0</v>
      </c>
      <c r="AM278" s="315">
        <v>0</v>
      </c>
      <c r="AN278" s="315">
        <v>0</v>
      </c>
      <c r="AO278" s="315">
        <v>0</v>
      </c>
      <c r="AP278" s="315">
        <v>0</v>
      </c>
      <c r="AQ278" s="315">
        <v>0</v>
      </c>
      <c r="AR278" s="315">
        <v>0</v>
      </c>
      <c r="AS278" s="315">
        <v>0</v>
      </c>
      <c r="AT278" s="315">
        <v>0</v>
      </c>
      <c r="AU278" s="315">
        <v>0</v>
      </c>
      <c r="AV278" s="315">
        <v>0</v>
      </c>
      <c r="AW278" s="315">
        <v>0</v>
      </c>
      <c r="AX278" s="315">
        <v>0</v>
      </c>
      <c r="AY278" s="315">
        <v>0</v>
      </c>
      <c r="AZ278" s="315">
        <v>0</v>
      </c>
      <c r="BA278" s="315">
        <v>0</v>
      </c>
      <c r="BB278" s="315">
        <v>0</v>
      </c>
      <c r="BC278" s="315">
        <v>0</v>
      </c>
      <c r="BD278" s="315">
        <v>0</v>
      </c>
      <c r="BE278" s="315">
        <v>0</v>
      </c>
      <c r="BF278" s="315">
        <v>0</v>
      </c>
      <c r="BG278" s="315">
        <v>0</v>
      </c>
      <c r="BH278" s="315">
        <v>0</v>
      </c>
      <c r="BI278" s="315">
        <v>0</v>
      </c>
      <c r="BJ278" s="315">
        <v>0</v>
      </c>
      <c r="BK278" s="315">
        <v>0</v>
      </c>
      <c r="BL278" s="315">
        <v>0</v>
      </c>
      <c r="BM278" s="315">
        <v>0</v>
      </c>
      <c r="BN278" s="315">
        <v>0</v>
      </c>
      <c r="BO278" s="315">
        <v>0</v>
      </c>
      <c r="BP278" s="315">
        <v>0</v>
      </c>
      <c r="BQ278" s="315">
        <v>0</v>
      </c>
      <c r="BR278" s="315">
        <v>0</v>
      </c>
      <c r="BS278" s="315">
        <v>0</v>
      </c>
      <c r="BT278" s="315">
        <v>0</v>
      </c>
      <c r="BU278" s="315">
        <v>0</v>
      </c>
      <c r="BV278" s="315">
        <v>0</v>
      </c>
    </row>
    <row r="279" spans="12:74" hidden="1" x14ac:dyDescent="0.2">
      <c r="L279" s="315">
        <v>0</v>
      </c>
      <c r="M279" s="315">
        <v>0</v>
      </c>
      <c r="N279" s="315">
        <v>0</v>
      </c>
      <c r="O279" s="315">
        <v>0</v>
      </c>
      <c r="P279" s="315">
        <v>0</v>
      </c>
      <c r="Q279" s="315">
        <v>0</v>
      </c>
      <c r="R279" s="315">
        <v>0</v>
      </c>
      <c r="S279" s="315">
        <v>0</v>
      </c>
      <c r="T279" s="315">
        <v>0</v>
      </c>
      <c r="U279" s="315">
        <v>0</v>
      </c>
      <c r="V279" s="315">
        <v>0</v>
      </c>
      <c r="W279" s="315">
        <v>0</v>
      </c>
      <c r="X279" s="315">
        <v>0</v>
      </c>
      <c r="Y279" s="315">
        <v>0</v>
      </c>
      <c r="Z279" s="315">
        <v>0</v>
      </c>
      <c r="AA279" s="315">
        <v>0</v>
      </c>
      <c r="AB279" s="315">
        <v>0</v>
      </c>
      <c r="AC279" s="315">
        <v>0</v>
      </c>
      <c r="AD279" s="315">
        <v>0</v>
      </c>
      <c r="AE279" s="315">
        <v>0</v>
      </c>
      <c r="AF279" s="315">
        <v>0</v>
      </c>
      <c r="AG279" s="315">
        <v>0</v>
      </c>
      <c r="AH279" s="315">
        <v>0</v>
      </c>
      <c r="AI279" s="315">
        <v>0</v>
      </c>
      <c r="AJ279" s="315">
        <v>0</v>
      </c>
      <c r="AK279" s="315">
        <v>0</v>
      </c>
      <c r="AL279" s="315">
        <v>0</v>
      </c>
      <c r="AM279" s="315">
        <v>0</v>
      </c>
      <c r="AN279" s="315">
        <v>0</v>
      </c>
      <c r="AO279" s="315">
        <v>0</v>
      </c>
      <c r="AP279" s="315">
        <v>0</v>
      </c>
      <c r="AQ279" s="315">
        <v>0</v>
      </c>
      <c r="AR279" s="315">
        <v>0</v>
      </c>
      <c r="AS279" s="315">
        <v>0</v>
      </c>
      <c r="AT279" s="315">
        <v>0</v>
      </c>
      <c r="AU279" s="315">
        <v>0</v>
      </c>
      <c r="AV279" s="315">
        <v>0</v>
      </c>
      <c r="AW279" s="315">
        <v>0</v>
      </c>
      <c r="AX279" s="315">
        <v>0</v>
      </c>
      <c r="AY279" s="315">
        <v>0</v>
      </c>
      <c r="AZ279" s="315">
        <v>0</v>
      </c>
      <c r="BA279" s="315">
        <v>0</v>
      </c>
      <c r="BB279" s="315">
        <v>0</v>
      </c>
      <c r="BC279" s="315">
        <v>0</v>
      </c>
      <c r="BD279" s="315">
        <v>0</v>
      </c>
      <c r="BE279" s="315">
        <v>0</v>
      </c>
      <c r="BF279" s="315">
        <v>0</v>
      </c>
      <c r="BG279" s="315">
        <v>0</v>
      </c>
      <c r="BH279" s="315">
        <v>0</v>
      </c>
      <c r="BI279" s="315">
        <v>0</v>
      </c>
      <c r="BJ279" s="315">
        <v>0</v>
      </c>
      <c r="BK279" s="315">
        <v>0</v>
      </c>
      <c r="BL279" s="315">
        <v>0</v>
      </c>
      <c r="BM279" s="315">
        <v>0</v>
      </c>
      <c r="BN279" s="315">
        <v>0</v>
      </c>
      <c r="BO279" s="315">
        <v>0</v>
      </c>
      <c r="BP279" s="315">
        <v>0</v>
      </c>
      <c r="BQ279" s="315">
        <v>0</v>
      </c>
      <c r="BR279" s="315">
        <v>0</v>
      </c>
      <c r="BS279" s="315">
        <v>0</v>
      </c>
      <c r="BT279" s="315">
        <v>0</v>
      </c>
      <c r="BU279" s="315">
        <v>0</v>
      </c>
      <c r="BV279" s="315">
        <v>0</v>
      </c>
    </row>
    <row r="280" spans="12:74" hidden="1" x14ac:dyDescent="0.2">
      <c r="L280" s="315">
        <v>0</v>
      </c>
      <c r="M280" s="315">
        <v>0</v>
      </c>
      <c r="N280" s="315">
        <v>0</v>
      </c>
      <c r="O280" s="315">
        <v>0</v>
      </c>
      <c r="P280" s="315">
        <v>0</v>
      </c>
      <c r="Q280" s="315">
        <v>0</v>
      </c>
      <c r="R280" s="315">
        <v>0</v>
      </c>
      <c r="S280" s="315">
        <v>0</v>
      </c>
      <c r="T280" s="315">
        <v>0</v>
      </c>
      <c r="U280" s="315">
        <v>0</v>
      </c>
      <c r="V280" s="315">
        <v>0</v>
      </c>
      <c r="W280" s="315">
        <v>0</v>
      </c>
      <c r="X280" s="315">
        <v>0</v>
      </c>
      <c r="Y280" s="315">
        <v>0</v>
      </c>
      <c r="Z280" s="315">
        <v>0</v>
      </c>
      <c r="AA280" s="315">
        <v>0</v>
      </c>
      <c r="AB280" s="315">
        <v>0</v>
      </c>
      <c r="AC280" s="315">
        <v>0</v>
      </c>
      <c r="AD280" s="315">
        <v>0</v>
      </c>
      <c r="AE280" s="315">
        <v>0</v>
      </c>
      <c r="AF280" s="315">
        <v>0</v>
      </c>
      <c r="AG280" s="315">
        <v>0</v>
      </c>
      <c r="AH280" s="315">
        <v>0</v>
      </c>
      <c r="AI280" s="315">
        <v>0</v>
      </c>
      <c r="AJ280" s="315">
        <v>0</v>
      </c>
      <c r="AK280" s="315">
        <v>0</v>
      </c>
      <c r="AL280" s="315">
        <v>0</v>
      </c>
      <c r="AM280" s="315">
        <v>0</v>
      </c>
      <c r="AN280" s="315">
        <v>0</v>
      </c>
      <c r="AO280" s="315">
        <v>0</v>
      </c>
      <c r="AP280" s="315">
        <v>0</v>
      </c>
      <c r="AQ280" s="315">
        <v>0</v>
      </c>
      <c r="AR280" s="315">
        <v>0</v>
      </c>
      <c r="AS280" s="315">
        <v>0</v>
      </c>
      <c r="AT280" s="315">
        <v>0</v>
      </c>
      <c r="AU280" s="315">
        <v>0</v>
      </c>
      <c r="AV280" s="315">
        <v>0</v>
      </c>
      <c r="AW280" s="315">
        <v>0</v>
      </c>
      <c r="AX280" s="315">
        <v>0</v>
      </c>
      <c r="AY280" s="315">
        <v>0</v>
      </c>
      <c r="AZ280" s="315">
        <v>0</v>
      </c>
      <c r="BA280" s="315">
        <v>0</v>
      </c>
      <c r="BB280" s="315">
        <v>0</v>
      </c>
      <c r="BC280" s="315">
        <v>0</v>
      </c>
      <c r="BD280" s="315">
        <v>0</v>
      </c>
      <c r="BE280" s="315">
        <v>0</v>
      </c>
      <c r="BF280" s="315">
        <v>0</v>
      </c>
      <c r="BG280" s="315">
        <v>0</v>
      </c>
      <c r="BH280" s="315">
        <v>0</v>
      </c>
      <c r="BI280" s="315">
        <v>0</v>
      </c>
      <c r="BJ280" s="315">
        <v>0</v>
      </c>
      <c r="BK280" s="315">
        <v>0</v>
      </c>
      <c r="BL280" s="315">
        <v>0</v>
      </c>
      <c r="BM280" s="315">
        <v>0</v>
      </c>
      <c r="BN280" s="315">
        <v>0</v>
      </c>
      <c r="BO280" s="315">
        <v>0</v>
      </c>
      <c r="BP280" s="315">
        <v>0</v>
      </c>
      <c r="BQ280" s="315">
        <v>0</v>
      </c>
      <c r="BR280" s="315">
        <v>0</v>
      </c>
      <c r="BS280" s="315">
        <v>0</v>
      </c>
      <c r="BT280" s="315">
        <v>0</v>
      </c>
      <c r="BU280" s="315">
        <v>0</v>
      </c>
      <c r="BV280" s="315">
        <v>0</v>
      </c>
    </row>
    <row r="281" spans="12:74" hidden="1" x14ac:dyDescent="0.2">
      <c r="L281" s="315">
        <v>0</v>
      </c>
      <c r="M281" s="315">
        <v>0</v>
      </c>
      <c r="N281" s="315">
        <v>0</v>
      </c>
      <c r="O281" s="315">
        <v>0</v>
      </c>
      <c r="P281" s="315">
        <v>0</v>
      </c>
      <c r="Q281" s="315">
        <v>0</v>
      </c>
      <c r="R281" s="315">
        <v>0</v>
      </c>
      <c r="S281" s="315">
        <v>0</v>
      </c>
      <c r="T281" s="315">
        <v>0</v>
      </c>
      <c r="U281" s="315">
        <v>0</v>
      </c>
      <c r="V281" s="315">
        <v>0</v>
      </c>
      <c r="W281" s="315">
        <v>0</v>
      </c>
      <c r="X281" s="315">
        <v>0</v>
      </c>
      <c r="Y281" s="315">
        <v>0</v>
      </c>
      <c r="Z281" s="315">
        <v>0</v>
      </c>
      <c r="AA281" s="315">
        <v>0</v>
      </c>
      <c r="AB281" s="315">
        <v>0</v>
      </c>
      <c r="AC281" s="315">
        <v>0</v>
      </c>
      <c r="AD281" s="315">
        <v>0</v>
      </c>
      <c r="AE281" s="315">
        <v>0</v>
      </c>
      <c r="AF281" s="315">
        <v>0</v>
      </c>
      <c r="AG281" s="315">
        <v>0</v>
      </c>
      <c r="AH281" s="315">
        <v>0</v>
      </c>
      <c r="AI281" s="315">
        <v>0</v>
      </c>
      <c r="AJ281" s="315">
        <v>0</v>
      </c>
      <c r="AK281" s="315">
        <v>0</v>
      </c>
      <c r="AL281" s="315">
        <v>0</v>
      </c>
      <c r="AM281" s="315">
        <v>0</v>
      </c>
      <c r="AN281" s="315">
        <v>0</v>
      </c>
      <c r="AO281" s="315">
        <v>0</v>
      </c>
      <c r="AP281" s="315">
        <v>0</v>
      </c>
      <c r="AQ281" s="315">
        <v>0</v>
      </c>
      <c r="AR281" s="315">
        <v>0</v>
      </c>
      <c r="AS281" s="315">
        <v>0</v>
      </c>
      <c r="AT281" s="315">
        <v>0</v>
      </c>
      <c r="AU281" s="315">
        <v>0</v>
      </c>
      <c r="AV281" s="315">
        <v>0</v>
      </c>
      <c r="AW281" s="315">
        <v>0</v>
      </c>
      <c r="AX281" s="315">
        <v>0</v>
      </c>
      <c r="AY281" s="315">
        <v>0</v>
      </c>
      <c r="AZ281" s="315">
        <v>0</v>
      </c>
      <c r="BA281" s="315">
        <v>0</v>
      </c>
      <c r="BB281" s="315">
        <v>0</v>
      </c>
      <c r="BC281" s="315">
        <v>0</v>
      </c>
      <c r="BD281" s="315">
        <v>0</v>
      </c>
      <c r="BE281" s="315">
        <v>0</v>
      </c>
      <c r="BF281" s="315">
        <v>0</v>
      </c>
      <c r="BG281" s="315">
        <v>0</v>
      </c>
      <c r="BH281" s="315">
        <v>0</v>
      </c>
      <c r="BI281" s="315">
        <v>0</v>
      </c>
      <c r="BJ281" s="315">
        <v>0</v>
      </c>
      <c r="BK281" s="315">
        <v>0</v>
      </c>
      <c r="BL281" s="315">
        <v>0</v>
      </c>
      <c r="BM281" s="315">
        <v>0</v>
      </c>
      <c r="BN281" s="315">
        <v>0</v>
      </c>
      <c r="BO281" s="315">
        <v>0</v>
      </c>
      <c r="BP281" s="315">
        <v>0</v>
      </c>
      <c r="BQ281" s="315">
        <v>0</v>
      </c>
      <c r="BR281" s="315">
        <v>0</v>
      </c>
      <c r="BS281" s="315">
        <v>0</v>
      </c>
      <c r="BT281" s="315">
        <v>0</v>
      </c>
      <c r="BU281" s="315">
        <v>0</v>
      </c>
      <c r="BV281" s="315">
        <v>0</v>
      </c>
    </row>
    <row r="282" spans="12:74" hidden="1" x14ac:dyDescent="0.2">
      <c r="L282" s="315">
        <v>0</v>
      </c>
      <c r="M282" s="315">
        <v>0</v>
      </c>
      <c r="N282" s="315">
        <v>0</v>
      </c>
      <c r="O282" s="315">
        <v>0</v>
      </c>
      <c r="P282" s="315">
        <v>0</v>
      </c>
      <c r="Q282" s="315">
        <v>0</v>
      </c>
      <c r="R282" s="315">
        <v>0</v>
      </c>
      <c r="S282" s="315">
        <v>0</v>
      </c>
      <c r="T282" s="315">
        <v>0</v>
      </c>
      <c r="U282" s="315">
        <v>0</v>
      </c>
      <c r="V282" s="315">
        <v>0</v>
      </c>
      <c r="W282" s="315">
        <v>0</v>
      </c>
      <c r="X282" s="315">
        <v>0</v>
      </c>
      <c r="Y282" s="315">
        <v>0</v>
      </c>
      <c r="Z282" s="315">
        <v>0</v>
      </c>
      <c r="AA282" s="315">
        <v>0</v>
      </c>
      <c r="AB282" s="315">
        <v>0</v>
      </c>
      <c r="AC282" s="315">
        <v>0</v>
      </c>
      <c r="AD282" s="315">
        <v>0</v>
      </c>
      <c r="AE282" s="315">
        <v>0</v>
      </c>
      <c r="AF282" s="315">
        <v>0</v>
      </c>
      <c r="AG282" s="315">
        <v>0</v>
      </c>
      <c r="AH282" s="315">
        <v>0</v>
      </c>
      <c r="AI282" s="315">
        <v>0</v>
      </c>
      <c r="AJ282" s="315">
        <v>0</v>
      </c>
      <c r="AK282" s="315">
        <v>0</v>
      </c>
      <c r="AL282" s="315">
        <v>0</v>
      </c>
      <c r="AM282" s="315">
        <v>0</v>
      </c>
      <c r="AN282" s="315">
        <v>0</v>
      </c>
      <c r="AO282" s="315">
        <v>0</v>
      </c>
      <c r="AP282" s="315">
        <v>0</v>
      </c>
      <c r="AQ282" s="315">
        <v>0</v>
      </c>
      <c r="AR282" s="315">
        <v>0</v>
      </c>
      <c r="AS282" s="315">
        <v>0</v>
      </c>
      <c r="AT282" s="315">
        <v>0</v>
      </c>
      <c r="AU282" s="315">
        <v>0</v>
      </c>
      <c r="AV282" s="315">
        <v>0</v>
      </c>
      <c r="AW282" s="315">
        <v>0</v>
      </c>
      <c r="AX282" s="315">
        <v>0</v>
      </c>
      <c r="AY282" s="315">
        <v>0</v>
      </c>
      <c r="AZ282" s="315">
        <v>0</v>
      </c>
      <c r="BA282" s="315">
        <v>0</v>
      </c>
      <c r="BB282" s="315">
        <v>0</v>
      </c>
      <c r="BC282" s="315">
        <v>0</v>
      </c>
      <c r="BD282" s="315">
        <v>0</v>
      </c>
      <c r="BE282" s="315">
        <v>0</v>
      </c>
      <c r="BF282" s="315">
        <v>0</v>
      </c>
      <c r="BG282" s="315">
        <v>0</v>
      </c>
      <c r="BH282" s="315">
        <v>0</v>
      </c>
      <c r="BI282" s="315">
        <v>0</v>
      </c>
      <c r="BJ282" s="315">
        <v>0</v>
      </c>
      <c r="BK282" s="315">
        <v>0</v>
      </c>
      <c r="BL282" s="315">
        <v>0</v>
      </c>
      <c r="BM282" s="315">
        <v>0</v>
      </c>
      <c r="BN282" s="315">
        <v>0</v>
      </c>
      <c r="BO282" s="315">
        <v>0</v>
      </c>
      <c r="BP282" s="315">
        <v>0</v>
      </c>
      <c r="BQ282" s="315">
        <v>0</v>
      </c>
      <c r="BR282" s="315">
        <v>0</v>
      </c>
      <c r="BS282" s="315">
        <v>0</v>
      </c>
      <c r="BT282" s="315">
        <v>0</v>
      </c>
      <c r="BU282" s="315">
        <v>0</v>
      </c>
      <c r="BV282" s="315">
        <v>0</v>
      </c>
    </row>
    <row r="283" spans="12:74" hidden="1" x14ac:dyDescent="0.2">
      <c r="L283" s="315">
        <v>0</v>
      </c>
      <c r="M283" s="315">
        <v>0</v>
      </c>
      <c r="N283" s="315">
        <v>0</v>
      </c>
      <c r="O283" s="315">
        <v>0</v>
      </c>
      <c r="P283" s="315">
        <v>0</v>
      </c>
      <c r="Q283" s="315">
        <v>0</v>
      </c>
      <c r="R283" s="315">
        <v>0</v>
      </c>
      <c r="S283" s="315">
        <v>0</v>
      </c>
      <c r="T283" s="315">
        <v>0</v>
      </c>
      <c r="U283" s="315">
        <v>0</v>
      </c>
      <c r="V283" s="315">
        <v>0</v>
      </c>
      <c r="W283" s="315">
        <v>0</v>
      </c>
      <c r="X283" s="315">
        <v>0</v>
      </c>
      <c r="Y283" s="315">
        <v>0</v>
      </c>
      <c r="Z283" s="315">
        <v>0</v>
      </c>
      <c r="AA283" s="315">
        <v>0</v>
      </c>
      <c r="AB283" s="315">
        <v>0</v>
      </c>
      <c r="AC283" s="315">
        <v>0</v>
      </c>
      <c r="AD283" s="315">
        <v>0</v>
      </c>
      <c r="AE283" s="315">
        <v>0</v>
      </c>
      <c r="AF283" s="315">
        <v>0</v>
      </c>
      <c r="AG283" s="315">
        <v>0</v>
      </c>
      <c r="AH283" s="315">
        <v>0</v>
      </c>
      <c r="AI283" s="315">
        <v>0</v>
      </c>
      <c r="AJ283" s="315">
        <v>0</v>
      </c>
      <c r="AK283" s="315">
        <v>0</v>
      </c>
      <c r="AL283" s="315">
        <v>0</v>
      </c>
      <c r="AM283" s="315">
        <v>0</v>
      </c>
      <c r="AN283" s="315">
        <v>0</v>
      </c>
      <c r="AO283" s="315">
        <v>0</v>
      </c>
      <c r="AP283" s="315">
        <v>0</v>
      </c>
      <c r="AQ283" s="315">
        <v>0</v>
      </c>
      <c r="AR283" s="315">
        <v>0</v>
      </c>
      <c r="AS283" s="315">
        <v>0</v>
      </c>
      <c r="AT283" s="315">
        <v>0</v>
      </c>
      <c r="AU283" s="315">
        <v>0</v>
      </c>
      <c r="AV283" s="315">
        <v>0</v>
      </c>
      <c r="AW283" s="315">
        <v>0</v>
      </c>
      <c r="AX283" s="315">
        <v>0</v>
      </c>
      <c r="AY283" s="315">
        <v>0</v>
      </c>
      <c r="AZ283" s="315">
        <v>0</v>
      </c>
      <c r="BA283" s="315">
        <v>0</v>
      </c>
      <c r="BB283" s="315">
        <v>0</v>
      </c>
      <c r="BC283" s="315">
        <v>0</v>
      </c>
      <c r="BD283" s="315">
        <v>0</v>
      </c>
      <c r="BE283" s="315">
        <v>0</v>
      </c>
      <c r="BF283" s="315">
        <v>0</v>
      </c>
      <c r="BG283" s="315">
        <v>0</v>
      </c>
      <c r="BH283" s="315">
        <v>0</v>
      </c>
      <c r="BI283" s="315">
        <v>0</v>
      </c>
      <c r="BJ283" s="315">
        <v>0</v>
      </c>
      <c r="BK283" s="315">
        <v>0</v>
      </c>
      <c r="BL283" s="315">
        <v>0</v>
      </c>
      <c r="BM283" s="315">
        <v>0</v>
      </c>
      <c r="BN283" s="315">
        <v>0</v>
      </c>
      <c r="BO283" s="315">
        <v>0</v>
      </c>
      <c r="BP283" s="315">
        <v>0</v>
      </c>
      <c r="BQ283" s="315">
        <v>0</v>
      </c>
      <c r="BR283" s="315">
        <v>0</v>
      </c>
      <c r="BS283" s="315">
        <v>0</v>
      </c>
      <c r="BT283" s="315">
        <v>0</v>
      </c>
      <c r="BU283" s="315">
        <v>0</v>
      </c>
      <c r="BV283" s="315">
        <v>0</v>
      </c>
    </row>
    <row r="284" spans="12:74" hidden="1" x14ac:dyDescent="0.2">
      <c r="L284" s="315">
        <v>0</v>
      </c>
      <c r="M284" s="315">
        <v>0</v>
      </c>
      <c r="N284" s="315">
        <v>0</v>
      </c>
      <c r="O284" s="315">
        <v>0</v>
      </c>
      <c r="P284" s="315">
        <v>0</v>
      </c>
      <c r="Q284" s="315">
        <v>0</v>
      </c>
      <c r="R284" s="315">
        <v>0</v>
      </c>
      <c r="S284" s="315">
        <v>0</v>
      </c>
      <c r="T284" s="315">
        <v>0</v>
      </c>
      <c r="U284" s="315">
        <v>0</v>
      </c>
      <c r="V284" s="315">
        <v>0</v>
      </c>
      <c r="W284" s="315">
        <v>0</v>
      </c>
      <c r="X284" s="315">
        <v>0</v>
      </c>
      <c r="Y284" s="315">
        <v>0</v>
      </c>
      <c r="Z284" s="315">
        <v>0</v>
      </c>
      <c r="AA284" s="315">
        <v>0</v>
      </c>
      <c r="AB284" s="315">
        <v>0</v>
      </c>
      <c r="AC284" s="315">
        <v>0</v>
      </c>
      <c r="AD284" s="315">
        <v>0</v>
      </c>
      <c r="AE284" s="315">
        <v>0</v>
      </c>
      <c r="AF284" s="315">
        <v>0</v>
      </c>
      <c r="AG284" s="315">
        <v>0</v>
      </c>
      <c r="AH284" s="315">
        <v>0</v>
      </c>
      <c r="AI284" s="315">
        <v>0</v>
      </c>
      <c r="AJ284" s="315">
        <v>0</v>
      </c>
      <c r="AK284" s="315">
        <v>0</v>
      </c>
      <c r="AL284" s="315">
        <v>0</v>
      </c>
      <c r="AM284" s="315">
        <v>0</v>
      </c>
      <c r="AN284" s="315">
        <v>0</v>
      </c>
      <c r="AO284" s="315">
        <v>0</v>
      </c>
      <c r="AP284" s="315">
        <v>0</v>
      </c>
      <c r="AQ284" s="315">
        <v>0</v>
      </c>
      <c r="AR284" s="315">
        <v>0</v>
      </c>
      <c r="AS284" s="315">
        <v>0</v>
      </c>
      <c r="AT284" s="315">
        <v>0</v>
      </c>
      <c r="AU284" s="315">
        <v>0</v>
      </c>
      <c r="AV284" s="315">
        <v>0</v>
      </c>
      <c r="AW284" s="315">
        <v>0</v>
      </c>
      <c r="AX284" s="315">
        <v>0</v>
      </c>
      <c r="AY284" s="315">
        <v>0</v>
      </c>
      <c r="AZ284" s="315">
        <v>0</v>
      </c>
      <c r="BA284" s="315">
        <v>0</v>
      </c>
      <c r="BB284" s="315">
        <v>0</v>
      </c>
      <c r="BC284" s="315">
        <v>0</v>
      </c>
      <c r="BD284" s="315">
        <v>0</v>
      </c>
      <c r="BE284" s="315">
        <v>0</v>
      </c>
      <c r="BF284" s="315">
        <v>0</v>
      </c>
      <c r="BG284" s="315">
        <v>0</v>
      </c>
      <c r="BH284" s="315">
        <v>0</v>
      </c>
      <c r="BI284" s="315">
        <v>0</v>
      </c>
      <c r="BJ284" s="315">
        <v>0</v>
      </c>
      <c r="BK284" s="315">
        <v>0</v>
      </c>
      <c r="BL284" s="315">
        <v>0</v>
      </c>
      <c r="BM284" s="315">
        <v>0</v>
      </c>
      <c r="BN284" s="315">
        <v>0</v>
      </c>
      <c r="BO284" s="315">
        <v>0</v>
      </c>
      <c r="BP284" s="315">
        <v>0</v>
      </c>
      <c r="BQ284" s="315">
        <v>0</v>
      </c>
      <c r="BR284" s="315">
        <v>0</v>
      </c>
      <c r="BS284" s="315">
        <v>0</v>
      </c>
      <c r="BT284" s="315">
        <v>0</v>
      </c>
      <c r="BU284" s="315">
        <v>0</v>
      </c>
      <c r="BV284" s="315">
        <v>0</v>
      </c>
    </row>
    <row r="285" spans="12:74" hidden="1" x14ac:dyDescent="0.2">
      <c r="L285" s="315">
        <v>0</v>
      </c>
      <c r="M285" s="315">
        <v>0</v>
      </c>
      <c r="N285" s="315">
        <v>0</v>
      </c>
      <c r="O285" s="315">
        <v>0</v>
      </c>
      <c r="P285" s="315">
        <v>0</v>
      </c>
      <c r="Q285" s="315">
        <v>0</v>
      </c>
      <c r="R285" s="315">
        <v>0</v>
      </c>
      <c r="S285" s="315">
        <v>0</v>
      </c>
      <c r="T285" s="315">
        <v>0</v>
      </c>
      <c r="U285" s="315">
        <v>0</v>
      </c>
      <c r="V285" s="315">
        <v>0</v>
      </c>
      <c r="W285" s="315">
        <v>0</v>
      </c>
      <c r="X285" s="315">
        <v>0</v>
      </c>
      <c r="Y285" s="315">
        <v>0</v>
      </c>
      <c r="Z285" s="315">
        <v>0</v>
      </c>
      <c r="AA285" s="315">
        <v>0</v>
      </c>
      <c r="AB285" s="315">
        <v>0</v>
      </c>
      <c r="AC285" s="315">
        <v>0</v>
      </c>
      <c r="AD285" s="315">
        <v>0</v>
      </c>
      <c r="AE285" s="315">
        <v>0</v>
      </c>
      <c r="AF285" s="315">
        <v>0</v>
      </c>
      <c r="AG285" s="315">
        <v>0</v>
      </c>
      <c r="AH285" s="315">
        <v>0</v>
      </c>
      <c r="AI285" s="315">
        <v>0</v>
      </c>
      <c r="AJ285" s="315">
        <v>0</v>
      </c>
      <c r="AK285" s="315">
        <v>0</v>
      </c>
      <c r="AL285" s="315">
        <v>0</v>
      </c>
      <c r="AM285" s="315">
        <v>0</v>
      </c>
      <c r="AN285" s="315">
        <v>0</v>
      </c>
      <c r="AO285" s="315">
        <v>0</v>
      </c>
      <c r="AP285" s="315">
        <v>0</v>
      </c>
      <c r="AQ285" s="315">
        <v>0</v>
      </c>
      <c r="AR285" s="315">
        <v>0</v>
      </c>
      <c r="AS285" s="315">
        <v>0</v>
      </c>
      <c r="AT285" s="315">
        <v>0</v>
      </c>
      <c r="AU285" s="315">
        <v>0</v>
      </c>
      <c r="AV285" s="315">
        <v>0</v>
      </c>
      <c r="AW285" s="315">
        <v>0</v>
      </c>
      <c r="AX285" s="315">
        <v>0</v>
      </c>
      <c r="AY285" s="315">
        <v>0</v>
      </c>
      <c r="AZ285" s="315">
        <v>0</v>
      </c>
      <c r="BA285" s="315">
        <v>0</v>
      </c>
      <c r="BB285" s="315">
        <v>0</v>
      </c>
      <c r="BC285" s="315">
        <v>0</v>
      </c>
      <c r="BD285" s="315">
        <v>0</v>
      </c>
      <c r="BE285" s="315">
        <v>0</v>
      </c>
      <c r="BF285" s="315">
        <v>0</v>
      </c>
      <c r="BG285" s="315">
        <v>0</v>
      </c>
      <c r="BH285" s="315">
        <v>0</v>
      </c>
      <c r="BI285" s="315">
        <v>0</v>
      </c>
      <c r="BJ285" s="315">
        <v>0</v>
      </c>
      <c r="BK285" s="315">
        <v>0</v>
      </c>
      <c r="BL285" s="315">
        <v>0</v>
      </c>
      <c r="BM285" s="315">
        <v>0</v>
      </c>
      <c r="BN285" s="315">
        <v>0</v>
      </c>
      <c r="BO285" s="315">
        <v>0</v>
      </c>
      <c r="BP285" s="315">
        <v>0</v>
      </c>
      <c r="BQ285" s="315">
        <v>0</v>
      </c>
      <c r="BR285" s="315">
        <v>0</v>
      </c>
      <c r="BS285" s="315">
        <v>0</v>
      </c>
      <c r="BT285" s="315">
        <v>0</v>
      </c>
      <c r="BU285" s="315">
        <v>0</v>
      </c>
      <c r="BV285" s="315">
        <v>0</v>
      </c>
    </row>
    <row r="286" spans="12:74" hidden="1" x14ac:dyDescent="0.2">
      <c r="L286" s="315">
        <v>0</v>
      </c>
      <c r="M286" s="315">
        <v>0</v>
      </c>
      <c r="N286" s="315">
        <v>0</v>
      </c>
      <c r="O286" s="315">
        <v>0</v>
      </c>
      <c r="P286" s="315">
        <v>0</v>
      </c>
      <c r="Q286" s="315">
        <v>0</v>
      </c>
      <c r="R286" s="315">
        <v>0</v>
      </c>
      <c r="S286" s="315">
        <v>0</v>
      </c>
      <c r="T286" s="315">
        <v>0</v>
      </c>
      <c r="U286" s="315">
        <v>0</v>
      </c>
      <c r="V286" s="315">
        <v>0</v>
      </c>
      <c r="W286" s="315">
        <v>0</v>
      </c>
      <c r="X286" s="315">
        <v>0</v>
      </c>
      <c r="Y286" s="315">
        <v>0</v>
      </c>
      <c r="Z286" s="315">
        <v>0</v>
      </c>
      <c r="AA286" s="315">
        <v>0</v>
      </c>
      <c r="AB286" s="315">
        <v>0</v>
      </c>
      <c r="AC286" s="315">
        <v>0</v>
      </c>
      <c r="AD286" s="315">
        <v>0</v>
      </c>
      <c r="AE286" s="315">
        <v>0</v>
      </c>
      <c r="AF286" s="315">
        <v>0</v>
      </c>
      <c r="AG286" s="315">
        <v>0</v>
      </c>
      <c r="AH286" s="315">
        <v>0</v>
      </c>
      <c r="AI286" s="315">
        <v>0</v>
      </c>
      <c r="AJ286" s="315">
        <v>0</v>
      </c>
      <c r="AK286" s="315">
        <v>0</v>
      </c>
      <c r="AL286" s="315">
        <v>0</v>
      </c>
      <c r="AM286" s="315">
        <v>0</v>
      </c>
      <c r="AN286" s="315">
        <v>0</v>
      </c>
      <c r="AO286" s="315">
        <v>0</v>
      </c>
      <c r="AP286" s="315">
        <v>0</v>
      </c>
      <c r="AQ286" s="315">
        <v>0</v>
      </c>
      <c r="AR286" s="315">
        <v>0</v>
      </c>
      <c r="AS286" s="315">
        <v>0</v>
      </c>
      <c r="AT286" s="315">
        <v>0</v>
      </c>
      <c r="AU286" s="315">
        <v>0</v>
      </c>
      <c r="AV286" s="315">
        <v>0</v>
      </c>
      <c r="AW286" s="315">
        <v>0</v>
      </c>
      <c r="AX286" s="315">
        <v>0</v>
      </c>
      <c r="AY286" s="315">
        <v>0</v>
      </c>
      <c r="AZ286" s="315">
        <v>0</v>
      </c>
      <c r="BA286" s="315">
        <v>0</v>
      </c>
      <c r="BB286" s="315">
        <v>0</v>
      </c>
      <c r="BC286" s="315">
        <v>0</v>
      </c>
      <c r="BD286" s="315">
        <v>0</v>
      </c>
      <c r="BE286" s="315">
        <v>0</v>
      </c>
      <c r="BF286" s="315">
        <v>0</v>
      </c>
      <c r="BG286" s="315">
        <v>0</v>
      </c>
      <c r="BH286" s="315">
        <v>0</v>
      </c>
      <c r="BI286" s="315">
        <v>0</v>
      </c>
      <c r="BJ286" s="315">
        <v>0</v>
      </c>
      <c r="BK286" s="315">
        <v>0</v>
      </c>
      <c r="BL286" s="315">
        <v>0</v>
      </c>
      <c r="BM286" s="315">
        <v>0</v>
      </c>
      <c r="BN286" s="315">
        <v>0</v>
      </c>
      <c r="BO286" s="315">
        <v>0</v>
      </c>
      <c r="BP286" s="315">
        <v>0</v>
      </c>
      <c r="BQ286" s="315">
        <v>0</v>
      </c>
      <c r="BR286" s="315">
        <v>0</v>
      </c>
      <c r="BS286" s="315">
        <v>0</v>
      </c>
      <c r="BT286" s="315">
        <v>0</v>
      </c>
      <c r="BU286" s="315">
        <v>0</v>
      </c>
      <c r="BV286" s="315">
        <v>0</v>
      </c>
    </row>
    <row r="287" spans="12:74" hidden="1" x14ac:dyDescent="0.2">
      <c r="L287" s="315" t="e">
        <v>#REF!</v>
      </c>
      <c r="M287" s="315" t="e">
        <v>#REF!</v>
      </c>
      <c r="N287" s="315" t="e">
        <v>#REF!</v>
      </c>
      <c r="O287" s="315" t="e">
        <v>#REF!</v>
      </c>
      <c r="P287" s="315" t="e">
        <v>#REF!</v>
      </c>
      <c r="Q287" s="315" t="e">
        <v>#REF!</v>
      </c>
      <c r="R287" s="315" t="e">
        <v>#REF!</v>
      </c>
      <c r="S287" s="315" t="e">
        <v>#REF!</v>
      </c>
      <c r="T287" s="315" t="e">
        <v>#REF!</v>
      </c>
      <c r="U287" s="315" t="e">
        <v>#REF!</v>
      </c>
      <c r="V287" s="315" t="e">
        <v>#REF!</v>
      </c>
      <c r="W287" s="315" t="e">
        <v>#REF!</v>
      </c>
      <c r="X287" s="315" t="e">
        <v>#REF!</v>
      </c>
      <c r="Y287" s="315" t="e">
        <v>#REF!</v>
      </c>
      <c r="Z287" s="315" t="e">
        <v>#REF!</v>
      </c>
      <c r="AA287" s="315" t="e">
        <v>#REF!</v>
      </c>
      <c r="AB287" s="315" t="e">
        <v>#REF!</v>
      </c>
      <c r="AC287" s="315" t="e">
        <v>#REF!</v>
      </c>
      <c r="AD287" s="315" t="e">
        <v>#REF!</v>
      </c>
      <c r="AE287" s="315" t="e">
        <v>#REF!</v>
      </c>
      <c r="AF287" s="315" t="e">
        <v>#REF!</v>
      </c>
      <c r="AG287" s="315" t="e">
        <v>#REF!</v>
      </c>
      <c r="AH287" s="315" t="e">
        <v>#REF!</v>
      </c>
      <c r="AI287" s="315" t="e">
        <v>#REF!</v>
      </c>
      <c r="AJ287" s="315" t="e">
        <v>#REF!</v>
      </c>
      <c r="AK287" s="315" t="e">
        <v>#REF!</v>
      </c>
      <c r="AL287" s="315" t="e">
        <v>#REF!</v>
      </c>
      <c r="AM287" s="315" t="e">
        <v>#REF!</v>
      </c>
      <c r="AN287" s="315" t="e">
        <v>#REF!</v>
      </c>
      <c r="AO287" s="315" t="e">
        <v>#REF!</v>
      </c>
      <c r="AP287" s="315" t="e">
        <v>#REF!</v>
      </c>
      <c r="AQ287" s="315" t="e">
        <v>#REF!</v>
      </c>
      <c r="AR287" s="315" t="e">
        <v>#REF!</v>
      </c>
      <c r="AS287" s="315" t="e">
        <v>#REF!</v>
      </c>
      <c r="AT287" s="315" t="e">
        <v>#REF!</v>
      </c>
      <c r="AU287" s="315" t="e">
        <v>#REF!</v>
      </c>
      <c r="AV287" s="315" t="e">
        <v>#REF!</v>
      </c>
      <c r="AW287" s="315" t="e">
        <v>#REF!</v>
      </c>
      <c r="AX287" s="315" t="e">
        <v>#REF!</v>
      </c>
      <c r="AY287" s="315" t="e">
        <v>#REF!</v>
      </c>
      <c r="AZ287" s="315" t="e">
        <v>#REF!</v>
      </c>
      <c r="BA287" s="315" t="e">
        <v>#REF!</v>
      </c>
      <c r="BB287" s="315" t="e">
        <v>#REF!</v>
      </c>
      <c r="BC287" s="315" t="e">
        <v>#REF!</v>
      </c>
      <c r="BD287" s="315" t="e">
        <v>#REF!</v>
      </c>
      <c r="BE287" s="315" t="e">
        <v>#REF!</v>
      </c>
      <c r="BF287" s="315" t="e">
        <v>#REF!</v>
      </c>
      <c r="BG287" s="315" t="e">
        <v>#REF!</v>
      </c>
      <c r="BH287" s="315" t="e">
        <v>#REF!</v>
      </c>
      <c r="BI287" s="315" t="e">
        <v>#REF!</v>
      </c>
      <c r="BJ287" s="315" t="e">
        <v>#REF!</v>
      </c>
      <c r="BK287" s="315" t="e">
        <v>#REF!</v>
      </c>
      <c r="BL287" s="315" t="e">
        <v>#REF!</v>
      </c>
      <c r="BM287" s="315" t="e">
        <v>#REF!</v>
      </c>
      <c r="BN287" s="315" t="e">
        <v>#REF!</v>
      </c>
      <c r="BO287" s="315" t="e">
        <v>#REF!</v>
      </c>
      <c r="BP287" s="315" t="e">
        <v>#REF!</v>
      </c>
      <c r="BQ287" s="315" t="e">
        <v>#REF!</v>
      </c>
      <c r="BR287" s="315" t="e">
        <v>#REF!</v>
      </c>
      <c r="BS287" s="315" t="e">
        <v>#REF!</v>
      </c>
      <c r="BT287" s="315" t="e">
        <v>#REF!</v>
      </c>
      <c r="BU287" s="315" t="e">
        <v>#REF!</v>
      </c>
      <c r="BV287" s="315" t="e">
        <v>#REF!</v>
      </c>
    </row>
    <row r="288" spans="12:74" hidden="1" x14ac:dyDescent="0.2">
      <c r="L288" s="315">
        <v>0</v>
      </c>
      <c r="M288" s="315">
        <v>0</v>
      </c>
      <c r="N288" s="315">
        <v>0</v>
      </c>
      <c r="O288" s="315">
        <v>0</v>
      </c>
      <c r="P288" s="315">
        <v>0</v>
      </c>
      <c r="Q288" s="315">
        <v>0</v>
      </c>
      <c r="R288" s="315">
        <v>0</v>
      </c>
      <c r="S288" s="315">
        <v>0</v>
      </c>
      <c r="T288" s="315">
        <v>0</v>
      </c>
      <c r="U288" s="315">
        <v>0</v>
      </c>
      <c r="V288" s="315">
        <v>0</v>
      </c>
      <c r="W288" s="315">
        <v>0</v>
      </c>
      <c r="X288" s="315">
        <v>0</v>
      </c>
      <c r="Y288" s="315">
        <v>0</v>
      </c>
      <c r="Z288" s="315">
        <v>0</v>
      </c>
      <c r="AA288" s="315">
        <v>0</v>
      </c>
      <c r="AB288" s="315">
        <v>0</v>
      </c>
      <c r="AC288" s="315">
        <v>0</v>
      </c>
      <c r="AD288" s="315">
        <v>0</v>
      </c>
      <c r="AE288" s="315">
        <v>0</v>
      </c>
      <c r="AF288" s="315">
        <v>0</v>
      </c>
      <c r="AG288" s="315">
        <v>0</v>
      </c>
      <c r="AH288" s="315">
        <v>0</v>
      </c>
      <c r="AI288" s="315">
        <v>0</v>
      </c>
      <c r="AJ288" s="315">
        <v>0</v>
      </c>
      <c r="AK288" s="315">
        <v>0</v>
      </c>
      <c r="AL288" s="315">
        <v>0</v>
      </c>
      <c r="AM288" s="315">
        <v>0</v>
      </c>
      <c r="AN288" s="315">
        <v>0</v>
      </c>
      <c r="AO288" s="315">
        <v>0</v>
      </c>
      <c r="AP288" s="315">
        <v>0</v>
      </c>
      <c r="AQ288" s="315">
        <v>0</v>
      </c>
      <c r="AR288" s="315">
        <v>0</v>
      </c>
      <c r="AS288" s="315">
        <v>0</v>
      </c>
      <c r="AT288" s="315">
        <v>0</v>
      </c>
      <c r="AU288" s="315">
        <v>0</v>
      </c>
      <c r="AV288" s="315">
        <v>0</v>
      </c>
      <c r="AW288" s="315">
        <v>0</v>
      </c>
      <c r="AX288" s="315">
        <v>0</v>
      </c>
      <c r="AY288" s="315">
        <v>0</v>
      </c>
      <c r="AZ288" s="315">
        <v>0</v>
      </c>
      <c r="BA288" s="315">
        <v>0</v>
      </c>
      <c r="BB288" s="315">
        <v>0</v>
      </c>
      <c r="BC288" s="315">
        <v>0</v>
      </c>
      <c r="BD288" s="315">
        <v>0</v>
      </c>
      <c r="BE288" s="315">
        <v>0</v>
      </c>
      <c r="BF288" s="315">
        <v>0</v>
      </c>
      <c r="BG288" s="315">
        <v>0</v>
      </c>
      <c r="BH288" s="315">
        <v>0</v>
      </c>
      <c r="BI288" s="315">
        <v>0</v>
      </c>
      <c r="BJ288" s="315">
        <v>0</v>
      </c>
      <c r="BK288" s="315">
        <v>0</v>
      </c>
      <c r="BL288" s="315">
        <v>0</v>
      </c>
      <c r="BM288" s="315">
        <v>0</v>
      </c>
      <c r="BN288" s="315">
        <v>0</v>
      </c>
      <c r="BO288" s="315">
        <v>0</v>
      </c>
      <c r="BP288" s="315">
        <v>0</v>
      </c>
      <c r="BQ288" s="315">
        <v>0</v>
      </c>
      <c r="BR288" s="315">
        <v>0</v>
      </c>
      <c r="BS288" s="315">
        <v>0</v>
      </c>
      <c r="BT288" s="315">
        <v>0</v>
      </c>
      <c r="BU288" s="315">
        <v>0</v>
      </c>
      <c r="BV288" s="315">
        <v>0</v>
      </c>
    </row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</sheetData>
  <mergeCells count="1">
    <mergeCell ref="G8:BV8"/>
  </mergeCells>
  <pageMargins left="0.7" right="0.7" top="0.75" bottom="0.75" header="0.3" footer="0.3"/>
  <pageSetup paperSize="9" scale="3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280"/>
  <sheetViews>
    <sheetView view="pageBreakPreview" topLeftCell="K1" zoomScaleNormal="100" zoomScaleSheetLayoutView="100" workbookViewId="0">
      <selection activeCell="G351" sqref="G351"/>
    </sheetView>
  </sheetViews>
  <sheetFormatPr defaultColWidth="10" defaultRowHeight="12.75" x14ac:dyDescent="0.2"/>
  <cols>
    <col min="1" max="1" width="1.85546875" style="315" customWidth="1"/>
    <col min="2" max="2" width="1" style="315" customWidth="1"/>
    <col min="3" max="3" width="0.85546875" style="315" customWidth="1"/>
    <col min="4" max="4" width="63.140625" style="315" customWidth="1"/>
    <col min="5" max="6" width="1" style="315" customWidth="1"/>
    <col min="7" max="7" width="17.85546875" style="315" customWidth="1"/>
    <col min="8" max="11" width="1" style="315" customWidth="1"/>
    <col min="12" max="12" width="17.85546875" style="315" customWidth="1"/>
    <col min="13" max="16" width="1" style="315" customWidth="1"/>
    <col min="17" max="17" width="17.85546875" style="315" customWidth="1"/>
    <col min="18" max="21" width="1" style="315" customWidth="1"/>
    <col min="22" max="22" width="17.85546875" style="315" customWidth="1"/>
    <col min="23" max="26" width="1" style="315" customWidth="1"/>
    <col min="27" max="27" width="17.85546875" style="315" customWidth="1"/>
    <col min="28" max="31" width="1" style="315" customWidth="1"/>
    <col min="32" max="32" width="17.85546875" style="315" customWidth="1"/>
    <col min="33" max="36" width="1" style="315" customWidth="1"/>
    <col min="37" max="37" width="17.85546875" style="315" customWidth="1"/>
    <col min="38" max="41" width="1" style="315" customWidth="1"/>
    <col min="42" max="42" width="17.85546875" style="315" customWidth="1"/>
    <col min="43" max="44" width="1" style="315" customWidth="1"/>
    <col min="45" max="46" width="1" style="315" hidden="1" customWidth="1"/>
    <col min="47" max="47" width="15.7109375" style="315" hidden="1" customWidth="1"/>
    <col min="48" max="51" width="1" style="315" hidden="1" customWidth="1"/>
    <col min="52" max="52" width="17.85546875" style="315" hidden="1" customWidth="1"/>
    <col min="53" max="56" width="1" style="315" hidden="1" customWidth="1"/>
    <col min="57" max="57" width="17.85546875" style="315" hidden="1" customWidth="1"/>
    <col min="58" max="61" width="1" style="315" hidden="1" customWidth="1"/>
    <col min="62" max="62" width="17.85546875" style="315" hidden="1" customWidth="1"/>
    <col min="63" max="66" width="1" style="315" hidden="1" customWidth="1"/>
    <col min="67" max="67" width="17.85546875" style="315" hidden="1" customWidth="1"/>
    <col min="68" max="69" width="1" style="315" hidden="1" customWidth="1"/>
    <col min="70" max="71" width="1" style="315" customWidth="1"/>
    <col min="72" max="72" width="17.85546875" style="315" customWidth="1"/>
    <col min="73" max="74" width="1" style="315" customWidth="1"/>
    <col min="75" max="75" width="3.28515625" style="315" customWidth="1"/>
    <col min="76" max="76" width="10" style="315"/>
    <col min="77" max="77" width="10.42578125" style="315" customWidth="1"/>
    <col min="78" max="16384" width="10" style="315"/>
  </cols>
  <sheetData>
    <row r="1" spans="1:75" x14ac:dyDescent="0.2"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>
        <v>14109076861</v>
      </c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</row>
    <row r="2" spans="1:75" ht="6" customHeight="1" x14ac:dyDescent="0.2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</row>
    <row r="3" spans="1:75" x14ac:dyDescent="0.2">
      <c r="A3" s="317"/>
      <c r="B3" s="317"/>
    </row>
    <row r="4" spans="1:75" x14ac:dyDescent="0.2">
      <c r="A4" s="317"/>
      <c r="B4" s="317"/>
      <c r="D4" s="39"/>
      <c r="E4" s="39"/>
      <c r="F4" s="39"/>
    </row>
    <row r="5" spans="1:75" x14ac:dyDescent="0.2">
      <c r="A5" s="317"/>
      <c r="B5" s="317"/>
    </row>
    <row r="6" spans="1:75" x14ac:dyDescent="0.2">
      <c r="A6" s="317"/>
      <c r="B6" s="317"/>
    </row>
    <row r="7" spans="1:75" ht="15.75" x14ac:dyDescent="0.25">
      <c r="A7" s="317"/>
      <c r="B7" s="317"/>
      <c r="C7" s="317"/>
      <c r="D7" s="410" t="s">
        <v>261</v>
      </c>
      <c r="E7" s="410"/>
      <c r="F7" s="410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</row>
    <row r="8" spans="1:75" x14ac:dyDescent="0.2">
      <c r="A8" s="317"/>
      <c r="B8" s="317"/>
      <c r="C8" s="444"/>
      <c r="D8" s="348"/>
      <c r="E8" s="411"/>
      <c r="F8" s="412"/>
      <c r="G8" s="675" t="s">
        <v>1</v>
      </c>
      <c r="H8" s="675"/>
      <c r="I8" s="675"/>
      <c r="J8" s="675"/>
      <c r="K8" s="675"/>
      <c r="L8" s="675"/>
      <c r="M8" s="675"/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675"/>
      <c r="Y8" s="675"/>
      <c r="Z8" s="675"/>
      <c r="AA8" s="675"/>
      <c r="AB8" s="675"/>
      <c r="AC8" s="675"/>
      <c r="AD8" s="675"/>
      <c r="AE8" s="675"/>
      <c r="AF8" s="675"/>
      <c r="AG8" s="675"/>
      <c r="AH8" s="675"/>
      <c r="AI8" s="675"/>
      <c r="AJ8" s="675"/>
      <c r="AK8" s="675"/>
      <c r="AL8" s="675"/>
      <c r="AM8" s="675"/>
      <c r="AN8" s="675"/>
      <c r="AO8" s="675"/>
      <c r="AP8" s="675"/>
      <c r="AQ8" s="675"/>
      <c r="AR8" s="675"/>
      <c r="AS8" s="675"/>
      <c r="AT8" s="675"/>
      <c r="AU8" s="675"/>
      <c r="AV8" s="675"/>
      <c r="AW8" s="675"/>
      <c r="AX8" s="675"/>
      <c r="AY8" s="675"/>
      <c r="AZ8" s="675"/>
      <c r="BA8" s="675"/>
      <c r="BB8" s="675"/>
      <c r="BC8" s="675"/>
      <c r="BD8" s="675"/>
      <c r="BE8" s="675"/>
      <c r="BF8" s="675"/>
      <c r="BG8" s="675"/>
      <c r="BH8" s="675"/>
      <c r="BI8" s="675"/>
      <c r="BJ8" s="675"/>
      <c r="BK8" s="675"/>
      <c r="BL8" s="675"/>
      <c r="BM8" s="675"/>
      <c r="BN8" s="675"/>
      <c r="BO8" s="675"/>
      <c r="BP8" s="675"/>
      <c r="BQ8" s="675"/>
      <c r="BR8" s="675"/>
      <c r="BS8" s="675"/>
      <c r="BT8" s="675"/>
      <c r="BU8" s="675"/>
      <c r="BV8" s="675"/>
      <c r="BW8" s="340"/>
    </row>
    <row r="9" spans="1:75" ht="18" customHeight="1" x14ac:dyDescent="0.2">
      <c r="A9" s="317"/>
      <c r="B9" s="317"/>
      <c r="D9" s="340"/>
      <c r="E9" s="347"/>
      <c r="F9" s="317"/>
      <c r="G9" s="44" t="s">
        <v>3</v>
      </c>
      <c r="H9" s="44"/>
      <c r="I9" s="44"/>
      <c r="J9" s="268"/>
      <c r="K9" s="44"/>
      <c r="L9" s="44" t="s">
        <v>4</v>
      </c>
      <c r="M9" s="44"/>
      <c r="N9" s="44"/>
      <c r="O9" s="268"/>
      <c r="P9" s="44"/>
      <c r="Q9" s="44" t="s">
        <v>5</v>
      </c>
      <c r="R9" s="44"/>
      <c r="S9" s="44"/>
      <c r="T9" s="268"/>
      <c r="U9" s="44"/>
      <c r="V9" s="44" t="s">
        <v>6</v>
      </c>
      <c r="W9" s="44"/>
      <c r="X9" s="44"/>
      <c r="Y9" s="268"/>
      <c r="Z9" s="44"/>
      <c r="AA9" s="44" t="s">
        <v>7</v>
      </c>
      <c r="AB9" s="44"/>
      <c r="AC9" s="44"/>
      <c r="AD9" s="268"/>
      <c r="AE9" s="44"/>
      <c r="AF9" s="44" t="s">
        <v>8</v>
      </c>
      <c r="AG9" s="44"/>
      <c r="AH9" s="44"/>
      <c r="AI9" s="268"/>
      <c r="AJ9" s="44"/>
      <c r="AK9" s="44" t="s">
        <v>9</v>
      </c>
      <c r="AL9" s="44"/>
      <c r="AM9" s="44"/>
      <c r="AN9" s="268"/>
      <c r="AO9" s="44"/>
      <c r="AP9" s="44" t="s">
        <v>10</v>
      </c>
      <c r="AQ9" s="44"/>
      <c r="AR9" s="44"/>
      <c r="AS9" s="268"/>
      <c r="AT9" s="44"/>
      <c r="AU9" s="44" t="s">
        <v>11</v>
      </c>
      <c r="AV9" s="44"/>
      <c r="AW9" s="44"/>
      <c r="AX9" s="268"/>
      <c r="AY9" s="44"/>
      <c r="AZ9" s="44" t="s">
        <v>12</v>
      </c>
      <c r="BA9" s="44"/>
      <c r="BB9" s="44"/>
      <c r="BC9" s="268"/>
      <c r="BD9" s="44"/>
      <c r="BE9" s="44" t="s">
        <v>13</v>
      </c>
      <c r="BF9" s="44"/>
      <c r="BG9" s="44"/>
      <c r="BH9" s="268"/>
      <c r="BI9" s="44"/>
      <c r="BJ9" s="44" t="s">
        <v>14</v>
      </c>
      <c r="BK9" s="44"/>
      <c r="BL9" s="44"/>
      <c r="BM9" s="268"/>
      <c r="BN9" s="44"/>
      <c r="BO9" s="44" t="s">
        <v>15</v>
      </c>
      <c r="BP9" s="44"/>
      <c r="BQ9" s="44"/>
      <c r="BR9" s="268"/>
      <c r="BS9" s="44"/>
      <c r="BT9" s="44" t="s">
        <v>16</v>
      </c>
      <c r="BU9" s="44"/>
      <c r="BV9" s="44"/>
      <c r="BW9" s="340"/>
    </row>
    <row r="10" spans="1:75" x14ac:dyDescent="0.2">
      <c r="A10" s="317"/>
      <c r="B10" s="317"/>
      <c r="D10" s="341" t="s">
        <v>17</v>
      </c>
      <c r="E10" s="417"/>
      <c r="F10" s="418"/>
      <c r="G10" s="344" t="s">
        <v>19</v>
      </c>
      <c r="H10" s="344"/>
      <c r="I10" s="344"/>
      <c r="J10" s="343"/>
      <c r="K10" s="344"/>
      <c r="L10" s="342"/>
      <c r="M10" s="342"/>
      <c r="N10" s="342"/>
      <c r="O10" s="419"/>
      <c r="P10" s="342"/>
      <c r="Q10" s="342"/>
      <c r="R10" s="342"/>
      <c r="S10" s="342"/>
      <c r="T10" s="419"/>
      <c r="U10" s="342"/>
      <c r="V10" s="342"/>
      <c r="W10" s="342"/>
      <c r="X10" s="342"/>
      <c r="Y10" s="419"/>
      <c r="Z10" s="342"/>
      <c r="AA10" s="342"/>
      <c r="AB10" s="342"/>
      <c r="AC10" s="342"/>
      <c r="AD10" s="419"/>
      <c r="AE10" s="342"/>
      <c r="AF10" s="342"/>
      <c r="AG10" s="342"/>
      <c r="AH10" s="342"/>
      <c r="AI10" s="419"/>
      <c r="AJ10" s="342"/>
      <c r="AK10" s="342"/>
      <c r="AL10" s="342"/>
      <c r="AM10" s="342"/>
      <c r="AN10" s="419"/>
      <c r="AO10" s="342"/>
      <c r="AP10" s="342"/>
      <c r="AQ10" s="342"/>
      <c r="AR10" s="342"/>
      <c r="AS10" s="419"/>
      <c r="AT10" s="342"/>
      <c r="AU10" s="342"/>
      <c r="AV10" s="342"/>
      <c r="AW10" s="342"/>
      <c r="AX10" s="419"/>
      <c r="AY10" s="342"/>
      <c r="AZ10" s="342"/>
      <c r="BA10" s="342"/>
      <c r="BB10" s="342"/>
      <c r="BC10" s="419"/>
      <c r="BD10" s="342"/>
      <c r="BE10" s="342"/>
      <c r="BF10" s="342"/>
      <c r="BG10" s="342"/>
      <c r="BH10" s="419"/>
      <c r="BI10" s="342"/>
      <c r="BJ10" s="342"/>
      <c r="BK10" s="342"/>
      <c r="BL10" s="342"/>
      <c r="BM10" s="419"/>
      <c r="BN10" s="342"/>
      <c r="BO10" s="342"/>
      <c r="BP10" s="342"/>
      <c r="BQ10" s="342"/>
      <c r="BR10" s="419"/>
      <c r="BS10" s="342"/>
      <c r="BT10" s="342"/>
      <c r="BU10" s="342"/>
      <c r="BV10" s="342"/>
      <c r="BW10" s="340"/>
    </row>
    <row r="11" spans="1:75" x14ac:dyDescent="0.2">
      <c r="A11" s="317"/>
      <c r="B11" s="317"/>
      <c r="D11" s="340"/>
      <c r="E11" s="347"/>
      <c r="F11" s="317"/>
      <c r="G11" s="317"/>
      <c r="H11" s="317"/>
      <c r="I11" s="317"/>
      <c r="J11" s="347"/>
      <c r="K11" s="317"/>
      <c r="L11" s="317"/>
      <c r="M11" s="317"/>
      <c r="N11" s="317"/>
      <c r="O11" s="347"/>
      <c r="P11" s="317"/>
      <c r="Q11" s="317"/>
      <c r="R11" s="317"/>
      <c r="S11" s="317"/>
      <c r="T11" s="347"/>
      <c r="U11" s="317"/>
      <c r="V11" s="317"/>
      <c r="W11" s="317"/>
      <c r="X11" s="317"/>
      <c r="Y11" s="347"/>
      <c r="Z11" s="317"/>
      <c r="AA11" s="317"/>
      <c r="AB11" s="317"/>
      <c r="AC11" s="317"/>
      <c r="AD11" s="347"/>
      <c r="AE11" s="317"/>
      <c r="AF11" s="317"/>
      <c r="AG11" s="317"/>
      <c r="AH11" s="317"/>
      <c r="AI11" s="347"/>
      <c r="AJ11" s="317"/>
      <c r="AK11" s="317"/>
      <c r="AL11" s="317"/>
      <c r="AM11" s="317"/>
      <c r="AN11" s="347"/>
      <c r="AO11" s="317"/>
      <c r="AP11" s="317"/>
      <c r="AQ11" s="317"/>
      <c r="AR11" s="317"/>
      <c r="AS11" s="347"/>
      <c r="AT11" s="317"/>
      <c r="AU11" s="317"/>
      <c r="AV11" s="317"/>
      <c r="AW11" s="317"/>
      <c r="AX11" s="347"/>
      <c r="AY11" s="317"/>
      <c r="AZ11" s="317"/>
      <c r="BA11" s="317"/>
      <c r="BB11" s="317"/>
      <c r="BC11" s="347"/>
      <c r="BD11" s="317"/>
      <c r="BE11" s="317"/>
      <c r="BF11" s="317"/>
      <c r="BG11" s="317"/>
      <c r="BH11" s="347"/>
      <c r="BI11" s="317"/>
      <c r="BJ11" s="317"/>
      <c r="BK11" s="317"/>
      <c r="BL11" s="317"/>
      <c r="BM11" s="347"/>
      <c r="BN11" s="317"/>
      <c r="BO11" s="317"/>
      <c r="BP11" s="317"/>
      <c r="BQ11" s="317"/>
      <c r="BR11" s="347"/>
      <c r="BS11" s="317"/>
      <c r="BT11" s="317"/>
      <c r="BU11" s="317"/>
      <c r="BV11" s="317"/>
      <c r="BW11" s="340"/>
    </row>
    <row r="12" spans="1:75" x14ac:dyDescent="0.2">
      <c r="A12" s="317"/>
      <c r="B12" s="317"/>
      <c r="C12" s="317"/>
      <c r="D12" s="348" t="s">
        <v>262</v>
      </c>
      <c r="E12" s="347"/>
      <c r="F12" s="317"/>
      <c r="G12" s="41">
        <v>73821000</v>
      </c>
      <c r="H12" s="51"/>
      <c r="I12" s="51"/>
      <c r="J12" s="144"/>
      <c r="K12" s="317"/>
      <c r="L12" s="41">
        <v>46626420</v>
      </c>
      <c r="M12" s="51"/>
      <c r="N12" s="51"/>
      <c r="O12" s="144"/>
      <c r="P12" s="317"/>
      <c r="Q12" s="41">
        <v>0</v>
      </c>
      <c r="R12" s="51"/>
      <c r="S12" s="51"/>
      <c r="T12" s="144"/>
      <c r="U12" s="317"/>
      <c r="V12" s="41">
        <v>0</v>
      </c>
      <c r="W12" s="51"/>
      <c r="X12" s="51"/>
      <c r="Y12" s="144"/>
      <c r="Z12" s="317"/>
      <c r="AA12" s="41">
        <v>0</v>
      </c>
      <c r="AB12" s="51"/>
      <c r="AC12" s="51"/>
      <c r="AD12" s="144"/>
      <c r="AE12" s="317"/>
      <c r="AF12" s="41">
        <v>0</v>
      </c>
      <c r="AG12" s="51"/>
      <c r="AH12" s="51"/>
      <c r="AI12" s="144"/>
      <c r="AJ12" s="317"/>
      <c r="AK12" s="41">
        <v>6790681</v>
      </c>
      <c r="AL12" s="51"/>
      <c r="AM12" s="51"/>
      <c r="AN12" s="144"/>
      <c r="AO12" s="317"/>
      <c r="AP12" s="41">
        <v>0</v>
      </c>
      <c r="AQ12" s="51"/>
      <c r="AR12" s="51"/>
      <c r="AS12" s="144"/>
      <c r="AT12" s="317"/>
      <c r="AU12" s="41">
        <v>0</v>
      </c>
      <c r="AV12" s="51"/>
      <c r="AW12" s="51"/>
      <c r="AX12" s="144"/>
      <c r="AY12" s="317"/>
      <c r="AZ12" s="41">
        <v>0</v>
      </c>
      <c r="BA12" s="51"/>
      <c r="BB12" s="51"/>
      <c r="BC12" s="144"/>
      <c r="BD12" s="317"/>
      <c r="BE12" s="41">
        <v>0</v>
      </c>
      <c r="BF12" s="51"/>
      <c r="BG12" s="51"/>
      <c r="BH12" s="144"/>
      <c r="BI12" s="317"/>
      <c r="BJ12" s="41">
        <v>0</v>
      </c>
      <c r="BK12" s="51"/>
      <c r="BL12" s="51"/>
      <c r="BM12" s="144"/>
      <c r="BN12" s="317"/>
      <c r="BO12" s="41">
        <v>0</v>
      </c>
      <c r="BP12" s="51"/>
      <c r="BQ12" s="51"/>
      <c r="BR12" s="144"/>
      <c r="BS12" s="317"/>
      <c r="BT12" s="41">
        <v>53417101</v>
      </c>
      <c r="BU12" s="51"/>
      <c r="BV12" s="51"/>
      <c r="BW12" s="340"/>
    </row>
    <row r="13" spans="1:75" x14ac:dyDescent="0.2">
      <c r="A13" s="317"/>
      <c r="B13" s="317"/>
      <c r="C13" s="317"/>
      <c r="D13" s="340" t="s">
        <v>263</v>
      </c>
      <c r="E13" s="347"/>
      <c r="F13" s="432"/>
      <c r="G13" s="430">
        <v>73821000</v>
      </c>
      <c r="H13" s="431"/>
      <c r="I13" s="51"/>
      <c r="J13" s="144"/>
      <c r="K13" s="432"/>
      <c r="L13" s="430">
        <v>46626420</v>
      </c>
      <c r="M13" s="431"/>
      <c r="N13" s="51"/>
      <c r="O13" s="144"/>
      <c r="P13" s="432"/>
      <c r="Q13" s="430">
        <v>0</v>
      </c>
      <c r="R13" s="431"/>
      <c r="S13" s="51"/>
      <c r="T13" s="144"/>
      <c r="U13" s="432"/>
      <c r="V13" s="430">
        <v>0</v>
      </c>
      <c r="W13" s="431"/>
      <c r="X13" s="51"/>
      <c r="Y13" s="144"/>
      <c r="Z13" s="432"/>
      <c r="AA13" s="430">
        <v>0</v>
      </c>
      <c r="AB13" s="431"/>
      <c r="AC13" s="51"/>
      <c r="AD13" s="144"/>
      <c r="AE13" s="432"/>
      <c r="AF13" s="430">
        <v>0</v>
      </c>
      <c r="AG13" s="431"/>
      <c r="AH13" s="51"/>
      <c r="AI13" s="144"/>
      <c r="AJ13" s="432"/>
      <c r="AK13" s="430">
        <v>6790681</v>
      </c>
      <c r="AL13" s="431"/>
      <c r="AM13" s="51"/>
      <c r="AN13" s="144"/>
      <c r="AO13" s="432"/>
      <c r="AP13" s="430">
        <v>0</v>
      </c>
      <c r="AQ13" s="431"/>
      <c r="AR13" s="51"/>
      <c r="AS13" s="144"/>
      <c r="AT13" s="432"/>
      <c r="AU13" s="430">
        <v>0</v>
      </c>
      <c r="AV13" s="431"/>
      <c r="AW13" s="51"/>
      <c r="AX13" s="144"/>
      <c r="AY13" s="432"/>
      <c r="AZ13" s="430">
        <v>0</v>
      </c>
      <c r="BA13" s="431"/>
      <c r="BB13" s="51"/>
      <c r="BC13" s="144"/>
      <c r="BD13" s="432"/>
      <c r="BE13" s="430">
        <v>0</v>
      </c>
      <c r="BF13" s="431"/>
      <c r="BG13" s="51"/>
      <c r="BH13" s="144"/>
      <c r="BI13" s="432"/>
      <c r="BJ13" s="430">
        <v>0</v>
      </c>
      <c r="BK13" s="431"/>
      <c r="BL13" s="51"/>
      <c r="BM13" s="144"/>
      <c r="BN13" s="432"/>
      <c r="BO13" s="430">
        <v>0</v>
      </c>
      <c r="BP13" s="431"/>
      <c r="BQ13" s="51"/>
      <c r="BR13" s="144"/>
      <c r="BS13" s="432"/>
      <c r="BT13" s="430">
        <v>53417101</v>
      </c>
      <c r="BU13" s="431"/>
      <c r="BV13" s="51"/>
      <c r="BW13" s="340"/>
    </row>
    <row r="14" spans="1:75" x14ac:dyDescent="0.2">
      <c r="A14" s="317"/>
      <c r="B14" s="317"/>
      <c r="C14" s="317"/>
      <c r="D14" s="340" t="s">
        <v>264</v>
      </c>
      <c r="E14" s="347"/>
      <c r="F14" s="144"/>
      <c r="G14" s="51">
        <v>0</v>
      </c>
      <c r="H14" s="50"/>
      <c r="I14" s="51"/>
      <c r="J14" s="144"/>
      <c r="K14" s="144"/>
      <c r="L14" s="51">
        <v>0</v>
      </c>
      <c r="M14" s="50"/>
      <c r="N14" s="51"/>
      <c r="O14" s="144"/>
      <c r="P14" s="144"/>
      <c r="Q14" s="51">
        <v>0</v>
      </c>
      <c r="R14" s="50"/>
      <c r="S14" s="51"/>
      <c r="T14" s="144"/>
      <c r="U14" s="144"/>
      <c r="V14" s="51">
        <v>0</v>
      </c>
      <c r="W14" s="50"/>
      <c r="X14" s="51"/>
      <c r="Y14" s="144"/>
      <c r="Z14" s="144"/>
      <c r="AA14" s="51">
        <v>0</v>
      </c>
      <c r="AB14" s="50"/>
      <c r="AC14" s="51"/>
      <c r="AD14" s="144"/>
      <c r="AE14" s="144"/>
      <c r="AF14" s="51">
        <v>0</v>
      </c>
      <c r="AG14" s="50"/>
      <c r="AH14" s="51"/>
      <c r="AI14" s="144"/>
      <c r="AJ14" s="144"/>
      <c r="AK14" s="51">
        <v>0</v>
      </c>
      <c r="AL14" s="50"/>
      <c r="AM14" s="51"/>
      <c r="AN14" s="144"/>
      <c r="AO14" s="144"/>
      <c r="AP14" s="51">
        <v>0</v>
      </c>
      <c r="AQ14" s="50"/>
      <c r="AR14" s="51"/>
      <c r="AS14" s="144"/>
      <c r="AT14" s="144"/>
      <c r="AU14" s="51">
        <v>0</v>
      </c>
      <c r="AV14" s="50"/>
      <c r="AW14" s="51"/>
      <c r="AX14" s="144"/>
      <c r="AY14" s="144"/>
      <c r="AZ14" s="51">
        <v>0</v>
      </c>
      <c r="BA14" s="50"/>
      <c r="BB14" s="51"/>
      <c r="BC14" s="144"/>
      <c r="BD14" s="144"/>
      <c r="BE14" s="51">
        <v>0</v>
      </c>
      <c r="BF14" s="50"/>
      <c r="BG14" s="51"/>
      <c r="BH14" s="144"/>
      <c r="BI14" s="144"/>
      <c r="BJ14" s="51">
        <v>0</v>
      </c>
      <c r="BK14" s="50"/>
      <c r="BL14" s="51"/>
      <c r="BM14" s="144"/>
      <c r="BN14" s="144"/>
      <c r="BO14" s="51">
        <v>0</v>
      </c>
      <c r="BP14" s="50"/>
      <c r="BQ14" s="51"/>
      <c r="BR14" s="144"/>
      <c r="BS14" s="144"/>
      <c r="BT14" s="51">
        <v>0</v>
      </c>
      <c r="BU14" s="50"/>
      <c r="BV14" s="51"/>
      <c r="BW14" s="340"/>
    </row>
    <row r="15" spans="1:75" x14ac:dyDescent="0.2">
      <c r="A15" s="317"/>
      <c r="B15" s="317"/>
      <c r="C15" s="317"/>
      <c r="D15" s="340" t="s">
        <v>265</v>
      </c>
      <c r="E15" s="347"/>
      <c r="F15" s="187"/>
      <c r="G15" s="95">
        <v>0</v>
      </c>
      <c r="H15" s="94"/>
      <c r="I15" s="51"/>
      <c r="J15" s="144"/>
      <c r="K15" s="187"/>
      <c r="L15" s="95">
        <v>0</v>
      </c>
      <c r="M15" s="94"/>
      <c r="N15" s="51"/>
      <c r="O15" s="144"/>
      <c r="P15" s="187"/>
      <c r="Q15" s="95">
        <v>0</v>
      </c>
      <c r="R15" s="94"/>
      <c r="S15" s="51"/>
      <c r="T15" s="144"/>
      <c r="U15" s="187"/>
      <c r="V15" s="95">
        <v>0</v>
      </c>
      <c r="W15" s="94"/>
      <c r="X15" s="51"/>
      <c r="Y15" s="144"/>
      <c r="Z15" s="187"/>
      <c r="AA15" s="95">
        <v>0</v>
      </c>
      <c r="AB15" s="94"/>
      <c r="AC15" s="51"/>
      <c r="AD15" s="144"/>
      <c r="AE15" s="187"/>
      <c r="AF15" s="95">
        <v>0</v>
      </c>
      <c r="AG15" s="94"/>
      <c r="AH15" s="51"/>
      <c r="AI15" s="144"/>
      <c r="AJ15" s="187"/>
      <c r="AK15" s="95">
        <v>0</v>
      </c>
      <c r="AL15" s="94"/>
      <c r="AM15" s="51"/>
      <c r="AN15" s="144"/>
      <c r="AO15" s="187"/>
      <c r="AP15" s="95">
        <v>0</v>
      </c>
      <c r="AQ15" s="94"/>
      <c r="AR15" s="51"/>
      <c r="AS15" s="144"/>
      <c r="AT15" s="187"/>
      <c r="AU15" s="95">
        <v>0</v>
      </c>
      <c r="AV15" s="94"/>
      <c r="AW15" s="51"/>
      <c r="AX15" s="144"/>
      <c r="AY15" s="187"/>
      <c r="AZ15" s="95">
        <v>0</v>
      </c>
      <c r="BA15" s="94"/>
      <c r="BB15" s="51"/>
      <c r="BC15" s="144"/>
      <c r="BD15" s="187"/>
      <c r="BE15" s="95">
        <v>0</v>
      </c>
      <c r="BF15" s="94"/>
      <c r="BG15" s="51"/>
      <c r="BH15" s="144"/>
      <c r="BI15" s="187"/>
      <c r="BJ15" s="95">
        <v>0</v>
      </c>
      <c r="BK15" s="94"/>
      <c r="BL15" s="51"/>
      <c r="BM15" s="144"/>
      <c r="BN15" s="187"/>
      <c r="BO15" s="95">
        <v>0</v>
      </c>
      <c r="BP15" s="94"/>
      <c r="BQ15" s="51"/>
      <c r="BR15" s="144"/>
      <c r="BS15" s="187"/>
      <c r="BT15" s="95">
        <v>0</v>
      </c>
      <c r="BU15" s="94"/>
      <c r="BV15" s="51"/>
      <c r="BW15" s="340"/>
    </row>
    <row r="16" spans="1:75" x14ac:dyDescent="0.2">
      <c r="A16" s="317"/>
      <c r="B16" s="317"/>
      <c r="C16" s="317"/>
      <c r="D16" s="340"/>
      <c r="E16" s="347"/>
      <c r="F16" s="317"/>
      <c r="G16" s="51"/>
      <c r="H16" s="51"/>
      <c r="I16" s="51"/>
      <c r="J16" s="144"/>
      <c r="K16" s="51"/>
      <c r="L16" s="51"/>
      <c r="M16" s="51"/>
      <c r="N16" s="51"/>
      <c r="O16" s="144"/>
      <c r="P16" s="51"/>
      <c r="Q16" s="51"/>
      <c r="R16" s="51"/>
      <c r="S16" s="51"/>
      <c r="T16" s="144"/>
      <c r="U16" s="51"/>
      <c r="V16" s="51"/>
      <c r="W16" s="51"/>
      <c r="X16" s="51"/>
      <c r="Y16" s="144"/>
      <c r="Z16" s="51"/>
      <c r="AA16" s="51"/>
      <c r="AB16" s="51"/>
      <c r="AC16" s="51"/>
      <c r="AD16" s="144"/>
      <c r="AE16" s="51"/>
      <c r="AF16" s="51"/>
      <c r="AG16" s="51"/>
      <c r="AH16" s="51"/>
      <c r="AI16" s="144"/>
      <c r="AJ16" s="51"/>
      <c r="AK16" s="51"/>
      <c r="AL16" s="51"/>
      <c r="AM16" s="51"/>
      <c r="AN16" s="144"/>
      <c r="AO16" s="51"/>
      <c r="AP16" s="51"/>
      <c r="AQ16" s="51"/>
      <c r="AR16" s="51"/>
      <c r="AS16" s="144"/>
      <c r="AT16" s="51"/>
      <c r="AU16" s="51"/>
      <c r="AV16" s="51"/>
      <c r="AW16" s="51"/>
      <c r="AX16" s="144"/>
      <c r="AY16" s="51"/>
      <c r="AZ16" s="51"/>
      <c r="BA16" s="51"/>
      <c r="BB16" s="51"/>
      <c r="BC16" s="144"/>
      <c r="BD16" s="51"/>
      <c r="BE16" s="51"/>
      <c r="BF16" s="51"/>
      <c r="BG16" s="51"/>
      <c r="BH16" s="144"/>
      <c r="BI16" s="51"/>
      <c r="BJ16" s="51"/>
      <c r="BK16" s="51"/>
      <c r="BL16" s="51"/>
      <c r="BM16" s="144"/>
      <c r="BN16" s="51"/>
      <c r="BO16" s="51"/>
      <c r="BP16" s="51"/>
      <c r="BQ16" s="51"/>
      <c r="BR16" s="144"/>
      <c r="BS16" s="51"/>
      <c r="BT16" s="51"/>
      <c r="BU16" s="51"/>
      <c r="BV16" s="51"/>
      <c r="BW16" s="340"/>
    </row>
    <row r="17" spans="1:77" s="39" customFormat="1" x14ac:dyDescent="0.2">
      <c r="A17" s="329"/>
      <c r="B17" s="329"/>
      <c r="C17" s="329"/>
      <c r="D17" s="348" t="s">
        <v>266</v>
      </c>
      <c r="E17" s="350"/>
      <c r="F17" s="329"/>
      <c r="G17" s="41">
        <v>73821000</v>
      </c>
      <c r="H17" s="41"/>
      <c r="I17" s="41"/>
      <c r="J17" s="428"/>
      <c r="K17" s="41"/>
      <c r="L17" s="41">
        <v>46626420</v>
      </c>
      <c r="M17" s="41"/>
      <c r="N17" s="41"/>
      <c r="O17" s="428"/>
      <c r="P17" s="41"/>
      <c r="Q17" s="41">
        <v>0</v>
      </c>
      <c r="R17" s="41"/>
      <c r="S17" s="41"/>
      <c r="T17" s="428"/>
      <c r="U17" s="41"/>
      <c r="V17" s="41">
        <v>0</v>
      </c>
      <c r="W17" s="41"/>
      <c r="X17" s="41"/>
      <c r="Y17" s="428"/>
      <c r="Z17" s="41"/>
      <c r="AA17" s="41">
        <v>0</v>
      </c>
      <c r="AB17" s="41"/>
      <c r="AC17" s="41"/>
      <c r="AD17" s="428"/>
      <c r="AE17" s="41"/>
      <c r="AF17" s="41">
        <v>0</v>
      </c>
      <c r="AG17" s="41"/>
      <c r="AH17" s="41"/>
      <c r="AI17" s="428"/>
      <c r="AJ17" s="41"/>
      <c r="AK17" s="41">
        <v>6790681</v>
      </c>
      <c r="AL17" s="41"/>
      <c r="AM17" s="41"/>
      <c r="AN17" s="428"/>
      <c r="AO17" s="41"/>
      <c r="AP17" s="41">
        <v>0</v>
      </c>
      <c r="AQ17" s="41"/>
      <c r="AR17" s="41"/>
      <c r="AS17" s="428"/>
      <c r="AT17" s="41"/>
      <c r="AU17" s="41">
        <v>0</v>
      </c>
      <c r="AV17" s="41"/>
      <c r="AW17" s="41"/>
      <c r="AX17" s="428"/>
      <c r="AY17" s="41"/>
      <c r="AZ17" s="41">
        <v>0</v>
      </c>
      <c r="BA17" s="41"/>
      <c r="BB17" s="41"/>
      <c r="BC17" s="428"/>
      <c r="BD17" s="41"/>
      <c r="BE17" s="41">
        <v>0</v>
      </c>
      <c r="BF17" s="41"/>
      <c r="BG17" s="41"/>
      <c r="BH17" s="428"/>
      <c r="BI17" s="41"/>
      <c r="BJ17" s="41">
        <v>0</v>
      </c>
      <c r="BK17" s="41"/>
      <c r="BL17" s="41"/>
      <c r="BM17" s="428"/>
      <c r="BN17" s="41"/>
      <c r="BO17" s="41">
        <v>0</v>
      </c>
      <c r="BP17" s="41"/>
      <c r="BQ17" s="41"/>
      <c r="BR17" s="428"/>
      <c r="BS17" s="41"/>
      <c r="BT17" s="41">
        <v>53417101</v>
      </c>
      <c r="BU17" s="41"/>
      <c r="BV17" s="41"/>
      <c r="BW17" s="348"/>
      <c r="BX17" s="315"/>
      <c r="BY17" s="315"/>
    </row>
    <row r="18" spans="1:77" x14ac:dyDescent="0.2">
      <c r="A18" s="317"/>
      <c r="B18" s="317"/>
      <c r="C18" s="317"/>
      <c r="D18" s="340" t="s">
        <v>183</v>
      </c>
      <c r="E18" s="347"/>
      <c r="F18" s="354"/>
      <c r="G18" s="430">
        <v>73821000</v>
      </c>
      <c r="H18" s="431"/>
      <c r="I18" s="51"/>
      <c r="J18" s="144"/>
      <c r="K18" s="432"/>
      <c r="L18" s="430">
        <v>46626420</v>
      </c>
      <c r="M18" s="431"/>
      <c r="N18" s="51"/>
      <c r="O18" s="144"/>
      <c r="P18" s="432"/>
      <c r="Q18" s="430">
        <v>0</v>
      </c>
      <c r="R18" s="431"/>
      <c r="S18" s="51"/>
      <c r="T18" s="144"/>
      <c r="U18" s="432"/>
      <c r="V18" s="430">
        <v>0</v>
      </c>
      <c r="W18" s="431"/>
      <c r="X18" s="51"/>
      <c r="Y18" s="144"/>
      <c r="Z18" s="432"/>
      <c r="AA18" s="430">
        <v>0</v>
      </c>
      <c r="AB18" s="431"/>
      <c r="AC18" s="51"/>
      <c r="AD18" s="144"/>
      <c r="AE18" s="432"/>
      <c r="AF18" s="430">
        <v>0</v>
      </c>
      <c r="AG18" s="431"/>
      <c r="AH18" s="51"/>
      <c r="AI18" s="144"/>
      <c r="AJ18" s="432"/>
      <c r="AK18" s="430">
        <v>6790681</v>
      </c>
      <c r="AL18" s="431"/>
      <c r="AM18" s="51"/>
      <c r="AN18" s="144"/>
      <c r="AO18" s="432"/>
      <c r="AP18" s="430">
        <v>0</v>
      </c>
      <c r="AQ18" s="431"/>
      <c r="AR18" s="51"/>
      <c r="AS18" s="144"/>
      <c r="AT18" s="432"/>
      <c r="AU18" s="430">
        <v>0</v>
      </c>
      <c r="AV18" s="431"/>
      <c r="AW18" s="51"/>
      <c r="AX18" s="144"/>
      <c r="AY18" s="432"/>
      <c r="AZ18" s="430">
        <v>0</v>
      </c>
      <c r="BA18" s="431"/>
      <c r="BB18" s="51"/>
      <c r="BC18" s="144"/>
      <c r="BD18" s="432"/>
      <c r="BE18" s="430">
        <v>0</v>
      </c>
      <c r="BF18" s="431"/>
      <c r="BG18" s="51"/>
      <c r="BH18" s="144"/>
      <c r="BI18" s="432"/>
      <c r="BJ18" s="430">
        <v>0</v>
      </c>
      <c r="BK18" s="431"/>
      <c r="BL18" s="51"/>
      <c r="BM18" s="144"/>
      <c r="BN18" s="432"/>
      <c r="BO18" s="430">
        <v>0</v>
      </c>
      <c r="BP18" s="431"/>
      <c r="BQ18" s="51"/>
      <c r="BR18" s="144"/>
      <c r="BS18" s="432"/>
      <c r="BT18" s="430">
        <v>53417101</v>
      </c>
      <c r="BU18" s="431"/>
      <c r="BV18" s="51"/>
      <c r="BW18" s="340"/>
    </row>
    <row r="19" spans="1:77" x14ac:dyDescent="0.2">
      <c r="A19" s="317"/>
      <c r="B19" s="317"/>
      <c r="C19" s="317"/>
      <c r="D19" s="340" t="s">
        <v>186</v>
      </c>
      <c r="E19" s="347"/>
      <c r="F19" s="347"/>
      <c r="G19" s="51">
        <v>0</v>
      </c>
      <c r="H19" s="50"/>
      <c r="I19" s="51"/>
      <c r="J19" s="144"/>
      <c r="K19" s="144"/>
      <c r="L19" s="51">
        <v>0</v>
      </c>
      <c r="M19" s="50"/>
      <c r="N19" s="51"/>
      <c r="O19" s="144"/>
      <c r="P19" s="144"/>
      <c r="Q19" s="51">
        <v>0</v>
      </c>
      <c r="R19" s="50"/>
      <c r="S19" s="51"/>
      <c r="T19" s="144"/>
      <c r="U19" s="144"/>
      <c r="V19" s="51">
        <v>0</v>
      </c>
      <c r="W19" s="50"/>
      <c r="X19" s="51"/>
      <c r="Y19" s="144"/>
      <c r="Z19" s="144"/>
      <c r="AA19" s="51">
        <v>0</v>
      </c>
      <c r="AB19" s="50"/>
      <c r="AC19" s="51"/>
      <c r="AD19" s="144"/>
      <c r="AE19" s="144"/>
      <c r="AF19" s="51">
        <v>0</v>
      </c>
      <c r="AG19" s="50"/>
      <c r="AH19" s="51"/>
      <c r="AI19" s="144"/>
      <c r="AJ19" s="144"/>
      <c r="AK19" s="51">
        <v>0</v>
      </c>
      <c r="AL19" s="50"/>
      <c r="AM19" s="51"/>
      <c r="AN19" s="144"/>
      <c r="AO19" s="144"/>
      <c r="AP19" s="51">
        <v>0</v>
      </c>
      <c r="AQ19" s="50"/>
      <c r="AR19" s="51"/>
      <c r="AS19" s="144"/>
      <c r="AT19" s="144"/>
      <c r="AU19" s="51">
        <v>0</v>
      </c>
      <c r="AV19" s="50"/>
      <c r="AW19" s="51"/>
      <c r="AX19" s="144"/>
      <c r="AY19" s="144"/>
      <c r="AZ19" s="51">
        <v>0</v>
      </c>
      <c r="BA19" s="50"/>
      <c r="BB19" s="51"/>
      <c r="BC19" s="144"/>
      <c r="BD19" s="144"/>
      <c r="BE19" s="51">
        <v>0</v>
      </c>
      <c r="BF19" s="50"/>
      <c r="BG19" s="51"/>
      <c r="BH19" s="144"/>
      <c r="BI19" s="144"/>
      <c r="BJ19" s="51">
        <v>0</v>
      </c>
      <c r="BK19" s="50"/>
      <c r="BL19" s="51"/>
      <c r="BM19" s="144"/>
      <c r="BN19" s="144"/>
      <c r="BO19" s="51">
        <v>0</v>
      </c>
      <c r="BP19" s="50"/>
      <c r="BQ19" s="51"/>
      <c r="BR19" s="144"/>
      <c r="BS19" s="144"/>
      <c r="BT19" s="51">
        <v>0</v>
      </c>
      <c r="BU19" s="50"/>
      <c r="BV19" s="51"/>
      <c r="BW19" s="340"/>
    </row>
    <row r="20" spans="1:77" x14ac:dyDescent="0.2">
      <c r="A20" s="317"/>
      <c r="B20" s="317"/>
      <c r="C20" s="317"/>
      <c r="D20" s="340" t="s">
        <v>200</v>
      </c>
      <c r="E20" s="347"/>
      <c r="F20" s="371"/>
      <c r="G20" s="95">
        <v>0</v>
      </c>
      <c r="H20" s="94"/>
      <c r="I20" s="51"/>
      <c r="J20" s="144"/>
      <c r="K20" s="187"/>
      <c r="L20" s="95">
        <v>0</v>
      </c>
      <c r="M20" s="94"/>
      <c r="N20" s="51"/>
      <c r="O20" s="144"/>
      <c r="P20" s="187"/>
      <c r="Q20" s="95">
        <v>0</v>
      </c>
      <c r="R20" s="94"/>
      <c r="S20" s="51"/>
      <c r="T20" s="144"/>
      <c r="U20" s="187"/>
      <c r="V20" s="95">
        <v>0</v>
      </c>
      <c r="W20" s="94"/>
      <c r="X20" s="51"/>
      <c r="Y20" s="144"/>
      <c r="Z20" s="187"/>
      <c r="AA20" s="95">
        <v>0</v>
      </c>
      <c r="AB20" s="94"/>
      <c r="AC20" s="51"/>
      <c r="AD20" s="144"/>
      <c r="AE20" s="187"/>
      <c r="AF20" s="95">
        <v>0</v>
      </c>
      <c r="AG20" s="94"/>
      <c r="AH20" s="51"/>
      <c r="AI20" s="144"/>
      <c r="AJ20" s="187"/>
      <c r="AK20" s="95">
        <v>0</v>
      </c>
      <c r="AL20" s="94"/>
      <c r="AM20" s="51"/>
      <c r="AN20" s="144"/>
      <c r="AO20" s="187"/>
      <c r="AP20" s="95">
        <v>0</v>
      </c>
      <c r="AQ20" s="94"/>
      <c r="AR20" s="51"/>
      <c r="AS20" s="144"/>
      <c r="AT20" s="187"/>
      <c r="AU20" s="95">
        <v>0</v>
      </c>
      <c r="AV20" s="94"/>
      <c r="AW20" s="51"/>
      <c r="AX20" s="144"/>
      <c r="AY20" s="187"/>
      <c r="AZ20" s="95">
        <v>0</v>
      </c>
      <c r="BA20" s="94"/>
      <c r="BB20" s="51"/>
      <c r="BC20" s="144"/>
      <c r="BD20" s="187"/>
      <c r="BE20" s="95">
        <v>0</v>
      </c>
      <c r="BF20" s="94"/>
      <c r="BG20" s="51"/>
      <c r="BH20" s="144"/>
      <c r="BI20" s="187"/>
      <c r="BJ20" s="95">
        <v>0</v>
      </c>
      <c r="BK20" s="94"/>
      <c r="BL20" s="51"/>
      <c r="BM20" s="144"/>
      <c r="BN20" s="187"/>
      <c r="BO20" s="95">
        <v>0</v>
      </c>
      <c r="BP20" s="94"/>
      <c r="BQ20" s="51"/>
      <c r="BR20" s="144"/>
      <c r="BS20" s="187"/>
      <c r="BT20" s="95">
        <v>0</v>
      </c>
      <c r="BU20" s="94"/>
      <c r="BV20" s="51"/>
      <c r="BW20" s="340"/>
    </row>
    <row r="21" spans="1:77" x14ac:dyDescent="0.2">
      <c r="A21" s="317"/>
      <c r="B21" s="317"/>
      <c r="C21" s="317"/>
      <c r="D21" s="340"/>
      <c r="E21" s="347"/>
      <c r="F21" s="317"/>
      <c r="G21" s="51"/>
      <c r="H21" s="51"/>
      <c r="I21" s="51"/>
      <c r="J21" s="144"/>
      <c r="K21" s="51"/>
      <c r="L21" s="51"/>
      <c r="M21" s="51"/>
      <c r="N21" s="51"/>
      <c r="O21" s="144"/>
      <c r="P21" s="51"/>
      <c r="Q21" s="51"/>
      <c r="R21" s="51"/>
      <c r="S21" s="51"/>
      <c r="T21" s="144"/>
      <c r="U21" s="51"/>
      <c r="V21" s="51"/>
      <c r="W21" s="51"/>
      <c r="X21" s="51"/>
      <c r="Y21" s="144"/>
      <c r="Z21" s="51"/>
      <c r="AA21" s="51"/>
      <c r="AB21" s="51"/>
      <c r="AC21" s="51"/>
      <c r="AD21" s="144"/>
      <c r="AE21" s="51"/>
      <c r="AF21" s="51"/>
      <c r="AG21" s="51"/>
      <c r="AH21" s="51"/>
      <c r="AI21" s="144"/>
      <c r="AJ21" s="51"/>
      <c r="AK21" s="51"/>
      <c r="AL21" s="51"/>
      <c r="AM21" s="51"/>
      <c r="AN21" s="144"/>
      <c r="AO21" s="51"/>
      <c r="AP21" s="51"/>
      <c r="AQ21" s="51"/>
      <c r="AR21" s="51"/>
      <c r="AS21" s="144"/>
      <c r="AT21" s="51"/>
      <c r="AU21" s="51"/>
      <c r="AV21" s="51"/>
      <c r="AW21" s="51"/>
      <c r="AX21" s="144"/>
      <c r="AY21" s="51"/>
      <c r="AZ21" s="51"/>
      <c r="BA21" s="51"/>
      <c r="BB21" s="51"/>
      <c r="BC21" s="144"/>
      <c r="BD21" s="51"/>
      <c r="BE21" s="51"/>
      <c r="BF21" s="51"/>
      <c r="BG21" s="51"/>
      <c r="BH21" s="144"/>
      <c r="BI21" s="51"/>
      <c r="BJ21" s="51"/>
      <c r="BK21" s="51"/>
      <c r="BL21" s="51"/>
      <c r="BM21" s="144"/>
      <c r="BN21" s="51"/>
      <c r="BO21" s="51"/>
      <c r="BP21" s="51"/>
      <c r="BQ21" s="51"/>
      <c r="BR21" s="144"/>
      <c r="BS21" s="51"/>
      <c r="BT21" s="51"/>
      <c r="BU21" s="51"/>
      <c r="BV21" s="51"/>
      <c r="BW21" s="340"/>
    </row>
    <row r="22" spans="1:77" ht="12.75" customHeight="1" x14ac:dyDescent="0.2">
      <c r="A22" s="317"/>
      <c r="B22" s="317"/>
      <c r="C22" s="317"/>
      <c r="D22" s="340" t="s">
        <v>267</v>
      </c>
      <c r="E22" s="347"/>
      <c r="F22" s="317"/>
      <c r="G22" s="51">
        <v>0</v>
      </c>
      <c r="H22" s="51"/>
      <c r="I22" s="51"/>
      <c r="J22" s="144"/>
      <c r="K22" s="51"/>
      <c r="L22" s="51">
        <v>0</v>
      </c>
      <c r="M22" s="51"/>
      <c r="N22" s="51"/>
      <c r="O22" s="144"/>
      <c r="P22" s="51"/>
      <c r="Q22" s="51">
        <v>0</v>
      </c>
      <c r="R22" s="51"/>
      <c r="S22" s="51"/>
      <c r="T22" s="144"/>
      <c r="U22" s="51"/>
      <c r="V22" s="51">
        <v>0</v>
      </c>
      <c r="W22" s="51"/>
      <c r="X22" s="51"/>
      <c r="Y22" s="144"/>
      <c r="Z22" s="51"/>
      <c r="AA22" s="51">
        <v>0</v>
      </c>
      <c r="AB22" s="51"/>
      <c r="AC22" s="51"/>
      <c r="AD22" s="144"/>
      <c r="AE22" s="51"/>
      <c r="AF22" s="51">
        <v>0</v>
      </c>
      <c r="AG22" s="51"/>
      <c r="AH22" s="51"/>
      <c r="AI22" s="144"/>
      <c r="AJ22" s="51"/>
      <c r="AK22" s="51">
        <v>0</v>
      </c>
      <c r="AL22" s="51"/>
      <c r="AM22" s="51"/>
      <c r="AN22" s="144"/>
      <c r="AO22" s="51"/>
      <c r="AP22" s="51">
        <v>0</v>
      </c>
      <c r="AQ22" s="51"/>
      <c r="AR22" s="51"/>
      <c r="AS22" s="144"/>
      <c r="AT22" s="51"/>
      <c r="AU22" s="51">
        <v>0</v>
      </c>
      <c r="AV22" s="51"/>
      <c r="AW22" s="51"/>
      <c r="AX22" s="144"/>
      <c r="AY22" s="51"/>
      <c r="AZ22" s="51">
        <v>0</v>
      </c>
      <c r="BA22" s="51"/>
      <c r="BB22" s="51"/>
      <c r="BC22" s="144"/>
      <c r="BD22" s="51"/>
      <c r="BE22" s="51">
        <v>0</v>
      </c>
      <c r="BF22" s="51"/>
      <c r="BG22" s="51"/>
      <c r="BH22" s="144"/>
      <c r="BI22" s="51"/>
      <c r="BJ22" s="51">
        <v>0</v>
      </c>
      <c r="BK22" s="51"/>
      <c r="BL22" s="51"/>
      <c r="BM22" s="144"/>
      <c r="BN22" s="51"/>
      <c r="BO22" s="51">
        <v>0</v>
      </c>
      <c r="BP22" s="51"/>
      <c r="BQ22" s="51"/>
      <c r="BR22" s="144"/>
      <c r="BS22" s="51"/>
      <c r="BT22" s="51">
        <v>0</v>
      </c>
      <c r="BU22" s="51"/>
      <c r="BV22" s="51"/>
      <c r="BW22" s="340"/>
    </row>
    <row r="23" spans="1:77" ht="12.75" customHeight="1" x14ac:dyDescent="0.2">
      <c r="A23" s="317"/>
      <c r="B23" s="317"/>
      <c r="C23" s="317"/>
      <c r="D23" s="340" t="s">
        <v>183</v>
      </c>
      <c r="E23" s="347"/>
      <c r="F23" s="354"/>
      <c r="G23" s="430">
        <v>0</v>
      </c>
      <c r="H23" s="431"/>
      <c r="I23" s="51"/>
      <c r="J23" s="144"/>
      <c r="K23" s="432"/>
      <c r="L23" s="430">
        <v>0</v>
      </c>
      <c r="M23" s="431"/>
      <c r="N23" s="51"/>
      <c r="O23" s="144"/>
      <c r="P23" s="432"/>
      <c r="Q23" s="430">
        <v>0</v>
      </c>
      <c r="R23" s="431"/>
      <c r="S23" s="51"/>
      <c r="T23" s="144"/>
      <c r="U23" s="432"/>
      <c r="V23" s="430">
        <v>0</v>
      </c>
      <c r="W23" s="431"/>
      <c r="X23" s="51"/>
      <c r="Y23" s="144"/>
      <c r="Z23" s="432"/>
      <c r="AA23" s="430">
        <v>0</v>
      </c>
      <c r="AB23" s="431"/>
      <c r="AC23" s="51"/>
      <c r="AD23" s="144"/>
      <c r="AE23" s="432"/>
      <c r="AF23" s="430">
        <v>0</v>
      </c>
      <c r="AG23" s="431"/>
      <c r="AH23" s="51"/>
      <c r="AI23" s="144"/>
      <c r="AJ23" s="432"/>
      <c r="AK23" s="430">
        <v>0</v>
      </c>
      <c r="AL23" s="431"/>
      <c r="AM23" s="51"/>
      <c r="AN23" s="144"/>
      <c r="AO23" s="432"/>
      <c r="AP23" s="430">
        <v>0</v>
      </c>
      <c r="AQ23" s="431"/>
      <c r="AR23" s="51"/>
      <c r="AS23" s="144"/>
      <c r="AT23" s="432"/>
      <c r="AU23" s="430">
        <v>0</v>
      </c>
      <c r="AV23" s="431"/>
      <c r="AW23" s="51"/>
      <c r="AX23" s="144"/>
      <c r="AY23" s="432"/>
      <c r="AZ23" s="430">
        <v>0</v>
      </c>
      <c r="BA23" s="431"/>
      <c r="BB23" s="51"/>
      <c r="BC23" s="144"/>
      <c r="BD23" s="432"/>
      <c r="BE23" s="430">
        <v>0</v>
      </c>
      <c r="BF23" s="431"/>
      <c r="BG23" s="51"/>
      <c r="BH23" s="144"/>
      <c r="BI23" s="432"/>
      <c r="BJ23" s="430">
        <v>0</v>
      </c>
      <c r="BK23" s="431"/>
      <c r="BL23" s="51"/>
      <c r="BM23" s="144"/>
      <c r="BN23" s="432"/>
      <c r="BO23" s="430">
        <v>0</v>
      </c>
      <c r="BP23" s="431"/>
      <c r="BQ23" s="51"/>
      <c r="BR23" s="144"/>
      <c r="BS23" s="432"/>
      <c r="BT23" s="430">
        <v>0</v>
      </c>
      <c r="BU23" s="431"/>
      <c r="BV23" s="51"/>
      <c r="BW23" s="340"/>
    </row>
    <row r="24" spans="1:77" ht="12.75" customHeight="1" x14ac:dyDescent="0.2">
      <c r="A24" s="317"/>
      <c r="B24" s="317"/>
      <c r="C24" s="317"/>
      <c r="D24" s="340" t="s">
        <v>186</v>
      </c>
      <c r="E24" s="347"/>
      <c r="F24" s="347"/>
      <c r="G24" s="51">
        <v>0</v>
      </c>
      <c r="H24" s="50"/>
      <c r="I24" s="51"/>
      <c r="J24" s="144"/>
      <c r="K24" s="144"/>
      <c r="L24" s="51">
        <v>0</v>
      </c>
      <c r="M24" s="50"/>
      <c r="N24" s="51"/>
      <c r="O24" s="144"/>
      <c r="P24" s="144"/>
      <c r="Q24" s="51">
        <v>0</v>
      </c>
      <c r="R24" s="50"/>
      <c r="S24" s="51"/>
      <c r="T24" s="144"/>
      <c r="U24" s="144"/>
      <c r="V24" s="51">
        <v>0</v>
      </c>
      <c r="W24" s="50"/>
      <c r="X24" s="51"/>
      <c r="Y24" s="144"/>
      <c r="Z24" s="144"/>
      <c r="AA24" s="51">
        <v>0</v>
      </c>
      <c r="AB24" s="50"/>
      <c r="AC24" s="51"/>
      <c r="AD24" s="144"/>
      <c r="AE24" s="144"/>
      <c r="AF24" s="51">
        <v>0</v>
      </c>
      <c r="AG24" s="50"/>
      <c r="AH24" s="51"/>
      <c r="AI24" s="144"/>
      <c r="AJ24" s="144"/>
      <c r="AK24" s="51">
        <v>0</v>
      </c>
      <c r="AL24" s="50"/>
      <c r="AM24" s="51"/>
      <c r="AN24" s="144"/>
      <c r="AO24" s="144"/>
      <c r="AP24" s="51">
        <v>0</v>
      </c>
      <c r="AQ24" s="50"/>
      <c r="AR24" s="51"/>
      <c r="AS24" s="144"/>
      <c r="AT24" s="144"/>
      <c r="AU24" s="51">
        <v>0</v>
      </c>
      <c r="AV24" s="50"/>
      <c r="AW24" s="51"/>
      <c r="AX24" s="144"/>
      <c r="AY24" s="144"/>
      <c r="AZ24" s="51">
        <v>0</v>
      </c>
      <c r="BA24" s="50"/>
      <c r="BB24" s="51"/>
      <c r="BC24" s="144"/>
      <c r="BD24" s="144"/>
      <c r="BE24" s="51">
        <v>0</v>
      </c>
      <c r="BF24" s="50"/>
      <c r="BG24" s="51"/>
      <c r="BH24" s="144"/>
      <c r="BI24" s="144"/>
      <c r="BJ24" s="51">
        <v>0</v>
      </c>
      <c r="BK24" s="50"/>
      <c r="BL24" s="51"/>
      <c r="BM24" s="144"/>
      <c r="BN24" s="144"/>
      <c r="BO24" s="51">
        <v>0</v>
      </c>
      <c r="BP24" s="50"/>
      <c r="BQ24" s="51"/>
      <c r="BR24" s="144"/>
      <c r="BS24" s="144"/>
      <c r="BT24" s="51">
        <v>0</v>
      </c>
      <c r="BU24" s="50"/>
      <c r="BV24" s="51"/>
      <c r="BW24" s="340"/>
    </row>
    <row r="25" spans="1:77" ht="12.75" customHeight="1" x14ac:dyDescent="0.2">
      <c r="A25" s="317"/>
      <c r="B25" s="317"/>
      <c r="C25" s="317"/>
      <c r="D25" s="340" t="s">
        <v>200</v>
      </c>
      <c r="E25" s="347"/>
      <c r="F25" s="371"/>
      <c r="G25" s="95">
        <v>0</v>
      </c>
      <c r="H25" s="94"/>
      <c r="I25" s="51"/>
      <c r="J25" s="144"/>
      <c r="K25" s="187"/>
      <c r="L25" s="95">
        <v>0</v>
      </c>
      <c r="M25" s="94"/>
      <c r="N25" s="51"/>
      <c r="O25" s="144"/>
      <c r="P25" s="187"/>
      <c r="Q25" s="95">
        <v>0</v>
      </c>
      <c r="R25" s="94"/>
      <c r="S25" s="51"/>
      <c r="T25" s="144"/>
      <c r="U25" s="187"/>
      <c r="V25" s="95">
        <v>0</v>
      </c>
      <c r="W25" s="94"/>
      <c r="X25" s="51"/>
      <c r="Y25" s="144"/>
      <c r="Z25" s="187"/>
      <c r="AA25" s="95">
        <v>0</v>
      </c>
      <c r="AB25" s="94"/>
      <c r="AC25" s="51"/>
      <c r="AD25" s="144"/>
      <c r="AE25" s="187"/>
      <c r="AF25" s="95">
        <v>0</v>
      </c>
      <c r="AG25" s="94"/>
      <c r="AH25" s="51"/>
      <c r="AI25" s="144"/>
      <c r="AJ25" s="187"/>
      <c r="AK25" s="95">
        <v>0</v>
      </c>
      <c r="AL25" s="94"/>
      <c r="AM25" s="51"/>
      <c r="AN25" s="144"/>
      <c r="AO25" s="187"/>
      <c r="AP25" s="95">
        <v>0</v>
      </c>
      <c r="AQ25" s="94"/>
      <c r="AR25" s="51"/>
      <c r="AS25" s="144"/>
      <c r="AT25" s="187"/>
      <c r="AU25" s="95">
        <v>0</v>
      </c>
      <c r="AV25" s="94"/>
      <c r="AW25" s="51"/>
      <c r="AX25" s="144"/>
      <c r="AY25" s="187"/>
      <c r="AZ25" s="95">
        <v>0</v>
      </c>
      <c r="BA25" s="94"/>
      <c r="BB25" s="51"/>
      <c r="BC25" s="144"/>
      <c r="BD25" s="187"/>
      <c r="BE25" s="95">
        <v>0</v>
      </c>
      <c r="BF25" s="94"/>
      <c r="BG25" s="51"/>
      <c r="BH25" s="144"/>
      <c r="BI25" s="187"/>
      <c r="BJ25" s="95">
        <v>0</v>
      </c>
      <c r="BK25" s="94"/>
      <c r="BL25" s="51"/>
      <c r="BM25" s="144"/>
      <c r="BN25" s="187"/>
      <c r="BO25" s="95">
        <v>0</v>
      </c>
      <c r="BP25" s="94"/>
      <c r="BQ25" s="51"/>
      <c r="BR25" s="144"/>
      <c r="BS25" s="187"/>
      <c r="BT25" s="95">
        <v>0</v>
      </c>
      <c r="BU25" s="94"/>
      <c r="BV25" s="51"/>
      <c r="BW25" s="340"/>
    </row>
    <row r="26" spans="1:77" ht="12.75" customHeight="1" x14ac:dyDescent="0.2">
      <c r="A26" s="317"/>
      <c r="B26" s="317"/>
      <c r="C26" s="317"/>
      <c r="D26" s="340"/>
      <c r="E26" s="347"/>
      <c r="F26" s="317"/>
      <c r="G26" s="51"/>
      <c r="H26" s="51"/>
      <c r="I26" s="51"/>
      <c r="J26" s="144"/>
      <c r="K26" s="51"/>
      <c r="L26" s="51"/>
      <c r="M26" s="51"/>
      <c r="N26" s="51"/>
      <c r="O26" s="144"/>
      <c r="P26" s="51"/>
      <c r="Q26" s="51"/>
      <c r="R26" s="51"/>
      <c r="S26" s="51"/>
      <c r="T26" s="144"/>
      <c r="U26" s="51"/>
      <c r="V26" s="51"/>
      <c r="W26" s="51"/>
      <c r="X26" s="51"/>
      <c r="Y26" s="144"/>
      <c r="Z26" s="51"/>
      <c r="AA26" s="51"/>
      <c r="AB26" s="51"/>
      <c r="AC26" s="51"/>
      <c r="AD26" s="144"/>
      <c r="AE26" s="51"/>
      <c r="AF26" s="51"/>
      <c r="AG26" s="51"/>
      <c r="AH26" s="51"/>
      <c r="AI26" s="144"/>
      <c r="AJ26" s="51"/>
      <c r="AK26" s="51"/>
      <c r="AL26" s="51"/>
      <c r="AM26" s="51"/>
      <c r="AN26" s="144"/>
      <c r="AO26" s="51"/>
      <c r="AP26" s="51"/>
      <c r="AQ26" s="51"/>
      <c r="AR26" s="51"/>
      <c r="AS26" s="144"/>
      <c r="AT26" s="51"/>
      <c r="AU26" s="51"/>
      <c r="AV26" s="51"/>
      <c r="AW26" s="51"/>
      <c r="AX26" s="144"/>
      <c r="AY26" s="51"/>
      <c r="AZ26" s="51"/>
      <c r="BA26" s="51"/>
      <c r="BB26" s="51"/>
      <c r="BC26" s="144"/>
      <c r="BD26" s="51"/>
      <c r="BE26" s="51"/>
      <c r="BF26" s="51"/>
      <c r="BG26" s="51"/>
      <c r="BH26" s="144"/>
      <c r="BI26" s="51"/>
      <c r="BJ26" s="51"/>
      <c r="BK26" s="51"/>
      <c r="BL26" s="51"/>
      <c r="BM26" s="144"/>
      <c r="BN26" s="51"/>
      <c r="BO26" s="51"/>
      <c r="BP26" s="51"/>
      <c r="BQ26" s="51"/>
      <c r="BR26" s="144"/>
      <c r="BS26" s="51"/>
      <c r="BT26" s="51"/>
      <c r="BU26" s="51"/>
      <c r="BV26" s="51"/>
      <c r="BW26" s="340"/>
    </row>
    <row r="27" spans="1:77" ht="12.75" customHeight="1" x14ac:dyDescent="0.2">
      <c r="A27" s="317"/>
      <c r="B27" s="317"/>
      <c r="C27" s="317"/>
      <c r="D27" s="340" t="s">
        <v>268</v>
      </c>
      <c r="E27" s="347"/>
      <c r="F27" s="317"/>
      <c r="G27" s="51">
        <v>0</v>
      </c>
      <c r="H27" s="51"/>
      <c r="I27" s="51"/>
      <c r="J27" s="144"/>
      <c r="K27" s="51"/>
      <c r="L27" s="51">
        <v>0</v>
      </c>
      <c r="M27" s="51"/>
      <c r="N27" s="51"/>
      <c r="O27" s="144"/>
      <c r="P27" s="51"/>
      <c r="Q27" s="51">
        <v>0</v>
      </c>
      <c r="R27" s="51"/>
      <c r="S27" s="51"/>
      <c r="T27" s="144"/>
      <c r="U27" s="51"/>
      <c r="V27" s="51">
        <v>0</v>
      </c>
      <c r="W27" s="51"/>
      <c r="X27" s="51"/>
      <c r="Y27" s="144"/>
      <c r="Z27" s="51"/>
      <c r="AA27" s="51">
        <v>0</v>
      </c>
      <c r="AB27" s="51"/>
      <c r="AC27" s="51"/>
      <c r="AD27" s="144"/>
      <c r="AE27" s="51"/>
      <c r="AF27" s="51">
        <v>0</v>
      </c>
      <c r="AG27" s="51"/>
      <c r="AH27" s="51"/>
      <c r="AI27" s="144"/>
      <c r="AJ27" s="51"/>
      <c r="AK27" s="51">
        <v>0</v>
      </c>
      <c r="AL27" s="51"/>
      <c r="AM27" s="51"/>
      <c r="AN27" s="144"/>
      <c r="AO27" s="51"/>
      <c r="AP27" s="51">
        <v>0</v>
      </c>
      <c r="AQ27" s="51"/>
      <c r="AR27" s="51"/>
      <c r="AS27" s="144"/>
      <c r="AT27" s="51"/>
      <c r="AU27" s="51">
        <v>0</v>
      </c>
      <c r="AV27" s="51"/>
      <c r="AW27" s="51"/>
      <c r="AX27" s="144"/>
      <c r="AY27" s="51"/>
      <c r="AZ27" s="51">
        <v>0</v>
      </c>
      <c r="BA27" s="51"/>
      <c r="BB27" s="51"/>
      <c r="BC27" s="144"/>
      <c r="BD27" s="51"/>
      <c r="BE27" s="51">
        <v>0</v>
      </c>
      <c r="BF27" s="51"/>
      <c r="BG27" s="51"/>
      <c r="BH27" s="144"/>
      <c r="BI27" s="51"/>
      <c r="BJ27" s="51">
        <v>0</v>
      </c>
      <c r="BK27" s="51"/>
      <c r="BL27" s="51"/>
      <c r="BM27" s="144"/>
      <c r="BN27" s="51"/>
      <c r="BO27" s="51">
        <v>0</v>
      </c>
      <c r="BP27" s="51"/>
      <c r="BQ27" s="51"/>
      <c r="BR27" s="144"/>
      <c r="BS27" s="51"/>
      <c r="BT27" s="51">
        <v>0</v>
      </c>
      <c r="BU27" s="51"/>
      <c r="BV27" s="51"/>
      <c r="BW27" s="340"/>
    </row>
    <row r="28" spans="1:77" ht="12.75" customHeight="1" x14ac:dyDescent="0.2">
      <c r="A28" s="317"/>
      <c r="B28" s="317"/>
      <c r="C28" s="317"/>
      <c r="D28" s="340" t="s">
        <v>183</v>
      </c>
      <c r="E28" s="347"/>
      <c r="F28" s="432"/>
      <c r="G28" s="430">
        <v>0</v>
      </c>
      <c r="H28" s="431"/>
      <c r="I28" s="51"/>
      <c r="J28" s="144"/>
      <c r="K28" s="432"/>
      <c r="L28" s="430">
        <v>0</v>
      </c>
      <c r="M28" s="431"/>
      <c r="N28" s="51"/>
      <c r="O28" s="144"/>
      <c r="P28" s="432"/>
      <c r="Q28" s="430">
        <v>0</v>
      </c>
      <c r="R28" s="431"/>
      <c r="S28" s="51"/>
      <c r="T28" s="144"/>
      <c r="U28" s="432"/>
      <c r="V28" s="430">
        <v>0</v>
      </c>
      <c r="W28" s="431"/>
      <c r="X28" s="51"/>
      <c r="Y28" s="144"/>
      <c r="Z28" s="432"/>
      <c r="AA28" s="430">
        <v>0</v>
      </c>
      <c r="AB28" s="431"/>
      <c r="AC28" s="51"/>
      <c r="AD28" s="144"/>
      <c r="AE28" s="432"/>
      <c r="AF28" s="430">
        <v>0</v>
      </c>
      <c r="AG28" s="431"/>
      <c r="AH28" s="51"/>
      <c r="AI28" s="144"/>
      <c r="AJ28" s="432"/>
      <c r="AK28" s="430">
        <v>0</v>
      </c>
      <c r="AL28" s="431"/>
      <c r="AM28" s="51"/>
      <c r="AN28" s="144"/>
      <c r="AO28" s="432"/>
      <c r="AP28" s="430">
        <v>0</v>
      </c>
      <c r="AQ28" s="431"/>
      <c r="AR28" s="51"/>
      <c r="AS28" s="144"/>
      <c r="AT28" s="432"/>
      <c r="AU28" s="430">
        <v>0</v>
      </c>
      <c r="AV28" s="431"/>
      <c r="AW28" s="51"/>
      <c r="AX28" s="144"/>
      <c r="AY28" s="432"/>
      <c r="AZ28" s="430">
        <v>0</v>
      </c>
      <c r="BA28" s="431"/>
      <c r="BB28" s="51"/>
      <c r="BC28" s="144"/>
      <c r="BD28" s="432"/>
      <c r="BE28" s="430">
        <v>0</v>
      </c>
      <c r="BF28" s="431"/>
      <c r="BG28" s="51"/>
      <c r="BH28" s="144"/>
      <c r="BI28" s="432"/>
      <c r="BJ28" s="430">
        <v>0</v>
      </c>
      <c r="BK28" s="431"/>
      <c r="BL28" s="51"/>
      <c r="BM28" s="144"/>
      <c r="BN28" s="432"/>
      <c r="BO28" s="430">
        <v>0</v>
      </c>
      <c r="BP28" s="431"/>
      <c r="BQ28" s="51"/>
      <c r="BR28" s="144"/>
      <c r="BS28" s="432"/>
      <c r="BT28" s="430">
        <v>0</v>
      </c>
      <c r="BU28" s="431"/>
      <c r="BV28" s="51"/>
      <c r="BW28" s="340"/>
    </row>
    <row r="29" spans="1:77" ht="12.75" customHeight="1" x14ac:dyDescent="0.2">
      <c r="A29" s="317"/>
      <c r="B29" s="317"/>
      <c r="C29" s="317"/>
      <c r="D29" s="340" t="s">
        <v>186</v>
      </c>
      <c r="E29" s="347"/>
      <c r="F29" s="144"/>
      <c r="G29" s="51">
        <v>0</v>
      </c>
      <c r="H29" s="50"/>
      <c r="I29" s="51"/>
      <c r="J29" s="144"/>
      <c r="K29" s="144"/>
      <c r="L29" s="51">
        <v>0</v>
      </c>
      <c r="M29" s="50"/>
      <c r="N29" s="51"/>
      <c r="O29" s="144"/>
      <c r="P29" s="144"/>
      <c r="Q29" s="51">
        <v>0</v>
      </c>
      <c r="R29" s="50"/>
      <c r="S29" s="51"/>
      <c r="T29" s="144"/>
      <c r="U29" s="144"/>
      <c r="V29" s="51">
        <v>0</v>
      </c>
      <c r="W29" s="50"/>
      <c r="X29" s="51"/>
      <c r="Y29" s="144"/>
      <c r="Z29" s="144"/>
      <c r="AA29" s="51">
        <v>0</v>
      </c>
      <c r="AB29" s="50"/>
      <c r="AC29" s="51"/>
      <c r="AD29" s="144"/>
      <c r="AE29" s="144"/>
      <c r="AF29" s="51">
        <v>0</v>
      </c>
      <c r="AG29" s="50"/>
      <c r="AH29" s="51"/>
      <c r="AI29" s="144"/>
      <c r="AJ29" s="144"/>
      <c r="AK29" s="51">
        <v>0</v>
      </c>
      <c r="AL29" s="50"/>
      <c r="AM29" s="51"/>
      <c r="AN29" s="144"/>
      <c r="AO29" s="144"/>
      <c r="AP29" s="51">
        <v>0</v>
      </c>
      <c r="AQ29" s="50"/>
      <c r="AR29" s="51"/>
      <c r="AS29" s="144"/>
      <c r="AT29" s="144"/>
      <c r="AU29" s="51">
        <v>0</v>
      </c>
      <c r="AV29" s="50"/>
      <c r="AW29" s="51"/>
      <c r="AX29" s="144"/>
      <c r="AY29" s="144"/>
      <c r="AZ29" s="51">
        <v>0</v>
      </c>
      <c r="BA29" s="50"/>
      <c r="BB29" s="51"/>
      <c r="BC29" s="144"/>
      <c r="BD29" s="144"/>
      <c r="BE29" s="51">
        <v>0</v>
      </c>
      <c r="BF29" s="50"/>
      <c r="BG29" s="51"/>
      <c r="BH29" s="144"/>
      <c r="BI29" s="144"/>
      <c r="BJ29" s="51">
        <v>0</v>
      </c>
      <c r="BK29" s="50"/>
      <c r="BL29" s="51"/>
      <c r="BM29" s="144"/>
      <c r="BN29" s="144"/>
      <c r="BO29" s="51">
        <v>0</v>
      </c>
      <c r="BP29" s="50"/>
      <c r="BQ29" s="51"/>
      <c r="BR29" s="144"/>
      <c r="BS29" s="144"/>
      <c r="BT29" s="51">
        <v>0</v>
      </c>
      <c r="BU29" s="50"/>
      <c r="BV29" s="51"/>
      <c r="BW29" s="340"/>
    </row>
    <row r="30" spans="1:77" ht="12.75" customHeight="1" x14ac:dyDescent="0.2">
      <c r="A30" s="317"/>
      <c r="B30" s="317"/>
      <c r="C30" s="317"/>
      <c r="D30" s="340" t="s">
        <v>200</v>
      </c>
      <c r="E30" s="347"/>
      <c r="F30" s="187"/>
      <c r="G30" s="95">
        <v>0</v>
      </c>
      <c r="H30" s="94"/>
      <c r="I30" s="51"/>
      <c r="J30" s="144"/>
      <c r="K30" s="187"/>
      <c r="L30" s="95">
        <v>0</v>
      </c>
      <c r="M30" s="94"/>
      <c r="N30" s="51"/>
      <c r="O30" s="144"/>
      <c r="P30" s="187"/>
      <c r="Q30" s="95">
        <v>0</v>
      </c>
      <c r="R30" s="94"/>
      <c r="S30" s="51"/>
      <c r="T30" s="144"/>
      <c r="U30" s="187"/>
      <c r="V30" s="95">
        <v>0</v>
      </c>
      <c r="W30" s="94"/>
      <c r="X30" s="51"/>
      <c r="Y30" s="144"/>
      <c r="Z30" s="187"/>
      <c r="AA30" s="95">
        <v>0</v>
      </c>
      <c r="AB30" s="94"/>
      <c r="AC30" s="51"/>
      <c r="AD30" s="144"/>
      <c r="AE30" s="187"/>
      <c r="AF30" s="95">
        <v>0</v>
      </c>
      <c r="AG30" s="94"/>
      <c r="AH30" s="51"/>
      <c r="AI30" s="144"/>
      <c r="AJ30" s="187"/>
      <c r="AK30" s="95">
        <v>0</v>
      </c>
      <c r="AL30" s="94"/>
      <c r="AM30" s="51"/>
      <c r="AN30" s="144"/>
      <c r="AO30" s="187"/>
      <c r="AP30" s="95">
        <v>0</v>
      </c>
      <c r="AQ30" s="94"/>
      <c r="AR30" s="51"/>
      <c r="AS30" s="144"/>
      <c r="AT30" s="187"/>
      <c r="AU30" s="95">
        <v>0</v>
      </c>
      <c r="AV30" s="94"/>
      <c r="AW30" s="51"/>
      <c r="AX30" s="144"/>
      <c r="AY30" s="187"/>
      <c r="AZ30" s="95">
        <v>0</v>
      </c>
      <c r="BA30" s="94"/>
      <c r="BB30" s="51"/>
      <c r="BC30" s="144"/>
      <c r="BD30" s="187"/>
      <c r="BE30" s="95">
        <v>0</v>
      </c>
      <c r="BF30" s="94"/>
      <c r="BG30" s="51"/>
      <c r="BH30" s="144"/>
      <c r="BI30" s="187"/>
      <c r="BJ30" s="95">
        <v>0</v>
      </c>
      <c r="BK30" s="94"/>
      <c r="BL30" s="51"/>
      <c r="BM30" s="144"/>
      <c r="BN30" s="187"/>
      <c r="BO30" s="95">
        <v>0</v>
      </c>
      <c r="BP30" s="94"/>
      <c r="BQ30" s="51"/>
      <c r="BR30" s="144"/>
      <c r="BS30" s="187"/>
      <c r="BT30" s="95">
        <v>0</v>
      </c>
      <c r="BU30" s="94"/>
      <c r="BV30" s="51"/>
      <c r="BW30" s="340"/>
    </row>
    <row r="31" spans="1:77" ht="12.75" customHeight="1" x14ac:dyDescent="0.2">
      <c r="A31" s="317"/>
      <c r="B31" s="317"/>
      <c r="C31" s="317"/>
      <c r="D31" s="340"/>
      <c r="E31" s="347"/>
      <c r="F31" s="51"/>
      <c r="G31" s="51"/>
      <c r="H31" s="51"/>
      <c r="I31" s="51"/>
      <c r="J31" s="144"/>
      <c r="K31" s="51"/>
      <c r="L31" s="51"/>
      <c r="M31" s="51"/>
      <c r="N31" s="51"/>
      <c r="O31" s="144"/>
      <c r="P31" s="51"/>
      <c r="Q31" s="51"/>
      <c r="R31" s="51"/>
      <c r="S31" s="51"/>
      <c r="T31" s="144"/>
      <c r="U31" s="51"/>
      <c r="V31" s="51"/>
      <c r="W31" s="51"/>
      <c r="X31" s="51"/>
      <c r="Y31" s="144"/>
      <c r="Z31" s="51"/>
      <c r="AA31" s="51"/>
      <c r="AB31" s="51"/>
      <c r="AC31" s="51"/>
      <c r="AD31" s="144"/>
      <c r="AE31" s="51"/>
      <c r="AF31" s="51"/>
      <c r="AG31" s="51"/>
      <c r="AH31" s="51"/>
      <c r="AI31" s="144"/>
      <c r="AJ31" s="51"/>
      <c r="AK31" s="51"/>
      <c r="AL31" s="51"/>
      <c r="AM31" s="51"/>
      <c r="AN31" s="144"/>
      <c r="AO31" s="51"/>
      <c r="AP31" s="51"/>
      <c r="AQ31" s="51"/>
      <c r="AR31" s="51"/>
      <c r="AS31" s="144"/>
      <c r="AT31" s="51"/>
      <c r="AU31" s="51"/>
      <c r="AV31" s="51"/>
      <c r="AW31" s="51"/>
      <c r="AX31" s="144"/>
      <c r="AY31" s="51"/>
      <c r="AZ31" s="51"/>
      <c r="BA31" s="51"/>
      <c r="BB31" s="51"/>
      <c r="BC31" s="144"/>
      <c r="BD31" s="51"/>
      <c r="BE31" s="51"/>
      <c r="BF31" s="51"/>
      <c r="BG31" s="51"/>
      <c r="BH31" s="144"/>
      <c r="BI31" s="51"/>
      <c r="BJ31" s="51"/>
      <c r="BK31" s="51"/>
      <c r="BL31" s="51"/>
      <c r="BM31" s="144"/>
      <c r="BN31" s="51"/>
      <c r="BO31" s="51"/>
      <c r="BP31" s="51"/>
      <c r="BQ31" s="51"/>
      <c r="BR31" s="144"/>
      <c r="BS31" s="51"/>
      <c r="BT31" s="51"/>
      <c r="BU31" s="51"/>
      <c r="BV31" s="51"/>
      <c r="BW31" s="340"/>
    </row>
    <row r="32" spans="1:77" ht="12.75" customHeight="1" x14ac:dyDescent="0.2">
      <c r="A32" s="317"/>
      <c r="B32" s="317"/>
      <c r="C32" s="317"/>
      <c r="D32" s="340" t="s">
        <v>269</v>
      </c>
      <c r="E32" s="347"/>
      <c r="F32" s="51"/>
      <c r="G32" s="51">
        <v>0</v>
      </c>
      <c r="H32" s="51"/>
      <c r="I32" s="51"/>
      <c r="J32" s="144"/>
      <c r="K32" s="51"/>
      <c r="L32" s="51">
        <v>0</v>
      </c>
      <c r="M32" s="51"/>
      <c r="N32" s="51"/>
      <c r="O32" s="144"/>
      <c r="P32" s="51"/>
      <c r="Q32" s="51">
        <v>0</v>
      </c>
      <c r="R32" s="51"/>
      <c r="S32" s="51"/>
      <c r="T32" s="144"/>
      <c r="U32" s="51"/>
      <c r="V32" s="51">
        <v>0</v>
      </c>
      <c r="W32" s="51"/>
      <c r="X32" s="51"/>
      <c r="Y32" s="144"/>
      <c r="Z32" s="51"/>
      <c r="AA32" s="51">
        <v>0</v>
      </c>
      <c r="AB32" s="51"/>
      <c r="AC32" s="51"/>
      <c r="AD32" s="144"/>
      <c r="AE32" s="51"/>
      <c r="AF32" s="51">
        <v>0</v>
      </c>
      <c r="AG32" s="51"/>
      <c r="AH32" s="51"/>
      <c r="AI32" s="144"/>
      <c r="AJ32" s="51"/>
      <c r="AK32" s="51">
        <v>0</v>
      </c>
      <c r="AL32" s="51"/>
      <c r="AM32" s="51"/>
      <c r="AN32" s="144"/>
      <c r="AO32" s="51"/>
      <c r="AP32" s="51">
        <v>0</v>
      </c>
      <c r="AQ32" s="51"/>
      <c r="AR32" s="51"/>
      <c r="AS32" s="144"/>
      <c r="AT32" s="51"/>
      <c r="AU32" s="51">
        <v>0</v>
      </c>
      <c r="AV32" s="51"/>
      <c r="AW32" s="51"/>
      <c r="AX32" s="144"/>
      <c r="AY32" s="51"/>
      <c r="AZ32" s="51">
        <v>0</v>
      </c>
      <c r="BA32" s="51"/>
      <c r="BB32" s="51"/>
      <c r="BC32" s="144"/>
      <c r="BD32" s="51"/>
      <c r="BE32" s="51">
        <v>0</v>
      </c>
      <c r="BF32" s="51"/>
      <c r="BG32" s="51"/>
      <c r="BH32" s="144"/>
      <c r="BI32" s="51"/>
      <c r="BJ32" s="51">
        <v>0</v>
      </c>
      <c r="BK32" s="51"/>
      <c r="BL32" s="51"/>
      <c r="BM32" s="144"/>
      <c r="BN32" s="51"/>
      <c r="BO32" s="51">
        <v>0</v>
      </c>
      <c r="BP32" s="51"/>
      <c r="BQ32" s="51"/>
      <c r="BR32" s="144"/>
      <c r="BS32" s="51"/>
      <c r="BT32" s="51">
        <v>0</v>
      </c>
      <c r="BU32" s="51"/>
      <c r="BV32" s="51"/>
      <c r="BW32" s="340"/>
    </row>
    <row r="33" spans="1:75" ht="12.75" customHeight="1" x14ac:dyDescent="0.2">
      <c r="A33" s="317"/>
      <c r="B33" s="317"/>
      <c r="C33" s="317"/>
      <c r="D33" s="340" t="s">
        <v>183</v>
      </c>
      <c r="E33" s="347"/>
      <c r="F33" s="432"/>
      <c r="G33" s="430">
        <v>0</v>
      </c>
      <c r="H33" s="431"/>
      <c r="I33" s="51"/>
      <c r="J33" s="144"/>
      <c r="K33" s="432"/>
      <c r="L33" s="430">
        <v>0</v>
      </c>
      <c r="M33" s="431"/>
      <c r="N33" s="51"/>
      <c r="O33" s="144"/>
      <c r="P33" s="432"/>
      <c r="Q33" s="430">
        <v>0</v>
      </c>
      <c r="R33" s="431"/>
      <c r="S33" s="51"/>
      <c r="T33" s="144"/>
      <c r="U33" s="432"/>
      <c r="V33" s="430">
        <v>0</v>
      </c>
      <c r="W33" s="431"/>
      <c r="X33" s="51"/>
      <c r="Y33" s="144"/>
      <c r="Z33" s="432"/>
      <c r="AA33" s="430">
        <v>0</v>
      </c>
      <c r="AB33" s="431"/>
      <c r="AC33" s="51"/>
      <c r="AD33" s="144"/>
      <c r="AE33" s="432"/>
      <c r="AF33" s="430">
        <v>0</v>
      </c>
      <c r="AG33" s="431"/>
      <c r="AH33" s="51"/>
      <c r="AI33" s="144"/>
      <c r="AJ33" s="432"/>
      <c r="AK33" s="430">
        <v>0</v>
      </c>
      <c r="AL33" s="431"/>
      <c r="AM33" s="51"/>
      <c r="AN33" s="144"/>
      <c r="AO33" s="432"/>
      <c r="AP33" s="430">
        <v>0</v>
      </c>
      <c r="AQ33" s="431"/>
      <c r="AR33" s="51"/>
      <c r="AS33" s="144"/>
      <c r="AT33" s="432"/>
      <c r="AU33" s="430">
        <v>0</v>
      </c>
      <c r="AV33" s="431"/>
      <c r="AW33" s="51"/>
      <c r="AX33" s="144"/>
      <c r="AY33" s="432"/>
      <c r="AZ33" s="430">
        <v>0</v>
      </c>
      <c r="BA33" s="431"/>
      <c r="BB33" s="51"/>
      <c r="BC33" s="144"/>
      <c r="BD33" s="432"/>
      <c r="BE33" s="430">
        <v>0</v>
      </c>
      <c r="BF33" s="431"/>
      <c r="BG33" s="51"/>
      <c r="BH33" s="144"/>
      <c r="BI33" s="432"/>
      <c r="BJ33" s="430">
        <v>0</v>
      </c>
      <c r="BK33" s="431"/>
      <c r="BL33" s="51"/>
      <c r="BM33" s="144"/>
      <c r="BN33" s="432"/>
      <c r="BO33" s="430">
        <v>0</v>
      </c>
      <c r="BP33" s="431"/>
      <c r="BQ33" s="51"/>
      <c r="BR33" s="144"/>
      <c r="BS33" s="432"/>
      <c r="BT33" s="430">
        <v>0</v>
      </c>
      <c r="BU33" s="431"/>
      <c r="BV33" s="51"/>
      <c r="BW33" s="340"/>
    </row>
    <row r="34" spans="1:75" ht="12.75" customHeight="1" x14ac:dyDescent="0.2">
      <c r="A34" s="317"/>
      <c r="B34" s="317"/>
      <c r="C34" s="317"/>
      <c r="D34" s="340" t="s">
        <v>186</v>
      </c>
      <c r="E34" s="347"/>
      <c r="F34" s="144"/>
      <c r="G34" s="51">
        <v>0</v>
      </c>
      <c r="H34" s="50"/>
      <c r="I34" s="51"/>
      <c r="J34" s="144"/>
      <c r="K34" s="144"/>
      <c r="L34" s="51">
        <v>0</v>
      </c>
      <c r="M34" s="50"/>
      <c r="N34" s="51"/>
      <c r="O34" s="144"/>
      <c r="P34" s="144"/>
      <c r="Q34" s="51">
        <v>0</v>
      </c>
      <c r="R34" s="50"/>
      <c r="S34" s="51"/>
      <c r="T34" s="144"/>
      <c r="U34" s="144"/>
      <c r="V34" s="51">
        <v>0</v>
      </c>
      <c r="W34" s="50"/>
      <c r="X34" s="51"/>
      <c r="Y34" s="144"/>
      <c r="Z34" s="144"/>
      <c r="AA34" s="51">
        <v>0</v>
      </c>
      <c r="AB34" s="50"/>
      <c r="AC34" s="51"/>
      <c r="AD34" s="144"/>
      <c r="AE34" s="144"/>
      <c r="AF34" s="51">
        <v>0</v>
      </c>
      <c r="AG34" s="50"/>
      <c r="AH34" s="51"/>
      <c r="AI34" s="144"/>
      <c r="AJ34" s="144"/>
      <c r="AK34" s="51">
        <v>0</v>
      </c>
      <c r="AL34" s="50"/>
      <c r="AM34" s="51"/>
      <c r="AN34" s="144"/>
      <c r="AO34" s="144"/>
      <c r="AP34" s="51">
        <v>0</v>
      </c>
      <c r="AQ34" s="50"/>
      <c r="AR34" s="51"/>
      <c r="AS34" s="144"/>
      <c r="AT34" s="144"/>
      <c r="AU34" s="51">
        <v>0</v>
      </c>
      <c r="AV34" s="50"/>
      <c r="AW34" s="51"/>
      <c r="AX34" s="144"/>
      <c r="AY34" s="144"/>
      <c r="AZ34" s="51">
        <v>0</v>
      </c>
      <c r="BA34" s="50"/>
      <c r="BB34" s="51"/>
      <c r="BC34" s="144"/>
      <c r="BD34" s="144"/>
      <c r="BE34" s="51">
        <v>0</v>
      </c>
      <c r="BF34" s="50"/>
      <c r="BG34" s="51"/>
      <c r="BH34" s="144"/>
      <c r="BI34" s="144"/>
      <c r="BJ34" s="51">
        <v>0</v>
      </c>
      <c r="BK34" s="50"/>
      <c r="BL34" s="51"/>
      <c r="BM34" s="144"/>
      <c r="BN34" s="144"/>
      <c r="BO34" s="51">
        <v>0</v>
      </c>
      <c r="BP34" s="50"/>
      <c r="BQ34" s="51"/>
      <c r="BR34" s="144"/>
      <c r="BS34" s="144"/>
      <c r="BT34" s="51">
        <v>0</v>
      </c>
      <c r="BU34" s="50"/>
      <c r="BV34" s="51"/>
      <c r="BW34" s="340"/>
    </row>
    <row r="35" spans="1:75" ht="12.75" customHeight="1" x14ac:dyDescent="0.2">
      <c r="A35" s="317"/>
      <c r="B35" s="317"/>
      <c r="C35" s="317"/>
      <c r="D35" s="340" t="s">
        <v>200</v>
      </c>
      <c r="E35" s="347"/>
      <c r="F35" s="187"/>
      <c r="G35" s="95">
        <v>0</v>
      </c>
      <c r="H35" s="94"/>
      <c r="I35" s="51"/>
      <c r="J35" s="144"/>
      <c r="K35" s="187"/>
      <c r="L35" s="95">
        <v>0</v>
      </c>
      <c r="M35" s="94"/>
      <c r="N35" s="51"/>
      <c r="O35" s="144"/>
      <c r="P35" s="187"/>
      <c r="Q35" s="95">
        <v>0</v>
      </c>
      <c r="R35" s="94"/>
      <c r="S35" s="51"/>
      <c r="T35" s="144"/>
      <c r="U35" s="187"/>
      <c r="V35" s="95">
        <v>0</v>
      </c>
      <c r="W35" s="94"/>
      <c r="X35" s="51"/>
      <c r="Y35" s="144"/>
      <c r="Z35" s="187"/>
      <c r="AA35" s="95">
        <v>0</v>
      </c>
      <c r="AB35" s="94"/>
      <c r="AC35" s="51"/>
      <c r="AD35" s="144"/>
      <c r="AE35" s="187"/>
      <c r="AF35" s="95">
        <v>0</v>
      </c>
      <c r="AG35" s="94"/>
      <c r="AH35" s="51"/>
      <c r="AI35" s="144"/>
      <c r="AJ35" s="187"/>
      <c r="AK35" s="95">
        <v>0</v>
      </c>
      <c r="AL35" s="94"/>
      <c r="AM35" s="51"/>
      <c r="AN35" s="144"/>
      <c r="AO35" s="187"/>
      <c r="AP35" s="95">
        <v>0</v>
      </c>
      <c r="AQ35" s="94"/>
      <c r="AR35" s="51"/>
      <c r="AS35" s="144"/>
      <c r="AT35" s="187"/>
      <c r="AU35" s="95">
        <v>0</v>
      </c>
      <c r="AV35" s="94"/>
      <c r="AW35" s="51"/>
      <c r="AX35" s="144"/>
      <c r="AY35" s="187"/>
      <c r="AZ35" s="95">
        <v>0</v>
      </c>
      <c r="BA35" s="94"/>
      <c r="BB35" s="51"/>
      <c r="BC35" s="144"/>
      <c r="BD35" s="187"/>
      <c r="BE35" s="95">
        <v>0</v>
      </c>
      <c r="BF35" s="94"/>
      <c r="BG35" s="51"/>
      <c r="BH35" s="144"/>
      <c r="BI35" s="187"/>
      <c r="BJ35" s="95">
        <v>0</v>
      </c>
      <c r="BK35" s="94"/>
      <c r="BL35" s="51"/>
      <c r="BM35" s="144"/>
      <c r="BN35" s="187"/>
      <c r="BO35" s="95">
        <v>0</v>
      </c>
      <c r="BP35" s="94"/>
      <c r="BQ35" s="51"/>
      <c r="BR35" s="144"/>
      <c r="BS35" s="187"/>
      <c r="BT35" s="95">
        <v>0</v>
      </c>
      <c r="BU35" s="94"/>
      <c r="BV35" s="51"/>
      <c r="BW35" s="340"/>
    </row>
    <row r="36" spans="1:75" x14ac:dyDescent="0.2">
      <c r="A36" s="317"/>
      <c r="B36" s="317"/>
      <c r="C36" s="317"/>
      <c r="D36" s="340"/>
      <c r="E36" s="347"/>
      <c r="F36" s="317"/>
      <c r="G36" s="51"/>
      <c r="H36" s="51"/>
      <c r="I36" s="51"/>
      <c r="J36" s="144"/>
      <c r="K36" s="51"/>
      <c r="L36" s="51"/>
      <c r="M36" s="51"/>
      <c r="N36" s="51"/>
      <c r="O36" s="144"/>
      <c r="P36" s="51"/>
      <c r="Q36" s="51"/>
      <c r="R36" s="51"/>
      <c r="S36" s="51"/>
      <c r="T36" s="144"/>
      <c r="U36" s="51"/>
      <c r="V36" s="51"/>
      <c r="W36" s="51"/>
      <c r="X36" s="51"/>
      <c r="Y36" s="144"/>
      <c r="Z36" s="51"/>
      <c r="AA36" s="51"/>
      <c r="AB36" s="51"/>
      <c r="AC36" s="51"/>
      <c r="AD36" s="144"/>
      <c r="AE36" s="51"/>
      <c r="AF36" s="51"/>
      <c r="AG36" s="51"/>
      <c r="AH36" s="51"/>
      <c r="AI36" s="144"/>
      <c r="AJ36" s="51"/>
      <c r="AK36" s="51"/>
      <c r="AL36" s="51"/>
      <c r="AM36" s="51"/>
      <c r="AN36" s="144"/>
      <c r="AO36" s="51"/>
      <c r="AP36" s="51"/>
      <c r="AQ36" s="51"/>
      <c r="AR36" s="51"/>
      <c r="AS36" s="144"/>
      <c r="AT36" s="51"/>
      <c r="AU36" s="51"/>
      <c r="AV36" s="51"/>
      <c r="AW36" s="51"/>
      <c r="AX36" s="144"/>
      <c r="AY36" s="51"/>
      <c r="AZ36" s="51"/>
      <c r="BA36" s="51"/>
      <c r="BB36" s="51"/>
      <c r="BC36" s="144"/>
      <c r="BD36" s="51"/>
      <c r="BE36" s="51"/>
      <c r="BF36" s="51"/>
      <c r="BG36" s="51"/>
      <c r="BH36" s="144"/>
      <c r="BI36" s="51"/>
      <c r="BJ36" s="51"/>
      <c r="BK36" s="51"/>
      <c r="BL36" s="51"/>
      <c r="BM36" s="144"/>
      <c r="BN36" s="51"/>
      <c r="BO36" s="51"/>
      <c r="BP36" s="51"/>
      <c r="BQ36" s="51"/>
      <c r="BR36" s="144"/>
      <c r="BS36" s="51"/>
      <c r="BT36" s="51"/>
      <c r="BU36" s="51"/>
      <c r="BV36" s="51"/>
      <c r="BW36" s="340"/>
    </row>
    <row r="37" spans="1:75" x14ac:dyDescent="0.2">
      <c r="A37" s="317"/>
      <c r="B37" s="317"/>
      <c r="C37" s="317"/>
      <c r="D37" s="340" t="s">
        <v>270</v>
      </c>
      <c r="E37" s="347"/>
      <c r="F37" s="317"/>
      <c r="G37" s="51">
        <v>0</v>
      </c>
      <c r="H37" s="51"/>
      <c r="I37" s="51"/>
      <c r="J37" s="144"/>
      <c r="K37" s="51"/>
      <c r="L37" s="51">
        <v>1484820</v>
      </c>
      <c r="M37" s="51"/>
      <c r="N37" s="51"/>
      <c r="O37" s="144"/>
      <c r="P37" s="51"/>
      <c r="Q37" s="51">
        <v>0</v>
      </c>
      <c r="R37" s="51"/>
      <c r="S37" s="51"/>
      <c r="T37" s="144"/>
      <c r="U37" s="51"/>
      <c r="V37" s="51">
        <v>0</v>
      </c>
      <c r="W37" s="51"/>
      <c r="X37" s="51"/>
      <c r="Y37" s="144"/>
      <c r="Z37" s="51"/>
      <c r="AA37" s="51">
        <v>0</v>
      </c>
      <c r="AB37" s="51"/>
      <c r="AC37" s="51"/>
      <c r="AD37" s="144"/>
      <c r="AE37" s="51"/>
      <c r="AF37" s="51">
        <v>0</v>
      </c>
      <c r="AG37" s="51"/>
      <c r="AH37" s="51"/>
      <c r="AI37" s="144"/>
      <c r="AJ37" s="51"/>
      <c r="AK37" s="51">
        <v>0</v>
      </c>
      <c r="AL37" s="51"/>
      <c r="AM37" s="51"/>
      <c r="AN37" s="144"/>
      <c r="AO37" s="51"/>
      <c r="AP37" s="51">
        <v>0</v>
      </c>
      <c r="AQ37" s="51"/>
      <c r="AR37" s="51"/>
      <c r="AS37" s="144"/>
      <c r="AT37" s="51"/>
      <c r="AU37" s="51">
        <v>0</v>
      </c>
      <c r="AV37" s="51"/>
      <c r="AW37" s="51"/>
      <c r="AX37" s="144"/>
      <c r="AY37" s="51"/>
      <c r="AZ37" s="51">
        <v>0</v>
      </c>
      <c r="BA37" s="51"/>
      <c r="BB37" s="51"/>
      <c r="BC37" s="144"/>
      <c r="BD37" s="51"/>
      <c r="BE37" s="51">
        <v>0</v>
      </c>
      <c r="BF37" s="51"/>
      <c r="BG37" s="51"/>
      <c r="BH37" s="144"/>
      <c r="BI37" s="51"/>
      <c r="BJ37" s="51">
        <v>0</v>
      </c>
      <c r="BK37" s="51"/>
      <c r="BL37" s="51"/>
      <c r="BM37" s="144"/>
      <c r="BN37" s="51"/>
      <c r="BO37" s="51">
        <v>0</v>
      </c>
      <c r="BP37" s="51"/>
      <c r="BQ37" s="51"/>
      <c r="BR37" s="144"/>
      <c r="BS37" s="51"/>
      <c r="BT37" s="51">
        <v>1484820</v>
      </c>
      <c r="BU37" s="51"/>
      <c r="BV37" s="51"/>
      <c r="BW37" s="340"/>
    </row>
    <row r="38" spans="1:75" x14ac:dyDescent="0.2">
      <c r="A38" s="317"/>
      <c r="B38" s="317"/>
      <c r="C38" s="317"/>
      <c r="D38" s="340" t="s">
        <v>183</v>
      </c>
      <c r="E38" s="347"/>
      <c r="F38" s="354"/>
      <c r="G38" s="430">
        <v>0</v>
      </c>
      <c r="H38" s="431"/>
      <c r="I38" s="51"/>
      <c r="J38" s="144"/>
      <c r="K38" s="432"/>
      <c r="L38" s="430">
        <v>1484820</v>
      </c>
      <c r="M38" s="431"/>
      <c r="N38" s="51"/>
      <c r="O38" s="144"/>
      <c r="P38" s="432"/>
      <c r="Q38" s="430">
        <v>0</v>
      </c>
      <c r="R38" s="431"/>
      <c r="S38" s="51"/>
      <c r="T38" s="144"/>
      <c r="U38" s="432"/>
      <c r="V38" s="430">
        <v>0</v>
      </c>
      <c r="W38" s="431"/>
      <c r="X38" s="51"/>
      <c r="Y38" s="144"/>
      <c r="Z38" s="432"/>
      <c r="AA38" s="430">
        <v>0</v>
      </c>
      <c r="AB38" s="431"/>
      <c r="AC38" s="51"/>
      <c r="AD38" s="144"/>
      <c r="AE38" s="432"/>
      <c r="AF38" s="430">
        <v>0</v>
      </c>
      <c r="AG38" s="431"/>
      <c r="AH38" s="51"/>
      <c r="AI38" s="144"/>
      <c r="AJ38" s="432"/>
      <c r="AK38" s="430">
        <v>0</v>
      </c>
      <c r="AL38" s="431"/>
      <c r="AM38" s="51"/>
      <c r="AN38" s="144"/>
      <c r="AO38" s="432"/>
      <c r="AP38" s="430">
        <v>0</v>
      </c>
      <c r="AQ38" s="431"/>
      <c r="AR38" s="51"/>
      <c r="AS38" s="144"/>
      <c r="AT38" s="432"/>
      <c r="AU38" s="430">
        <v>0</v>
      </c>
      <c r="AV38" s="431"/>
      <c r="AW38" s="51"/>
      <c r="AX38" s="144"/>
      <c r="AY38" s="432"/>
      <c r="AZ38" s="430">
        <v>0</v>
      </c>
      <c r="BA38" s="431"/>
      <c r="BB38" s="51"/>
      <c r="BC38" s="144"/>
      <c r="BD38" s="432"/>
      <c r="BE38" s="430">
        <v>0</v>
      </c>
      <c r="BF38" s="431"/>
      <c r="BG38" s="51"/>
      <c r="BH38" s="144"/>
      <c r="BI38" s="432"/>
      <c r="BJ38" s="430">
        <v>0</v>
      </c>
      <c r="BK38" s="431"/>
      <c r="BL38" s="51"/>
      <c r="BM38" s="144"/>
      <c r="BN38" s="432"/>
      <c r="BO38" s="430">
        <v>0</v>
      </c>
      <c r="BP38" s="431"/>
      <c r="BQ38" s="51"/>
      <c r="BR38" s="144"/>
      <c r="BS38" s="432"/>
      <c r="BT38" s="430">
        <v>1484820</v>
      </c>
      <c r="BU38" s="431"/>
      <c r="BV38" s="51"/>
      <c r="BW38" s="340"/>
    </row>
    <row r="39" spans="1:75" x14ac:dyDescent="0.2">
      <c r="A39" s="317"/>
      <c r="B39" s="317"/>
      <c r="C39" s="317"/>
      <c r="D39" s="340" t="s">
        <v>186</v>
      </c>
      <c r="E39" s="347"/>
      <c r="F39" s="347"/>
      <c r="G39" s="51">
        <v>0</v>
      </c>
      <c r="H39" s="50"/>
      <c r="I39" s="51"/>
      <c r="J39" s="144"/>
      <c r="K39" s="144"/>
      <c r="L39" s="51">
        <v>0</v>
      </c>
      <c r="M39" s="50"/>
      <c r="N39" s="51"/>
      <c r="O39" s="144"/>
      <c r="P39" s="144"/>
      <c r="Q39" s="51">
        <v>0</v>
      </c>
      <c r="R39" s="50"/>
      <c r="S39" s="51"/>
      <c r="T39" s="144"/>
      <c r="U39" s="144"/>
      <c r="V39" s="51">
        <v>0</v>
      </c>
      <c r="W39" s="50"/>
      <c r="X39" s="51"/>
      <c r="Y39" s="144"/>
      <c r="Z39" s="144"/>
      <c r="AA39" s="51">
        <v>0</v>
      </c>
      <c r="AB39" s="50"/>
      <c r="AC39" s="51"/>
      <c r="AD39" s="144"/>
      <c r="AE39" s="144"/>
      <c r="AF39" s="51">
        <v>0</v>
      </c>
      <c r="AG39" s="50"/>
      <c r="AH39" s="51"/>
      <c r="AI39" s="144"/>
      <c r="AJ39" s="144"/>
      <c r="AK39" s="51">
        <v>0</v>
      </c>
      <c r="AL39" s="50"/>
      <c r="AM39" s="51"/>
      <c r="AN39" s="144"/>
      <c r="AO39" s="144"/>
      <c r="AP39" s="51">
        <v>0</v>
      </c>
      <c r="AQ39" s="50"/>
      <c r="AR39" s="51"/>
      <c r="AS39" s="144"/>
      <c r="AT39" s="144"/>
      <c r="AU39" s="51">
        <v>0</v>
      </c>
      <c r="AV39" s="50"/>
      <c r="AW39" s="51"/>
      <c r="AX39" s="144"/>
      <c r="AY39" s="144"/>
      <c r="AZ39" s="51">
        <v>0</v>
      </c>
      <c r="BA39" s="50"/>
      <c r="BB39" s="51"/>
      <c r="BC39" s="144"/>
      <c r="BD39" s="144"/>
      <c r="BE39" s="51">
        <v>0</v>
      </c>
      <c r="BF39" s="50"/>
      <c r="BG39" s="51"/>
      <c r="BH39" s="144"/>
      <c r="BI39" s="144"/>
      <c r="BJ39" s="51">
        <v>0</v>
      </c>
      <c r="BK39" s="50"/>
      <c r="BL39" s="51"/>
      <c r="BM39" s="144"/>
      <c r="BN39" s="144"/>
      <c r="BO39" s="51">
        <v>0</v>
      </c>
      <c r="BP39" s="50"/>
      <c r="BQ39" s="51"/>
      <c r="BR39" s="144"/>
      <c r="BS39" s="144"/>
      <c r="BT39" s="51">
        <v>0</v>
      </c>
      <c r="BU39" s="50"/>
      <c r="BV39" s="51"/>
      <c r="BW39" s="340"/>
    </row>
    <row r="40" spans="1:75" x14ac:dyDescent="0.2">
      <c r="A40" s="317"/>
      <c r="B40" s="317"/>
      <c r="C40" s="317"/>
      <c r="D40" s="340" t="s">
        <v>200</v>
      </c>
      <c r="E40" s="347"/>
      <c r="F40" s="371"/>
      <c r="G40" s="95">
        <v>0</v>
      </c>
      <c r="H40" s="94"/>
      <c r="I40" s="51"/>
      <c r="J40" s="144"/>
      <c r="K40" s="187"/>
      <c r="L40" s="95">
        <v>0</v>
      </c>
      <c r="M40" s="94"/>
      <c r="N40" s="51"/>
      <c r="O40" s="144"/>
      <c r="P40" s="187"/>
      <c r="Q40" s="95">
        <v>0</v>
      </c>
      <c r="R40" s="94"/>
      <c r="S40" s="51"/>
      <c r="T40" s="144"/>
      <c r="U40" s="187"/>
      <c r="V40" s="95">
        <v>0</v>
      </c>
      <c r="W40" s="94"/>
      <c r="X40" s="51"/>
      <c r="Y40" s="144"/>
      <c r="Z40" s="187"/>
      <c r="AA40" s="95">
        <v>0</v>
      </c>
      <c r="AB40" s="94"/>
      <c r="AC40" s="51"/>
      <c r="AD40" s="144"/>
      <c r="AE40" s="187"/>
      <c r="AF40" s="95">
        <v>0</v>
      </c>
      <c r="AG40" s="94"/>
      <c r="AH40" s="51"/>
      <c r="AI40" s="144"/>
      <c r="AJ40" s="187"/>
      <c r="AK40" s="95">
        <v>0</v>
      </c>
      <c r="AL40" s="94"/>
      <c r="AM40" s="51"/>
      <c r="AN40" s="144"/>
      <c r="AO40" s="187"/>
      <c r="AP40" s="95">
        <v>0</v>
      </c>
      <c r="AQ40" s="94"/>
      <c r="AR40" s="51"/>
      <c r="AS40" s="144"/>
      <c r="AT40" s="187"/>
      <c r="AU40" s="95">
        <v>0</v>
      </c>
      <c r="AV40" s="94"/>
      <c r="AW40" s="51"/>
      <c r="AX40" s="144"/>
      <c r="AY40" s="187"/>
      <c r="AZ40" s="95">
        <v>0</v>
      </c>
      <c r="BA40" s="94"/>
      <c r="BB40" s="51"/>
      <c r="BC40" s="144"/>
      <c r="BD40" s="187"/>
      <c r="BE40" s="95">
        <v>0</v>
      </c>
      <c r="BF40" s="94"/>
      <c r="BG40" s="51"/>
      <c r="BH40" s="144"/>
      <c r="BI40" s="187"/>
      <c r="BJ40" s="95">
        <v>0</v>
      </c>
      <c r="BK40" s="94"/>
      <c r="BL40" s="51"/>
      <c r="BM40" s="144"/>
      <c r="BN40" s="187"/>
      <c r="BO40" s="95">
        <v>0</v>
      </c>
      <c r="BP40" s="94"/>
      <c r="BQ40" s="51"/>
      <c r="BR40" s="144"/>
      <c r="BS40" s="187"/>
      <c r="BT40" s="95">
        <v>0</v>
      </c>
      <c r="BU40" s="94"/>
      <c r="BV40" s="51"/>
      <c r="BW40" s="340"/>
    </row>
    <row r="41" spans="1:75" ht="12.75" customHeight="1" x14ac:dyDescent="0.2">
      <c r="A41" s="317"/>
      <c r="B41" s="317"/>
      <c r="C41" s="317"/>
      <c r="D41" s="479"/>
      <c r="E41" s="480"/>
      <c r="F41" s="481"/>
      <c r="G41" s="51"/>
      <c r="H41" s="51"/>
      <c r="I41" s="51"/>
      <c r="J41" s="144"/>
      <c r="K41" s="51"/>
      <c r="L41" s="51"/>
      <c r="M41" s="51"/>
      <c r="N41" s="51"/>
      <c r="O41" s="144"/>
      <c r="P41" s="51"/>
      <c r="Q41" s="51"/>
      <c r="R41" s="51"/>
      <c r="S41" s="51"/>
      <c r="T41" s="144"/>
      <c r="U41" s="51"/>
      <c r="V41" s="51"/>
      <c r="W41" s="51"/>
      <c r="X41" s="51"/>
      <c r="Y41" s="144"/>
      <c r="Z41" s="51"/>
      <c r="AA41" s="51"/>
      <c r="AB41" s="51"/>
      <c r="AC41" s="51"/>
      <c r="AD41" s="144"/>
      <c r="AE41" s="51"/>
      <c r="AF41" s="51"/>
      <c r="AG41" s="51"/>
      <c r="AH41" s="51"/>
      <c r="AI41" s="144"/>
      <c r="AJ41" s="51"/>
      <c r="AK41" s="51"/>
      <c r="AL41" s="51"/>
      <c r="AM41" s="51"/>
      <c r="AN41" s="144"/>
      <c r="AO41" s="51"/>
      <c r="AP41" s="51"/>
      <c r="AQ41" s="51"/>
      <c r="AR41" s="51"/>
      <c r="AS41" s="144"/>
      <c r="AT41" s="51"/>
      <c r="AU41" s="51"/>
      <c r="AV41" s="51"/>
      <c r="AW41" s="51"/>
      <c r="AX41" s="144"/>
      <c r="AY41" s="51"/>
      <c r="AZ41" s="51"/>
      <c r="BA41" s="51"/>
      <c r="BB41" s="51"/>
      <c r="BC41" s="144"/>
      <c r="BD41" s="51"/>
      <c r="BE41" s="51"/>
      <c r="BF41" s="51"/>
      <c r="BG41" s="51"/>
      <c r="BH41" s="144"/>
      <c r="BI41" s="51"/>
      <c r="BJ41" s="51"/>
      <c r="BK41" s="51"/>
      <c r="BL41" s="51"/>
      <c r="BM41" s="144"/>
      <c r="BN41" s="51"/>
      <c r="BO41" s="51"/>
      <c r="BP41" s="51"/>
      <c r="BQ41" s="51"/>
      <c r="BR41" s="144"/>
      <c r="BS41" s="51"/>
      <c r="BT41" s="51"/>
      <c r="BU41" s="51"/>
      <c r="BV41" s="51"/>
      <c r="BW41" s="340"/>
    </row>
    <row r="42" spans="1:75" ht="12.75" customHeight="1" x14ac:dyDescent="0.2">
      <c r="A42" s="317"/>
      <c r="B42" s="317"/>
      <c r="C42" s="317"/>
      <c r="D42" s="340" t="s">
        <v>271</v>
      </c>
      <c r="E42" s="347"/>
      <c r="F42" s="317"/>
      <c r="G42" s="51">
        <v>0</v>
      </c>
      <c r="H42" s="51"/>
      <c r="I42" s="51"/>
      <c r="J42" s="144"/>
      <c r="K42" s="51"/>
      <c r="L42" s="51">
        <v>21066080</v>
      </c>
      <c r="M42" s="51"/>
      <c r="N42" s="51"/>
      <c r="O42" s="144"/>
      <c r="P42" s="51"/>
      <c r="Q42" s="51">
        <v>0</v>
      </c>
      <c r="R42" s="51"/>
      <c r="S42" s="51"/>
      <c r="T42" s="144"/>
      <c r="U42" s="51"/>
      <c r="V42" s="51">
        <v>0</v>
      </c>
      <c r="W42" s="51"/>
      <c r="X42" s="51"/>
      <c r="Y42" s="144"/>
      <c r="Z42" s="51"/>
      <c r="AA42" s="51">
        <v>0</v>
      </c>
      <c r="AB42" s="51"/>
      <c r="AC42" s="51"/>
      <c r="AD42" s="144"/>
      <c r="AE42" s="51"/>
      <c r="AF42" s="51">
        <v>0</v>
      </c>
      <c r="AG42" s="51"/>
      <c r="AH42" s="51"/>
      <c r="AI42" s="144"/>
      <c r="AJ42" s="51"/>
      <c r="AK42" s="51">
        <v>0</v>
      </c>
      <c r="AL42" s="51"/>
      <c r="AM42" s="51"/>
      <c r="AN42" s="144"/>
      <c r="AO42" s="51"/>
      <c r="AP42" s="51">
        <v>0</v>
      </c>
      <c r="AQ42" s="51"/>
      <c r="AR42" s="51"/>
      <c r="AS42" s="144"/>
      <c r="AT42" s="51"/>
      <c r="AU42" s="51">
        <v>0</v>
      </c>
      <c r="AV42" s="51"/>
      <c r="AW42" s="51"/>
      <c r="AX42" s="144"/>
      <c r="AY42" s="51"/>
      <c r="AZ42" s="51">
        <v>0</v>
      </c>
      <c r="BA42" s="51"/>
      <c r="BB42" s="51"/>
      <c r="BC42" s="144"/>
      <c r="BD42" s="51"/>
      <c r="BE42" s="51">
        <v>0</v>
      </c>
      <c r="BF42" s="51"/>
      <c r="BG42" s="51"/>
      <c r="BH42" s="144"/>
      <c r="BI42" s="51"/>
      <c r="BJ42" s="51">
        <v>0</v>
      </c>
      <c r="BK42" s="51"/>
      <c r="BL42" s="51"/>
      <c r="BM42" s="144"/>
      <c r="BN42" s="51"/>
      <c r="BO42" s="51">
        <v>0</v>
      </c>
      <c r="BP42" s="51"/>
      <c r="BQ42" s="51"/>
      <c r="BR42" s="144"/>
      <c r="BS42" s="51"/>
      <c r="BT42" s="51">
        <v>21066080</v>
      </c>
      <c r="BU42" s="51"/>
      <c r="BV42" s="51"/>
      <c r="BW42" s="340"/>
    </row>
    <row r="43" spans="1:75" ht="12.75" customHeight="1" x14ac:dyDescent="0.2">
      <c r="A43" s="317"/>
      <c r="B43" s="317"/>
      <c r="C43" s="317"/>
      <c r="D43" s="340" t="s">
        <v>183</v>
      </c>
      <c r="E43" s="347"/>
      <c r="F43" s="354"/>
      <c r="G43" s="430">
        <v>0</v>
      </c>
      <c r="H43" s="431"/>
      <c r="I43" s="51"/>
      <c r="J43" s="144"/>
      <c r="K43" s="432"/>
      <c r="L43" s="430">
        <v>21066080</v>
      </c>
      <c r="M43" s="431"/>
      <c r="N43" s="51"/>
      <c r="O43" s="144"/>
      <c r="P43" s="432"/>
      <c r="Q43" s="430">
        <v>0</v>
      </c>
      <c r="R43" s="431"/>
      <c r="S43" s="51"/>
      <c r="T43" s="144"/>
      <c r="U43" s="432"/>
      <c r="V43" s="430">
        <v>0</v>
      </c>
      <c r="W43" s="431"/>
      <c r="X43" s="51"/>
      <c r="Y43" s="144"/>
      <c r="Z43" s="432"/>
      <c r="AA43" s="430">
        <v>0</v>
      </c>
      <c r="AB43" s="431"/>
      <c r="AC43" s="51"/>
      <c r="AD43" s="144"/>
      <c r="AE43" s="432"/>
      <c r="AF43" s="430">
        <v>0</v>
      </c>
      <c r="AG43" s="431"/>
      <c r="AH43" s="51"/>
      <c r="AI43" s="144"/>
      <c r="AJ43" s="432"/>
      <c r="AK43" s="430">
        <v>0</v>
      </c>
      <c r="AL43" s="431"/>
      <c r="AM43" s="51"/>
      <c r="AN43" s="144"/>
      <c r="AO43" s="432"/>
      <c r="AP43" s="430">
        <v>0</v>
      </c>
      <c r="AQ43" s="431"/>
      <c r="AR43" s="51"/>
      <c r="AS43" s="144"/>
      <c r="AT43" s="432"/>
      <c r="AU43" s="430">
        <v>0</v>
      </c>
      <c r="AV43" s="431"/>
      <c r="AW43" s="51"/>
      <c r="AX43" s="144"/>
      <c r="AY43" s="432"/>
      <c r="AZ43" s="430">
        <v>0</v>
      </c>
      <c r="BA43" s="431"/>
      <c r="BB43" s="51"/>
      <c r="BC43" s="144"/>
      <c r="BD43" s="432"/>
      <c r="BE43" s="430">
        <v>0</v>
      </c>
      <c r="BF43" s="431"/>
      <c r="BG43" s="51"/>
      <c r="BH43" s="144"/>
      <c r="BI43" s="432"/>
      <c r="BJ43" s="430">
        <v>0</v>
      </c>
      <c r="BK43" s="431"/>
      <c r="BL43" s="51"/>
      <c r="BM43" s="144"/>
      <c r="BN43" s="432"/>
      <c r="BO43" s="430">
        <v>0</v>
      </c>
      <c r="BP43" s="431"/>
      <c r="BQ43" s="51"/>
      <c r="BR43" s="144"/>
      <c r="BS43" s="432"/>
      <c r="BT43" s="430">
        <v>21066080</v>
      </c>
      <c r="BU43" s="431"/>
      <c r="BV43" s="51"/>
      <c r="BW43" s="340"/>
    </row>
    <row r="44" spans="1:75" ht="12.75" customHeight="1" x14ac:dyDescent="0.2">
      <c r="A44" s="317"/>
      <c r="B44" s="317"/>
      <c r="C44" s="317"/>
      <c r="D44" s="340" t="s">
        <v>186</v>
      </c>
      <c r="E44" s="347"/>
      <c r="F44" s="347"/>
      <c r="G44" s="51">
        <v>0</v>
      </c>
      <c r="H44" s="50"/>
      <c r="I44" s="51"/>
      <c r="J44" s="144"/>
      <c r="K44" s="144"/>
      <c r="L44" s="51">
        <v>0</v>
      </c>
      <c r="M44" s="50"/>
      <c r="N44" s="51"/>
      <c r="O44" s="144"/>
      <c r="P44" s="144"/>
      <c r="Q44" s="51">
        <v>0</v>
      </c>
      <c r="R44" s="50"/>
      <c r="S44" s="51"/>
      <c r="T44" s="144"/>
      <c r="U44" s="144"/>
      <c r="V44" s="51">
        <v>0</v>
      </c>
      <c r="W44" s="50"/>
      <c r="X44" s="51"/>
      <c r="Y44" s="144"/>
      <c r="Z44" s="144"/>
      <c r="AA44" s="51">
        <v>0</v>
      </c>
      <c r="AB44" s="50"/>
      <c r="AC44" s="51"/>
      <c r="AD44" s="144"/>
      <c r="AE44" s="144"/>
      <c r="AF44" s="51">
        <v>0</v>
      </c>
      <c r="AG44" s="50"/>
      <c r="AH44" s="51"/>
      <c r="AI44" s="144"/>
      <c r="AJ44" s="144"/>
      <c r="AK44" s="51">
        <v>0</v>
      </c>
      <c r="AL44" s="50"/>
      <c r="AM44" s="51"/>
      <c r="AN44" s="144"/>
      <c r="AO44" s="144"/>
      <c r="AP44" s="51">
        <v>0</v>
      </c>
      <c r="AQ44" s="50"/>
      <c r="AR44" s="51"/>
      <c r="AS44" s="144"/>
      <c r="AT44" s="144"/>
      <c r="AU44" s="51">
        <v>0</v>
      </c>
      <c r="AV44" s="50"/>
      <c r="AW44" s="51"/>
      <c r="AX44" s="144"/>
      <c r="AY44" s="144"/>
      <c r="AZ44" s="51">
        <v>0</v>
      </c>
      <c r="BA44" s="50"/>
      <c r="BB44" s="51"/>
      <c r="BC44" s="144"/>
      <c r="BD44" s="144"/>
      <c r="BE44" s="51">
        <v>0</v>
      </c>
      <c r="BF44" s="50"/>
      <c r="BG44" s="51"/>
      <c r="BH44" s="144"/>
      <c r="BI44" s="144"/>
      <c r="BJ44" s="51">
        <v>0</v>
      </c>
      <c r="BK44" s="50"/>
      <c r="BL44" s="51"/>
      <c r="BM44" s="144"/>
      <c r="BN44" s="144"/>
      <c r="BO44" s="51">
        <v>0</v>
      </c>
      <c r="BP44" s="50"/>
      <c r="BQ44" s="51"/>
      <c r="BR44" s="144"/>
      <c r="BS44" s="144"/>
      <c r="BT44" s="51">
        <v>0</v>
      </c>
      <c r="BU44" s="50"/>
      <c r="BV44" s="51"/>
      <c r="BW44" s="340"/>
    </row>
    <row r="45" spans="1:75" ht="12.75" customHeight="1" x14ac:dyDescent="0.2">
      <c r="A45" s="317"/>
      <c r="B45" s="317"/>
      <c r="C45" s="317"/>
      <c r="D45" s="340" t="s">
        <v>200</v>
      </c>
      <c r="E45" s="347"/>
      <c r="F45" s="371"/>
      <c r="G45" s="95">
        <v>0</v>
      </c>
      <c r="H45" s="94"/>
      <c r="I45" s="51"/>
      <c r="J45" s="144"/>
      <c r="K45" s="187"/>
      <c r="L45" s="95">
        <v>0</v>
      </c>
      <c r="M45" s="94"/>
      <c r="N45" s="51"/>
      <c r="O45" s="144"/>
      <c r="P45" s="187"/>
      <c r="Q45" s="95">
        <v>0</v>
      </c>
      <c r="R45" s="94"/>
      <c r="S45" s="51"/>
      <c r="T45" s="144"/>
      <c r="U45" s="187"/>
      <c r="V45" s="95">
        <v>0</v>
      </c>
      <c r="W45" s="94"/>
      <c r="X45" s="51"/>
      <c r="Y45" s="144"/>
      <c r="Z45" s="187"/>
      <c r="AA45" s="95">
        <v>0</v>
      </c>
      <c r="AB45" s="94"/>
      <c r="AC45" s="51"/>
      <c r="AD45" s="144"/>
      <c r="AE45" s="187"/>
      <c r="AF45" s="95">
        <v>0</v>
      </c>
      <c r="AG45" s="94"/>
      <c r="AH45" s="51"/>
      <c r="AI45" s="144"/>
      <c r="AJ45" s="187"/>
      <c r="AK45" s="95">
        <v>0</v>
      </c>
      <c r="AL45" s="94"/>
      <c r="AM45" s="51"/>
      <c r="AN45" s="144"/>
      <c r="AO45" s="187"/>
      <c r="AP45" s="95">
        <v>0</v>
      </c>
      <c r="AQ45" s="94"/>
      <c r="AR45" s="51"/>
      <c r="AS45" s="144"/>
      <c r="AT45" s="187"/>
      <c r="AU45" s="95">
        <v>0</v>
      </c>
      <c r="AV45" s="94"/>
      <c r="AW45" s="51"/>
      <c r="AX45" s="144"/>
      <c r="AY45" s="187"/>
      <c r="AZ45" s="95">
        <v>0</v>
      </c>
      <c r="BA45" s="94"/>
      <c r="BB45" s="51"/>
      <c r="BC45" s="144"/>
      <c r="BD45" s="187"/>
      <c r="BE45" s="95">
        <v>0</v>
      </c>
      <c r="BF45" s="94"/>
      <c r="BG45" s="51"/>
      <c r="BH45" s="144"/>
      <c r="BI45" s="187"/>
      <c r="BJ45" s="95">
        <v>0</v>
      </c>
      <c r="BK45" s="94"/>
      <c r="BL45" s="51"/>
      <c r="BM45" s="144"/>
      <c r="BN45" s="187"/>
      <c r="BO45" s="95">
        <v>0</v>
      </c>
      <c r="BP45" s="94"/>
      <c r="BQ45" s="51"/>
      <c r="BR45" s="144"/>
      <c r="BS45" s="187"/>
      <c r="BT45" s="95">
        <v>0</v>
      </c>
      <c r="BU45" s="94"/>
      <c r="BV45" s="51"/>
      <c r="BW45" s="340"/>
    </row>
    <row r="46" spans="1:75" ht="12.75" customHeight="1" x14ac:dyDescent="0.2">
      <c r="A46" s="317"/>
      <c r="B46" s="317"/>
      <c r="C46" s="317"/>
      <c r="D46" s="479"/>
      <c r="E46" s="480"/>
      <c r="F46" s="481"/>
      <c r="G46" s="51"/>
      <c r="H46" s="51"/>
      <c r="I46" s="51"/>
      <c r="J46" s="144"/>
      <c r="K46" s="51"/>
      <c r="L46" s="51"/>
      <c r="M46" s="51"/>
      <c r="N46" s="51"/>
      <c r="O46" s="144"/>
      <c r="P46" s="51"/>
      <c r="Q46" s="51"/>
      <c r="R46" s="51"/>
      <c r="S46" s="51"/>
      <c r="T46" s="144"/>
      <c r="U46" s="51"/>
      <c r="V46" s="51"/>
      <c r="W46" s="51"/>
      <c r="X46" s="51"/>
      <c r="Y46" s="144"/>
      <c r="Z46" s="51"/>
      <c r="AA46" s="51"/>
      <c r="AB46" s="51"/>
      <c r="AC46" s="51"/>
      <c r="AD46" s="144"/>
      <c r="AE46" s="51"/>
      <c r="AF46" s="51"/>
      <c r="AG46" s="51"/>
      <c r="AH46" s="51"/>
      <c r="AI46" s="144"/>
      <c r="AJ46" s="51"/>
      <c r="AK46" s="51"/>
      <c r="AL46" s="51"/>
      <c r="AM46" s="51"/>
      <c r="AN46" s="144"/>
      <c r="AO46" s="51"/>
      <c r="AP46" s="51"/>
      <c r="AQ46" s="51"/>
      <c r="AR46" s="51"/>
      <c r="AS46" s="144"/>
      <c r="AT46" s="51"/>
      <c r="AU46" s="51"/>
      <c r="AV46" s="51"/>
      <c r="AW46" s="51"/>
      <c r="AX46" s="144"/>
      <c r="AY46" s="51"/>
      <c r="AZ46" s="51"/>
      <c r="BA46" s="51"/>
      <c r="BB46" s="51"/>
      <c r="BC46" s="144"/>
      <c r="BD46" s="51"/>
      <c r="BE46" s="51"/>
      <c r="BF46" s="51"/>
      <c r="BG46" s="51"/>
      <c r="BH46" s="144"/>
      <c r="BI46" s="51"/>
      <c r="BJ46" s="51"/>
      <c r="BK46" s="51"/>
      <c r="BL46" s="51"/>
      <c r="BM46" s="144"/>
      <c r="BN46" s="51"/>
      <c r="BO46" s="51"/>
      <c r="BP46" s="51"/>
      <c r="BQ46" s="51"/>
      <c r="BR46" s="144"/>
      <c r="BS46" s="51"/>
      <c r="BT46" s="51"/>
      <c r="BU46" s="51"/>
      <c r="BV46" s="51"/>
      <c r="BW46" s="340"/>
    </row>
    <row r="47" spans="1:75" ht="12.75" customHeight="1" x14ac:dyDescent="0.2">
      <c r="A47" s="317"/>
      <c r="B47" s="317"/>
      <c r="C47" s="317"/>
      <c r="D47" s="340" t="s">
        <v>272</v>
      </c>
      <c r="E47" s="347"/>
      <c r="F47" s="317"/>
      <c r="G47" s="51">
        <v>0</v>
      </c>
      <c r="H47" s="51"/>
      <c r="I47" s="51"/>
      <c r="J47" s="144"/>
      <c r="K47" s="51"/>
      <c r="L47" s="51">
        <v>24075520</v>
      </c>
      <c r="M47" s="51"/>
      <c r="N47" s="51"/>
      <c r="O47" s="144"/>
      <c r="P47" s="51"/>
      <c r="Q47" s="51">
        <v>0</v>
      </c>
      <c r="R47" s="51"/>
      <c r="S47" s="51"/>
      <c r="T47" s="144"/>
      <c r="U47" s="51"/>
      <c r="V47" s="51">
        <v>0</v>
      </c>
      <c r="W47" s="51"/>
      <c r="X47" s="51"/>
      <c r="Y47" s="144"/>
      <c r="Z47" s="51"/>
      <c r="AA47" s="51">
        <v>0</v>
      </c>
      <c r="AB47" s="51"/>
      <c r="AC47" s="51"/>
      <c r="AD47" s="144"/>
      <c r="AE47" s="51"/>
      <c r="AF47" s="51">
        <v>0</v>
      </c>
      <c r="AG47" s="51"/>
      <c r="AH47" s="51"/>
      <c r="AI47" s="144"/>
      <c r="AJ47" s="51"/>
      <c r="AK47" s="51">
        <v>0</v>
      </c>
      <c r="AL47" s="51"/>
      <c r="AM47" s="51"/>
      <c r="AN47" s="144"/>
      <c r="AO47" s="51"/>
      <c r="AP47" s="51">
        <v>0</v>
      </c>
      <c r="AQ47" s="51"/>
      <c r="AR47" s="51"/>
      <c r="AS47" s="144"/>
      <c r="AT47" s="51"/>
      <c r="AU47" s="51">
        <v>0</v>
      </c>
      <c r="AV47" s="51"/>
      <c r="AW47" s="51"/>
      <c r="AX47" s="144"/>
      <c r="AY47" s="51"/>
      <c r="AZ47" s="51">
        <v>0</v>
      </c>
      <c r="BA47" s="51"/>
      <c r="BB47" s="51"/>
      <c r="BC47" s="144"/>
      <c r="BD47" s="51"/>
      <c r="BE47" s="51">
        <v>0</v>
      </c>
      <c r="BF47" s="51"/>
      <c r="BG47" s="51"/>
      <c r="BH47" s="144"/>
      <c r="BI47" s="51"/>
      <c r="BJ47" s="51">
        <v>0</v>
      </c>
      <c r="BK47" s="51"/>
      <c r="BL47" s="51"/>
      <c r="BM47" s="144"/>
      <c r="BN47" s="51"/>
      <c r="BO47" s="51">
        <v>0</v>
      </c>
      <c r="BP47" s="51"/>
      <c r="BQ47" s="51"/>
      <c r="BR47" s="144"/>
      <c r="BS47" s="51"/>
      <c r="BT47" s="51">
        <v>24075520</v>
      </c>
      <c r="BU47" s="51"/>
      <c r="BV47" s="51"/>
      <c r="BW47" s="340"/>
    </row>
    <row r="48" spans="1:75" ht="12.75" customHeight="1" x14ac:dyDescent="0.2">
      <c r="A48" s="317"/>
      <c r="B48" s="317"/>
      <c r="C48" s="317"/>
      <c r="D48" s="340" t="s">
        <v>183</v>
      </c>
      <c r="E48" s="347"/>
      <c r="F48" s="354"/>
      <c r="G48" s="430">
        <v>0</v>
      </c>
      <c r="H48" s="431"/>
      <c r="I48" s="51"/>
      <c r="J48" s="144"/>
      <c r="K48" s="432"/>
      <c r="L48" s="430">
        <v>24075520</v>
      </c>
      <c r="M48" s="431"/>
      <c r="N48" s="51"/>
      <c r="O48" s="144"/>
      <c r="P48" s="432"/>
      <c r="Q48" s="430">
        <v>0</v>
      </c>
      <c r="R48" s="431"/>
      <c r="S48" s="51"/>
      <c r="T48" s="144"/>
      <c r="U48" s="432"/>
      <c r="V48" s="430">
        <v>0</v>
      </c>
      <c r="W48" s="431"/>
      <c r="X48" s="51"/>
      <c r="Y48" s="144"/>
      <c r="Z48" s="432"/>
      <c r="AA48" s="430">
        <v>0</v>
      </c>
      <c r="AB48" s="431"/>
      <c r="AC48" s="51"/>
      <c r="AD48" s="144"/>
      <c r="AE48" s="432"/>
      <c r="AF48" s="430">
        <v>0</v>
      </c>
      <c r="AG48" s="431"/>
      <c r="AH48" s="51"/>
      <c r="AI48" s="144"/>
      <c r="AJ48" s="432"/>
      <c r="AK48" s="430">
        <v>0</v>
      </c>
      <c r="AL48" s="431"/>
      <c r="AM48" s="51"/>
      <c r="AN48" s="144"/>
      <c r="AO48" s="432"/>
      <c r="AP48" s="430">
        <v>0</v>
      </c>
      <c r="AQ48" s="431"/>
      <c r="AR48" s="51"/>
      <c r="AS48" s="144"/>
      <c r="AT48" s="432"/>
      <c r="AU48" s="430">
        <v>0</v>
      </c>
      <c r="AV48" s="431"/>
      <c r="AW48" s="51"/>
      <c r="AX48" s="144"/>
      <c r="AY48" s="432"/>
      <c r="AZ48" s="430">
        <v>0</v>
      </c>
      <c r="BA48" s="431"/>
      <c r="BB48" s="51"/>
      <c r="BC48" s="144"/>
      <c r="BD48" s="432"/>
      <c r="BE48" s="430">
        <v>0</v>
      </c>
      <c r="BF48" s="431"/>
      <c r="BG48" s="51"/>
      <c r="BH48" s="144"/>
      <c r="BI48" s="432"/>
      <c r="BJ48" s="430">
        <v>0</v>
      </c>
      <c r="BK48" s="431"/>
      <c r="BL48" s="51"/>
      <c r="BM48" s="144"/>
      <c r="BN48" s="432"/>
      <c r="BO48" s="430">
        <v>0</v>
      </c>
      <c r="BP48" s="431"/>
      <c r="BQ48" s="51"/>
      <c r="BR48" s="144"/>
      <c r="BS48" s="432"/>
      <c r="BT48" s="430">
        <v>24075520</v>
      </c>
      <c r="BU48" s="431"/>
      <c r="BV48" s="51"/>
      <c r="BW48" s="340"/>
    </row>
    <row r="49" spans="1:77" ht="12.75" customHeight="1" x14ac:dyDescent="0.2">
      <c r="A49" s="317"/>
      <c r="B49" s="317"/>
      <c r="C49" s="317"/>
      <c r="D49" s="340" t="s">
        <v>186</v>
      </c>
      <c r="E49" s="347"/>
      <c r="F49" s="347"/>
      <c r="G49" s="51">
        <v>0</v>
      </c>
      <c r="H49" s="50"/>
      <c r="I49" s="51"/>
      <c r="J49" s="144"/>
      <c r="K49" s="144"/>
      <c r="L49" s="51">
        <v>0</v>
      </c>
      <c r="M49" s="50"/>
      <c r="N49" s="51"/>
      <c r="O49" s="144"/>
      <c r="P49" s="144"/>
      <c r="Q49" s="51">
        <v>0</v>
      </c>
      <c r="R49" s="50"/>
      <c r="S49" s="51"/>
      <c r="T49" s="144"/>
      <c r="U49" s="144"/>
      <c r="V49" s="51">
        <v>0</v>
      </c>
      <c r="W49" s="50"/>
      <c r="X49" s="51"/>
      <c r="Y49" s="144"/>
      <c r="Z49" s="144"/>
      <c r="AA49" s="51">
        <v>0</v>
      </c>
      <c r="AB49" s="50"/>
      <c r="AC49" s="51"/>
      <c r="AD49" s="144"/>
      <c r="AE49" s="144"/>
      <c r="AF49" s="51">
        <v>0</v>
      </c>
      <c r="AG49" s="50"/>
      <c r="AH49" s="51"/>
      <c r="AI49" s="144"/>
      <c r="AJ49" s="144"/>
      <c r="AK49" s="51">
        <v>0</v>
      </c>
      <c r="AL49" s="50"/>
      <c r="AM49" s="51"/>
      <c r="AN49" s="144"/>
      <c r="AO49" s="144"/>
      <c r="AP49" s="51">
        <v>0</v>
      </c>
      <c r="AQ49" s="50"/>
      <c r="AR49" s="51"/>
      <c r="AS49" s="144"/>
      <c r="AT49" s="144"/>
      <c r="AU49" s="51">
        <v>0</v>
      </c>
      <c r="AV49" s="50"/>
      <c r="AW49" s="51"/>
      <c r="AX49" s="144"/>
      <c r="AY49" s="144"/>
      <c r="AZ49" s="51">
        <v>0</v>
      </c>
      <c r="BA49" s="50"/>
      <c r="BB49" s="51"/>
      <c r="BC49" s="144"/>
      <c r="BD49" s="144"/>
      <c r="BE49" s="51">
        <v>0</v>
      </c>
      <c r="BF49" s="50"/>
      <c r="BG49" s="51"/>
      <c r="BH49" s="144"/>
      <c r="BI49" s="144"/>
      <c r="BJ49" s="51">
        <v>0</v>
      </c>
      <c r="BK49" s="50"/>
      <c r="BL49" s="51"/>
      <c r="BM49" s="144"/>
      <c r="BN49" s="144"/>
      <c r="BO49" s="51">
        <v>0</v>
      </c>
      <c r="BP49" s="50"/>
      <c r="BQ49" s="51"/>
      <c r="BR49" s="144"/>
      <c r="BS49" s="144"/>
      <c r="BT49" s="51">
        <v>0</v>
      </c>
      <c r="BU49" s="50"/>
      <c r="BV49" s="51"/>
      <c r="BW49" s="340"/>
    </row>
    <row r="50" spans="1:77" ht="12.75" customHeight="1" x14ac:dyDescent="0.2">
      <c r="A50" s="317"/>
      <c r="B50" s="317"/>
      <c r="C50" s="317"/>
      <c r="D50" s="340" t="s">
        <v>200</v>
      </c>
      <c r="E50" s="347"/>
      <c r="F50" s="371"/>
      <c r="G50" s="95">
        <v>0</v>
      </c>
      <c r="H50" s="94"/>
      <c r="I50" s="51"/>
      <c r="J50" s="144"/>
      <c r="K50" s="187"/>
      <c r="L50" s="95">
        <v>0</v>
      </c>
      <c r="M50" s="94"/>
      <c r="N50" s="51"/>
      <c r="O50" s="144"/>
      <c r="P50" s="187"/>
      <c r="Q50" s="95">
        <v>0</v>
      </c>
      <c r="R50" s="94"/>
      <c r="S50" s="51"/>
      <c r="T50" s="144"/>
      <c r="U50" s="187"/>
      <c r="V50" s="95">
        <v>0</v>
      </c>
      <c r="W50" s="94"/>
      <c r="X50" s="51"/>
      <c r="Y50" s="144"/>
      <c r="Z50" s="187"/>
      <c r="AA50" s="95">
        <v>0</v>
      </c>
      <c r="AB50" s="94"/>
      <c r="AC50" s="51"/>
      <c r="AD50" s="144"/>
      <c r="AE50" s="187"/>
      <c r="AF50" s="95">
        <v>0</v>
      </c>
      <c r="AG50" s="94"/>
      <c r="AH50" s="51"/>
      <c r="AI50" s="144"/>
      <c r="AJ50" s="187"/>
      <c r="AK50" s="95">
        <v>0</v>
      </c>
      <c r="AL50" s="94"/>
      <c r="AM50" s="51"/>
      <c r="AN50" s="144"/>
      <c r="AO50" s="187"/>
      <c r="AP50" s="95">
        <v>0</v>
      </c>
      <c r="AQ50" s="94"/>
      <c r="AR50" s="51"/>
      <c r="AS50" s="144"/>
      <c r="AT50" s="187"/>
      <c r="AU50" s="95">
        <v>0</v>
      </c>
      <c r="AV50" s="94"/>
      <c r="AW50" s="51"/>
      <c r="AX50" s="144"/>
      <c r="AY50" s="187"/>
      <c r="AZ50" s="95">
        <v>0</v>
      </c>
      <c r="BA50" s="94"/>
      <c r="BB50" s="51"/>
      <c r="BC50" s="144"/>
      <c r="BD50" s="187"/>
      <c r="BE50" s="95">
        <v>0</v>
      </c>
      <c r="BF50" s="94"/>
      <c r="BG50" s="51"/>
      <c r="BH50" s="144"/>
      <c r="BI50" s="187"/>
      <c r="BJ50" s="95">
        <v>0</v>
      </c>
      <c r="BK50" s="94"/>
      <c r="BL50" s="51"/>
      <c r="BM50" s="144"/>
      <c r="BN50" s="187"/>
      <c r="BO50" s="95">
        <v>0</v>
      </c>
      <c r="BP50" s="94"/>
      <c r="BQ50" s="51"/>
      <c r="BR50" s="144"/>
      <c r="BS50" s="187"/>
      <c r="BT50" s="95">
        <v>0</v>
      </c>
      <c r="BU50" s="94"/>
      <c r="BV50" s="51"/>
      <c r="BW50" s="340"/>
    </row>
    <row r="51" spans="1:77" ht="12.75" customHeight="1" x14ac:dyDescent="0.2">
      <c r="A51" s="317"/>
      <c r="B51" s="317"/>
      <c r="C51" s="317"/>
      <c r="D51" s="479"/>
      <c r="E51" s="480"/>
      <c r="F51" s="481"/>
      <c r="G51" s="51"/>
      <c r="H51" s="51"/>
      <c r="I51" s="51"/>
      <c r="J51" s="144"/>
      <c r="K51" s="51"/>
      <c r="L51" s="51"/>
      <c r="M51" s="51"/>
      <c r="N51" s="51"/>
      <c r="O51" s="144"/>
      <c r="P51" s="51"/>
      <c r="Q51" s="51"/>
      <c r="R51" s="51"/>
      <c r="S51" s="51"/>
      <c r="T51" s="144"/>
      <c r="U51" s="51"/>
      <c r="V51" s="51"/>
      <c r="W51" s="51"/>
      <c r="X51" s="51"/>
      <c r="Y51" s="144"/>
      <c r="Z51" s="51"/>
      <c r="AA51" s="51"/>
      <c r="AB51" s="51"/>
      <c r="AC51" s="51"/>
      <c r="AD51" s="144"/>
      <c r="AE51" s="51"/>
      <c r="AF51" s="51"/>
      <c r="AG51" s="51"/>
      <c r="AH51" s="51"/>
      <c r="AI51" s="144"/>
      <c r="AJ51" s="51"/>
      <c r="AK51" s="51"/>
      <c r="AL51" s="51"/>
      <c r="AM51" s="51"/>
      <c r="AN51" s="144"/>
      <c r="AO51" s="51"/>
      <c r="AP51" s="51"/>
      <c r="AQ51" s="51"/>
      <c r="AR51" s="51"/>
      <c r="AS51" s="144"/>
      <c r="AT51" s="51"/>
      <c r="AU51" s="51"/>
      <c r="AV51" s="51"/>
      <c r="AW51" s="51"/>
      <c r="AX51" s="144"/>
      <c r="AY51" s="51"/>
      <c r="AZ51" s="51"/>
      <c r="BA51" s="51"/>
      <c r="BB51" s="51"/>
      <c r="BC51" s="144"/>
      <c r="BD51" s="51"/>
      <c r="BE51" s="51"/>
      <c r="BF51" s="51"/>
      <c r="BG51" s="51"/>
      <c r="BH51" s="144"/>
      <c r="BI51" s="51"/>
      <c r="BJ51" s="51"/>
      <c r="BK51" s="51"/>
      <c r="BL51" s="51"/>
      <c r="BM51" s="144"/>
      <c r="BN51" s="51"/>
      <c r="BO51" s="51"/>
      <c r="BP51" s="51"/>
      <c r="BQ51" s="51"/>
      <c r="BR51" s="144"/>
      <c r="BS51" s="51"/>
      <c r="BT51" s="51"/>
      <c r="BU51" s="51"/>
      <c r="BV51" s="51"/>
      <c r="BW51" s="340"/>
    </row>
    <row r="52" spans="1:77" ht="12.75" customHeight="1" x14ac:dyDescent="0.2">
      <c r="A52" s="317"/>
      <c r="B52" s="317"/>
      <c r="C52" s="317"/>
      <c r="D52" s="340" t="s">
        <v>273</v>
      </c>
      <c r="E52" s="347"/>
      <c r="F52" s="317"/>
      <c r="G52" s="51">
        <v>0</v>
      </c>
      <c r="H52" s="51"/>
      <c r="I52" s="51"/>
      <c r="J52" s="144"/>
      <c r="K52" s="51"/>
      <c r="L52" s="51">
        <v>0</v>
      </c>
      <c r="M52" s="51"/>
      <c r="N52" s="51"/>
      <c r="O52" s="144"/>
      <c r="P52" s="51"/>
      <c r="Q52" s="51">
        <v>0</v>
      </c>
      <c r="R52" s="51"/>
      <c r="S52" s="51"/>
      <c r="T52" s="144"/>
      <c r="U52" s="51"/>
      <c r="V52" s="51">
        <v>0</v>
      </c>
      <c r="W52" s="51"/>
      <c r="X52" s="51"/>
      <c r="Y52" s="144"/>
      <c r="Z52" s="51"/>
      <c r="AA52" s="51">
        <v>0</v>
      </c>
      <c r="AB52" s="51"/>
      <c r="AC52" s="51"/>
      <c r="AD52" s="144"/>
      <c r="AE52" s="51"/>
      <c r="AF52" s="51">
        <v>0</v>
      </c>
      <c r="AG52" s="51"/>
      <c r="AH52" s="51"/>
      <c r="AI52" s="144"/>
      <c r="AJ52" s="51"/>
      <c r="AK52" s="51">
        <v>6790681</v>
      </c>
      <c r="AL52" s="51"/>
      <c r="AM52" s="51"/>
      <c r="AN52" s="144"/>
      <c r="AO52" s="51"/>
      <c r="AP52" s="51">
        <v>0</v>
      </c>
      <c r="AQ52" s="51"/>
      <c r="AR52" s="51"/>
      <c r="AS52" s="144"/>
      <c r="AT52" s="51"/>
      <c r="AU52" s="51">
        <v>0</v>
      </c>
      <c r="AV52" s="51"/>
      <c r="AW52" s="51"/>
      <c r="AX52" s="144"/>
      <c r="AY52" s="51"/>
      <c r="AZ52" s="51">
        <v>0</v>
      </c>
      <c r="BA52" s="51"/>
      <c r="BB52" s="51"/>
      <c r="BC52" s="144"/>
      <c r="BD52" s="51"/>
      <c r="BE52" s="51">
        <v>0</v>
      </c>
      <c r="BF52" s="51"/>
      <c r="BG52" s="51"/>
      <c r="BH52" s="144"/>
      <c r="BI52" s="51"/>
      <c r="BJ52" s="51">
        <v>0</v>
      </c>
      <c r="BK52" s="51"/>
      <c r="BL52" s="51"/>
      <c r="BM52" s="144"/>
      <c r="BN52" s="51"/>
      <c r="BO52" s="51">
        <v>0</v>
      </c>
      <c r="BP52" s="51"/>
      <c r="BQ52" s="51"/>
      <c r="BR52" s="144"/>
      <c r="BS52" s="51"/>
      <c r="BT52" s="51">
        <v>6790681</v>
      </c>
      <c r="BU52" s="51"/>
      <c r="BV52" s="51"/>
      <c r="BW52" s="340"/>
    </row>
    <row r="53" spans="1:77" ht="12.75" customHeight="1" x14ac:dyDescent="0.2">
      <c r="A53" s="317"/>
      <c r="B53" s="317"/>
      <c r="C53" s="317"/>
      <c r="D53" s="340" t="s">
        <v>183</v>
      </c>
      <c r="E53" s="347"/>
      <c r="F53" s="354"/>
      <c r="G53" s="430">
        <v>0</v>
      </c>
      <c r="H53" s="431"/>
      <c r="I53" s="51"/>
      <c r="J53" s="144"/>
      <c r="K53" s="432"/>
      <c r="L53" s="430">
        <v>0</v>
      </c>
      <c r="M53" s="431"/>
      <c r="N53" s="51"/>
      <c r="O53" s="144"/>
      <c r="P53" s="432"/>
      <c r="Q53" s="430">
        <v>0</v>
      </c>
      <c r="R53" s="431"/>
      <c r="S53" s="51"/>
      <c r="T53" s="144"/>
      <c r="U53" s="432"/>
      <c r="V53" s="430">
        <v>0</v>
      </c>
      <c r="W53" s="431"/>
      <c r="X53" s="51"/>
      <c r="Y53" s="144"/>
      <c r="Z53" s="432"/>
      <c r="AA53" s="430">
        <v>0</v>
      </c>
      <c r="AB53" s="431"/>
      <c r="AC53" s="51"/>
      <c r="AD53" s="144"/>
      <c r="AE53" s="432"/>
      <c r="AF53" s="430">
        <v>0</v>
      </c>
      <c r="AG53" s="431"/>
      <c r="AH53" s="51"/>
      <c r="AI53" s="144"/>
      <c r="AJ53" s="432"/>
      <c r="AK53" s="430">
        <v>6790681</v>
      </c>
      <c r="AL53" s="431"/>
      <c r="AM53" s="51"/>
      <c r="AN53" s="144"/>
      <c r="AO53" s="432"/>
      <c r="AP53" s="430">
        <v>0</v>
      </c>
      <c r="AQ53" s="431"/>
      <c r="AR53" s="51"/>
      <c r="AS53" s="144"/>
      <c r="AT53" s="432"/>
      <c r="AU53" s="430">
        <v>0</v>
      </c>
      <c r="AV53" s="431"/>
      <c r="AW53" s="51"/>
      <c r="AX53" s="144"/>
      <c r="AY53" s="432"/>
      <c r="AZ53" s="430">
        <v>0</v>
      </c>
      <c r="BA53" s="431"/>
      <c r="BB53" s="51"/>
      <c r="BC53" s="144"/>
      <c r="BD53" s="432"/>
      <c r="BE53" s="430">
        <v>0</v>
      </c>
      <c r="BF53" s="431"/>
      <c r="BG53" s="51"/>
      <c r="BH53" s="144"/>
      <c r="BI53" s="432"/>
      <c r="BJ53" s="430">
        <v>0</v>
      </c>
      <c r="BK53" s="431"/>
      <c r="BL53" s="51"/>
      <c r="BM53" s="144"/>
      <c r="BN53" s="432"/>
      <c r="BO53" s="430">
        <v>0</v>
      </c>
      <c r="BP53" s="431"/>
      <c r="BQ53" s="51"/>
      <c r="BR53" s="144"/>
      <c r="BS53" s="432"/>
      <c r="BT53" s="430">
        <v>6790681</v>
      </c>
      <c r="BU53" s="431"/>
      <c r="BV53" s="51"/>
      <c r="BW53" s="340"/>
    </row>
    <row r="54" spans="1:77" ht="12.75" customHeight="1" x14ac:dyDescent="0.2">
      <c r="A54" s="317"/>
      <c r="B54" s="317"/>
      <c r="C54" s="317"/>
      <c r="D54" s="340" t="s">
        <v>186</v>
      </c>
      <c r="E54" s="347"/>
      <c r="F54" s="347"/>
      <c r="G54" s="51">
        <v>0</v>
      </c>
      <c r="H54" s="50"/>
      <c r="I54" s="51"/>
      <c r="J54" s="144"/>
      <c r="K54" s="144"/>
      <c r="L54" s="51">
        <v>0</v>
      </c>
      <c r="M54" s="50"/>
      <c r="N54" s="51"/>
      <c r="O54" s="144"/>
      <c r="P54" s="144"/>
      <c r="Q54" s="51">
        <v>0</v>
      </c>
      <c r="R54" s="50"/>
      <c r="S54" s="51"/>
      <c r="T54" s="144"/>
      <c r="U54" s="144"/>
      <c r="V54" s="51">
        <v>0</v>
      </c>
      <c r="W54" s="50"/>
      <c r="X54" s="51"/>
      <c r="Y54" s="144"/>
      <c r="Z54" s="144"/>
      <c r="AA54" s="51">
        <v>0</v>
      </c>
      <c r="AB54" s="50"/>
      <c r="AC54" s="51"/>
      <c r="AD54" s="144"/>
      <c r="AE54" s="144"/>
      <c r="AF54" s="51">
        <v>0</v>
      </c>
      <c r="AG54" s="50"/>
      <c r="AH54" s="51"/>
      <c r="AI54" s="144"/>
      <c r="AJ54" s="144"/>
      <c r="AK54" s="51">
        <v>0</v>
      </c>
      <c r="AL54" s="50"/>
      <c r="AM54" s="51"/>
      <c r="AN54" s="144"/>
      <c r="AO54" s="144"/>
      <c r="AP54" s="51">
        <v>0</v>
      </c>
      <c r="AQ54" s="50"/>
      <c r="AR54" s="51"/>
      <c r="AS54" s="144"/>
      <c r="AT54" s="144"/>
      <c r="AU54" s="51">
        <v>0</v>
      </c>
      <c r="AV54" s="50"/>
      <c r="AW54" s="51"/>
      <c r="AX54" s="144"/>
      <c r="AY54" s="144"/>
      <c r="AZ54" s="51">
        <v>0</v>
      </c>
      <c r="BA54" s="50"/>
      <c r="BB54" s="51"/>
      <c r="BC54" s="144"/>
      <c r="BD54" s="144"/>
      <c r="BE54" s="51">
        <v>0</v>
      </c>
      <c r="BF54" s="50"/>
      <c r="BG54" s="51"/>
      <c r="BH54" s="144"/>
      <c r="BI54" s="144"/>
      <c r="BJ54" s="51">
        <v>0</v>
      </c>
      <c r="BK54" s="50"/>
      <c r="BL54" s="51"/>
      <c r="BM54" s="144"/>
      <c r="BN54" s="144"/>
      <c r="BO54" s="51">
        <v>0</v>
      </c>
      <c r="BP54" s="50"/>
      <c r="BQ54" s="51"/>
      <c r="BR54" s="144"/>
      <c r="BS54" s="144"/>
      <c r="BT54" s="51">
        <v>0</v>
      </c>
      <c r="BU54" s="50"/>
      <c r="BV54" s="51"/>
      <c r="BW54" s="340"/>
    </row>
    <row r="55" spans="1:77" ht="12.75" customHeight="1" x14ac:dyDescent="0.2">
      <c r="A55" s="317"/>
      <c r="B55" s="317"/>
      <c r="C55" s="317"/>
      <c r="D55" s="340" t="s">
        <v>200</v>
      </c>
      <c r="E55" s="347"/>
      <c r="F55" s="371"/>
      <c r="G55" s="95">
        <v>0</v>
      </c>
      <c r="H55" s="94"/>
      <c r="I55" s="51"/>
      <c r="J55" s="144"/>
      <c r="K55" s="187"/>
      <c r="L55" s="95">
        <v>0</v>
      </c>
      <c r="M55" s="94"/>
      <c r="N55" s="51"/>
      <c r="O55" s="144"/>
      <c r="P55" s="187"/>
      <c r="Q55" s="95">
        <v>0</v>
      </c>
      <c r="R55" s="94"/>
      <c r="S55" s="51"/>
      <c r="T55" s="144"/>
      <c r="U55" s="187"/>
      <c r="V55" s="95">
        <v>0</v>
      </c>
      <c r="W55" s="94"/>
      <c r="X55" s="51"/>
      <c r="Y55" s="144"/>
      <c r="Z55" s="187"/>
      <c r="AA55" s="95">
        <v>0</v>
      </c>
      <c r="AB55" s="94"/>
      <c r="AC55" s="51"/>
      <c r="AD55" s="144"/>
      <c r="AE55" s="187"/>
      <c r="AF55" s="95">
        <v>0</v>
      </c>
      <c r="AG55" s="94"/>
      <c r="AH55" s="51"/>
      <c r="AI55" s="144"/>
      <c r="AJ55" s="187"/>
      <c r="AK55" s="95">
        <v>0</v>
      </c>
      <c r="AL55" s="94"/>
      <c r="AM55" s="51"/>
      <c r="AN55" s="144"/>
      <c r="AO55" s="187"/>
      <c r="AP55" s="95">
        <v>0</v>
      </c>
      <c r="AQ55" s="94"/>
      <c r="AR55" s="51"/>
      <c r="AS55" s="144"/>
      <c r="AT55" s="187"/>
      <c r="AU55" s="95">
        <v>0</v>
      </c>
      <c r="AV55" s="94"/>
      <c r="AW55" s="51"/>
      <c r="AX55" s="144"/>
      <c r="AY55" s="187"/>
      <c r="AZ55" s="95">
        <v>0</v>
      </c>
      <c r="BA55" s="94"/>
      <c r="BB55" s="51"/>
      <c r="BC55" s="144"/>
      <c r="BD55" s="187"/>
      <c r="BE55" s="95">
        <v>0</v>
      </c>
      <c r="BF55" s="94"/>
      <c r="BG55" s="51"/>
      <c r="BH55" s="144"/>
      <c r="BI55" s="187"/>
      <c r="BJ55" s="95">
        <v>0</v>
      </c>
      <c r="BK55" s="94"/>
      <c r="BL55" s="51"/>
      <c r="BM55" s="144"/>
      <c r="BN55" s="187"/>
      <c r="BO55" s="95">
        <v>0</v>
      </c>
      <c r="BP55" s="94"/>
      <c r="BQ55" s="51"/>
      <c r="BR55" s="144"/>
      <c r="BS55" s="187"/>
      <c r="BT55" s="95">
        <v>0</v>
      </c>
      <c r="BU55" s="94"/>
      <c r="BV55" s="51"/>
      <c r="BW55" s="340"/>
    </row>
    <row r="56" spans="1:77" ht="12.75" customHeight="1" x14ac:dyDescent="0.2">
      <c r="A56" s="317"/>
      <c r="B56" s="317"/>
      <c r="C56" s="317"/>
      <c r="D56" s="340"/>
      <c r="E56" s="347"/>
      <c r="F56" s="317"/>
      <c r="G56" s="51"/>
      <c r="H56" s="51"/>
      <c r="I56" s="51"/>
      <c r="J56" s="144"/>
      <c r="K56" s="51"/>
      <c r="L56" s="51"/>
      <c r="M56" s="51"/>
      <c r="N56" s="51"/>
      <c r="O56" s="144"/>
      <c r="P56" s="51"/>
      <c r="Q56" s="51"/>
      <c r="R56" s="51"/>
      <c r="S56" s="51"/>
      <c r="T56" s="144"/>
      <c r="U56" s="51"/>
      <c r="V56" s="51"/>
      <c r="W56" s="51"/>
      <c r="X56" s="51"/>
      <c r="Y56" s="144"/>
      <c r="Z56" s="51"/>
      <c r="AA56" s="51"/>
      <c r="AB56" s="51"/>
      <c r="AC56" s="51"/>
      <c r="AD56" s="144"/>
      <c r="AE56" s="51"/>
      <c r="AF56" s="51"/>
      <c r="AG56" s="51"/>
      <c r="AH56" s="51"/>
      <c r="AI56" s="144"/>
      <c r="AJ56" s="51"/>
      <c r="AK56" s="51"/>
      <c r="AL56" s="51"/>
      <c r="AM56" s="51"/>
      <c r="AN56" s="144"/>
      <c r="AO56" s="51"/>
      <c r="AP56" s="51"/>
      <c r="AQ56" s="51"/>
      <c r="AR56" s="51"/>
      <c r="AS56" s="144"/>
      <c r="AT56" s="51"/>
      <c r="AU56" s="51"/>
      <c r="AV56" s="51"/>
      <c r="AW56" s="51"/>
      <c r="AX56" s="144"/>
      <c r="AY56" s="51"/>
      <c r="AZ56" s="51"/>
      <c r="BA56" s="51"/>
      <c r="BB56" s="51"/>
      <c r="BC56" s="144"/>
      <c r="BD56" s="51"/>
      <c r="BE56" s="51"/>
      <c r="BF56" s="51"/>
      <c r="BG56" s="51"/>
      <c r="BH56" s="144"/>
      <c r="BI56" s="51"/>
      <c r="BJ56" s="51"/>
      <c r="BK56" s="51"/>
      <c r="BL56" s="51"/>
      <c r="BM56" s="144"/>
      <c r="BN56" s="51"/>
      <c r="BO56" s="51"/>
      <c r="BP56" s="51"/>
      <c r="BQ56" s="51"/>
      <c r="BR56" s="144"/>
      <c r="BS56" s="51"/>
      <c r="BT56" s="51"/>
      <c r="BU56" s="51"/>
      <c r="BV56" s="51"/>
      <c r="BW56" s="340"/>
    </row>
    <row r="57" spans="1:77" ht="12.75" customHeight="1" x14ac:dyDescent="0.2">
      <c r="A57" s="317"/>
      <c r="B57" s="317"/>
      <c r="C57" s="317"/>
      <c r="D57" s="340" t="s">
        <v>274</v>
      </c>
      <c r="E57" s="347"/>
      <c r="F57" s="317"/>
      <c r="G57" s="51">
        <v>0</v>
      </c>
      <c r="H57" s="51"/>
      <c r="I57" s="51"/>
      <c r="J57" s="144"/>
      <c r="K57" s="51"/>
      <c r="L57" s="51">
        <v>0</v>
      </c>
      <c r="M57" s="51"/>
      <c r="N57" s="51"/>
      <c r="O57" s="144"/>
      <c r="P57" s="51"/>
      <c r="Q57" s="51">
        <v>0</v>
      </c>
      <c r="R57" s="51"/>
      <c r="S57" s="51"/>
      <c r="T57" s="144"/>
      <c r="U57" s="51"/>
      <c r="V57" s="51">
        <v>0</v>
      </c>
      <c r="W57" s="51"/>
      <c r="X57" s="51"/>
      <c r="Y57" s="144"/>
      <c r="Z57" s="51"/>
      <c r="AA57" s="51">
        <v>0</v>
      </c>
      <c r="AB57" s="51"/>
      <c r="AC57" s="51"/>
      <c r="AD57" s="144"/>
      <c r="AE57" s="51"/>
      <c r="AF57" s="51">
        <v>0</v>
      </c>
      <c r="AG57" s="51"/>
      <c r="AH57" s="51"/>
      <c r="AI57" s="144"/>
      <c r="AJ57" s="51"/>
      <c r="AK57" s="51">
        <v>0</v>
      </c>
      <c r="AL57" s="51"/>
      <c r="AM57" s="51"/>
      <c r="AN57" s="144"/>
      <c r="AO57" s="51"/>
      <c r="AP57" s="51">
        <v>0</v>
      </c>
      <c r="AQ57" s="51"/>
      <c r="AR57" s="51"/>
      <c r="AS57" s="144"/>
      <c r="AT57" s="51"/>
      <c r="AU57" s="51">
        <v>0</v>
      </c>
      <c r="AV57" s="51"/>
      <c r="AW57" s="51"/>
      <c r="AX57" s="144"/>
      <c r="AY57" s="51"/>
      <c r="AZ57" s="51">
        <v>0</v>
      </c>
      <c r="BA57" s="51"/>
      <c r="BB57" s="51"/>
      <c r="BC57" s="144"/>
      <c r="BD57" s="51"/>
      <c r="BE57" s="51">
        <v>0</v>
      </c>
      <c r="BF57" s="51"/>
      <c r="BG57" s="51"/>
      <c r="BH57" s="144"/>
      <c r="BI57" s="51"/>
      <c r="BJ57" s="51">
        <v>0</v>
      </c>
      <c r="BK57" s="51"/>
      <c r="BL57" s="51"/>
      <c r="BM57" s="144"/>
      <c r="BN57" s="51"/>
      <c r="BO57" s="51">
        <v>0</v>
      </c>
      <c r="BP57" s="51"/>
      <c r="BQ57" s="51"/>
      <c r="BR57" s="144"/>
      <c r="BS57" s="51"/>
      <c r="BT57" s="51">
        <v>0</v>
      </c>
      <c r="BU57" s="51"/>
      <c r="BV57" s="51"/>
      <c r="BW57" s="340"/>
    </row>
    <row r="58" spans="1:77" ht="12.75" customHeight="1" x14ac:dyDescent="0.2">
      <c r="A58" s="317"/>
      <c r="B58" s="317"/>
      <c r="C58" s="317"/>
      <c r="D58" s="340" t="s">
        <v>183</v>
      </c>
      <c r="E58" s="347"/>
      <c r="F58" s="354"/>
      <c r="G58" s="430">
        <v>0</v>
      </c>
      <c r="H58" s="431"/>
      <c r="I58" s="51"/>
      <c r="J58" s="144"/>
      <c r="K58" s="432"/>
      <c r="L58" s="430">
        <v>0</v>
      </c>
      <c r="M58" s="431"/>
      <c r="N58" s="51"/>
      <c r="O58" s="144"/>
      <c r="P58" s="432"/>
      <c r="Q58" s="430">
        <v>0</v>
      </c>
      <c r="R58" s="431"/>
      <c r="S58" s="51"/>
      <c r="T58" s="144"/>
      <c r="U58" s="432"/>
      <c r="V58" s="430">
        <v>0</v>
      </c>
      <c r="W58" s="431"/>
      <c r="X58" s="51"/>
      <c r="Y58" s="144"/>
      <c r="Z58" s="432"/>
      <c r="AA58" s="430">
        <v>0</v>
      </c>
      <c r="AB58" s="431"/>
      <c r="AC58" s="51"/>
      <c r="AD58" s="144"/>
      <c r="AE58" s="432"/>
      <c r="AF58" s="430">
        <v>0</v>
      </c>
      <c r="AG58" s="431"/>
      <c r="AH58" s="51"/>
      <c r="AI58" s="144"/>
      <c r="AJ58" s="432"/>
      <c r="AK58" s="430">
        <v>0</v>
      </c>
      <c r="AL58" s="431"/>
      <c r="AM58" s="51"/>
      <c r="AN58" s="144"/>
      <c r="AO58" s="432"/>
      <c r="AP58" s="430">
        <v>0</v>
      </c>
      <c r="AQ58" s="431"/>
      <c r="AR58" s="51"/>
      <c r="AS58" s="144"/>
      <c r="AT58" s="432"/>
      <c r="AU58" s="430">
        <v>0</v>
      </c>
      <c r="AV58" s="431"/>
      <c r="AW58" s="51"/>
      <c r="AX58" s="144"/>
      <c r="AY58" s="432"/>
      <c r="AZ58" s="430">
        <v>0</v>
      </c>
      <c r="BA58" s="431"/>
      <c r="BB58" s="51"/>
      <c r="BC58" s="144"/>
      <c r="BD58" s="432"/>
      <c r="BE58" s="430">
        <v>0</v>
      </c>
      <c r="BF58" s="431"/>
      <c r="BG58" s="51"/>
      <c r="BH58" s="144"/>
      <c r="BI58" s="432"/>
      <c r="BJ58" s="430">
        <v>0</v>
      </c>
      <c r="BK58" s="431"/>
      <c r="BL58" s="51"/>
      <c r="BM58" s="144"/>
      <c r="BN58" s="432"/>
      <c r="BO58" s="430">
        <v>0</v>
      </c>
      <c r="BP58" s="431"/>
      <c r="BQ58" s="51"/>
      <c r="BR58" s="144"/>
      <c r="BS58" s="432"/>
      <c r="BT58" s="430">
        <v>0</v>
      </c>
      <c r="BU58" s="431"/>
      <c r="BV58" s="51"/>
      <c r="BW58" s="340"/>
    </row>
    <row r="59" spans="1:77" ht="12.75" customHeight="1" x14ac:dyDescent="0.2">
      <c r="A59" s="317"/>
      <c r="B59" s="317"/>
      <c r="C59" s="317"/>
      <c r="D59" s="340" t="s">
        <v>186</v>
      </c>
      <c r="E59" s="347"/>
      <c r="F59" s="347"/>
      <c r="G59" s="51">
        <v>0</v>
      </c>
      <c r="H59" s="50"/>
      <c r="I59" s="51"/>
      <c r="J59" s="144"/>
      <c r="K59" s="144"/>
      <c r="L59" s="51">
        <v>0</v>
      </c>
      <c r="M59" s="50"/>
      <c r="N59" s="51"/>
      <c r="O59" s="144"/>
      <c r="P59" s="144"/>
      <c r="Q59" s="51">
        <v>0</v>
      </c>
      <c r="R59" s="50"/>
      <c r="S59" s="51"/>
      <c r="T59" s="144"/>
      <c r="U59" s="144"/>
      <c r="V59" s="51">
        <v>0</v>
      </c>
      <c r="W59" s="50"/>
      <c r="X59" s="51"/>
      <c r="Y59" s="144"/>
      <c r="Z59" s="144"/>
      <c r="AA59" s="51">
        <v>0</v>
      </c>
      <c r="AB59" s="50"/>
      <c r="AC59" s="51"/>
      <c r="AD59" s="144"/>
      <c r="AE59" s="144"/>
      <c r="AF59" s="51">
        <v>0</v>
      </c>
      <c r="AG59" s="50"/>
      <c r="AH59" s="51"/>
      <c r="AI59" s="144"/>
      <c r="AJ59" s="144"/>
      <c r="AK59" s="51">
        <v>0</v>
      </c>
      <c r="AL59" s="50"/>
      <c r="AM59" s="51"/>
      <c r="AN59" s="144"/>
      <c r="AO59" s="144"/>
      <c r="AP59" s="51">
        <v>0</v>
      </c>
      <c r="AQ59" s="50"/>
      <c r="AR59" s="51"/>
      <c r="AS59" s="144"/>
      <c r="AT59" s="144"/>
      <c r="AU59" s="51">
        <v>0</v>
      </c>
      <c r="AV59" s="50"/>
      <c r="AW59" s="51"/>
      <c r="AX59" s="144"/>
      <c r="AY59" s="144"/>
      <c r="AZ59" s="51">
        <v>0</v>
      </c>
      <c r="BA59" s="50"/>
      <c r="BB59" s="51"/>
      <c r="BC59" s="144"/>
      <c r="BD59" s="144"/>
      <c r="BE59" s="51">
        <v>0</v>
      </c>
      <c r="BF59" s="50"/>
      <c r="BG59" s="51"/>
      <c r="BH59" s="144"/>
      <c r="BI59" s="144"/>
      <c r="BJ59" s="51">
        <v>0</v>
      </c>
      <c r="BK59" s="50"/>
      <c r="BL59" s="51"/>
      <c r="BM59" s="144"/>
      <c r="BN59" s="144"/>
      <c r="BO59" s="51">
        <v>0</v>
      </c>
      <c r="BP59" s="50"/>
      <c r="BQ59" s="51"/>
      <c r="BR59" s="144"/>
      <c r="BS59" s="144"/>
      <c r="BT59" s="51">
        <v>0</v>
      </c>
      <c r="BU59" s="50"/>
      <c r="BV59" s="51"/>
      <c r="BW59" s="340"/>
    </row>
    <row r="60" spans="1:77" ht="12.75" customHeight="1" x14ac:dyDescent="0.2">
      <c r="A60" s="317"/>
      <c r="B60" s="317"/>
      <c r="C60" s="317"/>
      <c r="D60" s="340" t="s">
        <v>200</v>
      </c>
      <c r="E60" s="347"/>
      <c r="F60" s="371"/>
      <c r="G60" s="95">
        <v>0</v>
      </c>
      <c r="H60" s="94"/>
      <c r="I60" s="51"/>
      <c r="J60" s="144"/>
      <c r="K60" s="187"/>
      <c r="L60" s="95">
        <v>0</v>
      </c>
      <c r="M60" s="94"/>
      <c r="N60" s="51"/>
      <c r="O60" s="144"/>
      <c r="P60" s="187"/>
      <c r="Q60" s="95">
        <v>0</v>
      </c>
      <c r="R60" s="94"/>
      <c r="S60" s="51"/>
      <c r="T60" s="144"/>
      <c r="U60" s="187"/>
      <c r="V60" s="95">
        <v>0</v>
      </c>
      <c r="W60" s="94"/>
      <c r="X60" s="51"/>
      <c r="Y60" s="144"/>
      <c r="Z60" s="187"/>
      <c r="AA60" s="95">
        <v>0</v>
      </c>
      <c r="AB60" s="94"/>
      <c r="AC60" s="51"/>
      <c r="AD60" s="144"/>
      <c r="AE60" s="187"/>
      <c r="AF60" s="95">
        <v>0</v>
      </c>
      <c r="AG60" s="94"/>
      <c r="AH60" s="51"/>
      <c r="AI60" s="144"/>
      <c r="AJ60" s="187"/>
      <c r="AK60" s="95">
        <v>0</v>
      </c>
      <c r="AL60" s="94"/>
      <c r="AM60" s="51"/>
      <c r="AN60" s="144"/>
      <c r="AO60" s="187"/>
      <c r="AP60" s="95">
        <v>0</v>
      </c>
      <c r="AQ60" s="94"/>
      <c r="AR60" s="51"/>
      <c r="AS60" s="144"/>
      <c r="AT60" s="187"/>
      <c r="AU60" s="95">
        <v>0</v>
      </c>
      <c r="AV60" s="94"/>
      <c r="AW60" s="51"/>
      <c r="AX60" s="144"/>
      <c r="AY60" s="187"/>
      <c r="AZ60" s="95">
        <v>0</v>
      </c>
      <c r="BA60" s="94"/>
      <c r="BB60" s="51"/>
      <c r="BC60" s="144"/>
      <c r="BD60" s="187"/>
      <c r="BE60" s="95">
        <v>0</v>
      </c>
      <c r="BF60" s="94"/>
      <c r="BG60" s="51"/>
      <c r="BH60" s="144"/>
      <c r="BI60" s="187"/>
      <c r="BJ60" s="95">
        <v>0</v>
      </c>
      <c r="BK60" s="94"/>
      <c r="BL60" s="51"/>
      <c r="BM60" s="144"/>
      <c r="BN60" s="187"/>
      <c r="BO60" s="95">
        <v>0</v>
      </c>
      <c r="BP60" s="94"/>
      <c r="BQ60" s="51"/>
      <c r="BR60" s="144"/>
      <c r="BS60" s="187"/>
      <c r="BT60" s="95">
        <v>0</v>
      </c>
      <c r="BU60" s="94"/>
      <c r="BV60" s="51"/>
      <c r="BW60" s="340"/>
    </row>
    <row r="61" spans="1:77" ht="12.75" customHeight="1" x14ac:dyDescent="0.2">
      <c r="A61" s="317"/>
      <c r="B61" s="317"/>
      <c r="C61" s="317"/>
      <c r="D61" s="340"/>
      <c r="E61" s="347"/>
      <c r="F61" s="317"/>
      <c r="G61" s="51"/>
      <c r="H61" s="51"/>
      <c r="I61" s="51"/>
      <c r="J61" s="144"/>
      <c r="K61" s="51"/>
      <c r="L61" s="51"/>
      <c r="M61" s="51"/>
      <c r="N61" s="51"/>
      <c r="O61" s="144"/>
      <c r="P61" s="51"/>
      <c r="Q61" s="51"/>
      <c r="R61" s="51"/>
      <c r="S61" s="51"/>
      <c r="T61" s="144"/>
      <c r="U61" s="51"/>
      <c r="V61" s="51"/>
      <c r="W61" s="51"/>
      <c r="X61" s="51"/>
      <c r="Y61" s="144"/>
      <c r="Z61" s="51"/>
      <c r="AA61" s="51"/>
      <c r="AB61" s="51"/>
      <c r="AC61" s="51"/>
      <c r="AD61" s="144"/>
      <c r="AE61" s="51"/>
      <c r="AF61" s="51"/>
      <c r="AG61" s="51"/>
      <c r="AH61" s="51"/>
      <c r="AI61" s="144"/>
      <c r="AJ61" s="51"/>
      <c r="AK61" s="51"/>
      <c r="AL61" s="51"/>
      <c r="AM61" s="51"/>
      <c r="AN61" s="144"/>
      <c r="AO61" s="51"/>
      <c r="AP61" s="51"/>
      <c r="AQ61" s="51"/>
      <c r="AR61" s="51"/>
      <c r="AS61" s="144"/>
      <c r="AT61" s="51"/>
      <c r="AU61" s="51"/>
      <c r="AV61" s="51"/>
      <c r="AW61" s="51"/>
      <c r="AX61" s="144"/>
      <c r="AY61" s="51"/>
      <c r="AZ61" s="51"/>
      <c r="BA61" s="51"/>
      <c r="BB61" s="51"/>
      <c r="BC61" s="144"/>
      <c r="BD61" s="51"/>
      <c r="BE61" s="51"/>
      <c r="BF61" s="51"/>
      <c r="BG61" s="51"/>
      <c r="BH61" s="144"/>
      <c r="BI61" s="51"/>
      <c r="BJ61" s="51"/>
      <c r="BK61" s="51"/>
      <c r="BL61" s="51"/>
      <c r="BM61" s="144"/>
      <c r="BN61" s="51"/>
      <c r="BO61" s="51"/>
      <c r="BP61" s="51"/>
      <c r="BQ61" s="51"/>
      <c r="BR61" s="144"/>
      <c r="BS61" s="51"/>
      <c r="BT61" s="51"/>
      <c r="BU61" s="51"/>
      <c r="BV61" s="51"/>
      <c r="BW61" s="340"/>
    </row>
    <row r="62" spans="1:77" s="39" customFormat="1" ht="12.75" customHeight="1" x14ac:dyDescent="0.2">
      <c r="A62" s="329"/>
      <c r="B62" s="329"/>
      <c r="C62" s="329"/>
      <c r="D62" s="348" t="s">
        <v>275</v>
      </c>
      <c r="E62" s="350"/>
      <c r="F62" s="329"/>
      <c r="G62" s="41">
        <v>0</v>
      </c>
      <c r="H62" s="41"/>
      <c r="I62" s="41"/>
      <c r="J62" s="428"/>
      <c r="K62" s="41"/>
      <c r="L62" s="41">
        <v>0</v>
      </c>
      <c r="M62" s="41"/>
      <c r="N62" s="41"/>
      <c r="O62" s="428"/>
      <c r="P62" s="41"/>
      <c r="Q62" s="41">
        <v>0</v>
      </c>
      <c r="R62" s="41"/>
      <c r="S62" s="41"/>
      <c r="T62" s="428"/>
      <c r="U62" s="41"/>
      <c r="V62" s="41">
        <v>0</v>
      </c>
      <c r="W62" s="41"/>
      <c r="X62" s="41"/>
      <c r="Y62" s="428"/>
      <c r="Z62" s="41"/>
      <c r="AA62" s="41">
        <v>0</v>
      </c>
      <c r="AB62" s="41"/>
      <c r="AC62" s="41"/>
      <c r="AD62" s="428"/>
      <c r="AE62" s="41"/>
      <c r="AF62" s="41">
        <v>0</v>
      </c>
      <c r="AG62" s="41"/>
      <c r="AH62" s="41"/>
      <c r="AI62" s="428"/>
      <c r="AJ62" s="41"/>
      <c r="AK62" s="41">
        <v>0</v>
      </c>
      <c r="AL62" s="41"/>
      <c r="AM62" s="41"/>
      <c r="AN62" s="428"/>
      <c r="AO62" s="41"/>
      <c r="AP62" s="41">
        <v>0</v>
      </c>
      <c r="AQ62" s="41"/>
      <c r="AR62" s="41"/>
      <c r="AS62" s="428"/>
      <c r="AT62" s="41"/>
      <c r="AU62" s="41">
        <v>0</v>
      </c>
      <c r="AV62" s="41"/>
      <c r="AW62" s="41"/>
      <c r="AX62" s="428"/>
      <c r="AY62" s="41"/>
      <c r="AZ62" s="41">
        <v>0</v>
      </c>
      <c r="BA62" s="41"/>
      <c r="BB62" s="41"/>
      <c r="BC62" s="428"/>
      <c r="BD62" s="41"/>
      <c r="BE62" s="41">
        <v>0</v>
      </c>
      <c r="BF62" s="41"/>
      <c r="BG62" s="41"/>
      <c r="BH62" s="428"/>
      <c r="BI62" s="41"/>
      <c r="BJ62" s="41">
        <v>0</v>
      </c>
      <c r="BK62" s="41"/>
      <c r="BL62" s="41"/>
      <c r="BM62" s="428"/>
      <c r="BN62" s="41"/>
      <c r="BO62" s="41">
        <v>0</v>
      </c>
      <c r="BP62" s="41"/>
      <c r="BQ62" s="41"/>
      <c r="BR62" s="428"/>
      <c r="BS62" s="41"/>
      <c r="BT62" s="41">
        <v>0</v>
      </c>
      <c r="BU62" s="41"/>
      <c r="BV62" s="41"/>
      <c r="BW62" s="348"/>
      <c r="BX62" s="315"/>
      <c r="BY62" s="315"/>
    </row>
    <row r="63" spans="1:77" ht="12.75" customHeight="1" x14ac:dyDescent="0.2">
      <c r="A63" s="317"/>
      <c r="B63" s="317"/>
      <c r="C63" s="317"/>
      <c r="D63" s="340" t="s">
        <v>183</v>
      </c>
      <c r="E63" s="347"/>
      <c r="F63" s="354"/>
      <c r="G63" s="430">
        <v>0</v>
      </c>
      <c r="H63" s="431"/>
      <c r="I63" s="51"/>
      <c r="J63" s="144"/>
      <c r="K63" s="432"/>
      <c r="L63" s="430">
        <v>0</v>
      </c>
      <c r="M63" s="431"/>
      <c r="N63" s="51"/>
      <c r="O63" s="144"/>
      <c r="P63" s="432"/>
      <c r="Q63" s="430">
        <v>0</v>
      </c>
      <c r="R63" s="431"/>
      <c r="S63" s="51"/>
      <c r="T63" s="144"/>
      <c r="U63" s="432"/>
      <c r="V63" s="430">
        <v>0</v>
      </c>
      <c r="W63" s="431"/>
      <c r="X63" s="51"/>
      <c r="Y63" s="144"/>
      <c r="Z63" s="432"/>
      <c r="AA63" s="430">
        <v>0</v>
      </c>
      <c r="AB63" s="431"/>
      <c r="AC63" s="51"/>
      <c r="AD63" s="144"/>
      <c r="AE63" s="432"/>
      <c r="AF63" s="430">
        <v>0</v>
      </c>
      <c r="AG63" s="431"/>
      <c r="AH63" s="51"/>
      <c r="AI63" s="144"/>
      <c r="AJ63" s="432"/>
      <c r="AK63" s="430">
        <v>0</v>
      </c>
      <c r="AL63" s="431"/>
      <c r="AM63" s="51"/>
      <c r="AN63" s="144"/>
      <c r="AO63" s="432"/>
      <c r="AP63" s="430">
        <v>0</v>
      </c>
      <c r="AQ63" s="431"/>
      <c r="AR63" s="51"/>
      <c r="AS63" s="144"/>
      <c r="AT63" s="432"/>
      <c r="AU63" s="430">
        <v>0</v>
      </c>
      <c r="AV63" s="431"/>
      <c r="AW63" s="51"/>
      <c r="AX63" s="144"/>
      <c r="AY63" s="432"/>
      <c r="AZ63" s="430">
        <v>0</v>
      </c>
      <c r="BA63" s="431"/>
      <c r="BB63" s="51"/>
      <c r="BC63" s="144"/>
      <c r="BD63" s="432"/>
      <c r="BE63" s="430">
        <v>0</v>
      </c>
      <c r="BF63" s="431"/>
      <c r="BG63" s="51"/>
      <c r="BH63" s="144"/>
      <c r="BI63" s="432"/>
      <c r="BJ63" s="430">
        <v>0</v>
      </c>
      <c r="BK63" s="431"/>
      <c r="BL63" s="51"/>
      <c r="BM63" s="144"/>
      <c r="BN63" s="432"/>
      <c r="BO63" s="430">
        <v>0</v>
      </c>
      <c r="BP63" s="431"/>
      <c r="BQ63" s="51"/>
      <c r="BR63" s="144"/>
      <c r="BS63" s="432"/>
      <c r="BT63" s="430">
        <v>0</v>
      </c>
      <c r="BU63" s="431"/>
      <c r="BV63" s="51"/>
      <c r="BW63" s="340"/>
    </row>
    <row r="64" spans="1:77" ht="12.75" customHeight="1" x14ac:dyDescent="0.2">
      <c r="A64" s="317"/>
      <c r="B64" s="317"/>
      <c r="C64" s="317"/>
      <c r="D64" s="340" t="s">
        <v>186</v>
      </c>
      <c r="E64" s="347"/>
      <c r="F64" s="347"/>
      <c r="G64" s="51">
        <v>0</v>
      </c>
      <c r="H64" s="50"/>
      <c r="I64" s="51"/>
      <c r="J64" s="144"/>
      <c r="K64" s="144"/>
      <c r="L64" s="51">
        <v>0</v>
      </c>
      <c r="M64" s="50"/>
      <c r="N64" s="51"/>
      <c r="O64" s="144"/>
      <c r="P64" s="144"/>
      <c r="Q64" s="51">
        <v>0</v>
      </c>
      <c r="R64" s="50"/>
      <c r="S64" s="51"/>
      <c r="T64" s="144"/>
      <c r="U64" s="144"/>
      <c r="V64" s="51">
        <v>0</v>
      </c>
      <c r="W64" s="50"/>
      <c r="X64" s="51"/>
      <c r="Y64" s="144"/>
      <c r="Z64" s="144"/>
      <c r="AA64" s="51">
        <v>0</v>
      </c>
      <c r="AB64" s="50"/>
      <c r="AC64" s="51"/>
      <c r="AD64" s="144"/>
      <c r="AE64" s="144"/>
      <c r="AF64" s="51">
        <v>0</v>
      </c>
      <c r="AG64" s="50"/>
      <c r="AH64" s="51"/>
      <c r="AI64" s="144"/>
      <c r="AJ64" s="144"/>
      <c r="AK64" s="51">
        <v>0</v>
      </c>
      <c r="AL64" s="50"/>
      <c r="AM64" s="51"/>
      <c r="AN64" s="144"/>
      <c r="AO64" s="144"/>
      <c r="AP64" s="51">
        <v>0</v>
      </c>
      <c r="AQ64" s="50"/>
      <c r="AR64" s="51"/>
      <c r="AS64" s="144"/>
      <c r="AT64" s="144"/>
      <c r="AU64" s="51">
        <v>0</v>
      </c>
      <c r="AV64" s="50"/>
      <c r="AW64" s="51"/>
      <c r="AX64" s="144"/>
      <c r="AY64" s="144"/>
      <c r="AZ64" s="51">
        <v>0</v>
      </c>
      <c r="BA64" s="50"/>
      <c r="BB64" s="51"/>
      <c r="BC64" s="144"/>
      <c r="BD64" s="144"/>
      <c r="BE64" s="51">
        <v>0</v>
      </c>
      <c r="BF64" s="50"/>
      <c r="BG64" s="51"/>
      <c r="BH64" s="144"/>
      <c r="BI64" s="144"/>
      <c r="BJ64" s="51">
        <v>0</v>
      </c>
      <c r="BK64" s="50"/>
      <c r="BL64" s="51"/>
      <c r="BM64" s="144"/>
      <c r="BN64" s="144"/>
      <c r="BO64" s="51">
        <v>0</v>
      </c>
      <c r="BP64" s="50"/>
      <c r="BQ64" s="51"/>
      <c r="BR64" s="144"/>
      <c r="BS64" s="144"/>
      <c r="BT64" s="51">
        <v>0</v>
      </c>
      <c r="BU64" s="50"/>
      <c r="BV64" s="51"/>
      <c r="BW64" s="340"/>
    </row>
    <row r="65" spans="1:77" ht="12.75" customHeight="1" x14ac:dyDescent="0.2">
      <c r="A65" s="317"/>
      <c r="B65" s="317"/>
      <c r="C65" s="317"/>
      <c r="D65" s="340" t="s">
        <v>200</v>
      </c>
      <c r="E65" s="347"/>
      <c r="F65" s="371"/>
      <c r="G65" s="95">
        <v>0</v>
      </c>
      <c r="H65" s="94"/>
      <c r="I65" s="51"/>
      <c r="J65" s="144"/>
      <c r="K65" s="187"/>
      <c r="L65" s="95">
        <v>0</v>
      </c>
      <c r="M65" s="94"/>
      <c r="N65" s="51"/>
      <c r="O65" s="144"/>
      <c r="P65" s="187"/>
      <c r="Q65" s="95">
        <v>0</v>
      </c>
      <c r="R65" s="94"/>
      <c r="S65" s="51"/>
      <c r="T65" s="144"/>
      <c r="U65" s="187"/>
      <c r="V65" s="95">
        <v>0</v>
      </c>
      <c r="W65" s="94"/>
      <c r="X65" s="51"/>
      <c r="Y65" s="144"/>
      <c r="Z65" s="187"/>
      <c r="AA65" s="95">
        <v>0</v>
      </c>
      <c r="AB65" s="94"/>
      <c r="AC65" s="51"/>
      <c r="AD65" s="144"/>
      <c r="AE65" s="187"/>
      <c r="AF65" s="95">
        <v>0</v>
      </c>
      <c r="AG65" s="94"/>
      <c r="AH65" s="51"/>
      <c r="AI65" s="144"/>
      <c r="AJ65" s="187"/>
      <c r="AK65" s="95">
        <v>0</v>
      </c>
      <c r="AL65" s="94"/>
      <c r="AM65" s="51"/>
      <c r="AN65" s="144"/>
      <c r="AO65" s="187"/>
      <c r="AP65" s="95">
        <v>0</v>
      </c>
      <c r="AQ65" s="94"/>
      <c r="AR65" s="51"/>
      <c r="AS65" s="144"/>
      <c r="AT65" s="187"/>
      <c r="AU65" s="95">
        <v>0</v>
      </c>
      <c r="AV65" s="94"/>
      <c r="AW65" s="51"/>
      <c r="AX65" s="144"/>
      <c r="AY65" s="187"/>
      <c r="AZ65" s="95">
        <v>0</v>
      </c>
      <c r="BA65" s="94"/>
      <c r="BB65" s="51"/>
      <c r="BC65" s="144"/>
      <c r="BD65" s="187"/>
      <c r="BE65" s="95">
        <v>0</v>
      </c>
      <c r="BF65" s="94"/>
      <c r="BG65" s="51"/>
      <c r="BH65" s="144"/>
      <c r="BI65" s="187"/>
      <c r="BJ65" s="95">
        <v>0</v>
      </c>
      <c r="BK65" s="94"/>
      <c r="BL65" s="51"/>
      <c r="BM65" s="144"/>
      <c r="BN65" s="187"/>
      <c r="BO65" s="95">
        <v>0</v>
      </c>
      <c r="BP65" s="94"/>
      <c r="BQ65" s="51"/>
      <c r="BR65" s="144"/>
      <c r="BS65" s="187"/>
      <c r="BT65" s="95">
        <v>0</v>
      </c>
      <c r="BU65" s="94"/>
      <c r="BV65" s="51"/>
      <c r="BW65" s="340"/>
    </row>
    <row r="66" spans="1:77" ht="12.75" customHeight="1" x14ac:dyDescent="0.2">
      <c r="A66" s="317"/>
      <c r="B66" s="317"/>
      <c r="C66" s="317"/>
      <c r="D66" s="340"/>
      <c r="E66" s="347"/>
      <c r="F66" s="317"/>
      <c r="G66" s="51"/>
      <c r="H66" s="51"/>
      <c r="I66" s="51"/>
      <c r="J66" s="144"/>
      <c r="K66" s="51"/>
      <c r="L66" s="51"/>
      <c r="M66" s="51"/>
      <c r="N66" s="51"/>
      <c r="O66" s="144"/>
      <c r="P66" s="51"/>
      <c r="Q66" s="51"/>
      <c r="R66" s="51"/>
      <c r="S66" s="51"/>
      <c r="T66" s="144"/>
      <c r="U66" s="51"/>
      <c r="V66" s="51"/>
      <c r="W66" s="51"/>
      <c r="X66" s="51"/>
      <c r="Y66" s="144"/>
      <c r="Z66" s="51"/>
      <c r="AA66" s="51"/>
      <c r="AB66" s="51"/>
      <c r="AC66" s="51"/>
      <c r="AD66" s="144"/>
      <c r="AE66" s="51"/>
      <c r="AF66" s="51"/>
      <c r="AG66" s="51"/>
      <c r="AH66" s="51"/>
      <c r="AI66" s="144"/>
      <c r="AJ66" s="51"/>
      <c r="AK66" s="51"/>
      <c r="AL66" s="51"/>
      <c r="AM66" s="51"/>
      <c r="AN66" s="144"/>
      <c r="AO66" s="51"/>
      <c r="AP66" s="51"/>
      <c r="AQ66" s="51"/>
      <c r="AR66" s="51"/>
      <c r="AS66" s="144"/>
      <c r="AT66" s="51"/>
      <c r="AU66" s="51"/>
      <c r="AV66" s="51"/>
      <c r="AW66" s="51"/>
      <c r="AX66" s="144"/>
      <c r="AY66" s="51"/>
      <c r="AZ66" s="51"/>
      <c r="BA66" s="51"/>
      <c r="BB66" s="51"/>
      <c r="BC66" s="144"/>
      <c r="BD66" s="51"/>
      <c r="BE66" s="51"/>
      <c r="BF66" s="51"/>
      <c r="BG66" s="51"/>
      <c r="BH66" s="144"/>
      <c r="BI66" s="51"/>
      <c r="BJ66" s="51"/>
      <c r="BK66" s="51"/>
      <c r="BL66" s="51"/>
      <c r="BM66" s="144"/>
      <c r="BN66" s="51"/>
      <c r="BO66" s="51"/>
      <c r="BP66" s="51"/>
      <c r="BQ66" s="51"/>
      <c r="BR66" s="144"/>
      <c r="BS66" s="51"/>
      <c r="BT66" s="51"/>
      <c r="BU66" s="51"/>
      <c r="BV66" s="51"/>
      <c r="BW66" s="340"/>
    </row>
    <row r="67" spans="1:77" ht="12.75" customHeight="1" x14ac:dyDescent="0.2">
      <c r="A67" s="317"/>
      <c r="B67" s="317"/>
      <c r="C67" s="317"/>
      <c r="D67" s="340" t="s">
        <v>276</v>
      </c>
      <c r="E67" s="347"/>
      <c r="F67" s="317"/>
      <c r="G67" s="51">
        <v>0</v>
      </c>
      <c r="H67" s="51"/>
      <c r="I67" s="51"/>
      <c r="J67" s="144"/>
      <c r="K67" s="51"/>
      <c r="L67" s="51">
        <v>0</v>
      </c>
      <c r="M67" s="51"/>
      <c r="N67" s="51"/>
      <c r="O67" s="144"/>
      <c r="P67" s="51"/>
      <c r="Q67" s="51">
        <v>0</v>
      </c>
      <c r="R67" s="51"/>
      <c r="S67" s="51"/>
      <c r="T67" s="144"/>
      <c r="U67" s="51"/>
      <c r="V67" s="51">
        <v>0</v>
      </c>
      <c r="W67" s="51"/>
      <c r="X67" s="51"/>
      <c r="Y67" s="144"/>
      <c r="Z67" s="51"/>
      <c r="AA67" s="51">
        <v>0</v>
      </c>
      <c r="AB67" s="51"/>
      <c r="AC67" s="51"/>
      <c r="AD67" s="144"/>
      <c r="AE67" s="51"/>
      <c r="AF67" s="51">
        <v>0</v>
      </c>
      <c r="AG67" s="51"/>
      <c r="AH67" s="51"/>
      <c r="AI67" s="144"/>
      <c r="AJ67" s="51"/>
      <c r="AK67" s="51">
        <v>0</v>
      </c>
      <c r="AL67" s="51"/>
      <c r="AM67" s="51"/>
      <c r="AN67" s="144"/>
      <c r="AO67" s="51"/>
      <c r="AP67" s="51">
        <v>0</v>
      </c>
      <c r="AQ67" s="51"/>
      <c r="AR67" s="51"/>
      <c r="AS67" s="144"/>
      <c r="AT67" s="51"/>
      <c r="AU67" s="51">
        <v>0</v>
      </c>
      <c r="AV67" s="51"/>
      <c r="AW67" s="51"/>
      <c r="AX67" s="144"/>
      <c r="AY67" s="51"/>
      <c r="AZ67" s="51">
        <v>0</v>
      </c>
      <c r="BA67" s="51"/>
      <c r="BB67" s="51"/>
      <c r="BC67" s="144"/>
      <c r="BD67" s="51"/>
      <c r="BE67" s="51">
        <v>0</v>
      </c>
      <c r="BF67" s="51"/>
      <c r="BG67" s="51"/>
      <c r="BH67" s="144"/>
      <c r="BI67" s="51"/>
      <c r="BJ67" s="51">
        <v>0</v>
      </c>
      <c r="BK67" s="51"/>
      <c r="BL67" s="51"/>
      <c r="BM67" s="144"/>
      <c r="BN67" s="51"/>
      <c r="BO67" s="51">
        <v>0</v>
      </c>
      <c r="BP67" s="51"/>
      <c r="BQ67" s="51"/>
      <c r="BR67" s="144"/>
      <c r="BS67" s="51"/>
      <c r="BT67" s="51">
        <v>0</v>
      </c>
      <c r="BU67" s="51"/>
      <c r="BV67" s="51"/>
      <c r="BW67" s="340"/>
    </row>
    <row r="68" spans="1:77" ht="12.75" customHeight="1" x14ac:dyDescent="0.2">
      <c r="A68" s="317"/>
      <c r="B68" s="317"/>
      <c r="C68" s="317"/>
      <c r="D68" s="340" t="s">
        <v>183</v>
      </c>
      <c r="E68" s="347"/>
      <c r="F68" s="354"/>
      <c r="G68" s="430">
        <v>0</v>
      </c>
      <c r="H68" s="431"/>
      <c r="I68" s="51"/>
      <c r="J68" s="144"/>
      <c r="K68" s="432"/>
      <c r="L68" s="430">
        <v>0</v>
      </c>
      <c r="M68" s="431"/>
      <c r="N68" s="51"/>
      <c r="O68" s="144"/>
      <c r="P68" s="432"/>
      <c r="Q68" s="430">
        <v>0</v>
      </c>
      <c r="R68" s="431"/>
      <c r="S68" s="51"/>
      <c r="T68" s="144"/>
      <c r="U68" s="432"/>
      <c r="V68" s="430">
        <v>0</v>
      </c>
      <c r="W68" s="431"/>
      <c r="X68" s="51"/>
      <c r="Y68" s="144"/>
      <c r="Z68" s="432"/>
      <c r="AA68" s="430">
        <v>0</v>
      </c>
      <c r="AB68" s="431"/>
      <c r="AC68" s="51"/>
      <c r="AD68" s="144"/>
      <c r="AE68" s="432"/>
      <c r="AF68" s="430">
        <v>0</v>
      </c>
      <c r="AG68" s="431"/>
      <c r="AH68" s="51"/>
      <c r="AI68" s="144"/>
      <c r="AJ68" s="432"/>
      <c r="AK68" s="430">
        <v>0</v>
      </c>
      <c r="AL68" s="431"/>
      <c r="AM68" s="51"/>
      <c r="AN68" s="144"/>
      <c r="AO68" s="432"/>
      <c r="AP68" s="430">
        <v>0</v>
      </c>
      <c r="AQ68" s="431"/>
      <c r="AR68" s="51"/>
      <c r="AS68" s="144"/>
      <c r="AT68" s="432"/>
      <c r="AU68" s="430">
        <v>0</v>
      </c>
      <c r="AV68" s="431"/>
      <c r="AW68" s="51"/>
      <c r="AX68" s="144"/>
      <c r="AY68" s="432"/>
      <c r="AZ68" s="430">
        <v>0</v>
      </c>
      <c r="BA68" s="431"/>
      <c r="BB68" s="51"/>
      <c r="BC68" s="144"/>
      <c r="BD68" s="432"/>
      <c r="BE68" s="430">
        <v>0</v>
      </c>
      <c r="BF68" s="431"/>
      <c r="BG68" s="51"/>
      <c r="BH68" s="144"/>
      <c r="BI68" s="432"/>
      <c r="BJ68" s="430">
        <v>0</v>
      </c>
      <c r="BK68" s="431"/>
      <c r="BL68" s="51"/>
      <c r="BM68" s="144"/>
      <c r="BN68" s="432"/>
      <c r="BO68" s="430">
        <v>0</v>
      </c>
      <c r="BP68" s="431"/>
      <c r="BQ68" s="51"/>
      <c r="BR68" s="144"/>
      <c r="BS68" s="432"/>
      <c r="BT68" s="430">
        <v>0</v>
      </c>
      <c r="BU68" s="431"/>
      <c r="BV68" s="51"/>
      <c r="BW68" s="340"/>
    </row>
    <row r="69" spans="1:77" ht="12.75" customHeight="1" x14ac:dyDescent="0.2">
      <c r="A69" s="317"/>
      <c r="B69" s="317"/>
      <c r="C69" s="317"/>
      <c r="D69" s="340" t="s">
        <v>186</v>
      </c>
      <c r="E69" s="347"/>
      <c r="F69" s="347"/>
      <c r="G69" s="51">
        <v>0</v>
      </c>
      <c r="H69" s="50"/>
      <c r="I69" s="51"/>
      <c r="J69" s="144"/>
      <c r="K69" s="144"/>
      <c r="L69" s="51">
        <v>0</v>
      </c>
      <c r="M69" s="50"/>
      <c r="N69" s="51"/>
      <c r="O69" s="144"/>
      <c r="P69" s="144"/>
      <c r="Q69" s="51">
        <v>0</v>
      </c>
      <c r="R69" s="50"/>
      <c r="S69" s="51"/>
      <c r="T69" s="144"/>
      <c r="U69" s="144"/>
      <c r="V69" s="51">
        <v>0</v>
      </c>
      <c r="W69" s="50"/>
      <c r="X69" s="51"/>
      <c r="Y69" s="144"/>
      <c r="Z69" s="144"/>
      <c r="AA69" s="51">
        <v>0</v>
      </c>
      <c r="AB69" s="50"/>
      <c r="AC69" s="51"/>
      <c r="AD69" s="144"/>
      <c r="AE69" s="144"/>
      <c r="AF69" s="51">
        <v>0</v>
      </c>
      <c r="AG69" s="50"/>
      <c r="AH69" s="51"/>
      <c r="AI69" s="144"/>
      <c r="AJ69" s="144"/>
      <c r="AK69" s="51">
        <v>0</v>
      </c>
      <c r="AL69" s="50"/>
      <c r="AM69" s="51"/>
      <c r="AN69" s="144"/>
      <c r="AO69" s="144"/>
      <c r="AP69" s="51">
        <v>0</v>
      </c>
      <c r="AQ69" s="50"/>
      <c r="AR69" s="51"/>
      <c r="AS69" s="144"/>
      <c r="AT69" s="144"/>
      <c r="AU69" s="51">
        <v>0</v>
      </c>
      <c r="AV69" s="50"/>
      <c r="AW69" s="51"/>
      <c r="AX69" s="144"/>
      <c r="AY69" s="144"/>
      <c r="AZ69" s="51">
        <v>0</v>
      </c>
      <c r="BA69" s="50"/>
      <c r="BB69" s="51"/>
      <c r="BC69" s="144"/>
      <c r="BD69" s="144"/>
      <c r="BE69" s="51">
        <v>0</v>
      </c>
      <c r="BF69" s="50"/>
      <c r="BG69" s="51"/>
      <c r="BH69" s="144"/>
      <c r="BI69" s="144"/>
      <c r="BJ69" s="51">
        <v>0</v>
      </c>
      <c r="BK69" s="50"/>
      <c r="BL69" s="51"/>
      <c r="BM69" s="144"/>
      <c r="BN69" s="144"/>
      <c r="BO69" s="51">
        <v>0</v>
      </c>
      <c r="BP69" s="50"/>
      <c r="BQ69" s="51"/>
      <c r="BR69" s="144"/>
      <c r="BS69" s="144"/>
      <c r="BT69" s="51">
        <v>0</v>
      </c>
      <c r="BU69" s="50"/>
      <c r="BV69" s="51"/>
      <c r="BW69" s="340"/>
    </row>
    <row r="70" spans="1:77" ht="12.75" customHeight="1" x14ac:dyDescent="0.2">
      <c r="A70" s="317"/>
      <c r="B70" s="317"/>
      <c r="C70" s="317"/>
      <c r="D70" s="340" t="s">
        <v>200</v>
      </c>
      <c r="E70" s="347"/>
      <c r="F70" s="371"/>
      <c r="G70" s="95">
        <v>0</v>
      </c>
      <c r="H70" s="94"/>
      <c r="I70" s="51"/>
      <c r="J70" s="144"/>
      <c r="K70" s="187"/>
      <c r="L70" s="95">
        <v>0</v>
      </c>
      <c r="M70" s="94"/>
      <c r="N70" s="51"/>
      <c r="O70" s="144"/>
      <c r="P70" s="187"/>
      <c r="Q70" s="95">
        <v>0</v>
      </c>
      <c r="R70" s="94"/>
      <c r="S70" s="51"/>
      <c r="T70" s="144"/>
      <c r="U70" s="187"/>
      <c r="V70" s="95">
        <v>0</v>
      </c>
      <c r="W70" s="94"/>
      <c r="X70" s="51"/>
      <c r="Y70" s="144"/>
      <c r="Z70" s="187"/>
      <c r="AA70" s="95">
        <v>0</v>
      </c>
      <c r="AB70" s="94"/>
      <c r="AC70" s="51"/>
      <c r="AD70" s="144"/>
      <c r="AE70" s="187"/>
      <c r="AF70" s="95">
        <v>0</v>
      </c>
      <c r="AG70" s="94"/>
      <c r="AH70" s="51"/>
      <c r="AI70" s="144"/>
      <c r="AJ70" s="187"/>
      <c r="AK70" s="95">
        <v>0</v>
      </c>
      <c r="AL70" s="94"/>
      <c r="AM70" s="51"/>
      <c r="AN70" s="144"/>
      <c r="AO70" s="187"/>
      <c r="AP70" s="95">
        <v>0</v>
      </c>
      <c r="AQ70" s="94"/>
      <c r="AR70" s="51"/>
      <c r="AS70" s="144"/>
      <c r="AT70" s="187"/>
      <c r="AU70" s="95">
        <v>0</v>
      </c>
      <c r="AV70" s="94"/>
      <c r="AW70" s="51"/>
      <c r="AX70" s="144"/>
      <c r="AY70" s="187"/>
      <c r="AZ70" s="95">
        <v>0</v>
      </c>
      <c r="BA70" s="94"/>
      <c r="BB70" s="51"/>
      <c r="BC70" s="144"/>
      <c r="BD70" s="187"/>
      <c r="BE70" s="95">
        <v>0</v>
      </c>
      <c r="BF70" s="94"/>
      <c r="BG70" s="51"/>
      <c r="BH70" s="144"/>
      <c r="BI70" s="187"/>
      <c r="BJ70" s="95">
        <v>0</v>
      </c>
      <c r="BK70" s="94"/>
      <c r="BL70" s="51"/>
      <c r="BM70" s="144"/>
      <c r="BN70" s="187"/>
      <c r="BO70" s="95">
        <v>0</v>
      </c>
      <c r="BP70" s="94"/>
      <c r="BQ70" s="51"/>
      <c r="BR70" s="144"/>
      <c r="BS70" s="187"/>
      <c r="BT70" s="95">
        <v>0</v>
      </c>
      <c r="BU70" s="94"/>
      <c r="BV70" s="51"/>
      <c r="BW70" s="340"/>
    </row>
    <row r="71" spans="1:77" ht="12.75" customHeight="1" x14ac:dyDescent="0.2">
      <c r="A71" s="317"/>
      <c r="B71" s="317"/>
      <c r="C71" s="317"/>
      <c r="D71" s="340"/>
      <c r="E71" s="347"/>
      <c r="F71" s="317"/>
      <c r="G71" s="51"/>
      <c r="H71" s="51"/>
      <c r="I71" s="51"/>
      <c r="J71" s="144"/>
      <c r="K71" s="51"/>
      <c r="L71" s="51"/>
      <c r="M71" s="51"/>
      <c r="N71" s="51"/>
      <c r="O71" s="144"/>
      <c r="P71" s="51"/>
      <c r="Q71" s="51"/>
      <c r="R71" s="51"/>
      <c r="S71" s="51"/>
      <c r="T71" s="144"/>
      <c r="U71" s="51"/>
      <c r="V71" s="51"/>
      <c r="W71" s="51"/>
      <c r="X71" s="51"/>
      <c r="Y71" s="144"/>
      <c r="Z71" s="51"/>
      <c r="AA71" s="51"/>
      <c r="AB71" s="51"/>
      <c r="AC71" s="51"/>
      <c r="AD71" s="144"/>
      <c r="AE71" s="51"/>
      <c r="AF71" s="51"/>
      <c r="AG71" s="51"/>
      <c r="AH71" s="51"/>
      <c r="AI71" s="144"/>
      <c r="AJ71" s="51"/>
      <c r="AK71" s="51"/>
      <c r="AL71" s="51"/>
      <c r="AM71" s="51"/>
      <c r="AN71" s="144"/>
      <c r="AO71" s="51"/>
      <c r="AP71" s="51"/>
      <c r="AQ71" s="51"/>
      <c r="AR71" s="51"/>
      <c r="AS71" s="144"/>
      <c r="AT71" s="51"/>
      <c r="AU71" s="51"/>
      <c r="AV71" s="51"/>
      <c r="AW71" s="51"/>
      <c r="AX71" s="144"/>
      <c r="AY71" s="51"/>
      <c r="AZ71" s="51"/>
      <c r="BA71" s="51"/>
      <c r="BB71" s="51"/>
      <c r="BC71" s="144"/>
      <c r="BD71" s="51"/>
      <c r="BE71" s="51"/>
      <c r="BF71" s="51"/>
      <c r="BG71" s="51"/>
      <c r="BH71" s="144"/>
      <c r="BI71" s="51"/>
      <c r="BJ71" s="51"/>
      <c r="BK71" s="51"/>
      <c r="BL71" s="51"/>
      <c r="BM71" s="144"/>
      <c r="BN71" s="51"/>
      <c r="BO71" s="51"/>
      <c r="BP71" s="51"/>
      <c r="BQ71" s="51"/>
      <c r="BR71" s="144"/>
      <c r="BS71" s="51"/>
      <c r="BT71" s="51"/>
      <c r="BU71" s="51"/>
      <c r="BV71" s="51"/>
      <c r="BW71" s="340"/>
    </row>
    <row r="72" spans="1:77" s="39" customFormat="1" ht="12.75" customHeight="1" x14ac:dyDescent="0.2">
      <c r="A72" s="329"/>
      <c r="B72" s="329"/>
      <c r="C72" s="329"/>
      <c r="D72" s="348" t="s">
        <v>277</v>
      </c>
      <c r="E72" s="350"/>
      <c r="F72" s="329"/>
      <c r="G72" s="41">
        <v>0</v>
      </c>
      <c r="H72" s="41"/>
      <c r="I72" s="41"/>
      <c r="J72" s="428"/>
      <c r="K72" s="41"/>
      <c r="L72" s="41">
        <v>0</v>
      </c>
      <c r="M72" s="41"/>
      <c r="N72" s="41"/>
      <c r="O72" s="428"/>
      <c r="P72" s="41"/>
      <c r="Q72" s="41">
        <v>0</v>
      </c>
      <c r="R72" s="41"/>
      <c r="S72" s="41"/>
      <c r="T72" s="428"/>
      <c r="U72" s="41"/>
      <c r="V72" s="41">
        <v>0</v>
      </c>
      <c r="W72" s="41"/>
      <c r="X72" s="41"/>
      <c r="Y72" s="428"/>
      <c r="Z72" s="41"/>
      <c r="AA72" s="41">
        <v>0</v>
      </c>
      <c r="AB72" s="41"/>
      <c r="AC72" s="41"/>
      <c r="AD72" s="428"/>
      <c r="AE72" s="41"/>
      <c r="AF72" s="41">
        <v>0</v>
      </c>
      <c r="AG72" s="41"/>
      <c r="AH72" s="41"/>
      <c r="AI72" s="428"/>
      <c r="AJ72" s="41"/>
      <c r="AK72" s="41">
        <v>0</v>
      </c>
      <c r="AL72" s="41"/>
      <c r="AM72" s="41"/>
      <c r="AN72" s="428"/>
      <c r="AO72" s="41"/>
      <c r="AP72" s="41">
        <v>0</v>
      </c>
      <c r="AQ72" s="41"/>
      <c r="AR72" s="41"/>
      <c r="AS72" s="428"/>
      <c r="AT72" s="41"/>
      <c r="AU72" s="41">
        <v>0</v>
      </c>
      <c r="AV72" s="41"/>
      <c r="AW72" s="41"/>
      <c r="AX72" s="428"/>
      <c r="AY72" s="41"/>
      <c r="AZ72" s="41">
        <v>0</v>
      </c>
      <c r="BA72" s="41"/>
      <c r="BB72" s="41"/>
      <c r="BC72" s="428"/>
      <c r="BD72" s="41"/>
      <c r="BE72" s="41">
        <v>0</v>
      </c>
      <c r="BF72" s="41"/>
      <c r="BG72" s="41"/>
      <c r="BH72" s="428"/>
      <c r="BI72" s="41"/>
      <c r="BJ72" s="41">
        <v>0</v>
      </c>
      <c r="BK72" s="41"/>
      <c r="BL72" s="41"/>
      <c r="BM72" s="428"/>
      <c r="BN72" s="41"/>
      <c r="BO72" s="41">
        <v>0</v>
      </c>
      <c r="BP72" s="41"/>
      <c r="BQ72" s="41"/>
      <c r="BR72" s="428"/>
      <c r="BS72" s="41"/>
      <c r="BT72" s="41">
        <v>0</v>
      </c>
      <c r="BU72" s="41"/>
      <c r="BV72" s="41"/>
      <c r="BW72" s="348"/>
      <c r="BX72" s="315"/>
      <c r="BY72" s="315"/>
    </row>
    <row r="73" spans="1:77" ht="12.75" customHeight="1" x14ac:dyDescent="0.2">
      <c r="A73" s="317"/>
      <c r="B73" s="317"/>
      <c r="C73" s="317"/>
      <c r="D73" s="340" t="s">
        <v>183</v>
      </c>
      <c r="E73" s="347"/>
      <c r="F73" s="354"/>
      <c r="G73" s="430">
        <v>0</v>
      </c>
      <c r="H73" s="431"/>
      <c r="I73" s="51"/>
      <c r="J73" s="144"/>
      <c r="K73" s="432"/>
      <c r="L73" s="430">
        <v>0</v>
      </c>
      <c r="M73" s="431"/>
      <c r="N73" s="51"/>
      <c r="O73" s="144"/>
      <c r="P73" s="432"/>
      <c r="Q73" s="430">
        <v>0</v>
      </c>
      <c r="R73" s="431"/>
      <c r="S73" s="51"/>
      <c r="T73" s="144"/>
      <c r="U73" s="432"/>
      <c r="V73" s="430">
        <v>0</v>
      </c>
      <c r="W73" s="431"/>
      <c r="X73" s="51"/>
      <c r="Y73" s="144"/>
      <c r="Z73" s="432"/>
      <c r="AA73" s="430">
        <v>0</v>
      </c>
      <c r="AB73" s="431"/>
      <c r="AC73" s="51"/>
      <c r="AD73" s="144"/>
      <c r="AE73" s="432"/>
      <c r="AF73" s="430">
        <v>0</v>
      </c>
      <c r="AG73" s="431"/>
      <c r="AH73" s="51"/>
      <c r="AI73" s="144"/>
      <c r="AJ73" s="432"/>
      <c r="AK73" s="430">
        <v>0</v>
      </c>
      <c r="AL73" s="431"/>
      <c r="AM73" s="51"/>
      <c r="AN73" s="144"/>
      <c r="AO73" s="432"/>
      <c r="AP73" s="430">
        <v>0</v>
      </c>
      <c r="AQ73" s="431"/>
      <c r="AR73" s="51"/>
      <c r="AS73" s="144"/>
      <c r="AT73" s="432"/>
      <c r="AU73" s="430">
        <v>0</v>
      </c>
      <c r="AV73" s="431"/>
      <c r="AW73" s="51"/>
      <c r="AX73" s="144"/>
      <c r="AY73" s="432"/>
      <c r="AZ73" s="430">
        <v>0</v>
      </c>
      <c r="BA73" s="431"/>
      <c r="BB73" s="51"/>
      <c r="BC73" s="144"/>
      <c r="BD73" s="432"/>
      <c r="BE73" s="430">
        <v>0</v>
      </c>
      <c r="BF73" s="431"/>
      <c r="BG73" s="51"/>
      <c r="BH73" s="144"/>
      <c r="BI73" s="432"/>
      <c r="BJ73" s="430">
        <v>0</v>
      </c>
      <c r="BK73" s="431"/>
      <c r="BL73" s="51"/>
      <c r="BM73" s="144"/>
      <c r="BN73" s="432"/>
      <c r="BO73" s="430">
        <v>0</v>
      </c>
      <c r="BP73" s="431"/>
      <c r="BQ73" s="51"/>
      <c r="BR73" s="144"/>
      <c r="BS73" s="432"/>
      <c r="BT73" s="430">
        <v>0</v>
      </c>
      <c r="BU73" s="431"/>
      <c r="BV73" s="51"/>
      <c r="BW73" s="340"/>
    </row>
    <row r="74" spans="1:77" ht="12.75" customHeight="1" x14ac:dyDescent="0.2">
      <c r="A74" s="317"/>
      <c r="B74" s="317"/>
      <c r="C74" s="317"/>
      <c r="D74" s="340" t="s">
        <v>186</v>
      </c>
      <c r="E74" s="347"/>
      <c r="F74" s="347"/>
      <c r="G74" s="51">
        <v>0</v>
      </c>
      <c r="H74" s="50"/>
      <c r="I74" s="51"/>
      <c r="J74" s="144"/>
      <c r="K74" s="144"/>
      <c r="L74" s="51">
        <v>0</v>
      </c>
      <c r="M74" s="50"/>
      <c r="N74" s="51"/>
      <c r="O74" s="144"/>
      <c r="P74" s="144"/>
      <c r="Q74" s="51">
        <v>0</v>
      </c>
      <c r="R74" s="50"/>
      <c r="S74" s="51"/>
      <c r="T74" s="144"/>
      <c r="U74" s="144"/>
      <c r="V74" s="51">
        <v>0</v>
      </c>
      <c r="W74" s="50"/>
      <c r="X74" s="51"/>
      <c r="Y74" s="144"/>
      <c r="Z74" s="144"/>
      <c r="AA74" s="51">
        <v>0</v>
      </c>
      <c r="AB74" s="50"/>
      <c r="AC74" s="51"/>
      <c r="AD74" s="144"/>
      <c r="AE74" s="144"/>
      <c r="AF74" s="51">
        <v>0</v>
      </c>
      <c r="AG74" s="50"/>
      <c r="AH74" s="51"/>
      <c r="AI74" s="144"/>
      <c r="AJ74" s="144"/>
      <c r="AK74" s="51">
        <v>0</v>
      </c>
      <c r="AL74" s="50"/>
      <c r="AM74" s="51"/>
      <c r="AN74" s="144"/>
      <c r="AO74" s="144"/>
      <c r="AP74" s="51">
        <v>0</v>
      </c>
      <c r="AQ74" s="50"/>
      <c r="AR74" s="51"/>
      <c r="AS74" s="144"/>
      <c r="AT74" s="144"/>
      <c r="AU74" s="51">
        <v>0</v>
      </c>
      <c r="AV74" s="50"/>
      <c r="AW74" s="51"/>
      <c r="AX74" s="144"/>
      <c r="AY74" s="144"/>
      <c r="AZ74" s="51">
        <v>0</v>
      </c>
      <c r="BA74" s="50"/>
      <c r="BB74" s="51"/>
      <c r="BC74" s="144"/>
      <c r="BD74" s="144"/>
      <c r="BE74" s="51">
        <v>0</v>
      </c>
      <c r="BF74" s="50"/>
      <c r="BG74" s="51"/>
      <c r="BH74" s="144"/>
      <c r="BI74" s="144"/>
      <c r="BJ74" s="51">
        <v>0</v>
      </c>
      <c r="BK74" s="50"/>
      <c r="BL74" s="51"/>
      <c r="BM74" s="144"/>
      <c r="BN74" s="144"/>
      <c r="BO74" s="51">
        <v>0</v>
      </c>
      <c r="BP74" s="50"/>
      <c r="BQ74" s="51"/>
      <c r="BR74" s="144"/>
      <c r="BS74" s="144"/>
      <c r="BT74" s="51">
        <v>0</v>
      </c>
      <c r="BU74" s="50"/>
      <c r="BV74" s="51"/>
      <c r="BW74" s="340"/>
    </row>
    <row r="75" spans="1:77" ht="12.75" customHeight="1" x14ac:dyDescent="0.2">
      <c r="A75" s="317"/>
      <c r="B75" s="317"/>
      <c r="C75" s="317"/>
      <c r="D75" s="340" t="s">
        <v>200</v>
      </c>
      <c r="E75" s="347"/>
      <c r="F75" s="371"/>
      <c r="G75" s="95">
        <v>0</v>
      </c>
      <c r="H75" s="94"/>
      <c r="I75" s="51"/>
      <c r="J75" s="144"/>
      <c r="K75" s="187"/>
      <c r="L75" s="95">
        <v>0</v>
      </c>
      <c r="M75" s="94"/>
      <c r="N75" s="51"/>
      <c r="O75" s="144"/>
      <c r="P75" s="187"/>
      <c r="Q75" s="95">
        <v>0</v>
      </c>
      <c r="R75" s="94"/>
      <c r="S75" s="51"/>
      <c r="T75" s="144"/>
      <c r="U75" s="187"/>
      <c r="V75" s="95">
        <v>0</v>
      </c>
      <c r="W75" s="94"/>
      <c r="X75" s="51"/>
      <c r="Y75" s="144"/>
      <c r="Z75" s="187"/>
      <c r="AA75" s="95">
        <v>0</v>
      </c>
      <c r="AB75" s="94"/>
      <c r="AC75" s="51"/>
      <c r="AD75" s="144"/>
      <c r="AE75" s="187"/>
      <c r="AF75" s="95">
        <v>0</v>
      </c>
      <c r="AG75" s="94"/>
      <c r="AH75" s="51"/>
      <c r="AI75" s="144"/>
      <c r="AJ75" s="187"/>
      <c r="AK75" s="95">
        <v>0</v>
      </c>
      <c r="AL75" s="94"/>
      <c r="AM75" s="51"/>
      <c r="AN75" s="144"/>
      <c r="AO75" s="187"/>
      <c r="AP75" s="95">
        <v>0</v>
      </c>
      <c r="AQ75" s="94"/>
      <c r="AR75" s="51"/>
      <c r="AS75" s="144"/>
      <c r="AT75" s="187"/>
      <c r="AU75" s="95">
        <v>0</v>
      </c>
      <c r="AV75" s="94"/>
      <c r="AW75" s="51"/>
      <c r="AX75" s="144"/>
      <c r="AY75" s="187"/>
      <c r="AZ75" s="95">
        <v>0</v>
      </c>
      <c r="BA75" s="94"/>
      <c r="BB75" s="51"/>
      <c r="BC75" s="144"/>
      <c r="BD75" s="187"/>
      <c r="BE75" s="95">
        <v>0</v>
      </c>
      <c r="BF75" s="94"/>
      <c r="BG75" s="51"/>
      <c r="BH75" s="144"/>
      <c r="BI75" s="187"/>
      <c r="BJ75" s="95">
        <v>0</v>
      </c>
      <c r="BK75" s="94"/>
      <c r="BL75" s="51"/>
      <c r="BM75" s="144"/>
      <c r="BN75" s="187"/>
      <c r="BO75" s="95">
        <v>0</v>
      </c>
      <c r="BP75" s="94"/>
      <c r="BQ75" s="51"/>
      <c r="BR75" s="144"/>
      <c r="BS75" s="187"/>
      <c r="BT75" s="95">
        <v>0</v>
      </c>
      <c r="BU75" s="94"/>
      <c r="BV75" s="51"/>
      <c r="BW75" s="340"/>
    </row>
    <row r="76" spans="1:77" ht="12.75" customHeight="1" x14ac:dyDescent="0.2">
      <c r="A76" s="317"/>
      <c r="B76" s="317"/>
      <c r="C76" s="317"/>
      <c r="D76" s="340"/>
      <c r="E76" s="347"/>
      <c r="F76" s="317"/>
      <c r="G76" s="51"/>
      <c r="H76" s="51"/>
      <c r="I76" s="51"/>
      <c r="J76" s="144"/>
      <c r="K76" s="51"/>
      <c r="L76" s="51"/>
      <c r="M76" s="51"/>
      <c r="N76" s="51"/>
      <c r="O76" s="144"/>
      <c r="P76" s="51"/>
      <c r="Q76" s="51"/>
      <c r="R76" s="51"/>
      <c r="S76" s="51"/>
      <c r="T76" s="144"/>
      <c r="U76" s="51"/>
      <c r="V76" s="51"/>
      <c r="W76" s="51"/>
      <c r="X76" s="51"/>
      <c r="Y76" s="144"/>
      <c r="Z76" s="51"/>
      <c r="AA76" s="51"/>
      <c r="AB76" s="51"/>
      <c r="AC76" s="51"/>
      <c r="AD76" s="144"/>
      <c r="AE76" s="51"/>
      <c r="AF76" s="51"/>
      <c r="AG76" s="51"/>
      <c r="AH76" s="51"/>
      <c r="AI76" s="144"/>
      <c r="AJ76" s="51"/>
      <c r="AK76" s="51"/>
      <c r="AL76" s="51"/>
      <c r="AM76" s="51"/>
      <c r="AN76" s="144"/>
      <c r="AO76" s="51"/>
      <c r="AP76" s="51"/>
      <c r="AQ76" s="51"/>
      <c r="AR76" s="51"/>
      <c r="AS76" s="144"/>
      <c r="AT76" s="51"/>
      <c r="AU76" s="51"/>
      <c r="AV76" s="51"/>
      <c r="AW76" s="51"/>
      <c r="AX76" s="144"/>
      <c r="AY76" s="51"/>
      <c r="AZ76" s="51"/>
      <c r="BA76" s="51"/>
      <c r="BB76" s="51"/>
      <c r="BC76" s="144"/>
      <c r="BD76" s="51"/>
      <c r="BE76" s="51"/>
      <c r="BF76" s="51"/>
      <c r="BG76" s="51"/>
      <c r="BH76" s="144"/>
      <c r="BI76" s="51"/>
      <c r="BJ76" s="51"/>
      <c r="BK76" s="51"/>
      <c r="BL76" s="51"/>
      <c r="BM76" s="144"/>
      <c r="BN76" s="51"/>
      <c r="BO76" s="51"/>
      <c r="BP76" s="51"/>
      <c r="BQ76" s="51"/>
      <c r="BR76" s="144"/>
      <c r="BS76" s="51"/>
      <c r="BT76" s="51"/>
      <c r="BU76" s="51"/>
      <c r="BV76" s="51"/>
      <c r="BW76" s="340"/>
    </row>
    <row r="77" spans="1:77" ht="12.75" customHeight="1" x14ac:dyDescent="0.2">
      <c r="A77" s="317"/>
      <c r="B77" s="317"/>
      <c r="C77" s="317"/>
      <c r="D77" s="340" t="s">
        <v>278</v>
      </c>
      <c r="E77" s="347"/>
      <c r="F77" s="317"/>
      <c r="G77" s="51">
        <v>0</v>
      </c>
      <c r="H77" s="51"/>
      <c r="I77" s="51"/>
      <c r="J77" s="144"/>
      <c r="K77" s="51"/>
      <c r="L77" s="51">
        <v>0</v>
      </c>
      <c r="M77" s="51"/>
      <c r="N77" s="51"/>
      <c r="O77" s="144"/>
      <c r="P77" s="51"/>
      <c r="Q77" s="51">
        <v>0</v>
      </c>
      <c r="R77" s="51"/>
      <c r="S77" s="51"/>
      <c r="T77" s="144"/>
      <c r="U77" s="51"/>
      <c r="V77" s="51">
        <v>0</v>
      </c>
      <c r="W77" s="51"/>
      <c r="X77" s="51"/>
      <c r="Y77" s="144"/>
      <c r="Z77" s="51"/>
      <c r="AA77" s="51">
        <v>0</v>
      </c>
      <c r="AB77" s="51"/>
      <c r="AC77" s="51"/>
      <c r="AD77" s="144"/>
      <c r="AE77" s="51"/>
      <c r="AF77" s="51">
        <v>0</v>
      </c>
      <c r="AG77" s="51"/>
      <c r="AH77" s="51"/>
      <c r="AI77" s="144"/>
      <c r="AJ77" s="51"/>
      <c r="AK77" s="51">
        <v>0</v>
      </c>
      <c r="AL77" s="51"/>
      <c r="AM77" s="51"/>
      <c r="AN77" s="144"/>
      <c r="AO77" s="51"/>
      <c r="AP77" s="51">
        <v>0</v>
      </c>
      <c r="AQ77" s="51"/>
      <c r="AR77" s="51"/>
      <c r="AS77" s="144"/>
      <c r="AT77" s="51"/>
      <c r="AU77" s="51">
        <v>0</v>
      </c>
      <c r="AV77" s="51"/>
      <c r="AW77" s="51"/>
      <c r="AX77" s="144"/>
      <c r="AY77" s="51"/>
      <c r="AZ77" s="51">
        <v>0</v>
      </c>
      <c r="BA77" s="51"/>
      <c r="BB77" s="51"/>
      <c r="BC77" s="144"/>
      <c r="BD77" s="51"/>
      <c r="BE77" s="51">
        <v>0</v>
      </c>
      <c r="BF77" s="51"/>
      <c r="BG77" s="51"/>
      <c r="BH77" s="144"/>
      <c r="BI77" s="51"/>
      <c r="BJ77" s="51">
        <v>0</v>
      </c>
      <c r="BK77" s="51"/>
      <c r="BL77" s="51"/>
      <c r="BM77" s="144"/>
      <c r="BN77" s="51"/>
      <c r="BO77" s="51">
        <v>0</v>
      </c>
      <c r="BP77" s="51"/>
      <c r="BQ77" s="51"/>
      <c r="BR77" s="144"/>
      <c r="BS77" s="51"/>
      <c r="BT77" s="51">
        <v>0</v>
      </c>
      <c r="BU77" s="51"/>
      <c r="BV77" s="51"/>
      <c r="BW77" s="340"/>
    </row>
    <row r="78" spans="1:77" ht="12.75" customHeight="1" x14ac:dyDescent="0.2">
      <c r="A78" s="317"/>
      <c r="B78" s="317"/>
      <c r="C78" s="317"/>
      <c r="D78" s="340" t="s">
        <v>183</v>
      </c>
      <c r="E78" s="347"/>
      <c r="F78" s="354"/>
      <c r="G78" s="430">
        <v>0</v>
      </c>
      <c r="H78" s="431"/>
      <c r="I78" s="51"/>
      <c r="J78" s="144"/>
      <c r="K78" s="432"/>
      <c r="L78" s="430">
        <v>0</v>
      </c>
      <c r="M78" s="431"/>
      <c r="N78" s="51"/>
      <c r="O78" s="144"/>
      <c r="P78" s="432"/>
      <c r="Q78" s="430">
        <v>0</v>
      </c>
      <c r="R78" s="431"/>
      <c r="S78" s="51"/>
      <c r="T78" s="144"/>
      <c r="U78" s="432"/>
      <c r="V78" s="430">
        <v>0</v>
      </c>
      <c r="W78" s="431"/>
      <c r="X78" s="51"/>
      <c r="Y78" s="144"/>
      <c r="Z78" s="432"/>
      <c r="AA78" s="430">
        <v>0</v>
      </c>
      <c r="AB78" s="431"/>
      <c r="AC78" s="51"/>
      <c r="AD78" s="144"/>
      <c r="AE78" s="432"/>
      <c r="AF78" s="430">
        <v>0</v>
      </c>
      <c r="AG78" s="431"/>
      <c r="AH78" s="51"/>
      <c r="AI78" s="144"/>
      <c r="AJ78" s="432"/>
      <c r="AK78" s="430">
        <v>0</v>
      </c>
      <c r="AL78" s="431"/>
      <c r="AM78" s="51"/>
      <c r="AN78" s="144"/>
      <c r="AO78" s="432"/>
      <c r="AP78" s="430">
        <v>0</v>
      </c>
      <c r="AQ78" s="431"/>
      <c r="AR78" s="51"/>
      <c r="AS78" s="144"/>
      <c r="AT78" s="432"/>
      <c r="AU78" s="430">
        <v>0</v>
      </c>
      <c r="AV78" s="431"/>
      <c r="AW78" s="51"/>
      <c r="AX78" s="144"/>
      <c r="AY78" s="432"/>
      <c r="AZ78" s="430">
        <v>0</v>
      </c>
      <c r="BA78" s="431"/>
      <c r="BB78" s="51"/>
      <c r="BC78" s="144"/>
      <c r="BD78" s="432"/>
      <c r="BE78" s="430">
        <v>0</v>
      </c>
      <c r="BF78" s="431"/>
      <c r="BG78" s="51"/>
      <c r="BH78" s="144"/>
      <c r="BI78" s="432"/>
      <c r="BJ78" s="430">
        <v>0</v>
      </c>
      <c r="BK78" s="431"/>
      <c r="BL78" s="51"/>
      <c r="BM78" s="144"/>
      <c r="BN78" s="432"/>
      <c r="BO78" s="430">
        <v>0</v>
      </c>
      <c r="BP78" s="431"/>
      <c r="BQ78" s="51"/>
      <c r="BR78" s="144"/>
      <c r="BS78" s="432"/>
      <c r="BT78" s="430">
        <v>0</v>
      </c>
      <c r="BU78" s="431"/>
      <c r="BV78" s="51"/>
      <c r="BW78" s="340"/>
    </row>
    <row r="79" spans="1:77" ht="12.75" customHeight="1" x14ac:dyDescent="0.2">
      <c r="A79" s="317"/>
      <c r="B79" s="317"/>
      <c r="C79" s="317"/>
      <c r="D79" s="340" t="s">
        <v>186</v>
      </c>
      <c r="E79" s="347"/>
      <c r="F79" s="347"/>
      <c r="G79" s="51">
        <v>0</v>
      </c>
      <c r="H79" s="50"/>
      <c r="I79" s="51"/>
      <c r="J79" s="144"/>
      <c r="K79" s="144"/>
      <c r="L79" s="51">
        <v>0</v>
      </c>
      <c r="M79" s="50"/>
      <c r="N79" s="51"/>
      <c r="O79" s="144"/>
      <c r="P79" s="144"/>
      <c r="Q79" s="51">
        <v>0</v>
      </c>
      <c r="R79" s="50"/>
      <c r="S79" s="51"/>
      <c r="T79" s="144"/>
      <c r="U79" s="144"/>
      <c r="V79" s="51">
        <v>0</v>
      </c>
      <c r="W79" s="50"/>
      <c r="X79" s="51"/>
      <c r="Y79" s="144"/>
      <c r="Z79" s="144"/>
      <c r="AA79" s="51">
        <v>0</v>
      </c>
      <c r="AB79" s="50"/>
      <c r="AC79" s="51"/>
      <c r="AD79" s="144"/>
      <c r="AE79" s="144"/>
      <c r="AF79" s="51">
        <v>0</v>
      </c>
      <c r="AG79" s="50"/>
      <c r="AH79" s="51"/>
      <c r="AI79" s="144"/>
      <c r="AJ79" s="144"/>
      <c r="AK79" s="51">
        <v>0</v>
      </c>
      <c r="AL79" s="50"/>
      <c r="AM79" s="51"/>
      <c r="AN79" s="144"/>
      <c r="AO79" s="144"/>
      <c r="AP79" s="51">
        <v>0</v>
      </c>
      <c r="AQ79" s="50"/>
      <c r="AR79" s="51"/>
      <c r="AS79" s="144"/>
      <c r="AT79" s="144"/>
      <c r="AU79" s="51">
        <v>0</v>
      </c>
      <c r="AV79" s="50"/>
      <c r="AW79" s="51"/>
      <c r="AX79" s="144"/>
      <c r="AY79" s="144"/>
      <c r="AZ79" s="51">
        <v>0</v>
      </c>
      <c r="BA79" s="50"/>
      <c r="BB79" s="51"/>
      <c r="BC79" s="144"/>
      <c r="BD79" s="144"/>
      <c r="BE79" s="51">
        <v>0</v>
      </c>
      <c r="BF79" s="50"/>
      <c r="BG79" s="51"/>
      <c r="BH79" s="144"/>
      <c r="BI79" s="144"/>
      <c r="BJ79" s="51">
        <v>0</v>
      </c>
      <c r="BK79" s="50"/>
      <c r="BL79" s="51"/>
      <c r="BM79" s="144"/>
      <c r="BN79" s="144"/>
      <c r="BO79" s="51">
        <v>0</v>
      </c>
      <c r="BP79" s="50"/>
      <c r="BQ79" s="51"/>
      <c r="BR79" s="144"/>
      <c r="BS79" s="144"/>
      <c r="BT79" s="51">
        <v>0</v>
      </c>
      <c r="BU79" s="50"/>
      <c r="BV79" s="51"/>
      <c r="BW79" s="340"/>
    </row>
    <row r="80" spans="1:77" ht="12.75" customHeight="1" x14ac:dyDescent="0.2">
      <c r="A80" s="317"/>
      <c r="B80" s="317"/>
      <c r="C80" s="317"/>
      <c r="D80" s="340" t="s">
        <v>200</v>
      </c>
      <c r="E80" s="347"/>
      <c r="F80" s="371"/>
      <c r="G80" s="95">
        <v>0</v>
      </c>
      <c r="H80" s="94"/>
      <c r="I80" s="51"/>
      <c r="J80" s="144"/>
      <c r="K80" s="187"/>
      <c r="L80" s="95">
        <v>0</v>
      </c>
      <c r="M80" s="94"/>
      <c r="N80" s="51"/>
      <c r="O80" s="144"/>
      <c r="P80" s="187"/>
      <c r="Q80" s="95">
        <v>0</v>
      </c>
      <c r="R80" s="94"/>
      <c r="S80" s="51"/>
      <c r="T80" s="144"/>
      <c r="U80" s="187"/>
      <c r="V80" s="95">
        <v>0</v>
      </c>
      <c r="W80" s="94"/>
      <c r="X80" s="51"/>
      <c r="Y80" s="144"/>
      <c r="Z80" s="187"/>
      <c r="AA80" s="95">
        <v>0</v>
      </c>
      <c r="AB80" s="94"/>
      <c r="AC80" s="51"/>
      <c r="AD80" s="144"/>
      <c r="AE80" s="187"/>
      <c r="AF80" s="95">
        <v>0</v>
      </c>
      <c r="AG80" s="94"/>
      <c r="AH80" s="51"/>
      <c r="AI80" s="144"/>
      <c r="AJ80" s="187"/>
      <c r="AK80" s="95">
        <v>0</v>
      </c>
      <c r="AL80" s="94"/>
      <c r="AM80" s="51"/>
      <c r="AN80" s="144"/>
      <c r="AO80" s="187"/>
      <c r="AP80" s="95">
        <v>0</v>
      </c>
      <c r="AQ80" s="94"/>
      <c r="AR80" s="51"/>
      <c r="AS80" s="144"/>
      <c r="AT80" s="187"/>
      <c r="AU80" s="95">
        <v>0</v>
      </c>
      <c r="AV80" s="94"/>
      <c r="AW80" s="51"/>
      <c r="AX80" s="144"/>
      <c r="AY80" s="187"/>
      <c r="AZ80" s="95">
        <v>0</v>
      </c>
      <c r="BA80" s="94"/>
      <c r="BB80" s="51"/>
      <c r="BC80" s="144"/>
      <c r="BD80" s="187"/>
      <c r="BE80" s="95">
        <v>0</v>
      </c>
      <c r="BF80" s="94"/>
      <c r="BG80" s="51"/>
      <c r="BH80" s="144"/>
      <c r="BI80" s="187"/>
      <c r="BJ80" s="95">
        <v>0</v>
      </c>
      <c r="BK80" s="94"/>
      <c r="BL80" s="51"/>
      <c r="BM80" s="144"/>
      <c r="BN80" s="187"/>
      <c r="BO80" s="95">
        <v>0</v>
      </c>
      <c r="BP80" s="94"/>
      <c r="BQ80" s="51"/>
      <c r="BR80" s="144"/>
      <c r="BS80" s="187"/>
      <c r="BT80" s="95">
        <v>0</v>
      </c>
      <c r="BU80" s="94"/>
      <c r="BV80" s="51"/>
      <c r="BW80" s="340"/>
    </row>
    <row r="81" spans="1:75" ht="12.75" customHeight="1" x14ac:dyDescent="0.2">
      <c r="A81" s="317"/>
      <c r="B81" s="317"/>
      <c r="C81" s="317"/>
      <c r="D81" s="340"/>
      <c r="E81" s="347"/>
      <c r="F81" s="317"/>
      <c r="G81" s="51"/>
      <c r="H81" s="51"/>
      <c r="I81" s="51"/>
      <c r="J81" s="144"/>
      <c r="K81" s="51"/>
      <c r="L81" s="51"/>
      <c r="M81" s="51"/>
      <c r="N81" s="51"/>
      <c r="O81" s="144"/>
      <c r="P81" s="51"/>
      <c r="Q81" s="51"/>
      <c r="R81" s="51"/>
      <c r="S81" s="51"/>
      <c r="T81" s="144"/>
      <c r="U81" s="51"/>
      <c r="V81" s="51"/>
      <c r="W81" s="51"/>
      <c r="X81" s="51"/>
      <c r="Y81" s="144"/>
      <c r="Z81" s="51"/>
      <c r="AA81" s="51"/>
      <c r="AB81" s="51"/>
      <c r="AC81" s="51"/>
      <c r="AD81" s="144"/>
      <c r="AE81" s="51"/>
      <c r="AF81" s="51"/>
      <c r="AG81" s="51"/>
      <c r="AH81" s="51"/>
      <c r="AI81" s="144"/>
      <c r="AJ81" s="51"/>
      <c r="AK81" s="51"/>
      <c r="AL81" s="51"/>
      <c r="AM81" s="51"/>
      <c r="AN81" s="144"/>
      <c r="AO81" s="51"/>
      <c r="AP81" s="51"/>
      <c r="AQ81" s="51"/>
      <c r="AR81" s="51"/>
      <c r="AS81" s="144"/>
      <c r="AT81" s="51"/>
      <c r="AU81" s="51"/>
      <c r="AV81" s="51"/>
      <c r="AW81" s="51"/>
      <c r="AX81" s="144"/>
      <c r="AY81" s="51"/>
      <c r="AZ81" s="51"/>
      <c r="BA81" s="51"/>
      <c r="BB81" s="51"/>
      <c r="BC81" s="144"/>
      <c r="BD81" s="51"/>
      <c r="BE81" s="51"/>
      <c r="BF81" s="51"/>
      <c r="BG81" s="51"/>
      <c r="BH81" s="144"/>
      <c r="BI81" s="51"/>
      <c r="BJ81" s="51"/>
      <c r="BK81" s="51"/>
      <c r="BL81" s="51"/>
      <c r="BM81" s="144"/>
      <c r="BN81" s="51"/>
      <c r="BO81" s="51"/>
      <c r="BP81" s="51"/>
      <c r="BQ81" s="51"/>
      <c r="BR81" s="144"/>
      <c r="BS81" s="51"/>
      <c r="BT81" s="51"/>
      <c r="BU81" s="51"/>
      <c r="BV81" s="51"/>
      <c r="BW81" s="340"/>
    </row>
    <row r="82" spans="1:75" ht="12.75" customHeight="1" x14ac:dyDescent="0.2">
      <c r="A82" s="317"/>
      <c r="B82" s="317"/>
      <c r="C82" s="317"/>
      <c r="D82" s="340" t="s">
        <v>279</v>
      </c>
      <c r="E82" s="347"/>
      <c r="F82" s="317"/>
      <c r="G82" s="51">
        <v>0</v>
      </c>
      <c r="H82" s="51"/>
      <c r="I82" s="51"/>
      <c r="J82" s="144"/>
      <c r="K82" s="51"/>
      <c r="L82" s="51">
        <v>0</v>
      </c>
      <c r="M82" s="51"/>
      <c r="N82" s="51"/>
      <c r="O82" s="144"/>
      <c r="P82" s="51"/>
      <c r="Q82" s="51">
        <v>0</v>
      </c>
      <c r="R82" s="51"/>
      <c r="S82" s="51"/>
      <c r="T82" s="144"/>
      <c r="U82" s="51"/>
      <c r="V82" s="51">
        <v>0</v>
      </c>
      <c r="W82" s="51"/>
      <c r="X82" s="51"/>
      <c r="Y82" s="144"/>
      <c r="Z82" s="51"/>
      <c r="AA82" s="51">
        <v>0</v>
      </c>
      <c r="AB82" s="51"/>
      <c r="AC82" s="51"/>
      <c r="AD82" s="144"/>
      <c r="AE82" s="51"/>
      <c r="AF82" s="51">
        <v>0</v>
      </c>
      <c r="AG82" s="51"/>
      <c r="AH82" s="51"/>
      <c r="AI82" s="144"/>
      <c r="AJ82" s="51"/>
      <c r="AK82" s="51">
        <v>0</v>
      </c>
      <c r="AL82" s="51"/>
      <c r="AM82" s="51"/>
      <c r="AN82" s="144"/>
      <c r="AO82" s="51"/>
      <c r="AP82" s="51">
        <v>0</v>
      </c>
      <c r="AQ82" s="51"/>
      <c r="AR82" s="51"/>
      <c r="AS82" s="144"/>
      <c r="AT82" s="51"/>
      <c r="AU82" s="51">
        <v>0</v>
      </c>
      <c r="AV82" s="51"/>
      <c r="AW82" s="51"/>
      <c r="AX82" s="144"/>
      <c r="AY82" s="51"/>
      <c r="AZ82" s="51">
        <v>0</v>
      </c>
      <c r="BA82" s="51"/>
      <c r="BB82" s="51"/>
      <c r="BC82" s="144"/>
      <c r="BD82" s="51"/>
      <c r="BE82" s="51">
        <v>0</v>
      </c>
      <c r="BF82" s="51"/>
      <c r="BG82" s="51"/>
      <c r="BH82" s="144"/>
      <c r="BI82" s="51"/>
      <c r="BJ82" s="51">
        <v>0</v>
      </c>
      <c r="BK82" s="51"/>
      <c r="BL82" s="51"/>
      <c r="BM82" s="144"/>
      <c r="BN82" s="51"/>
      <c r="BO82" s="51">
        <v>0</v>
      </c>
      <c r="BP82" s="51"/>
      <c r="BQ82" s="51"/>
      <c r="BR82" s="144"/>
      <c r="BS82" s="51"/>
      <c r="BT82" s="51">
        <v>0</v>
      </c>
      <c r="BU82" s="51"/>
      <c r="BV82" s="51"/>
      <c r="BW82" s="340"/>
    </row>
    <row r="83" spans="1:75" ht="12.75" customHeight="1" x14ac:dyDescent="0.2">
      <c r="A83" s="317"/>
      <c r="B83" s="317"/>
      <c r="C83" s="317"/>
      <c r="D83" s="340" t="s">
        <v>183</v>
      </c>
      <c r="E83" s="347"/>
      <c r="F83" s="354"/>
      <c r="G83" s="430">
        <v>0</v>
      </c>
      <c r="H83" s="431"/>
      <c r="I83" s="51"/>
      <c r="J83" s="144"/>
      <c r="K83" s="432"/>
      <c r="L83" s="430">
        <v>0</v>
      </c>
      <c r="M83" s="431"/>
      <c r="N83" s="51"/>
      <c r="O83" s="144"/>
      <c r="P83" s="432"/>
      <c r="Q83" s="430">
        <v>0</v>
      </c>
      <c r="R83" s="431"/>
      <c r="S83" s="51"/>
      <c r="T83" s="144"/>
      <c r="U83" s="432"/>
      <c r="V83" s="430">
        <v>0</v>
      </c>
      <c r="W83" s="431"/>
      <c r="X83" s="51"/>
      <c r="Y83" s="144"/>
      <c r="Z83" s="432"/>
      <c r="AA83" s="430">
        <v>0</v>
      </c>
      <c r="AB83" s="431"/>
      <c r="AC83" s="51"/>
      <c r="AD83" s="144"/>
      <c r="AE83" s="432"/>
      <c r="AF83" s="430">
        <v>0</v>
      </c>
      <c r="AG83" s="431"/>
      <c r="AH83" s="51"/>
      <c r="AI83" s="144"/>
      <c r="AJ83" s="432"/>
      <c r="AK83" s="430">
        <v>0</v>
      </c>
      <c r="AL83" s="431"/>
      <c r="AM83" s="51"/>
      <c r="AN83" s="144"/>
      <c r="AO83" s="432"/>
      <c r="AP83" s="430">
        <v>0</v>
      </c>
      <c r="AQ83" s="431"/>
      <c r="AR83" s="51"/>
      <c r="AS83" s="144"/>
      <c r="AT83" s="432"/>
      <c r="AU83" s="430">
        <v>0</v>
      </c>
      <c r="AV83" s="431"/>
      <c r="AW83" s="51"/>
      <c r="AX83" s="144"/>
      <c r="AY83" s="432"/>
      <c r="AZ83" s="430">
        <v>0</v>
      </c>
      <c r="BA83" s="431"/>
      <c r="BB83" s="51"/>
      <c r="BC83" s="144"/>
      <c r="BD83" s="432"/>
      <c r="BE83" s="430">
        <v>0</v>
      </c>
      <c r="BF83" s="431"/>
      <c r="BG83" s="51"/>
      <c r="BH83" s="144"/>
      <c r="BI83" s="432"/>
      <c r="BJ83" s="430">
        <v>0</v>
      </c>
      <c r="BK83" s="431"/>
      <c r="BL83" s="51"/>
      <c r="BM83" s="144"/>
      <c r="BN83" s="432"/>
      <c r="BO83" s="430">
        <v>0</v>
      </c>
      <c r="BP83" s="431"/>
      <c r="BQ83" s="51"/>
      <c r="BR83" s="144"/>
      <c r="BS83" s="432"/>
      <c r="BT83" s="430">
        <v>0</v>
      </c>
      <c r="BU83" s="431"/>
      <c r="BV83" s="51"/>
      <c r="BW83" s="340"/>
    </row>
    <row r="84" spans="1:75" ht="12.75" customHeight="1" x14ac:dyDescent="0.2">
      <c r="A84" s="317"/>
      <c r="B84" s="317"/>
      <c r="C84" s="317"/>
      <c r="D84" s="340" t="s">
        <v>186</v>
      </c>
      <c r="E84" s="347"/>
      <c r="F84" s="347"/>
      <c r="G84" s="51">
        <v>0</v>
      </c>
      <c r="H84" s="50"/>
      <c r="I84" s="51"/>
      <c r="J84" s="144"/>
      <c r="K84" s="144"/>
      <c r="L84" s="51">
        <v>0</v>
      </c>
      <c r="M84" s="50"/>
      <c r="N84" s="51"/>
      <c r="O84" s="144"/>
      <c r="P84" s="144"/>
      <c r="Q84" s="51">
        <v>0</v>
      </c>
      <c r="R84" s="50"/>
      <c r="S84" s="51"/>
      <c r="T84" s="144"/>
      <c r="U84" s="144"/>
      <c r="V84" s="51">
        <v>0</v>
      </c>
      <c r="W84" s="50"/>
      <c r="X84" s="51"/>
      <c r="Y84" s="144"/>
      <c r="Z84" s="144"/>
      <c r="AA84" s="51">
        <v>0</v>
      </c>
      <c r="AB84" s="50"/>
      <c r="AC84" s="51"/>
      <c r="AD84" s="144"/>
      <c r="AE84" s="144"/>
      <c r="AF84" s="51">
        <v>0</v>
      </c>
      <c r="AG84" s="50"/>
      <c r="AH84" s="51"/>
      <c r="AI84" s="144"/>
      <c r="AJ84" s="144"/>
      <c r="AK84" s="51">
        <v>0</v>
      </c>
      <c r="AL84" s="50"/>
      <c r="AM84" s="51"/>
      <c r="AN84" s="144"/>
      <c r="AO84" s="144"/>
      <c r="AP84" s="51">
        <v>0</v>
      </c>
      <c r="AQ84" s="50"/>
      <c r="AR84" s="51"/>
      <c r="AS84" s="144"/>
      <c r="AT84" s="144"/>
      <c r="AU84" s="51">
        <v>0</v>
      </c>
      <c r="AV84" s="50"/>
      <c r="AW84" s="51"/>
      <c r="AX84" s="144"/>
      <c r="AY84" s="144"/>
      <c r="AZ84" s="51">
        <v>0</v>
      </c>
      <c r="BA84" s="50"/>
      <c r="BB84" s="51"/>
      <c r="BC84" s="144"/>
      <c r="BD84" s="144"/>
      <c r="BE84" s="51">
        <v>0</v>
      </c>
      <c r="BF84" s="50"/>
      <c r="BG84" s="51"/>
      <c r="BH84" s="144"/>
      <c r="BI84" s="144"/>
      <c r="BJ84" s="51">
        <v>0</v>
      </c>
      <c r="BK84" s="50"/>
      <c r="BL84" s="51"/>
      <c r="BM84" s="144"/>
      <c r="BN84" s="144"/>
      <c r="BO84" s="51">
        <v>0</v>
      </c>
      <c r="BP84" s="50"/>
      <c r="BQ84" s="51"/>
      <c r="BR84" s="144"/>
      <c r="BS84" s="144"/>
      <c r="BT84" s="51">
        <v>0</v>
      </c>
      <c r="BU84" s="50"/>
      <c r="BV84" s="51"/>
      <c r="BW84" s="340"/>
    </row>
    <row r="85" spans="1:75" ht="12.75" customHeight="1" x14ac:dyDescent="0.2">
      <c r="A85" s="317"/>
      <c r="B85" s="317"/>
      <c r="C85" s="317"/>
      <c r="D85" s="340" t="s">
        <v>200</v>
      </c>
      <c r="E85" s="347"/>
      <c r="F85" s="371"/>
      <c r="G85" s="95">
        <v>0</v>
      </c>
      <c r="H85" s="94"/>
      <c r="I85" s="51"/>
      <c r="J85" s="144"/>
      <c r="K85" s="187"/>
      <c r="L85" s="95">
        <v>0</v>
      </c>
      <c r="M85" s="94"/>
      <c r="N85" s="51"/>
      <c r="O85" s="144"/>
      <c r="P85" s="187"/>
      <c r="Q85" s="95">
        <v>0</v>
      </c>
      <c r="R85" s="94"/>
      <c r="S85" s="51"/>
      <c r="T85" s="144"/>
      <c r="U85" s="187"/>
      <c r="V85" s="95">
        <v>0</v>
      </c>
      <c r="W85" s="94"/>
      <c r="X85" s="51"/>
      <c r="Y85" s="144"/>
      <c r="Z85" s="187"/>
      <c r="AA85" s="95">
        <v>0</v>
      </c>
      <c r="AB85" s="94"/>
      <c r="AC85" s="51"/>
      <c r="AD85" s="144"/>
      <c r="AE85" s="187"/>
      <c r="AF85" s="95">
        <v>0</v>
      </c>
      <c r="AG85" s="94"/>
      <c r="AH85" s="51"/>
      <c r="AI85" s="144"/>
      <c r="AJ85" s="187"/>
      <c r="AK85" s="95">
        <v>0</v>
      </c>
      <c r="AL85" s="94"/>
      <c r="AM85" s="51"/>
      <c r="AN85" s="144"/>
      <c r="AO85" s="187"/>
      <c r="AP85" s="95">
        <v>0</v>
      </c>
      <c r="AQ85" s="94"/>
      <c r="AR85" s="51"/>
      <c r="AS85" s="144"/>
      <c r="AT85" s="187"/>
      <c r="AU85" s="95">
        <v>0</v>
      </c>
      <c r="AV85" s="94"/>
      <c r="AW85" s="51"/>
      <c r="AX85" s="144"/>
      <c r="AY85" s="187"/>
      <c r="AZ85" s="95">
        <v>0</v>
      </c>
      <c r="BA85" s="94"/>
      <c r="BB85" s="51"/>
      <c r="BC85" s="144"/>
      <c r="BD85" s="187"/>
      <c r="BE85" s="95">
        <v>0</v>
      </c>
      <c r="BF85" s="94"/>
      <c r="BG85" s="51"/>
      <c r="BH85" s="144"/>
      <c r="BI85" s="187"/>
      <c r="BJ85" s="95">
        <v>0</v>
      </c>
      <c r="BK85" s="94"/>
      <c r="BL85" s="51"/>
      <c r="BM85" s="144"/>
      <c r="BN85" s="187"/>
      <c r="BO85" s="95">
        <v>0</v>
      </c>
      <c r="BP85" s="94"/>
      <c r="BQ85" s="51"/>
      <c r="BR85" s="144"/>
      <c r="BS85" s="187"/>
      <c r="BT85" s="95">
        <v>0</v>
      </c>
      <c r="BU85" s="94"/>
      <c r="BV85" s="51"/>
      <c r="BW85" s="340"/>
    </row>
    <row r="86" spans="1:75" ht="12.75" customHeight="1" x14ac:dyDescent="0.2">
      <c r="A86" s="317"/>
      <c r="B86" s="317"/>
      <c r="C86" s="317"/>
      <c r="D86" s="340"/>
      <c r="E86" s="347"/>
      <c r="F86" s="317"/>
      <c r="G86" s="51"/>
      <c r="H86" s="51"/>
      <c r="I86" s="51"/>
      <c r="J86" s="144"/>
      <c r="K86" s="51"/>
      <c r="L86" s="51"/>
      <c r="M86" s="51"/>
      <c r="N86" s="51"/>
      <c r="O86" s="144"/>
      <c r="P86" s="51"/>
      <c r="Q86" s="51"/>
      <c r="R86" s="51"/>
      <c r="S86" s="51"/>
      <c r="T86" s="144"/>
      <c r="U86" s="51"/>
      <c r="V86" s="51"/>
      <c r="W86" s="51"/>
      <c r="X86" s="51"/>
      <c r="Y86" s="144"/>
      <c r="Z86" s="51"/>
      <c r="AA86" s="51"/>
      <c r="AB86" s="51"/>
      <c r="AC86" s="51"/>
      <c r="AD86" s="144"/>
      <c r="AE86" s="51"/>
      <c r="AF86" s="51"/>
      <c r="AG86" s="51"/>
      <c r="AH86" s="51"/>
      <c r="AI86" s="144"/>
      <c r="AJ86" s="51"/>
      <c r="AK86" s="51"/>
      <c r="AL86" s="51"/>
      <c r="AM86" s="51"/>
      <c r="AN86" s="144"/>
      <c r="AO86" s="51"/>
      <c r="AP86" s="51"/>
      <c r="AQ86" s="51"/>
      <c r="AR86" s="51"/>
      <c r="AS86" s="144"/>
      <c r="AT86" s="51"/>
      <c r="AU86" s="51"/>
      <c r="AV86" s="51"/>
      <c r="AW86" s="51"/>
      <c r="AX86" s="144"/>
      <c r="AY86" s="51"/>
      <c r="AZ86" s="51"/>
      <c r="BA86" s="51"/>
      <c r="BB86" s="51"/>
      <c r="BC86" s="144"/>
      <c r="BD86" s="51"/>
      <c r="BE86" s="51"/>
      <c r="BF86" s="51"/>
      <c r="BG86" s="51"/>
      <c r="BH86" s="144"/>
      <c r="BI86" s="51"/>
      <c r="BJ86" s="51"/>
      <c r="BK86" s="51"/>
      <c r="BL86" s="51"/>
      <c r="BM86" s="144"/>
      <c r="BN86" s="51"/>
      <c r="BO86" s="51"/>
      <c r="BP86" s="51"/>
      <c r="BQ86" s="51"/>
      <c r="BR86" s="144"/>
      <c r="BS86" s="51"/>
      <c r="BT86" s="51"/>
      <c r="BU86" s="51"/>
      <c r="BV86" s="51"/>
      <c r="BW86" s="340"/>
    </row>
    <row r="87" spans="1:75" ht="12.75" customHeight="1" x14ac:dyDescent="0.2">
      <c r="A87" s="317"/>
      <c r="B87" s="317"/>
      <c r="C87" s="317"/>
      <c r="D87" s="340" t="s">
        <v>280</v>
      </c>
      <c r="E87" s="347"/>
      <c r="F87" s="317"/>
      <c r="G87" s="51">
        <v>0</v>
      </c>
      <c r="H87" s="51"/>
      <c r="I87" s="51"/>
      <c r="J87" s="144"/>
      <c r="K87" s="51"/>
      <c r="L87" s="51">
        <v>0</v>
      </c>
      <c r="M87" s="51"/>
      <c r="N87" s="51"/>
      <c r="O87" s="144"/>
      <c r="P87" s="51"/>
      <c r="Q87" s="51">
        <v>0</v>
      </c>
      <c r="R87" s="51"/>
      <c r="S87" s="51"/>
      <c r="T87" s="144"/>
      <c r="U87" s="51"/>
      <c r="V87" s="51">
        <v>0</v>
      </c>
      <c r="W87" s="51"/>
      <c r="X87" s="51"/>
      <c r="Y87" s="144"/>
      <c r="Z87" s="51"/>
      <c r="AA87" s="51">
        <v>0</v>
      </c>
      <c r="AB87" s="51"/>
      <c r="AC87" s="51"/>
      <c r="AD87" s="144"/>
      <c r="AE87" s="51"/>
      <c r="AF87" s="51">
        <v>0</v>
      </c>
      <c r="AG87" s="51"/>
      <c r="AH87" s="51"/>
      <c r="AI87" s="144"/>
      <c r="AJ87" s="51"/>
      <c r="AK87" s="51">
        <v>0</v>
      </c>
      <c r="AL87" s="51"/>
      <c r="AM87" s="51"/>
      <c r="AN87" s="144"/>
      <c r="AO87" s="51"/>
      <c r="AP87" s="51">
        <v>0</v>
      </c>
      <c r="AQ87" s="51"/>
      <c r="AR87" s="51"/>
      <c r="AS87" s="144"/>
      <c r="AT87" s="51"/>
      <c r="AU87" s="51">
        <v>0</v>
      </c>
      <c r="AV87" s="51"/>
      <c r="AW87" s="51"/>
      <c r="AX87" s="144"/>
      <c r="AY87" s="51"/>
      <c r="AZ87" s="51">
        <v>0</v>
      </c>
      <c r="BA87" s="51"/>
      <c r="BB87" s="51"/>
      <c r="BC87" s="144"/>
      <c r="BD87" s="51"/>
      <c r="BE87" s="51">
        <v>0</v>
      </c>
      <c r="BF87" s="51"/>
      <c r="BG87" s="51"/>
      <c r="BH87" s="144"/>
      <c r="BI87" s="51"/>
      <c r="BJ87" s="51">
        <v>0</v>
      </c>
      <c r="BK87" s="51"/>
      <c r="BL87" s="51"/>
      <c r="BM87" s="144"/>
      <c r="BN87" s="51"/>
      <c r="BO87" s="51">
        <v>0</v>
      </c>
      <c r="BP87" s="51"/>
      <c r="BQ87" s="51"/>
      <c r="BR87" s="144"/>
      <c r="BS87" s="51"/>
      <c r="BT87" s="51">
        <v>0</v>
      </c>
      <c r="BU87" s="51"/>
      <c r="BV87" s="51"/>
      <c r="BW87" s="340"/>
    </row>
    <row r="88" spans="1:75" ht="12.75" customHeight="1" x14ac:dyDescent="0.2">
      <c r="A88" s="317"/>
      <c r="B88" s="317"/>
      <c r="C88" s="317"/>
      <c r="D88" s="340" t="s">
        <v>183</v>
      </c>
      <c r="E88" s="347"/>
      <c r="F88" s="354"/>
      <c r="G88" s="430">
        <v>0</v>
      </c>
      <c r="H88" s="431"/>
      <c r="I88" s="51"/>
      <c r="J88" s="144"/>
      <c r="K88" s="432"/>
      <c r="L88" s="430">
        <v>0</v>
      </c>
      <c r="M88" s="431"/>
      <c r="N88" s="51"/>
      <c r="O88" s="144"/>
      <c r="P88" s="432"/>
      <c r="Q88" s="430">
        <v>0</v>
      </c>
      <c r="R88" s="431"/>
      <c r="S88" s="51"/>
      <c r="T88" s="144"/>
      <c r="U88" s="432"/>
      <c r="V88" s="430">
        <v>0</v>
      </c>
      <c r="W88" s="431"/>
      <c r="X88" s="51"/>
      <c r="Y88" s="144"/>
      <c r="Z88" s="432"/>
      <c r="AA88" s="430">
        <v>0</v>
      </c>
      <c r="AB88" s="431"/>
      <c r="AC88" s="51"/>
      <c r="AD88" s="144"/>
      <c r="AE88" s="432"/>
      <c r="AF88" s="430">
        <v>0</v>
      </c>
      <c r="AG88" s="431"/>
      <c r="AH88" s="51"/>
      <c r="AI88" s="144"/>
      <c r="AJ88" s="432"/>
      <c r="AK88" s="430">
        <v>0</v>
      </c>
      <c r="AL88" s="431"/>
      <c r="AM88" s="51"/>
      <c r="AN88" s="144"/>
      <c r="AO88" s="432"/>
      <c r="AP88" s="430">
        <v>0</v>
      </c>
      <c r="AQ88" s="431"/>
      <c r="AR88" s="51"/>
      <c r="AS88" s="144"/>
      <c r="AT88" s="432"/>
      <c r="AU88" s="430">
        <v>0</v>
      </c>
      <c r="AV88" s="431"/>
      <c r="AW88" s="51"/>
      <c r="AX88" s="144"/>
      <c r="AY88" s="432"/>
      <c r="AZ88" s="430">
        <v>0</v>
      </c>
      <c r="BA88" s="431"/>
      <c r="BB88" s="51"/>
      <c r="BC88" s="144"/>
      <c r="BD88" s="432"/>
      <c r="BE88" s="430">
        <v>0</v>
      </c>
      <c r="BF88" s="431"/>
      <c r="BG88" s="51"/>
      <c r="BH88" s="144"/>
      <c r="BI88" s="432"/>
      <c r="BJ88" s="430">
        <v>0</v>
      </c>
      <c r="BK88" s="431"/>
      <c r="BL88" s="51"/>
      <c r="BM88" s="144"/>
      <c r="BN88" s="432"/>
      <c r="BO88" s="430">
        <v>0</v>
      </c>
      <c r="BP88" s="431"/>
      <c r="BQ88" s="51"/>
      <c r="BR88" s="144"/>
      <c r="BS88" s="432"/>
      <c r="BT88" s="430">
        <v>0</v>
      </c>
      <c r="BU88" s="431"/>
      <c r="BV88" s="51"/>
      <c r="BW88" s="340"/>
    </row>
    <row r="89" spans="1:75" ht="12.75" customHeight="1" x14ac:dyDescent="0.2">
      <c r="A89" s="317"/>
      <c r="B89" s="317"/>
      <c r="C89" s="317"/>
      <c r="D89" s="340" t="s">
        <v>186</v>
      </c>
      <c r="E89" s="347"/>
      <c r="F89" s="347"/>
      <c r="G89" s="51">
        <v>0</v>
      </c>
      <c r="H89" s="50"/>
      <c r="I89" s="51"/>
      <c r="J89" s="144"/>
      <c r="K89" s="144"/>
      <c r="L89" s="51">
        <v>0</v>
      </c>
      <c r="M89" s="50"/>
      <c r="N89" s="51"/>
      <c r="O89" s="144"/>
      <c r="P89" s="144"/>
      <c r="Q89" s="51">
        <v>0</v>
      </c>
      <c r="R89" s="50"/>
      <c r="S89" s="51"/>
      <c r="T89" s="144"/>
      <c r="U89" s="144"/>
      <c r="V89" s="51">
        <v>0</v>
      </c>
      <c r="W89" s="50"/>
      <c r="X89" s="51"/>
      <c r="Y89" s="144"/>
      <c r="Z89" s="144"/>
      <c r="AA89" s="51">
        <v>0</v>
      </c>
      <c r="AB89" s="50"/>
      <c r="AC89" s="51"/>
      <c r="AD89" s="144"/>
      <c r="AE89" s="144"/>
      <c r="AF89" s="51">
        <v>0</v>
      </c>
      <c r="AG89" s="50"/>
      <c r="AH89" s="51"/>
      <c r="AI89" s="144"/>
      <c r="AJ89" s="144"/>
      <c r="AK89" s="51">
        <v>0</v>
      </c>
      <c r="AL89" s="50"/>
      <c r="AM89" s="51"/>
      <c r="AN89" s="144"/>
      <c r="AO89" s="144"/>
      <c r="AP89" s="51">
        <v>0</v>
      </c>
      <c r="AQ89" s="50"/>
      <c r="AR89" s="51"/>
      <c r="AS89" s="144"/>
      <c r="AT89" s="144"/>
      <c r="AU89" s="51">
        <v>0</v>
      </c>
      <c r="AV89" s="50"/>
      <c r="AW89" s="51"/>
      <c r="AX89" s="144"/>
      <c r="AY89" s="144"/>
      <c r="AZ89" s="51">
        <v>0</v>
      </c>
      <c r="BA89" s="50"/>
      <c r="BB89" s="51"/>
      <c r="BC89" s="144"/>
      <c r="BD89" s="144"/>
      <c r="BE89" s="51">
        <v>0</v>
      </c>
      <c r="BF89" s="50"/>
      <c r="BG89" s="51"/>
      <c r="BH89" s="144"/>
      <c r="BI89" s="144"/>
      <c r="BJ89" s="51">
        <v>0</v>
      </c>
      <c r="BK89" s="50"/>
      <c r="BL89" s="51"/>
      <c r="BM89" s="144"/>
      <c r="BN89" s="144"/>
      <c r="BO89" s="51">
        <v>0</v>
      </c>
      <c r="BP89" s="50"/>
      <c r="BQ89" s="51"/>
      <c r="BR89" s="144"/>
      <c r="BS89" s="144"/>
      <c r="BT89" s="51">
        <v>0</v>
      </c>
      <c r="BU89" s="50"/>
      <c r="BV89" s="51"/>
      <c r="BW89" s="340"/>
    </row>
    <row r="90" spans="1:75" ht="12.75" customHeight="1" x14ac:dyDescent="0.2">
      <c r="A90" s="317"/>
      <c r="B90" s="317"/>
      <c r="C90" s="317"/>
      <c r="D90" s="340" t="s">
        <v>200</v>
      </c>
      <c r="E90" s="347"/>
      <c r="F90" s="371"/>
      <c r="G90" s="95">
        <v>0</v>
      </c>
      <c r="H90" s="94"/>
      <c r="I90" s="51"/>
      <c r="J90" s="144"/>
      <c r="K90" s="187"/>
      <c r="L90" s="95">
        <v>0</v>
      </c>
      <c r="M90" s="94"/>
      <c r="N90" s="51"/>
      <c r="O90" s="144"/>
      <c r="P90" s="187"/>
      <c r="Q90" s="95">
        <v>0</v>
      </c>
      <c r="R90" s="94"/>
      <c r="S90" s="51"/>
      <c r="T90" s="144"/>
      <c r="U90" s="187"/>
      <c r="V90" s="95">
        <v>0</v>
      </c>
      <c r="W90" s="94"/>
      <c r="X90" s="51"/>
      <c r="Y90" s="144"/>
      <c r="Z90" s="187"/>
      <c r="AA90" s="95">
        <v>0</v>
      </c>
      <c r="AB90" s="94"/>
      <c r="AC90" s="51"/>
      <c r="AD90" s="144"/>
      <c r="AE90" s="187"/>
      <c r="AF90" s="95">
        <v>0</v>
      </c>
      <c r="AG90" s="94"/>
      <c r="AH90" s="51"/>
      <c r="AI90" s="144"/>
      <c r="AJ90" s="187"/>
      <c r="AK90" s="95">
        <v>0</v>
      </c>
      <c r="AL90" s="94"/>
      <c r="AM90" s="51"/>
      <c r="AN90" s="144"/>
      <c r="AO90" s="187"/>
      <c r="AP90" s="95">
        <v>0</v>
      </c>
      <c r="AQ90" s="94"/>
      <c r="AR90" s="51"/>
      <c r="AS90" s="144"/>
      <c r="AT90" s="187"/>
      <c r="AU90" s="95">
        <v>0</v>
      </c>
      <c r="AV90" s="94"/>
      <c r="AW90" s="51"/>
      <c r="AX90" s="144"/>
      <c r="AY90" s="187"/>
      <c r="AZ90" s="95">
        <v>0</v>
      </c>
      <c r="BA90" s="94"/>
      <c r="BB90" s="51"/>
      <c r="BC90" s="144"/>
      <c r="BD90" s="187"/>
      <c r="BE90" s="95">
        <v>0</v>
      </c>
      <c r="BF90" s="94"/>
      <c r="BG90" s="51"/>
      <c r="BH90" s="144"/>
      <c r="BI90" s="187"/>
      <c r="BJ90" s="95">
        <v>0</v>
      </c>
      <c r="BK90" s="94"/>
      <c r="BL90" s="51"/>
      <c r="BM90" s="144"/>
      <c r="BN90" s="187"/>
      <c r="BO90" s="95">
        <v>0</v>
      </c>
      <c r="BP90" s="94"/>
      <c r="BQ90" s="51"/>
      <c r="BR90" s="144"/>
      <c r="BS90" s="187"/>
      <c r="BT90" s="95">
        <v>0</v>
      </c>
      <c r="BU90" s="94"/>
      <c r="BV90" s="51"/>
      <c r="BW90" s="340"/>
    </row>
    <row r="91" spans="1:75" ht="12.75" customHeight="1" x14ac:dyDescent="0.2">
      <c r="A91" s="317"/>
      <c r="B91" s="317"/>
      <c r="C91" s="317"/>
      <c r="D91" s="340"/>
      <c r="E91" s="347"/>
      <c r="F91" s="317"/>
      <c r="G91" s="51"/>
      <c r="H91" s="51"/>
      <c r="I91" s="51"/>
      <c r="J91" s="144"/>
      <c r="K91" s="51"/>
      <c r="L91" s="51"/>
      <c r="M91" s="51"/>
      <c r="N91" s="51"/>
      <c r="O91" s="144"/>
      <c r="P91" s="51"/>
      <c r="Q91" s="51"/>
      <c r="R91" s="51"/>
      <c r="S91" s="51"/>
      <c r="T91" s="144"/>
      <c r="U91" s="51"/>
      <c r="V91" s="51"/>
      <c r="W91" s="51"/>
      <c r="X91" s="51"/>
      <c r="Y91" s="144"/>
      <c r="Z91" s="51"/>
      <c r="AA91" s="51"/>
      <c r="AB91" s="51"/>
      <c r="AC91" s="51"/>
      <c r="AD91" s="144"/>
      <c r="AE91" s="51"/>
      <c r="AF91" s="51"/>
      <c r="AG91" s="51"/>
      <c r="AH91" s="51"/>
      <c r="AI91" s="144"/>
      <c r="AJ91" s="51"/>
      <c r="AK91" s="51"/>
      <c r="AL91" s="51"/>
      <c r="AM91" s="51"/>
      <c r="AN91" s="144"/>
      <c r="AO91" s="51"/>
      <c r="AP91" s="51"/>
      <c r="AQ91" s="51"/>
      <c r="AR91" s="51"/>
      <c r="AS91" s="144"/>
      <c r="AT91" s="51"/>
      <c r="AU91" s="51"/>
      <c r="AV91" s="51"/>
      <c r="AW91" s="51"/>
      <c r="AX91" s="144"/>
      <c r="AY91" s="51"/>
      <c r="AZ91" s="51"/>
      <c r="BA91" s="51"/>
      <c r="BB91" s="51"/>
      <c r="BC91" s="144"/>
      <c r="BD91" s="51"/>
      <c r="BE91" s="51"/>
      <c r="BF91" s="51"/>
      <c r="BG91" s="51"/>
      <c r="BH91" s="144"/>
      <c r="BI91" s="51"/>
      <c r="BJ91" s="51"/>
      <c r="BK91" s="51"/>
      <c r="BL91" s="51"/>
      <c r="BM91" s="144"/>
      <c r="BN91" s="51"/>
      <c r="BO91" s="51"/>
      <c r="BP91" s="51"/>
      <c r="BQ91" s="51"/>
      <c r="BR91" s="144"/>
      <c r="BS91" s="51"/>
      <c r="BT91" s="51"/>
      <c r="BU91" s="51"/>
      <c r="BV91" s="51"/>
      <c r="BW91" s="340"/>
    </row>
    <row r="92" spans="1:75" ht="12.75" customHeight="1" x14ac:dyDescent="0.2">
      <c r="A92" s="317"/>
      <c r="B92" s="317"/>
      <c r="C92" s="317"/>
      <c r="D92" s="340" t="s">
        <v>281</v>
      </c>
      <c r="E92" s="347"/>
      <c r="F92" s="317"/>
      <c r="G92" s="51">
        <v>0</v>
      </c>
      <c r="H92" s="51"/>
      <c r="I92" s="51"/>
      <c r="J92" s="144"/>
      <c r="K92" s="51"/>
      <c r="L92" s="51">
        <v>0</v>
      </c>
      <c r="M92" s="51"/>
      <c r="N92" s="51"/>
      <c r="O92" s="144"/>
      <c r="P92" s="51"/>
      <c r="Q92" s="51">
        <v>0</v>
      </c>
      <c r="R92" s="51"/>
      <c r="S92" s="51"/>
      <c r="T92" s="144"/>
      <c r="U92" s="51"/>
      <c r="V92" s="51">
        <v>0</v>
      </c>
      <c r="W92" s="51"/>
      <c r="X92" s="51"/>
      <c r="Y92" s="144"/>
      <c r="Z92" s="51"/>
      <c r="AA92" s="51">
        <v>0</v>
      </c>
      <c r="AB92" s="51"/>
      <c r="AC92" s="51"/>
      <c r="AD92" s="144"/>
      <c r="AE92" s="51"/>
      <c r="AF92" s="51">
        <v>0</v>
      </c>
      <c r="AG92" s="51"/>
      <c r="AH92" s="51"/>
      <c r="AI92" s="144"/>
      <c r="AJ92" s="51"/>
      <c r="AK92" s="51">
        <v>0</v>
      </c>
      <c r="AL92" s="51"/>
      <c r="AM92" s="51"/>
      <c r="AN92" s="144"/>
      <c r="AO92" s="51"/>
      <c r="AP92" s="51">
        <v>0</v>
      </c>
      <c r="AQ92" s="51"/>
      <c r="AR92" s="51"/>
      <c r="AS92" s="144"/>
      <c r="AT92" s="51"/>
      <c r="AU92" s="51">
        <v>0</v>
      </c>
      <c r="AV92" s="51"/>
      <c r="AW92" s="51"/>
      <c r="AX92" s="144"/>
      <c r="AY92" s="51"/>
      <c r="AZ92" s="51">
        <v>0</v>
      </c>
      <c r="BA92" s="51"/>
      <c r="BB92" s="51"/>
      <c r="BC92" s="144"/>
      <c r="BD92" s="51"/>
      <c r="BE92" s="51">
        <v>0</v>
      </c>
      <c r="BF92" s="51"/>
      <c r="BG92" s="51"/>
      <c r="BH92" s="144"/>
      <c r="BI92" s="51"/>
      <c r="BJ92" s="51">
        <v>0</v>
      </c>
      <c r="BK92" s="51"/>
      <c r="BL92" s="51"/>
      <c r="BM92" s="144"/>
      <c r="BN92" s="51"/>
      <c r="BO92" s="51">
        <v>0</v>
      </c>
      <c r="BP92" s="51"/>
      <c r="BQ92" s="51"/>
      <c r="BR92" s="144"/>
      <c r="BS92" s="51"/>
      <c r="BT92" s="51">
        <v>0</v>
      </c>
      <c r="BU92" s="51"/>
      <c r="BV92" s="51"/>
      <c r="BW92" s="340"/>
    </row>
    <row r="93" spans="1:75" ht="12.75" customHeight="1" x14ac:dyDescent="0.2">
      <c r="A93" s="317"/>
      <c r="B93" s="317"/>
      <c r="C93" s="317"/>
      <c r="D93" s="340" t="s">
        <v>183</v>
      </c>
      <c r="E93" s="347"/>
      <c r="F93" s="354"/>
      <c r="G93" s="430">
        <v>0</v>
      </c>
      <c r="H93" s="431"/>
      <c r="I93" s="51"/>
      <c r="J93" s="144"/>
      <c r="K93" s="432"/>
      <c r="L93" s="430">
        <v>0</v>
      </c>
      <c r="M93" s="431"/>
      <c r="N93" s="51"/>
      <c r="O93" s="144"/>
      <c r="P93" s="432"/>
      <c r="Q93" s="430">
        <v>0</v>
      </c>
      <c r="R93" s="431"/>
      <c r="S93" s="51"/>
      <c r="T93" s="144"/>
      <c r="U93" s="432"/>
      <c r="V93" s="430">
        <v>0</v>
      </c>
      <c r="W93" s="431"/>
      <c r="X93" s="51"/>
      <c r="Y93" s="144"/>
      <c r="Z93" s="432"/>
      <c r="AA93" s="430">
        <v>0</v>
      </c>
      <c r="AB93" s="431"/>
      <c r="AC93" s="51"/>
      <c r="AD93" s="144"/>
      <c r="AE93" s="432"/>
      <c r="AF93" s="430">
        <v>0</v>
      </c>
      <c r="AG93" s="431"/>
      <c r="AH93" s="51"/>
      <c r="AI93" s="144"/>
      <c r="AJ93" s="432"/>
      <c r="AK93" s="430">
        <v>0</v>
      </c>
      <c r="AL93" s="431"/>
      <c r="AM93" s="51"/>
      <c r="AN93" s="144"/>
      <c r="AO93" s="432"/>
      <c r="AP93" s="430">
        <v>0</v>
      </c>
      <c r="AQ93" s="431"/>
      <c r="AR93" s="51"/>
      <c r="AS93" s="144"/>
      <c r="AT93" s="432"/>
      <c r="AU93" s="430">
        <v>0</v>
      </c>
      <c r="AV93" s="431"/>
      <c r="AW93" s="51"/>
      <c r="AX93" s="144"/>
      <c r="AY93" s="432"/>
      <c r="AZ93" s="430">
        <v>0</v>
      </c>
      <c r="BA93" s="431"/>
      <c r="BB93" s="51"/>
      <c r="BC93" s="144"/>
      <c r="BD93" s="432"/>
      <c r="BE93" s="430">
        <v>0</v>
      </c>
      <c r="BF93" s="431"/>
      <c r="BG93" s="51"/>
      <c r="BH93" s="144"/>
      <c r="BI93" s="432"/>
      <c r="BJ93" s="430">
        <v>0</v>
      </c>
      <c r="BK93" s="431"/>
      <c r="BL93" s="51"/>
      <c r="BM93" s="144"/>
      <c r="BN93" s="432"/>
      <c r="BO93" s="430">
        <v>0</v>
      </c>
      <c r="BP93" s="431"/>
      <c r="BQ93" s="51"/>
      <c r="BR93" s="144"/>
      <c r="BS93" s="432"/>
      <c r="BT93" s="430">
        <v>0</v>
      </c>
      <c r="BU93" s="431"/>
      <c r="BV93" s="51"/>
      <c r="BW93" s="340"/>
    </row>
    <row r="94" spans="1:75" ht="12.75" customHeight="1" x14ac:dyDescent="0.2">
      <c r="A94" s="317"/>
      <c r="B94" s="317"/>
      <c r="C94" s="317"/>
      <c r="D94" s="340" t="s">
        <v>186</v>
      </c>
      <c r="E94" s="347"/>
      <c r="F94" s="347"/>
      <c r="G94" s="51">
        <v>0</v>
      </c>
      <c r="H94" s="50"/>
      <c r="I94" s="51"/>
      <c r="J94" s="144"/>
      <c r="K94" s="144"/>
      <c r="L94" s="51">
        <v>0</v>
      </c>
      <c r="M94" s="50"/>
      <c r="N94" s="51"/>
      <c r="O94" s="144"/>
      <c r="P94" s="144"/>
      <c r="Q94" s="51">
        <v>0</v>
      </c>
      <c r="R94" s="50"/>
      <c r="S94" s="51"/>
      <c r="T94" s="144"/>
      <c r="U94" s="144"/>
      <c r="V94" s="51">
        <v>0</v>
      </c>
      <c r="W94" s="50"/>
      <c r="X94" s="51"/>
      <c r="Y94" s="144"/>
      <c r="Z94" s="144"/>
      <c r="AA94" s="51">
        <v>0</v>
      </c>
      <c r="AB94" s="50"/>
      <c r="AC94" s="51"/>
      <c r="AD94" s="144"/>
      <c r="AE94" s="144"/>
      <c r="AF94" s="51">
        <v>0</v>
      </c>
      <c r="AG94" s="50"/>
      <c r="AH94" s="51"/>
      <c r="AI94" s="144"/>
      <c r="AJ94" s="144"/>
      <c r="AK94" s="51">
        <v>0</v>
      </c>
      <c r="AL94" s="50"/>
      <c r="AM94" s="51"/>
      <c r="AN94" s="144"/>
      <c r="AO94" s="144"/>
      <c r="AP94" s="51">
        <v>0</v>
      </c>
      <c r="AQ94" s="50"/>
      <c r="AR94" s="51"/>
      <c r="AS94" s="144"/>
      <c r="AT94" s="144"/>
      <c r="AU94" s="51">
        <v>0</v>
      </c>
      <c r="AV94" s="50"/>
      <c r="AW94" s="51"/>
      <c r="AX94" s="144"/>
      <c r="AY94" s="144"/>
      <c r="AZ94" s="51">
        <v>0</v>
      </c>
      <c r="BA94" s="50"/>
      <c r="BB94" s="51"/>
      <c r="BC94" s="144"/>
      <c r="BD94" s="144"/>
      <c r="BE94" s="51">
        <v>0</v>
      </c>
      <c r="BF94" s="50"/>
      <c r="BG94" s="51"/>
      <c r="BH94" s="144"/>
      <c r="BI94" s="144"/>
      <c r="BJ94" s="51">
        <v>0</v>
      </c>
      <c r="BK94" s="50"/>
      <c r="BL94" s="51"/>
      <c r="BM94" s="144"/>
      <c r="BN94" s="144"/>
      <c r="BO94" s="51">
        <v>0</v>
      </c>
      <c r="BP94" s="50"/>
      <c r="BQ94" s="51"/>
      <c r="BR94" s="144"/>
      <c r="BS94" s="144"/>
      <c r="BT94" s="51">
        <v>0</v>
      </c>
      <c r="BU94" s="50"/>
      <c r="BV94" s="51"/>
      <c r="BW94" s="340"/>
    </row>
    <row r="95" spans="1:75" ht="12.75" customHeight="1" x14ac:dyDescent="0.2">
      <c r="A95" s="317"/>
      <c r="B95" s="317"/>
      <c r="C95" s="317"/>
      <c r="D95" s="340" t="s">
        <v>200</v>
      </c>
      <c r="E95" s="347"/>
      <c r="F95" s="371"/>
      <c r="G95" s="95">
        <v>0</v>
      </c>
      <c r="H95" s="94"/>
      <c r="I95" s="51"/>
      <c r="J95" s="144"/>
      <c r="K95" s="187"/>
      <c r="L95" s="95">
        <v>0</v>
      </c>
      <c r="M95" s="94"/>
      <c r="N95" s="51"/>
      <c r="O95" s="144"/>
      <c r="P95" s="187"/>
      <c r="Q95" s="95">
        <v>0</v>
      </c>
      <c r="R95" s="94"/>
      <c r="S95" s="51"/>
      <c r="T95" s="144"/>
      <c r="U95" s="187"/>
      <c r="V95" s="95">
        <v>0</v>
      </c>
      <c r="W95" s="94"/>
      <c r="X95" s="51"/>
      <c r="Y95" s="144"/>
      <c r="Z95" s="187"/>
      <c r="AA95" s="95">
        <v>0</v>
      </c>
      <c r="AB95" s="94"/>
      <c r="AC95" s="51"/>
      <c r="AD95" s="144"/>
      <c r="AE95" s="187"/>
      <c r="AF95" s="95">
        <v>0</v>
      </c>
      <c r="AG95" s="94"/>
      <c r="AH95" s="51"/>
      <c r="AI95" s="144"/>
      <c r="AJ95" s="187"/>
      <c r="AK95" s="95">
        <v>0</v>
      </c>
      <c r="AL95" s="94"/>
      <c r="AM95" s="51"/>
      <c r="AN95" s="144"/>
      <c r="AO95" s="187"/>
      <c r="AP95" s="95">
        <v>0</v>
      </c>
      <c r="AQ95" s="94"/>
      <c r="AR95" s="51"/>
      <c r="AS95" s="144"/>
      <c r="AT95" s="187"/>
      <c r="AU95" s="95">
        <v>0</v>
      </c>
      <c r="AV95" s="94"/>
      <c r="AW95" s="51"/>
      <c r="AX95" s="144"/>
      <c r="AY95" s="187"/>
      <c r="AZ95" s="95">
        <v>0</v>
      </c>
      <c r="BA95" s="94"/>
      <c r="BB95" s="51"/>
      <c r="BC95" s="144"/>
      <c r="BD95" s="187"/>
      <c r="BE95" s="95">
        <v>0</v>
      </c>
      <c r="BF95" s="94"/>
      <c r="BG95" s="51"/>
      <c r="BH95" s="144"/>
      <c r="BI95" s="187"/>
      <c r="BJ95" s="95">
        <v>0</v>
      </c>
      <c r="BK95" s="94"/>
      <c r="BL95" s="51"/>
      <c r="BM95" s="144"/>
      <c r="BN95" s="187"/>
      <c r="BO95" s="95">
        <v>0</v>
      </c>
      <c r="BP95" s="94"/>
      <c r="BQ95" s="51"/>
      <c r="BR95" s="144"/>
      <c r="BS95" s="187"/>
      <c r="BT95" s="95">
        <v>0</v>
      </c>
      <c r="BU95" s="94"/>
      <c r="BV95" s="51"/>
      <c r="BW95" s="340"/>
    </row>
    <row r="96" spans="1:75" ht="12.75" customHeight="1" x14ac:dyDescent="0.2">
      <c r="A96" s="317"/>
      <c r="B96" s="317"/>
      <c r="C96" s="317"/>
      <c r="D96" s="340"/>
      <c r="E96" s="347"/>
      <c r="F96" s="317"/>
      <c r="G96" s="51"/>
      <c r="H96" s="51"/>
      <c r="I96" s="51"/>
      <c r="J96" s="144"/>
      <c r="K96" s="51"/>
      <c r="L96" s="51"/>
      <c r="M96" s="51"/>
      <c r="N96" s="51"/>
      <c r="O96" s="144"/>
      <c r="P96" s="51"/>
      <c r="Q96" s="51"/>
      <c r="R96" s="51"/>
      <c r="S96" s="51"/>
      <c r="T96" s="144"/>
      <c r="U96" s="51"/>
      <c r="V96" s="51"/>
      <c r="W96" s="51"/>
      <c r="X96" s="51"/>
      <c r="Y96" s="144"/>
      <c r="Z96" s="51"/>
      <c r="AA96" s="51"/>
      <c r="AB96" s="51"/>
      <c r="AC96" s="51"/>
      <c r="AD96" s="144"/>
      <c r="AE96" s="51"/>
      <c r="AF96" s="51"/>
      <c r="AG96" s="51"/>
      <c r="AH96" s="51"/>
      <c r="AI96" s="144"/>
      <c r="AJ96" s="51"/>
      <c r="AK96" s="51"/>
      <c r="AL96" s="51"/>
      <c r="AM96" s="51"/>
      <c r="AN96" s="144"/>
      <c r="AO96" s="51"/>
      <c r="AP96" s="51"/>
      <c r="AQ96" s="51"/>
      <c r="AR96" s="51"/>
      <c r="AS96" s="144"/>
      <c r="AT96" s="51"/>
      <c r="AU96" s="51"/>
      <c r="AV96" s="51"/>
      <c r="AW96" s="51"/>
      <c r="AX96" s="144"/>
      <c r="AY96" s="51"/>
      <c r="AZ96" s="51"/>
      <c r="BA96" s="51"/>
      <c r="BB96" s="51"/>
      <c r="BC96" s="144"/>
      <c r="BD96" s="51"/>
      <c r="BE96" s="51"/>
      <c r="BF96" s="51"/>
      <c r="BG96" s="51"/>
      <c r="BH96" s="144"/>
      <c r="BI96" s="51"/>
      <c r="BJ96" s="51"/>
      <c r="BK96" s="51"/>
      <c r="BL96" s="51"/>
      <c r="BM96" s="144"/>
      <c r="BN96" s="51"/>
      <c r="BO96" s="51"/>
      <c r="BP96" s="51"/>
      <c r="BQ96" s="51"/>
      <c r="BR96" s="144"/>
      <c r="BS96" s="51"/>
      <c r="BT96" s="51"/>
      <c r="BU96" s="51"/>
      <c r="BV96" s="51"/>
      <c r="BW96" s="340"/>
    </row>
    <row r="97" spans="1:75" ht="12.75" customHeight="1" x14ac:dyDescent="0.2">
      <c r="A97" s="317"/>
      <c r="B97" s="317"/>
      <c r="C97" s="317"/>
      <c r="D97" s="340" t="s">
        <v>282</v>
      </c>
      <c r="E97" s="347"/>
      <c r="F97" s="317"/>
      <c r="G97" s="51">
        <v>0</v>
      </c>
      <c r="H97" s="51"/>
      <c r="I97" s="51"/>
      <c r="J97" s="144"/>
      <c r="K97" s="51"/>
      <c r="L97" s="51">
        <v>0</v>
      </c>
      <c r="M97" s="51"/>
      <c r="N97" s="51"/>
      <c r="O97" s="144"/>
      <c r="P97" s="51"/>
      <c r="Q97" s="51">
        <v>0</v>
      </c>
      <c r="R97" s="51"/>
      <c r="S97" s="51"/>
      <c r="T97" s="144"/>
      <c r="U97" s="51"/>
      <c r="V97" s="51">
        <v>0</v>
      </c>
      <c r="W97" s="51"/>
      <c r="X97" s="51"/>
      <c r="Y97" s="144"/>
      <c r="Z97" s="51"/>
      <c r="AA97" s="51">
        <v>0</v>
      </c>
      <c r="AB97" s="51"/>
      <c r="AC97" s="51"/>
      <c r="AD97" s="144"/>
      <c r="AE97" s="51"/>
      <c r="AF97" s="51">
        <v>0</v>
      </c>
      <c r="AG97" s="51"/>
      <c r="AH97" s="51"/>
      <c r="AI97" s="144"/>
      <c r="AJ97" s="51"/>
      <c r="AK97" s="51">
        <v>0</v>
      </c>
      <c r="AL97" s="51"/>
      <c r="AM97" s="51"/>
      <c r="AN97" s="144"/>
      <c r="AO97" s="51"/>
      <c r="AP97" s="51">
        <v>0</v>
      </c>
      <c r="AQ97" s="51"/>
      <c r="AR97" s="51"/>
      <c r="AS97" s="144"/>
      <c r="AT97" s="51"/>
      <c r="AU97" s="51">
        <v>0</v>
      </c>
      <c r="AV97" s="51"/>
      <c r="AW97" s="51"/>
      <c r="AX97" s="144"/>
      <c r="AY97" s="51"/>
      <c r="AZ97" s="51">
        <v>0</v>
      </c>
      <c r="BA97" s="51"/>
      <c r="BB97" s="51"/>
      <c r="BC97" s="144"/>
      <c r="BD97" s="51"/>
      <c r="BE97" s="51">
        <v>0</v>
      </c>
      <c r="BF97" s="51"/>
      <c r="BG97" s="51"/>
      <c r="BH97" s="144"/>
      <c r="BI97" s="51"/>
      <c r="BJ97" s="51">
        <v>0</v>
      </c>
      <c r="BK97" s="51"/>
      <c r="BL97" s="51"/>
      <c r="BM97" s="144"/>
      <c r="BN97" s="51"/>
      <c r="BO97" s="51">
        <v>0</v>
      </c>
      <c r="BP97" s="51"/>
      <c r="BQ97" s="51"/>
      <c r="BR97" s="144"/>
      <c r="BS97" s="51"/>
      <c r="BT97" s="51">
        <v>0</v>
      </c>
      <c r="BU97" s="51"/>
      <c r="BV97" s="51"/>
      <c r="BW97" s="340"/>
    </row>
    <row r="98" spans="1:75" ht="12.75" customHeight="1" x14ac:dyDescent="0.2">
      <c r="A98" s="317"/>
      <c r="B98" s="317"/>
      <c r="C98" s="317"/>
      <c r="D98" s="340" t="s">
        <v>183</v>
      </c>
      <c r="E98" s="347"/>
      <c r="F98" s="354"/>
      <c r="G98" s="430">
        <v>0</v>
      </c>
      <c r="H98" s="431"/>
      <c r="I98" s="51"/>
      <c r="J98" s="144"/>
      <c r="K98" s="432"/>
      <c r="L98" s="430">
        <v>0</v>
      </c>
      <c r="M98" s="431"/>
      <c r="N98" s="51"/>
      <c r="O98" s="144"/>
      <c r="P98" s="432"/>
      <c r="Q98" s="430">
        <v>0</v>
      </c>
      <c r="R98" s="431"/>
      <c r="S98" s="51"/>
      <c r="T98" s="144"/>
      <c r="U98" s="432"/>
      <c r="V98" s="430">
        <v>0</v>
      </c>
      <c r="W98" s="431"/>
      <c r="X98" s="51"/>
      <c r="Y98" s="144"/>
      <c r="Z98" s="432"/>
      <c r="AA98" s="430">
        <v>0</v>
      </c>
      <c r="AB98" s="431"/>
      <c r="AC98" s="51"/>
      <c r="AD98" s="144"/>
      <c r="AE98" s="432"/>
      <c r="AF98" s="430">
        <v>0</v>
      </c>
      <c r="AG98" s="431"/>
      <c r="AH98" s="51"/>
      <c r="AI98" s="144"/>
      <c r="AJ98" s="432"/>
      <c r="AK98" s="430">
        <v>0</v>
      </c>
      <c r="AL98" s="431"/>
      <c r="AM98" s="51"/>
      <c r="AN98" s="144"/>
      <c r="AO98" s="432"/>
      <c r="AP98" s="430">
        <v>0</v>
      </c>
      <c r="AQ98" s="431"/>
      <c r="AR98" s="51"/>
      <c r="AS98" s="144"/>
      <c r="AT98" s="432"/>
      <c r="AU98" s="430">
        <v>0</v>
      </c>
      <c r="AV98" s="431"/>
      <c r="AW98" s="51"/>
      <c r="AX98" s="144"/>
      <c r="AY98" s="432"/>
      <c r="AZ98" s="430">
        <v>0</v>
      </c>
      <c r="BA98" s="431"/>
      <c r="BB98" s="51"/>
      <c r="BC98" s="144"/>
      <c r="BD98" s="432"/>
      <c r="BE98" s="430">
        <v>0</v>
      </c>
      <c r="BF98" s="431"/>
      <c r="BG98" s="51"/>
      <c r="BH98" s="144"/>
      <c r="BI98" s="432"/>
      <c r="BJ98" s="430">
        <v>0</v>
      </c>
      <c r="BK98" s="431"/>
      <c r="BL98" s="51"/>
      <c r="BM98" s="144"/>
      <c r="BN98" s="432"/>
      <c r="BO98" s="430">
        <v>0</v>
      </c>
      <c r="BP98" s="431"/>
      <c r="BQ98" s="51"/>
      <c r="BR98" s="144"/>
      <c r="BS98" s="432"/>
      <c r="BT98" s="430">
        <v>0</v>
      </c>
      <c r="BU98" s="431"/>
      <c r="BV98" s="51"/>
      <c r="BW98" s="340"/>
    </row>
    <row r="99" spans="1:75" ht="12.75" customHeight="1" x14ac:dyDescent="0.2">
      <c r="A99" s="317"/>
      <c r="B99" s="317"/>
      <c r="C99" s="317"/>
      <c r="D99" s="340" t="s">
        <v>186</v>
      </c>
      <c r="E99" s="347"/>
      <c r="F99" s="371"/>
      <c r="G99" s="95">
        <v>0</v>
      </c>
      <c r="H99" s="94"/>
      <c r="I99" s="51"/>
      <c r="J99" s="144"/>
      <c r="K99" s="187"/>
      <c r="L99" s="95">
        <v>0</v>
      </c>
      <c r="M99" s="94"/>
      <c r="N99" s="51"/>
      <c r="O99" s="144"/>
      <c r="P99" s="187"/>
      <c r="Q99" s="95">
        <v>0</v>
      </c>
      <c r="R99" s="94"/>
      <c r="S99" s="51"/>
      <c r="T99" s="144"/>
      <c r="U99" s="187"/>
      <c r="V99" s="95">
        <v>0</v>
      </c>
      <c r="W99" s="94"/>
      <c r="X99" s="51"/>
      <c r="Y99" s="144"/>
      <c r="Z99" s="187"/>
      <c r="AA99" s="95">
        <v>0</v>
      </c>
      <c r="AB99" s="94"/>
      <c r="AC99" s="51"/>
      <c r="AD99" s="144"/>
      <c r="AE99" s="187"/>
      <c r="AF99" s="95">
        <v>0</v>
      </c>
      <c r="AG99" s="94"/>
      <c r="AH99" s="51"/>
      <c r="AI99" s="144"/>
      <c r="AJ99" s="187"/>
      <c r="AK99" s="95">
        <v>0</v>
      </c>
      <c r="AL99" s="94"/>
      <c r="AM99" s="51"/>
      <c r="AN99" s="144"/>
      <c r="AO99" s="187"/>
      <c r="AP99" s="95">
        <v>0</v>
      </c>
      <c r="AQ99" s="94"/>
      <c r="AR99" s="51"/>
      <c r="AS99" s="144"/>
      <c r="AT99" s="187"/>
      <c r="AU99" s="95">
        <v>0</v>
      </c>
      <c r="AV99" s="94"/>
      <c r="AW99" s="51"/>
      <c r="AX99" s="144"/>
      <c r="AY99" s="187"/>
      <c r="AZ99" s="95">
        <v>0</v>
      </c>
      <c r="BA99" s="94"/>
      <c r="BB99" s="51"/>
      <c r="BC99" s="144"/>
      <c r="BD99" s="187"/>
      <c r="BE99" s="95">
        <v>0</v>
      </c>
      <c r="BF99" s="94"/>
      <c r="BG99" s="51"/>
      <c r="BH99" s="144"/>
      <c r="BI99" s="187"/>
      <c r="BJ99" s="95">
        <v>0</v>
      </c>
      <c r="BK99" s="94"/>
      <c r="BL99" s="51"/>
      <c r="BM99" s="144"/>
      <c r="BN99" s="187"/>
      <c r="BO99" s="95">
        <v>0</v>
      </c>
      <c r="BP99" s="94"/>
      <c r="BQ99" s="51"/>
      <c r="BR99" s="144"/>
      <c r="BS99" s="187"/>
      <c r="BT99" s="95">
        <v>0</v>
      </c>
      <c r="BU99" s="94"/>
      <c r="BV99" s="51"/>
      <c r="BW99" s="340"/>
    </row>
    <row r="100" spans="1:75" x14ac:dyDescent="0.2">
      <c r="A100" s="317"/>
      <c r="B100" s="317"/>
      <c r="C100" s="317"/>
      <c r="D100" s="340"/>
      <c r="E100" s="317"/>
      <c r="F100" s="317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721"/>
      <c r="BW100" s="340"/>
    </row>
    <row r="101" spans="1:75" ht="6" customHeight="1" x14ac:dyDescent="0.2">
      <c r="A101" s="317"/>
      <c r="B101" s="317"/>
      <c r="C101" s="317"/>
      <c r="D101" s="474"/>
      <c r="E101" s="331"/>
      <c r="F101" s="331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3"/>
      <c r="BW101" s="340"/>
    </row>
    <row r="102" spans="1:75" x14ac:dyDescent="0.2">
      <c r="A102" s="317"/>
      <c r="B102" s="317"/>
      <c r="C102" s="317"/>
      <c r="D102" s="317"/>
      <c r="E102" s="317"/>
      <c r="F102" s="317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</row>
    <row r="103" spans="1:75" x14ac:dyDescent="0.2">
      <c r="A103" s="317"/>
      <c r="B103" s="317"/>
      <c r="C103" s="317"/>
      <c r="D103" s="481"/>
      <c r="E103" s="481"/>
      <c r="F103" s="48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</row>
    <row r="104" spans="1:75" x14ac:dyDescent="0.2">
      <c r="A104" s="317"/>
      <c r="B104" s="317"/>
      <c r="C104" s="317"/>
      <c r="D104" s="317"/>
      <c r="E104" s="317"/>
      <c r="F104" s="317"/>
      <c r="G104" s="317"/>
      <c r="H104" s="317"/>
      <c r="I104" s="317"/>
      <c r="J104" s="317"/>
      <c r="K104" s="317"/>
      <c r="L104" s="317"/>
      <c r="M104" s="317"/>
      <c r="N104" s="317"/>
      <c r="O104" s="317"/>
      <c r="P104" s="317"/>
      <c r="Q104" s="317"/>
      <c r="R104" s="317"/>
      <c r="S104" s="317"/>
      <c r="T104" s="317"/>
      <c r="U104" s="317"/>
      <c r="V104" s="317"/>
      <c r="W104" s="317"/>
      <c r="X104" s="317"/>
      <c r="Y104" s="317"/>
      <c r="Z104" s="317"/>
      <c r="AA104" s="317"/>
      <c r="AB104" s="317"/>
      <c r="AC104" s="317"/>
      <c r="AD104" s="317"/>
      <c r="AE104" s="317"/>
      <c r="AF104" s="317"/>
      <c r="AG104" s="317"/>
      <c r="AH104" s="317"/>
      <c r="AI104" s="317"/>
      <c r="AJ104" s="317"/>
      <c r="AK104" s="317"/>
      <c r="AL104" s="317"/>
      <c r="AM104" s="317"/>
      <c r="AN104" s="317"/>
      <c r="AO104" s="317"/>
      <c r="AP104" s="317"/>
      <c r="AQ104" s="317"/>
      <c r="AR104" s="317"/>
      <c r="AS104" s="317"/>
      <c r="AT104" s="317"/>
      <c r="AU104" s="317"/>
      <c r="AV104" s="317"/>
      <c r="AW104" s="317"/>
      <c r="AX104" s="317"/>
      <c r="AY104" s="317"/>
      <c r="AZ104" s="317"/>
      <c r="BA104" s="317"/>
      <c r="BB104" s="317"/>
      <c r="BC104" s="317"/>
      <c r="BD104" s="317"/>
      <c r="BE104" s="317"/>
      <c r="BF104" s="317"/>
      <c r="BG104" s="317"/>
      <c r="BH104" s="317"/>
      <c r="BI104" s="317"/>
      <c r="BJ104" s="317"/>
      <c r="BK104" s="317"/>
      <c r="BL104" s="317"/>
      <c r="BM104" s="317"/>
      <c r="BN104" s="317"/>
      <c r="BO104" s="317"/>
      <c r="BP104" s="317"/>
      <c r="BQ104" s="317"/>
      <c r="BR104" s="317"/>
      <c r="BS104" s="317"/>
      <c r="BT104" s="317"/>
      <c r="BU104" s="317"/>
      <c r="BV104" s="317"/>
    </row>
    <row r="105" spans="1:75" ht="13.5" customHeight="1" x14ac:dyDescent="0.2"/>
    <row r="106" spans="1:75" hidden="1" x14ac:dyDescent="0.2">
      <c r="L106" s="315">
        <v>46626420</v>
      </c>
      <c r="M106" s="315">
        <v>0</v>
      </c>
      <c r="N106" s="315">
        <v>0</v>
      </c>
      <c r="O106" s="315">
        <v>0</v>
      </c>
      <c r="P106" s="315">
        <v>0</v>
      </c>
      <c r="Q106" s="315">
        <v>0</v>
      </c>
      <c r="R106" s="315">
        <v>0</v>
      </c>
      <c r="S106" s="315">
        <v>0</v>
      </c>
      <c r="T106" s="315">
        <v>0</v>
      </c>
      <c r="U106" s="315">
        <v>0</v>
      </c>
      <c r="V106" s="315">
        <v>-14088400</v>
      </c>
      <c r="W106" s="315">
        <v>0</v>
      </c>
      <c r="X106" s="315">
        <v>0</v>
      </c>
      <c r="Y106" s="315">
        <v>0</v>
      </c>
      <c r="Z106" s="315">
        <v>0</v>
      </c>
      <c r="AA106" s="315">
        <v>0</v>
      </c>
      <c r="AB106" s="315">
        <v>0</v>
      </c>
      <c r="AC106" s="315">
        <v>0</v>
      </c>
      <c r="AD106" s="315">
        <v>0</v>
      </c>
      <c r="AE106" s="315">
        <v>0</v>
      </c>
      <c r="AF106" s="315">
        <v>0</v>
      </c>
      <c r="AG106" s="315">
        <v>0</v>
      </c>
      <c r="AH106" s="315">
        <v>0</v>
      </c>
      <c r="AI106" s="315">
        <v>0</v>
      </c>
      <c r="AJ106" s="315">
        <v>0</v>
      </c>
      <c r="AK106" s="315">
        <v>6790681</v>
      </c>
      <c r="AL106" s="315">
        <v>0</v>
      </c>
      <c r="AM106" s="315">
        <v>0</v>
      </c>
      <c r="AN106" s="315">
        <v>0</v>
      </c>
      <c r="AO106" s="315">
        <v>0</v>
      </c>
      <c r="AP106" s="315">
        <v>0</v>
      </c>
      <c r="AQ106" s="315">
        <v>0</v>
      </c>
      <c r="AR106" s="315">
        <v>0</v>
      </c>
      <c r="AS106" s="315">
        <v>0</v>
      </c>
      <c r="AT106" s="315">
        <v>0</v>
      </c>
      <c r="AU106" s="315">
        <v>-6098240</v>
      </c>
      <c r="AV106" s="315">
        <v>0</v>
      </c>
      <c r="AW106" s="315">
        <v>0</v>
      </c>
      <c r="AX106" s="315">
        <v>0</v>
      </c>
      <c r="AY106" s="315">
        <v>0</v>
      </c>
      <c r="AZ106" s="315">
        <v>0</v>
      </c>
      <c r="BA106" s="315">
        <v>0</v>
      </c>
      <c r="BB106" s="315">
        <v>0</v>
      </c>
      <c r="BC106" s="315">
        <v>0</v>
      </c>
      <c r="BD106" s="315">
        <v>0</v>
      </c>
      <c r="BE106" s="315">
        <v>0</v>
      </c>
      <c r="BF106" s="315">
        <v>0</v>
      </c>
      <c r="BG106" s="315">
        <v>0</v>
      </c>
      <c r="BH106" s="315">
        <v>0</v>
      </c>
      <c r="BI106" s="315">
        <v>0</v>
      </c>
      <c r="BJ106" s="315">
        <v>0</v>
      </c>
      <c r="BK106" s="315">
        <v>0</v>
      </c>
      <c r="BL106" s="315">
        <v>0</v>
      </c>
      <c r="BM106" s="315">
        <v>0</v>
      </c>
      <c r="BN106" s="315">
        <v>0</v>
      </c>
      <c r="BO106" s="315">
        <v>-11128875</v>
      </c>
    </row>
    <row r="107" spans="1:75" hidden="1" x14ac:dyDescent="0.2">
      <c r="L107" s="315">
        <v>46626420</v>
      </c>
      <c r="M107" s="315">
        <v>0</v>
      </c>
      <c r="N107" s="315">
        <v>0</v>
      </c>
      <c r="O107" s="315">
        <v>0</v>
      </c>
      <c r="P107" s="315">
        <v>0</v>
      </c>
      <c r="Q107" s="315">
        <v>0</v>
      </c>
      <c r="R107" s="315">
        <v>0</v>
      </c>
      <c r="S107" s="315">
        <v>0</v>
      </c>
      <c r="T107" s="315">
        <v>0</v>
      </c>
      <c r="U107" s="315">
        <v>0</v>
      </c>
      <c r="V107" s="315">
        <v>-14088400</v>
      </c>
      <c r="W107" s="315">
        <v>0</v>
      </c>
      <c r="X107" s="315">
        <v>0</v>
      </c>
      <c r="Y107" s="315">
        <v>0</v>
      </c>
      <c r="Z107" s="315">
        <v>0</v>
      </c>
      <c r="AA107" s="315">
        <v>0</v>
      </c>
      <c r="AB107" s="315">
        <v>0</v>
      </c>
      <c r="AC107" s="315">
        <v>0</v>
      </c>
      <c r="AD107" s="315">
        <v>0</v>
      </c>
      <c r="AE107" s="315">
        <v>0</v>
      </c>
      <c r="AF107" s="315">
        <v>0</v>
      </c>
      <c r="AG107" s="315">
        <v>0</v>
      </c>
      <c r="AH107" s="315">
        <v>0</v>
      </c>
      <c r="AI107" s="315">
        <v>0</v>
      </c>
      <c r="AJ107" s="315">
        <v>0</v>
      </c>
      <c r="AK107" s="315">
        <v>6790681</v>
      </c>
      <c r="AL107" s="315">
        <v>0</v>
      </c>
      <c r="AM107" s="315">
        <v>0</v>
      </c>
      <c r="AN107" s="315">
        <v>0</v>
      </c>
      <c r="AO107" s="315">
        <v>0</v>
      </c>
      <c r="AP107" s="315">
        <v>0</v>
      </c>
      <c r="AQ107" s="315">
        <v>0</v>
      </c>
      <c r="AR107" s="315">
        <v>0</v>
      </c>
      <c r="AS107" s="315">
        <v>0</v>
      </c>
      <c r="AT107" s="315">
        <v>0</v>
      </c>
      <c r="AU107" s="315">
        <v>-6098240</v>
      </c>
      <c r="AV107" s="315">
        <v>0</v>
      </c>
      <c r="AW107" s="315">
        <v>0</v>
      </c>
      <c r="AX107" s="315">
        <v>0</v>
      </c>
      <c r="AY107" s="315">
        <v>0</v>
      </c>
      <c r="AZ107" s="315">
        <v>0</v>
      </c>
      <c r="BA107" s="315">
        <v>0</v>
      </c>
      <c r="BB107" s="315">
        <v>0</v>
      </c>
      <c r="BC107" s="315">
        <v>0</v>
      </c>
      <c r="BD107" s="315">
        <v>0</v>
      </c>
      <c r="BE107" s="315">
        <v>0</v>
      </c>
      <c r="BF107" s="315">
        <v>0</v>
      </c>
      <c r="BG107" s="315">
        <v>0</v>
      </c>
      <c r="BH107" s="315">
        <v>0</v>
      </c>
      <c r="BI107" s="315">
        <v>0</v>
      </c>
      <c r="BJ107" s="315">
        <v>0</v>
      </c>
      <c r="BK107" s="315">
        <v>0</v>
      </c>
      <c r="BL107" s="315">
        <v>0</v>
      </c>
      <c r="BM107" s="315">
        <v>0</v>
      </c>
      <c r="BN107" s="315">
        <v>0</v>
      </c>
      <c r="BO107" s="315">
        <v>-11128875</v>
      </c>
    </row>
    <row r="108" spans="1:75" hidden="1" x14ac:dyDescent="0.2">
      <c r="L108" s="315">
        <v>0</v>
      </c>
      <c r="M108" s="315">
        <v>0</v>
      </c>
      <c r="N108" s="315">
        <v>0</v>
      </c>
      <c r="O108" s="315">
        <v>0</v>
      </c>
      <c r="P108" s="315">
        <v>0</v>
      </c>
      <c r="Q108" s="315">
        <v>0</v>
      </c>
      <c r="R108" s="315">
        <v>0</v>
      </c>
      <c r="S108" s="315">
        <v>0</v>
      </c>
      <c r="T108" s="315">
        <v>0</v>
      </c>
      <c r="U108" s="315">
        <v>0</v>
      </c>
      <c r="V108" s="315">
        <v>0</v>
      </c>
      <c r="W108" s="315">
        <v>0</v>
      </c>
      <c r="X108" s="315">
        <v>0</v>
      </c>
      <c r="Y108" s="315">
        <v>0</v>
      </c>
      <c r="Z108" s="315">
        <v>0</v>
      </c>
      <c r="AA108" s="315">
        <v>0</v>
      </c>
      <c r="AB108" s="315">
        <v>0</v>
      </c>
      <c r="AC108" s="315">
        <v>0</v>
      </c>
      <c r="AD108" s="315">
        <v>0</v>
      </c>
      <c r="AE108" s="315">
        <v>0</v>
      </c>
      <c r="AF108" s="315">
        <v>0</v>
      </c>
      <c r="AG108" s="315">
        <v>0</v>
      </c>
      <c r="AH108" s="315">
        <v>0</v>
      </c>
      <c r="AI108" s="315">
        <v>0</v>
      </c>
      <c r="AJ108" s="315">
        <v>0</v>
      </c>
      <c r="AK108" s="315">
        <v>0</v>
      </c>
      <c r="AL108" s="315">
        <v>0</v>
      </c>
      <c r="AM108" s="315">
        <v>0</v>
      </c>
      <c r="AN108" s="315">
        <v>0</v>
      </c>
      <c r="AO108" s="315">
        <v>0</v>
      </c>
      <c r="AP108" s="315">
        <v>0</v>
      </c>
      <c r="AQ108" s="315">
        <v>0</v>
      </c>
      <c r="AR108" s="315">
        <v>0</v>
      </c>
      <c r="AS108" s="315">
        <v>0</v>
      </c>
      <c r="AT108" s="315">
        <v>0</v>
      </c>
      <c r="AU108" s="315">
        <v>0</v>
      </c>
      <c r="AV108" s="315">
        <v>0</v>
      </c>
      <c r="AW108" s="315">
        <v>0</v>
      </c>
      <c r="AX108" s="315">
        <v>0</v>
      </c>
      <c r="AY108" s="315">
        <v>0</v>
      </c>
      <c r="AZ108" s="315">
        <v>0</v>
      </c>
      <c r="BA108" s="315">
        <v>0</v>
      </c>
      <c r="BB108" s="315">
        <v>0</v>
      </c>
      <c r="BC108" s="315">
        <v>0</v>
      </c>
      <c r="BD108" s="315">
        <v>0</v>
      </c>
      <c r="BE108" s="315">
        <v>0</v>
      </c>
      <c r="BF108" s="315">
        <v>0</v>
      </c>
      <c r="BG108" s="315">
        <v>0</v>
      </c>
      <c r="BH108" s="315">
        <v>0</v>
      </c>
      <c r="BI108" s="315">
        <v>0</v>
      </c>
      <c r="BJ108" s="315">
        <v>0</v>
      </c>
      <c r="BK108" s="315">
        <v>0</v>
      </c>
      <c r="BL108" s="315">
        <v>0</v>
      </c>
      <c r="BM108" s="315">
        <v>0</v>
      </c>
      <c r="BN108" s="315">
        <v>0</v>
      </c>
      <c r="BO108" s="315">
        <v>0</v>
      </c>
      <c r="BU108" s="315">
        <v>0</v>
      </c>
      <c r="BV108" s="315">
        <v>0</v>
      </c>
    </row>
    <row r="109" spans="1:75" hidden="1" x14ac:dyDescent="0.2">
      <c r="L109" s="315">
        <v>0</v>
      </c>
      <c r="M109" s="315">
        <v>0</v>
      </c>
      <c r="N109" s="315">
        <v>0</v>
      </c>
      <c r="O109" s="315">
        <v>0</v>
      </c>
      <c r="P109" s="315">
        <v>0</v>
      </c>
      <c r="Q109" s="315">
        <v>0</v>
      </c>
      <c r="R109" s="315">
        <v>0</v>
      </c>
      <c r="S109" s="315">
        <v>0</v>
      </c>
      <c r="T109" s="315">
        <v>0</v>
      </c>
      <c r="U109" s="315">
        <v>0</v>
      </c>
      <c r="V109" s="315">
        <v>0</v>
      </c>
      <c r="W109" s="315">
        <v>0</v>
      </c>
      <c r="X109" s="315">
        <v>0</v>
      </c>
      <c r="Y109" s="315">
        <v>0</v>
      </c>
      <c r="Z109" s="315">
        <v>0</v>
      </c>
      <c r="AA109" s="315">
        <v>0</v>
      </c>
      <c r="AB109" s="315">
        <v>0</v>
      </c>
      <c r="AC109" s="315">
        <v>0</v>
      </c>
      <c r="AD109" s="315">
        <v>0</v>
      </c>
      <c r="AE109" s="315">
        <v>0</v>
      </c>
      <c r="AF109" s="315">
        <v>0</v>
      </c>
      <c r="AG109" s="315">
        <v>0</v>
      </c>
      <c r="AH109" s="315">
        <v>0</v>
      </c>
      <c r="AI109" s="315">
        <v>0</v>
      </c>
      <c r="AJ109" s="315">
        <v>0</v>
      </c>
      <c r="AK109" s="315">
        <v>0</v>
      </c>
      <c r="AL109" s="315">
        <v>0</v>
      </c>
      <c r="AM109" s="315">
        <v>0</v>
      </c>
      <c r="AN109" s="315">
        <v>0</v>
      </c>
      <c r="AO109" s="315">
        <v>0</v>
      </c>
      <c r="AP109" s="315">
        <v>0</v>
      </c>
      <c r="AQ109" s="315">
        <v>0</v>
      </c>
      <c r="AR109" s="315">
        <v>0</v>
      </c>
      <c r="AS109" s="315">
        <v>0</v>
      </c>
      <c r="AT109" s="315">
        <v>0</v>
      </c>
      <c r="AU109" s="315">
        <v>0</v>
      </c>
      <c r="AV109" s="315">
        <v>0</v>
      </c>
      <c r="AW109" s="315">
        <v>0</v>
      </c>
      <c r="AX109" s="315">
        <v>0</v>
      </c>
      <c r="AY109" s="315">
        <v>0</v>
      </c>
      <c r="AZ109" s="315">
        <v>0</v>
      </c>
      <c r="BA109" s="315">
        <v>0</v>
      </c>
      <c r="BB109" s="315">
        <v>0</v>
      </c>
      <c r="BC109" s="315">
        <v>0</v>
      </c>
      <c r="BD109" s="315">
        <v>0</v>
      </c>
      <c r="BE109" s="315">
        <v>0</v>
      </c>
      <c r="BF109" s="315">
        <v>0</v>
      </c>
      <c r="BG109" s="315">
        <v>0</v>
      </c>
      <c r="BH109" s="315">
        <v>0</v>
      </c>
      <c r="BI109" s="315">
        <v>0</v>
      </c>
      <c r="BJ109" s="315">
        <v>0</v>
      </c>
      <c r="BK109" s="315">
        <v>0</v>
      </c>
      <c r="BL109" s="315">
        <v>0</v>
      </c>
      <c r="BM109" s="315">
        <v>0</v>
      </c>
      <c r="BN109" s="315">
        <v>0</v>
      </c>
      <c r="BO109" s="315">
        <v>0</v>
      </c>
      <c r="BU109" s="315">
        <v>0</v>
      </c>
      <c r="BV109" s="315">
        <v>0</v>
      </c>
    </row>
    <row r="110" spans="1:75" hidden="1" x14ac:dyDescent="0.2">
      <c r="L110" s="315">
        <v>0</v>
      </c>
      <c r="M110" s="315">
        <v>0</v>
      </c>
      <c r="N110" s="315">
        <v>0</v>
      </c>
      <c r="O110" s="315">
        <v>0</v>
      </c>
      <c r="P110" s="315">
        <v>0</v>
      </c>
      <c r="Q110" s="315">
        <v>0</v>
      </c>
      <c r="R110" s="315">
        <v>0</v>
      </c>
      <c r="S110" s="315">
        <v>0</v>
      </c>
      <c r="T110" s="315">
        <v>0</v>
      </c>
      <c r="U110" s="315">
        <v>0</v>
      </c>
      <c r="V110" s="315">
        <v>0</v>
      </c>
      <c r="W110" s="315">
        <v>0</v>
      </c>
      <c r="X110" s="315">
        <v>0</v>
      </c>
      <c r="Y110" s="315">
        <v>0</v>
      </c>
      <c r="Z110" s="315">
        <v>0</v>
      </c>
      <c r="AA110" s="315">
        <v>0</v>
      </c>
      <c r="AB110" s="315">
        <v>0</v>
      </c>
      <c r="AC110" s="315">
        <v>0</v>
      </c>
      <c r="AD110" s="315">
        <v>0</v>
      </c>
      <c r="AE110" s="315">
        <v>0</v>
      </c>
      <c r="AF110" s="315">
        <v>0</v>
      </c>
      <c r="AG110" s="315">
        <v>0</v>
      </c>
      <c r="AH110" s="315">
        <v>0</v>
      </c>
      <c r="AI110" s="315">
        <v>0</v>
      </c>
      <c r="AJ110" s="315">
        <v>0</v>
      </c>
      <c r="AK110" s="315">
        <v>0</v>
      </c>
      <c r="AL110" s="315">
        <v>0</v>
      </c>
      <c r="AM110" s="315">
        <v>0</v>
      </c>
      <c r="AN110" s="315">
        <v>0</v>
      </c>
      <c r="AO110" s="315">
        <v>0</v>
      </c>
      <c r="AP110" s="315">
        <v>0</v>
      </c>
      <c r="AQ110" s="315">
        <v>0</v>
      </c>
      <c r="AR110" s="315">
        <v>0</v>
      </c>
      <c r="AS110" s="315">
        <v>0</v>
      </c>
      <c r="AT110" s="315">
        <v>0</v>
      </c>
      <c r="AU110" s="315">
        <v>0</v>
      </c>
      <c r="AV110" s="315">
        <v>0</v>
      </c>
      <c r="AW110" s="315">
        <v>0</v>
      </c>
      <c r="AX110" s="315">
        <v>0</v>
      </c>
      <c r="AY110" s="315">
        <v>0</v>
      </c>
      <c r="AZ110" s="315">
        <v>0</v>
      </c>
      <c r="BA110" s="315">
        <v>0</v>
      </c>
      <c r="BB110" s="315">
        <v>0</v>
      </c>
      <c r="BC110" s="315">
        <v>0</v>
      </c>
      <c r="BD110" s="315">
        <v>0</v>
      </c>
      <c r="BE110" s="315">
        <v>0</v>
      </c>
      <c r="BF110" s="315">
        <v>0</v>
      </c>
      <c r="BG110" s="315">
        <v>0</v>
      </c>
      <c r="BH110" s="315">
        <v>0</v>
      </c>
      <c r="BI110" s="315">
        <v>0</v>
      </c>
      <c r="BJ110" s="315">
        <v>0</v>
      </c>
      <c r="BK110" s="315">
        <v>0</v>
      </c>
      <c r="BL110" s="315">
        <v>0</v>
      </c>
      <c r="BM110" s="315">
        <v>0</v>
      </c>
      <c r="BN110" s="315">
        <v>0</v>
      </c>
      <c r="BO110" s="315">
        <v>0</v>
      </c>
      <c r="BU110" s="315">
        <v>0</v>
      </c>
      <c r="BV110" s="315">
        <v>0</v>
      </c>
    </row>
    <row r="111" spans="1:75" hidden="1" x14ac:dyDescent="0.2">
      <c r="L111" s="315">
        <v>46626420</v>
      </c>
      <c r="M111" s="315">
        <v>0</v>
      </c>
      <c r="N111" s="315">
        <v>0</v>
      </c>
      <c r="O111" s="315">
        <v>0</v>
      </c>
      <c r="P111" s="315">
        <v>0</v>
      </c>
      <c r="Q111" s="315">
        <v>0</v>
      </c>
      <c r="R111" s="315">
        <v>0</v>
      </c>
      <c r="S111" s="315">
        <v>0</v>
      </c>
      <c r="T111" s="315">
        <v>0</v>
      </c>
      <c r="U111" s="315">
        <v>0</v>
      </c>
      <c r="V111" s="315">
        <v>-14088400</v>
      </c>
      <c r="W111" s="315">
        <v>0</v>
      </c>
      <c r="X111" s="315">
        <v>0</v>
      </c>
      <c r="Y111" s="315">
        <v>0</v>
      </c>
      <c r="Z111" s="315">
        <v>0</v>
      </c>
      <c r="AA111" s="315">
        <v>0</v>
      </c>
      <c r="AB111" s="315">
        <v>0</v>
      </c>
      <c r="AC111" s="315">
        <v>0</v>
      </c>
      <c r="AD111" s="315">
        <v>0</v>
      </c>
      <c r="AE111" s="315">
        <v>0</v>
      </c>
      <c r="AF111" s="315">
        <v>0</v>
      </c>
      <c r="AG111" s="315">
        <v>0</v>
      </c>
      <c r="AH111" s="315">
        <v>0</v>
      </c>
      <c r="AI111" s="315">
        <v>0</v>
      </c>
      <c r="AJ111" s="315">
        <v>0</v>
      </c>
      <c r="AK111" s="315">
        <v>6790681</v>
      </c>
      <c r="AL111" s="315">
        <v>0</v>
      </c>
      <c r="AM111" s="315">
        <v>0</v>
      </c>
      <c r="AN111" s="315">
        <v>0</v>
      </c>
      <c r="AO111" s="315">
        <v>0</v>
      </c>
      <c r="AP111" s="315">
        <v>0</v>
      </c>
      <c r="AQ111" s="315">
        <v>0</v>
      </c>
      <c r="AR111" s="315">
        <v>0</v>
      </c>
      <c r="AS111" s="315">
        <v>0</v>
      </c>
      <c r="AT111" s="315">
        <v>0</v>
      </c>
      <c r="AU111" s="315">
        <v>-6098240</v>
      </c>
      <c r="AV111" s="315">
        <v>0</v>
      </c>
      <c r="AW111" s="315">
        <v>0</v>
      </c>
      <c r="AX111" s="315">
        <v>0</v>
      </c>
      <c r="AY111" s="315">
        <v>0</v>
      </c>
      <c r="AZ111" s="315">
        <v>0</v>
      </c>
      <c r="BA111" s="315">
        <v>0</v>
      </c>
      <c r="BB111" s="315">
        <v>0</v>
      </c>
      <c r="BC111" s="315">
        <v>0</v>
      </c>
      <c r="BD111" s="315">
        <v>0</v>
      </c>
      <c r="BE111" s="315">
        <v>0</v>
      </c>
      <c r="BF111" s="315">
        <v>0</v>
      </c>
      <c r="BG111" s="315">
        <v>0</v>
      </c>
      <c r="BH111" s="315">
        <v>0</v>
      </c>
      <c r="BI111" s="315">
        <v>0</v>
      </c>
      <c r="BJ111" s="315">
        <v>0</v>
      </c>
      <c r="BK111" s="315">
        <v>0</v>
      </c>
      <c r="BL111" s="315">
        <v>0</v>
      </c>
      <c r="BM111" s="315">
        <v>0</v>
      </c>
      <c r="BN111" s="315">
        <v>0</v>
      </c>
      <c r="BO111" s="315">
        <v>-11128875</v>
      </c>
      <c r="BU111" s="315">
        <v>0</v>
      </c>
      <c r="BV111" s="315">
        <v>0</v>
      </c>
    </row>
    <row r="112" spans="1:75" hidden="1" x14ac:dyDescent="0.2">
      <c r="L112" s="315">
        <v>46626420</v>
      </c>
      <c r="M112" s="315">
        <v>0</v>
      </c>
      <c r="N112" s="315">
        <v>0</v>
      </c>
      <c r="O112" s="315">
        <v>0</v>
      </c>
      <c r="P112" s="315">
        <v>0</v>
      </c>
      <c r="Q112" s="315">
        <v>0</v>
      </c>
      <c r="R112" s="315">
        <v>0</v>
      </c>
      <c r="S112" s="315">
        <v>0</v>
      </c>
      <c r="T112" s="315">
        <v>0</v>
      </c>
      <c r="U112" s="315">
        <v>0</v>
      </c>
      <c r="V112" s="315">
        <v>-14088400</v>
      </c>
      <c r="W112" s="315">
        <v>0</v>
      </c>
      <c r="X112" s="315">
        <v>0</v>
      </c>
      <c r="Y112" s="315">
        <v>0</v>
      </c>
      <c r="Z112" s="315">
        <v>0</v>
      </c>
      <c r="AA112" s="315">
        <v>0</v>
      </c>
      <c r="AB112" s="315">
        <v>0</v>
      </c>
      <c r="AC112" s="315">
        <v>0</v>
      </c>
      <c r="AD112" s="315">
        <v>0</v>
      </c>
      <c r="AE112" s="315">
        <v>0</v>
      </c>
      <c r="AF112" s="315">
        <v>0</v>
      </c>
      <c r="AG112" s="315">
        <v>0</v>
      </c>
      <c r="AH112" s="315">
        <v>0</v>
      </c>
      <c r="AI112" s="315">
        <v>0</v>
      </c>
      <c r="AJ112" s="315">
        <v>0</v>
      </c>
      <c r="AK112" s="315">
        <v>6790681</v>
      </c>
      <c r="AL112" s="315">
        <v>0</v>
      </c>
      <c r="AM112" s="315">
        <v>0</v>
      </c>
      <c r="AN112" s="315">
        <v>0</v>
      </c>
      <c r="AO112" s="315">
        <v>0</v>
      </c>
      <c r="AP112" s="315">
        <v>0</v>
      </c>
      <c r="AQ112" s="315">
        <v>0</v>
      </c>
      <c r="AR112" s="315">
        <v>0</v>
      </c>
      <c r="AS112" s="315">
        <v>0</v>
      </c>
      <c r="AT112" s="315">
        <v>0</v>
      </c>
      <c r="AU112" s="315">
        <v>-6098240</v>
      </c>
      <c r="AV112" s="315">
        <v>0</v>
      </c>
      <c r="AW112" s="315">
        <v>0</v>
      </c>
      <c r="AX112" s="315">
        <v>0</v>
      </c>
      <c r="AY112" s="315">
        <v>0</v>
      </c>
      <c r="AZ112" s="315">
        <v>0</v>
      </c>
      <c r="BA112" s="315">
        <v>0</v>
      </c>
      <c r="BB112" s="315">
        <v>0</v>
      </c>
      <c r="BC112" s="315">
        <v>0</v>
      </c>
      <c r="BD112" s="315">
        <v>0</v>
      </c>
      <c r="BE112" s="315">
        <v>0</v>
      </c>
      <c r="BF112" s="315">
        <v>0</v>
      </c>
      <c r="BG112" s="315">
        <v>0</v>
      </c>
      <c r="BH112" s="315">
        <v>0</v>
      </c>
      <c r="BI112" s="315">
        <v>0</v>
      </c>
      <c r="BJ112" s="315">
        <v>0</v>
      </c>
      <c r="BK112" s="315">
        <v>0</v>
      </c>
      <c r="BL112" s="315">
        <v>0</v>
      </c>
      <c r="BM112" s="315">
        <v>0</v>
      </c>
      <c r="BN112" s="315">
        <v>0</v>
      </c>
      <c r="BO112" s="315">
        <v>-11128875</v>
      </c>
      <c r="BU112" s="315">
        <v>0</v>
      </c>
      <c r="BV112" s="315">
        <v>0</v>
      </c>
    </row>
    <row r="113" spans="12:74" hidden="1" x14ac:dyDescent="0.2">
      <c r="L113" s="315">
        <v>0</v>
      </c>
      <c r="M113" s="315">
        <v>0</v>
      </c>
      <c r="N113" s="315">
        <v>0</v>
      </c>
      <c r="O113" s="315">
        <v>0</v>
      </c>
      <c r="P113" s="315">
        <v>0</v>
      </c>
      <c r="Q113" s="315">
        <v>0</v>
      </c>
      <c r="R113" s="315">
        <v>0</v>
      </c>
      <c r="S113" s="315">
        <v>0</v>
      </c>
      <c r="T113" s="315">
        <v>0</v>
      </c>
      <c r="U113" s="315">
        <v>0</v>
      </c>
      <c r="V113" s="315">
        <v>0</v>
      </c>
      <c r="W113" s="315">
        <v>0</v>
      </c>
      <c r="X113" s="315">
        <v>0</v>
      </c>
      <c r="Y113" s="315">
        <v>0</v>
      </c>
      <c r="Z113" s="315">
        <v>0</v>
      </c>
      <c r="AA113" s="315">
        <v>0</v>
      </c>
      <c r="AB113" s="315">
        <v>0</v>
      </c>
      <c r="AC113" s="315">
        <v>0</v>
      </c>
      <c r="AD113" s="315">
        <v>0</v>
      </c>
      <c r="AE113" s="315">
        <v>0</v>
      </c>
      <c r="AF113" s="315">
        <v>0</v>
      </c>
      <c r="AG113" s="315">
        <v>0</v>
      </c>
      <c r="AH113" s="315">
        <v>0</v>
      </c>
      <c r="AI113" s="315">
        <v>0</v>
      </c>
      <c r="AJ113" s="315">
        <v>0</v>
      </c>
      <c r="AK113" s="315">
        <v>0</v>
      </c>
      <c r="AL113" s="315">
        <v>0</v>
      </c>
      <c r="AM113" s="315">
        <v>0</v>
      </c>
      <c r="AN113" s="315">
        <v>0</v>
      </c>
      <c r="AO113" s="315">
        <v>0</v>
      </c>
      <c r="AP113" s="315">
        <v>0</v>
      </c>
      <c r="AQ113" s="315">
        <v>0</v>
      </c>
      <c r="AR113" s="315">
        <v>0</v>
      </c>
      <c r="AS113" s="315">
        <v>0</v>
      </c>
      <c r="AT113" s="315">
        <v>0</v>
      </c>
      <c r="AU113" s="315">
        <v>0</v>
      </c>
      <c r="AV113" s="315">
        <v>0</v>
      </c>
      <c r="AW113" s="315">
        <v>0</v>
      </c>
      <c r="AX113" s="315">
        <v>0</v>
      </c>
      <c r="AY113" s="315">
        <v>0</v>
      </c>
      <c r="AZ113" s="315">
        <v>0</v>
      </c>
      <c r="BA113" s="315">
        <v>0</v>
      </c>
      <c r="BB113" s="315">
        <v>0</v>
      </c>
      <c r="BC113" s="315">
        <v>0</v>
      </c>
      <c r="BD113" s="315">
        <v>0</v>
      </c>
      <c r="BE113" s="315">
        <v>0</v>
      </c>
      <c r="BF113" s="315">
        <v>0</v>
      </c>
      <c r="BG113" s="315">
        <v>0</v>
      </c>
      <c r="BH113" s="315">
        <v>0</v>
      </c>
      <c r="BI113" s="315">
        <v>0</v>
      </c>
      <c r="BJ113" s="315">
        <v>0</v>
      </c>
      <c r="BK113" s="315">
        <v>0</v>
      </c>
      <c r="BL113" s="315">
        <v>0</v>
      </c>
      <c r="BM113" s="315">
        <v>0</v>
      </c>
      <c r="BN113" s="315">
        <v>0</v>
      </c>
      <c r="BO113" s="315">
        <v>0</v>
      </c>
      <c r="BU113" s="315">
        <v>0</v>
      </c>
      <c r="BV113" s="315">
        <v>0</v>
      </c>
    </row>
    <row r="114" spans="12:74" hidden="1" x14ac:dyDescent="0.2">
      <c r="L114" s="315">
        <v>0</v>
      </c>
      <c r="M114" s="315">
        <v>0</v>
      </c>
      <c r="N114" s="315">
        <v>0</v>
      </c>
      <c r="O114" s="315">
        <v>0</v>
      </c>
      <c r="P114" s="315">
        <v>0</v>
      </c>
      <c r="Q114" s="315">
        <v>0</v>
      </c>
      <c r="R114" s="315">
        <v>0</v>
      </c>
      <c r="S114" s="315">
        <v>0</v>
      </c>
      <c r="T114" s="315">
        <v>0</v>
      </c>
      <c r="U114" s="315">
        <v>0</v>
      </c>
      <c r="V114" s="315">
        <v>0</v>
      </c>
      <c r="W114" s="315">
        <v>0</v>
      </c>
      <c r="X114" s="315">
        <v>0</v>
      </c>
      <c r="Y114" s="315">
        <v>0</v>
      </c>
      <c r="Z114" s="315">
        <v>0</v>
      </c>
      <c r="AA114" s="315">
        <v>0</v>
      </c>
      <c r="AB114" s="315">
        <v>0</v>
      </c>
      <c r="AC114" s="315">
        <v>0</v>
      </c>
      <c r="AD114" s="315">
        <v>0</v>
      </c>
      <c r="AE114" s="315">
        <v>0</v>
      </c>
      <c r="AF114" s="315">
        <v>0</v>
      </c>
      <c r="AG114" s="315">
        <v>0</v>
      </c>
      <c r="AH114" s="315">
        <v>0</v>
      </c>
      <c r="AI114" s="315">
        <v>0</v>
      </c>
      <c r="AJ114" s="315">
        <v>0</v>
      </c>
      <c r="AK114" s="315">
        <v>0</v>
      </c>
      <c r="AL114" s="315">
        <v>0</v>
      </c>
      <c r="AM114" s="315">
        <v>0</v>
      </c>
      <c r="AN114" s="315">
        <v>0</v>
      </c>
      <c r="AO114" s="315">
        <v>0</v>
      </c>
      <c r="AP114" s="315">
        <v>0</v>
      </c>
      <c r="AQ114" s="315">
        <v>0</v>
      </c>
      <c r="AR114" s="315">
        <v>0</v>
      </c>
      <c r="AS114" s="315">
        <v>0</v>
      </c>
      <c r="AT114" s="315">
        <v>0</v>
      </c>
      <c r="AU114" s="315">
        <v>0</v>
      </c>
      <c r="AV114" s="315">
        <v>0</v>
      </c>
      <c r="AW114" s="315">
        <v>0</v>
      </c>
      <c r="AX114" s="315">
        <v>0</v>
      </c>
      <c r="AY114" s="315">
        <v>0</v>
      </c>
      <c r="AZ114" s="315">
        <v>0</v>
      </c>
      <c r="BA114" s="315">
        <v>0</v>
      </c>
      <c r="BB114" s="315">
        <v>0</v>
      </c>
      <c r="BC114" s="315">
        <v>0</v>
      </c>
      <c r="BD114" s="315">
        <v>0</v>
      </c>
      <c r="BE114" s="315">
        <v>0</v>
      </c>
      <c r="BF114" s="315">
        <v>0</v>
      </c>
      <c r="BG114" s="315">
        <v>0</v>
      </c>
      <c r="BH114" s="315">
        <v>0</v>
      </c>
      <c r="BI114" s="315">
        <v>0</v>
      </c>
      <c r="BJ114" s="315">
        <v>0</v>
      </c>
      <c r="BK114" s="315">
        <v>0</v>
      </c>
      <c r="BL114" s="315">
        <v>0</v>
      </c>
      <c r="BM114" s="315">
        <v>0</v>
      </c>
      <c r="BN114" s="315">
        <v>0</v>
      </c>
      <c r="BO114" s="315">
        <v>0</v>
      </c>
      <c r="BU114" s="315">
        <v>0</v>
      </c>
      <c r="BV114" s="315">
        <v>0</v>
      </c>
    </row>
    <row r="115" spans="12:74" hidden="1" x14ac:dyDescent="0.2">
      <c r="L115" s="315">
        <v>0</v>
      </c>
      <c r="M115" s="315">
        <v>0</v>
      </c>
      <c r="N115" s="315">
        <v>0</v>
      </c>
      <c r="O115" s="315">
        <v>0</v>
      </c>
      <c r="P115" s="315">
        <v>0</v>
      </c>
      <c r="Q115" s="315">
        <v>0</v>
      </c>
      <c r="R115" s="315">
        <v>0</v>
      </c>
      <c r="S115" s="315">
        <v>0</v>
      </c>
      <c r="T115" s="315">
        <v>0</v>
      </c>
      <c r="U115" s="315">
        <v>0</v>
      </c>
      <c r="V115" s="315">
        <v>0</v>
      </c>
      <c r="W115" s="315">
        <v>0</v>
      </c>
      <c r="X115" s="315">
        <v>0</v>
      </c>
      <c r="Y115" s="315">
        <v>0</v>
      </c>
      <c r="Z115" s="315">
        <v>0</v>
      </c>
      <c r="AA115" s="315">
        <v>0</v>
      </c>
      <c r="AB115" s="315">
        <v>0</v>
      </c>
      <c r="AC115" s="315">
        <v>0</v>
      </c>
      <c r="AD115" s="315">
        <v>0</v>
      </c>
      <c r="AE115" s="315">
        <v>0</v>
      </c>
      <c r="AF115" s="315">
        <v>0</v>
      </c>
      <c r="AG115" s="315">
        <v>0</v>
      </c>
      <c r="AH115" s="315">
        <v>0</v>
      </c>
      <c r="AI115" s="315">
        <v>0</v>
      </c>
      <c r="AJ115" s="315">
        <v>0</v>
      </c>
      <c r="AK115" s="315">
        <v>0</v>
      </c>
      <c r="AL115" s="315">
        <v>0</v>
      </c>
      <c r="AM115" s="315">
        <v>0</v>
      </c>
      <c r="AN115" s="315">
        <v>0</v>
      </c>
      <c r="AO115" s="315">
        <v>0</v>
      </c>
      <c r="AP115" s="315">
        <v>0</v>
      </c>
      <c r="AQ115" s="315">
        <v>0</v>
      </c>
      <c r="AR115" s="315">
        <v>0</v>
      </c>
      <c r="AS115" s="315">
        <v>0</v>
      </c>
      <c r="AT115" s="315">
        <v>0</v>
      </c>
      <c r="AU115" s="315">
        <v>0</v>
      </c>
      <c r="AV115" s="315">
        <v>0</v>
      </c>
      <c r="AW115" s="315">
        <v>0</v>
      </c>
      <c r="AX115" s="315">
        <v>0</v>
      </c>
      <c r="AY115" s="315">
        <v>0</v>
      </c>
      <c r="AZ115" s="315">
        <v>0</v>
      </c>
      <c r="BA115" s="315">
        <v>0</v>
      </c>
      <c r="BB115" s="315">
        <v>0</v>
      </c>
      <c r="BC115" s="315">
        <v>0</v>
      </c>
      <c r="BD115" s="315">
        <v>0</v>
      </c>
      <c r="BE115" s="315">
        <v>0</v>
      </c>
      <c r="BF115" s="315">
        <v>0</v>
      </c>
      <c r="BG115" s="315">
        <v>0</v>
      </c>
      <c r="BH115" s="315">
        <v>0</v>
      </c>
      <c r="BI115" s="315">
        <v>0</v>
      </c>
      <c r="BJ115" s="315">
        <v>0</v>
      </c>
      <c r="BK115" s="315">
        <v>0</v>
      </c>
      <c r="BL115" s="315">
        <v>0</v>
      </c>
      <c r="BM115" s="315">
        <v>0</v>
      </c>
      <c r="BN115" s="315">
        <v>0</v>
      </c>
      <c r="BO115" s="315">
        <v>0</v>
      </c>
      <c r="BU115" s="315">
        <v>0</v>
      </c>
      <c r="BV115" s="315">
        <v>0</v>
      </c>
    </row>
    <row r="116" spans="12:74" hidden="1" x14ac:dyDescent="0.2"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315">
        <v>0</v>
      </c>
      <c r="Z116" s="315">
        <v>0</v>
      </c>
      <c r="AA116" s="315">
        <v>0</v>
      </c>
      <c r="AB116" s="315">
        <v>0</v>
      </c>
      <c r="AC116" s="315">
        <v>0</v>
      </c>
      <c r="AD116" s="315">
        <v>0</v>
      </c>
      <c r="AE116" s="315">
        <v>0</v>
      </c>
      <c r="AF116" s="315">
        <v>0</v>
      </c>
      <c r="AG116" s="315">
        <v>0</v>
      </c>
      <c r="AH116" s="315">
        <v>0</v>
      </c>
      <c r="AI116" s="315">
        <v>0</v>
      </c>
      <c r="AJ116" s="315">
        <v>0</v>
      </c>
      <c r="AK116" s="315">
        <v>0</v>
      </c>
      <c r="AL116" s="315">
        <v>0</v>
      </c>
      <c r="AM116" s="315">
        <v>0</v>
      </c>
      <c r="AN116" s="315">
        <v>0</v>
      </c>
      <c r="AO116" s="315">
        <v>0</v>
      </c>
      <c r="AP116" s="315">
        <v>0</v>
      </c>
      <c r="AQ116" s="315">
        <v>0</v>
      </c>
      <c r="AR116" s="315">
        <v>0</v>
      </c>
      <c r="AS116" s="315">
        <v>0</v>
      </c>
      <c r="AT116" s="315">
        <v>0</v>
      </c>
      <c r="AU116" s="315">
        <v>0</v>
      </c>
      <c r="AV116" s="315">
        <v>0</v>
      </c>
      <c r="AW116" s="315">
        <v>0</v>
      </c>
      <c r="AX116" s="315">
        <v>0</v>
      </c>
      <c r="AY116" s="315">
        <v>0</v>
      </c>
      <c r="AZ116" s="315">
        <v>0</v>
      </c>
      <c r="BA116" s="315">
        <v>0</v>
      </c>
      <c r="BB116" s="315">
        <v>0</v>
      </c>
      <c r="BC116" s="315">
        <v>0</v>
      </c>
      <c r="BD116" s="315">
        <v>0</v>
      </c>
      <c r="BE116" s="315">
        <v>0</v>
      </c>
      <c r="BF116" s="315">
        <v>0</v>
      </c>
      <c r="BG116" s="315">
        <v>0</v>
      </c>
      <c r="BH116" s="315">
        <v>0</v>
      </c>
      <c r="BI116" s="315">
        <v>0</v>
      </c>
      <c r="BJ116" s="315">
        <v>0</v>
      </c>
      <c r="BK116" s="315">
        <v>0</v>
      </c>
      <c r="BL116" s="315">
        <v>0</v>
      </c>
      <c r="BM116" s="315">
        <v>0</v>
      </c>
      <c r="BN116" s="315">
        <v>0</v>
      </c>
      <c r="BO116" s="315">
        <v>-11128875</v>
      </c>
      <c r="BU116" s="315">
        <v>0</v>
      </c>
      <c r="BV116" s="315">
        <v>0</v>
      </c>
    </row>
    <row r="117" spans="12:74" hidden="1" x14ac:dyDescent="0.2"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315">
        <v>0</v>
      </c>
      <c r="Z117" s="315">
        <v>0</v>
      </c>
      <c r="AA117" s="315">
        <v>0</v>
      </c>
      <c r="AB117" s="315">
        <v>0</v>
      </c>
      <c r="AC117" s="315">
        <v>0</v>
      </c>
      <c r="AD117" s="315">
        <v>0</v>
      </c>
      <c r="AE117" s="315">
        <v>0</v>
      </c>
      <c r="AF117" s="315">
        <v>0</v>
      </c>
      <c r="AG117" s="315">
        <v>0</v>
      </c>
      <c r="AH117" s="315">
        <v>0</v>
      </c>
      <c r="AI117" s="315">
        <v>0</v>
      </c>
      <c r="AJ117" s="315">
        <v>0</v>
      </c>
      <c r="AK117" s="315">
        <v>0</v>
      </c>
      <c r="AL117" s="315">
        <v>0</v>
      </c>
      <c r="AM117" s="315">
        <v>0</v>
      </c>
      <c r="AN117" s="315">
        <v>0</v>
      </c>
      <c r="AO117" s="315">
        <v>0</v>
      </c>
      <c r="AP117" s="315">
        <v>0</v>
      </c>
      <c r="AQ117" s="315">
        <v>0</v>
      </c>
      <c r="AR117" s="315">
        <v>0</v>
      </c>
      <c r="AS117" s="315">
        <v>0</v>
      </c>
      <c r="AT117" s="315">
        <v>0</v>
      </c>
      <c r="AU117" s="315">
        <v>0</v>
      </c>
      <c r="AV117" s="315">
        <v>0</v>
      </c>
      <c r="AW117" s="315">
        <v>0</v>
      </c>
      <c r="AX117" s="315">
        <v>0</v>
      </c>
      <c r="AY117" s="315">
        <v>0</v>
      </c>
      <c r="AZ117" s="315">
        <v>0</v>
      </c>
      <c r="BA117" s="315">
        <v>0</v>
      </c>
      <c r="BB117" s="315">
        <v>0</v>
      </c>
      <c r="BC117" s="315">
        <v>0</v>
      </c>
      <c r="BD117" s="315">
        <v>0</v>
      </c>
      <c r="BE117" s="315">
        <v>0</v>
      </c>
      <c r="BF117" s="315">
        <v>0</v>
      </c>
      <c r="BG117" s="315">
        <v>0</v>
      </c>
      <c r="BH117" s="315">
        <v>0</v>
      </c>
      <c r="BI117" s="315">
        <v>0</v>
      </c>
      <c r="BJ117" s="315">
        <v>0</v>
      </c>
      <c r="BK117" s="315">
        <v>0</v>
      </c>
      <c r="BL117" s="315">
        <v>0</v>
      </c>
      <c r="BM117" s="315">
        <v>0</v>
      </c>
      <c r="BN117" s="315">
        <v>0</v>
      </c>
      <c r="BO117" s="315">
        <v>-11128875</v>
      </c>
      <c r="BU117" s="315">
        <v>0</v>
      </c>
      <c r="BV117" s="315">
        <v>0</v>
      </c>
    </row>
    <row r="118" spans="12:74" hidden="1" x14ac:dyDescent="0.2"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315">
        <v>0</v>
      </c>
      <c r="Z118" s="315">
        <v>0</v>
      </c>
      <c r="AA118" s="315">
        <v>0</v>
      </c>
      <c r="AB118" s="315">
        <v>0</v>
      </c>
      <c r="AC118" s="315">
        <v>0</v>
      </c>
      <c r="AD118" s="315">
        <v>0</v>
      </c>
      <c r="AE118" s="315">
        <v>0</v>
      </c>
      <c r="AF118" s="315">
        <v>0</v>
      </c>
      <c r="AG118" s="315">
        <v>0</v>
      </c>
      <c r="AH118" s="315">
        <v>0</v>
      </c>
      <c r="AI118" s="315">
        <v>0</v>
      </c>
      <c r="AJ118" s="315">
        <v>0</v>
      </c>
      <c r="AK118" s="315">
        <v>0</v>
      </c>
      <c r="AL118" s="315">
        <v>0</v>
      </c>
      <c r="AM118" s="315">
        <v>0</v>
      </c>
      <c r="AN118" s="315">
        <v>0</v>
      </c>
      <c r="AO118" s="315">
        <v>0</v>
      </c>
      <c r="AP118" s="315">
        <v>0</v>
      </c>
      <c r="AQ118" s="315">
        <v>0</v>
      </c>
      <c r="AR118" s="315">
        <v>0</v>
      </c>
      <c r="AS118" s="315">
        <v>0</v>
      </c>
      <c r="AT118" s="315">
        <v>0</v>
      </c>
      <c r="AU118" s="315">
        <v>0</v>
      </c>
      <c r="AV118" s="315">
        <v>0</v>
      </c>
      <c r="AW118" s="315">
        <v>0</v>
      </c>
      <c r="AX118" s="315">
        <v>0</v>
      </c>
      <c r="AY118" s="315">
        <v>0</v>
      </c>
      <c r="AZ118" s="315">
        <v>0</v>
      </c>
      <c r="BA118" s="315">
        <v>0</v>
      </c>
      <c r="BB118" s="315">
        <v>0</v>
      </c>
      <c r="BC118" s="315">
        <v>0</v>
      </c>
      <c r="BD118" s="315">
        <v>0</v>
      </c>
      <c r="BE118" s="315">
        <v>0</v>
      </c>
      <c r="BF118" s="315">
        <v>0</v>
      </c>
      <c r="BG118" s="315">
        <v>0</v>
      </c>
      <c r="BH118" s="315">
        <v>0</v>
      </c>
      <c r="BI118" s="315">
        <v>0</v>
      </c>
      <c r="BJ118" s="315">
        <v>0</v>
      </c>
      <c r="BK118" s="315">
        <v>0</v>
      </c>
      <c r="BL118" s="315">
        <v>0</v>
      </c>
      <c r="BM118" s="315">
        <v>0</v>
      </c>
      <c r="BN118" s="315">
        <v>0</v>
      </c>
      <c r="BO118" s="315">
        <v>0</v>
      </c>
      <c r="BU118" s="315">
        <v>0</v>
      </c>
      <c r="BV118" s="315">
        <v>0</v>
      </c>
    </row>
    <row r="119" spans="12:74" hidden="1" x14ac:dyDescent="0.2"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315">
        <v>0</v>
      </c>
      <c r="Z119" s="315">
        <v>0</v>
      </c>
      <c r="AA119" s="315">
        <v>0</v>
      </c>
      <c r="AB119" s="315">
        <v>0</v>
      </c>
      <c r="AC119" s="315">
        <v>0</v>
      </c>
      <c r="AD119" s="315">
        <v>0</v>
      </c>
      <c r="AE119" s="315">
        <v>0</v>
      </c>
      <c r="AF119" s="315">
        <v>0</v>
      </c>
      <c r="AG119" s="315">
        <v>0</v>
      </c>
      <c r="AH119" s="315">
        <v>0</v>
      </c>
      <c r="AI119" s="315">
        <v>0</v>
      </c>
      <c r="AJ119" s="315">
        <v>0</v>
      </c>
      <c r="AK119" s="315">
        <v>0</v>
      </c>
      <c r="AL119" s="315">
        <v>0</v>
      </c>
      <c r="AM119" s="315">
        <v>0</v>
      </c>
      <c r="AN119" s="315">
        <v>0</v>
      </c>
      <c r="AO119" s="315">
        <v>0</v>
      </c>
      <c r="AP119" s="315">
        <v>0</v>
      </c>
      <c r="AQ119" s="315">
        <v>0</v>
      </c>
      <c r="AR119" s="315">
        <v>0</v>
      </c>
      <c r="AS119" s="315">
        <v>0</v>
      </c>
      <c r="AT119" s="315">
        <v>0</v>
      </c>
      <c r="AU119" s="315">
        <v>0</v>
      </c>
      <c r="AV119" s="315">
        <v>0</v>
      </c>
      <c r="AW119" s="315">
        <v>0</v>
      </c>
      <c r="AX119" s="315">
        <v>0</v>
      </c>
      <c r="AY119" s="315">
        <v>0</v>
      </c>
      <c r="AZ119" s="315">
        <v>0</v>
      </c>
      <c r="BA119" s="315">
        <v>0</v>
      </c>
      <c r="BB119" s="315">
        <v>0</v>
      </c>
      <c r="BC119" s="315">
        <v>0</v>
      </c>
      <c r="BD119" s="315">
        <v>0</v>
      </c>
      <c r="BE119" s="315">
        <v>0</v>
      </c>
      <c r="BF119" s="315">
        <v>0</v>
      </c>
      <c r="BG119" s="315">
        <v>0</v>
      </c>
      <c r="BH119" s="315">
        <v>0</v>
      </c>
      <c r="BI119" s="315">
        <v>0</v>
      </c>
      <c r="BJ119" s="315">
        <v>0</v>
      </c>
      <c r="BK119" s="315">
        <v>0</v>
      </c>
      <c r="BL119" s="315">
        <v>0</v>
      </c>
      <c r="BM119" s="315">
        <v>0</v>
      </c>
      <c r="BN119" s="315">
        <v>0</v>
      </c>
      <c r="BO119" s="315">
        <v>0</v>
      </c>
      <c r="BU119" s="315">
        <v>0</v>
      </c>
      <c r="BV119" s="315">
        <v>0</v>
      </c>
    </row>
    <row r="120" spans="12:74" hidden="1" x14ac:dyDescent="0.2"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315">
        <v>0</v>
      </c>
      <c r="Z120" s="315">
        <v>0</v>
      </c>
      <c r="AA120" s="315">
        <v>0</v>
      </c>
      <c r="AB120" s="315">
        <v>0</v>
      </c>
      <c r="AC120" s="315">
        <v>0</v>
      </c>
      <c r="AD120" s="315">
        <v>0</v>
      </c>
      <c r="AE120" s="315">
        <v>0</v>
      </c>
      <c r="AF120" s="315">
        <v>0</v>
      </c>
      <c r="AG120" s="315">
        <v>0</v>
      </c>
      <c r="AH120" s="315">
        <v>0</v>
      </c>
      <c r="AI120" s="315">
        <v>0</v>
      </c>
      <c r="AJ120" s="315">
        <v>0</v>
      </c>
      <c r="AK120" s="315">
        <v>0</v>
      </c>
      <c r="AL120" s="315">
        <v>0</v>
      </c>
      <c r="AM120" s="315">
        <v>0</v>
      </c>
      <c r="AN120" s="315">
        <v>0</v>
      </c>
      <c r="AO120" s="315">
        <v>0</v>
      </c>
      <c r="AP120" s="315">
        <v>0</v>
      </c>
      <c r="AQ120" s="315">
        <v>0</v>
      </c>
      <c r="AR120" s="315">
        <v>0</v>
      </c>
      <c r="AS120" s="315">
        <v>0</v>
      </c>
      <c r="AT120" s="315">
        <v>0</v>
      </c>
      <c r="AU120" s="315">
        <v>0</v>
      </c>
      <c r="AV120" s="315">
        <v>0</v>
      </c>
      <c r="AW120" s="315">
        <v>0</v>
      </c>
      <c r="AX120" s="315">
        <v>0</v>
      </c>
      <c r="AY120" s="315">
        <v>0</v>
      </c>
      <c r="AZ120" s="315">
        <v>0</v>
      </c>
      <c r="BA120" s="315">
        <v>0</v>
      </c>
      <c r="BB120" s="315">
        <v>0</v>
      </c>
      <c r="BC120" s="315">
        <v>0</v>
      </c>
      <c r="BD120" s="315">
        <v>0</v>
      </c>
      <c r="BE120" s="315">
        <v>0</v>
      </c>
      <c r="BF120" s="315">
        <v>0</v>
      </c>
      <c r="BG120" s="315">
        <v>0</v>
      </c>
      <c r="BH120" s="315">
        <v>0</v>
      </c>
      <c r="BI120" s="315">
        <v>0</v>
      </c>
      <c r="BJ120" s="315">
        <v>0</v>
      </c>
      <c r="BK120" s="315">
        <v>0</v>
      </c>
      <c r="BL120" s="315">
        <v>0</v>
      </c>
      <c r="BM120" s="315">
        <v>0</v>
      </c>
      <c r="BN120" s="315">
        <v>0</v>
      </c>
      <c r="BO120" s="315">
        <v>0</v>
      </c>
      <c r="BU120" s="315">
        <v>0</v>
      </c>
      <c r="BV120" s="315">
        <v>0</v>
      </c>
    </row>
    <row r="121" spans="12:74" hidden="1" x14ac:dyDescent="0.2">
      <c r="L121" s="315">
        <v>1484820</v>
      </c>
      <c r="M121" s="315">
        <v>0</v>
      </c>
      <c r="N121" s="315">
        <v>0</v>
      </c>
      <c r="O121" s="315">
        <v>0</v>
      </c>
      <c r="P121" s="315">
        <v>0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315">
        <v>0</v>
      </c>
      <c r="Z121" s="315">
        <v>0</v>
      </c>
      <c r="AA121" s="315">
        <v>0</v>
      </c>
      <c r="AB121" s="315">
        <v>0</v>
      </c>
      <c r="AC121" s="315">
        <v>0</v>
      </c>
      <c r="AD121" s="315">
        <v>0</v>
      </c>
      <c r="AE121" s="315">
        <v>0</v>
      </c>
      <c r="AF121" s="315">
        <v>0</v>
      </c>
      <c r="AG121" s="315">
        <v>0</v>
      </c>
      <c r="AH121" s="315">
        <v>0</v>
      </c>
      <c r="AI121" s="315">
        <v>0</v>
      </c>
      <c r="AJ121" s="315">
        <v>0</v>
      </c>
      <c r="AK121" s="315">
        <v>0</v>
      </c>
      <c r="AL121" s="315">
        <v>0</v>
      </c>
      <c r="AM121" s="315">
        <v>0</v>
      </c>
      <c r="AN121" s="315">
        <v>0</v>
      </c>
      <c r="AO121" s="315">
        <v>0</v>
      </c>
      <c r="AP121" s="315">
        <v>0</v>
      </c>
      <c r="AQ121" s="315">
        <v>0</v>
      </c>
      <c r="AR121" s="315">
        <v>0</v>
      </c>
      <c r="AS121" s="315">
        <v>0</v>
      </c>
      <c r="AT121" s="315">
        <v>0</v>
      </c>
      <c r="AU121" s="315">
        <v>0</v>
      </c>
      <c r="AV121" s="315">
        <v>0</v>
      </c>
      <c r="AW121" s="315">
        <v>0</v>
      </c>
      <c r="AX121" s="315">
        <v>0</v>
      </c>
      <c r="AY121" s="315">
        <v>0</v>
      </c>
      <c r="AZ121" s="315">
        <v>0</v>
      </c>
      <c r="BA121" s="315">
        <v>0</v>
      </c>
      <c r="BB121" s="315">
        <v>0</v>
      </c>
      <c r="BC121" s="315">
        <v>0</v>
      </c>
      <c r="BD121" s="315">
        <v>0</v>
      </c>
      <c r="BE121" s="315">
        <v>0</v>
      </c>
      <c r="BF121" s="315">
        <v>0</v>
      </c>
      <c r="BG121" s="315">
        <v>0</v>
      </c>
      <c r="BH121" s="315">
        <v>0</v>
      </c>
      <c r="BI121" s="315">
        <v>0</v>
      </c>
      <c r="BJ121" s="315">
        <v>0</v>
      </c>
      <c r="BK121" s="315">
        <v>0</v>
      </c>
      <c r="BL121" s="315">
        <v>0</v>
      </c>
      <c r="BM121" s="315">
        <v>0</v>
      </c>
      <c r="BN121" s="315">
        <v>0</v>
      </c>
      <c r="BO121" s="315">
        <v>0</v>
      </c>
      <c r="BU121" s="315">
        <v>0</v>
      </c>
      <c r="BV121" s="315">
        <v>0</v>
      </c>
    </row>
    <row r="122" spans="12:74" hidden="1" x14ac:dyDescent="0.2">
      <c r="L122" s="315">
        <v>1484820</v>
      </c>
      <c r="M122" s="315">
        <v>0</v>
      </c>
      <c r="N122" s="315">
        <v>0</v>
      </c>
      <c r="O122" s="315">
        <v>0</v>
      </c>
      <c r="P122" s="315">
        <v>0</v>
      </c>
      <c r="Q122" s="315">
        <v>0</v>
      </c>
      <c r="R122" s="315">
        <v>0</v>
      </c>
      <c r="S122" s="315">
        <v>0</v>
      </c>
      <c r="T122" s="315">
        <v>0</v>
      </c>
      <c r="U122" s="315">
        <v>0</v>
      </c>
      <c r="V122" s="315">
        <v>0</v>
      </c>
      <c r="W122" s="315">
        <v>0</v>
      </c>
      <c r="X122" s="315">
        <v>0</v>
      </c>
      <c r="Y122" s="315">
        <v>0</v>
      </c>
      <c r="Z122" s="315">
        <v>0</v>
      </c>
      <c r="AA122" s="315">
        <v>0</v>
      </c>
      <c r="AB122" s="315">
        <v>0</v>
      </c>
      <c r="AC122" s="315">
        <v>0</v>
      </c>
      <c r="AD122" s="315">
        <v>0</v>
      </c>
      <c r="AE122" s="315">
        <v>0</v>
      </c>
      <c r="AF122" s="315">
        <v>0</v>
      </c>
      <c r="AG122" s="315">
        <v>0</v>
      </c>
      <c r="AH122" s="315">
        <v>0</v>
      </c>
      <c r="AI122" s="315">
        <v>0</v>
      </c>
      <c r="AJ122" s="315">
        <v>0</v>
      </c>
      <c r="AK122" s="315">
        <v>0</v>
      </c>
      <c r="AL122" s="315">
        <v>0</v>
      </c>
      <c r="AM122" s="315">
        <v>0</v>
      </c>
      <c r="AN122" s="315">
        <v>0</v>
      </c>
      <c r="AO122" s="315">
        <v>0</v>
      </c>
      <c r="AP122" s="315">
        <v>0</v>
      </c>
      <c r="AQ122" s="315">
        <v>0</v>
      </c>
      <c r="AR122" s="315">
        <v>0</v>
      </c>
      <c r="AS122" s="315">
        <v>0</v>
      </c>
      <c r="AT122" s="315">
        <v>0</v>
      </c>
      <c r="AU122" s="315">
        <v>0</v>
      </c>
      <c r="AV122" s="315">
        <v>0</v>
      </c>
      <c r="AW122" s="315">
        <v>0</v>
      </c>
      <c r="AX122" s="315">
        <v>0</v>
      </c>
      <c r="AY122" s="315">
        <v>0</v>
      </c>
      <c r="AZ122" s="315">
        <v>0</v>
      </c>
      <c r="BA122" s="315">
        <v>0</v>
      </c>
      <c r="BB122" s="315">
        <v>0</v>
      </c>
      <c r="BC122" s="315">
        <v>0</v>
      </c>
      <c r="BD122" s="315">
        <v>0</v>
      </c>
      <c r="BE122" s="315">
        <v>0</v>
      </c>
      <c r="BF122" s="315">
        <v>0</v>
      </c>
      <c r="BG122" s="315">
        <v>0</v>
      </c>
      <c r="BH122" s="315">
        <v>0</v>
      </c>
      <c r="BI122" s="315">
        <v>0</v>
      </c>
      <c r="BJ122" s="315">
        <v>0</v>
      </c>
      <c r="BK122" s="315">
        <v>0</v>
      </c>
      <c r="BL122" s="315">
        <v>0</v>
      </c>
      <c r="BM122" s="315">
        <v>0</v>
      </c>
      <c r="BN122" s="315">
        <v>0</v>
      </c>
      <c r="BO122" s="315">
        <v>0</v>
      </c>
      <c r="BU122" s="315">
        <v>0</v>
      </c>
      <c r="BV122" s="315">
        <v>0</v>
      </c>
    </row>
    <row r="123" spans="12:74" hidden="1" x14ac:dyDescent="0.2">
      <c r="L123" s="315">
        <v>0</v>
      </c>
      <c r="M123" s="315">
        <v>0</v>
      </c>
      <c r="N123" s="315">
        <v>0</v>
      </c>
      <c r="O123" s="315">
        <v>0</v>
      </c>
      <c r="P123" s="315">
        <v>0</v>
      </c>
      <c r="Q123" s="315">
        <v>0</v>
      </c>
      <c r="R123" s="315">
        <v>0</v>
      </c>
      <c r="S123" s="315">
        <v>0</v>
      </c>
      <c r="T123" s="315">
        <v>0</v>
      </c>
      <c r="U123" s="315">
        <v>0</v>
      </c>
      <c r="V123" s="315">
        <v>0</v>
      </c>
      <c r="W123" s="315">
        <v>0</v>
      </c>
      <c r="X123" s="315">
        <v>0</v>
      </c>
      <c r="Y123" s="315">
        <v>0</v>
      </c>
      <c r="Z123" s="315">
        <v>0</v>
      </c>
      <c r="AA123" s="315">
        <v>0</v>
      </c>
      <c r="AB123" s="315">
        <v>0</v>
      </c>
      <c r="AC123" s="315">
        <v>0</v>
      </c>
      <c r="AD123" s="315">
        <v>0</v>
      </c>
      <c r="AE123" s="315">
        <v>0</v>
      </c>
      <c r="AF123" s="315">
        <v>0</v>
      </c>
      <c r="AG123" s="315">
        <v>0</v>
      </c>
      <c r="AH123" s="315">
        <v>0</v>
      </c>
      <c r="AI123" s="315">
        <v>0</v>
      </c>
      <c r="AJ123" s="315">
        <v>0</v>
      </c>
      <c r="AK123" s="315">
        <v>0</v>
      </c>
      <c r="AL123" s="315">
        <v>0</v>
      </c>
      <c r="AM123" s="315">
        <v>0</v>
      </c>
      <c r="AN123" s="315">
        <v>0</v>
      </c>
      <c r="AO123" s="315">
        <v>0</v>
      </c>
      <c r="AP123" s="315">
        <v>0</v>
      </c>
      <c r="AQ123" s="315">
        <v>0</v>
      </c>
      <c r="AR123" s="315">
        <v>0</v>
      </c>
      <c r="AS123" s="315">
        <v>0</v>
      </c>
      <c r="AT123" s="315">
        <v>0</v>
      </c>
      <c r="AU123" s="315">
        <v>0</v>
      </c>
      <c r="AV123" s="315">
        <v>0</v>
      </c>
      <c r="AW123" s="315">
        <v>0</v>
      </c>
      <c r="AX123" s="315">
        <v>0</v>
      </c>
      <c r="AY123" s="315">
        <v>0</v>
      </c>
      <c r="AZ123" s="315">
        <v>0</v>
      </c>
      <c r="BA123" s="315">
        <v>0</v>
      </c>
      <c r="BB123" s="315">
        <v>0</v>
      </c>
      <c r="BC123" s="315">
        <v>0</v>
      </c>
      <c r="BD123" s="315">
        <v>0</v>
      </c>
      <c r="BE123" s="315">
        <v>0</v>
      </c>
      <c r="BF123" s="315">
        <v>0</v>
      </c>
      <c r="BG123" s="315">
        <v>0</v>
      </c>
      <c r="BH123" s="315">
        <v>0</v>
      </c>
      <c r="BI123" s="315">
        <v>0</v>
      </c>
      <c r="BJ123" s="315">
        <v>0</v>
      </c>
      <c r="BK123" s="315">
        <v>0</v>
      </c>
      <c r="BL123" s="315">
        <v>0</v>
      </c>
      <c r="BM123" s="315">
        <v>0</v>
      </c>
      <c r="BN123" s="315">
        <v>0</v>
      </c>
      <c r="BO123" s="315">
        <v>0</v>
      </c>
      <c r="BU123" s="315">
        <v>0</v>
      </c>
      <c r="BV123" s="315">
        <v>0</v>
      </c>
    </row>
    <row r="124" spans="12:74" hidden="1" x14ac:dyDescent="0.2">
      <c r="L124" s="315">
        <v>0</v>
      </c>
      <c r="M124" s="315">
        <v>0</v>
      </c>
      <c r="N124" s="315">
        <v>0</v>
      </c>
      <c r="O124" s="315">
        <v>0</v>
      </c>
      <c r="P124" s="315">
        <v>0</v>
      </c>
      <c r="Q124" s="315">
        <v>0</v>
      </c>
      <c r="R124" s="315">
        <v>0</v>
      </c>
      <c r="S124" s="315">
        <v>0</v>
      </c>
      <c r="T124" s="315">
        <v>0</v>
      </c>
      <c r="U124" s="315">
        <v>0</v>
      </c>
      <c r="V124" s="315">
        <v>0</v>
      </c>
      <c r="W124" s="315">
        <v>0</v>
      </c>
      <c r="X124" s="315">
        <v>0</v>
      </c>
      <c r="Y124" s="315">
        <v>0</v>
      </c>
      <c r="Z124" s="315">
        <v>0</v>
      </c>
      <c r="AA124" s="315">
        <v>0</v>
      </c>
      <c r="AB124" s="315">
        <v>0</v>
      </c>
      <c r="AC124" s="315">
        <v>0</v>
      </c>
      <c r="AD124" s="315">
        <v>0</v>
      </c>
      <c r="AE124" s="315">
        <v>0</v>
      </c>
      <c r="AF124" s="315">
        <v>0</v>
      </c>
      <c r="AG124" s="315">
        <v>0</v>
      </c>
      <c r="AH124" s="315">
        <v>0</v>
      </c>
      <c r="AI124" s="315">
        <v>0</v>
      </c>
      <c r="AJ124" s="315">
        <v>0</v>
      </c>
      <c r="AK124" s="315">
        <v>0</v>
      </c>
      <c r="AL124" s="315">
        <v>0</v>
      </c>
      <c r="AM124" s="315">
        <v>0</v>
      </c>
      <c r="AN124" s="315">
        <v>0</v>
      </c>
      <c r="AO124" s="315">
        <v>0</v>
      </c>
      <c r="AP124" s="315">
        <v>0</v>
      </c>
      <c r="AQ124" s="315">
        <v>0</v>
      </c>
      <c r="AR124" s="315">
        <v>0</v>
      </c>
      <c r="AS124" s="315">
        <v>0</v>
      </c>
      <c r="AT124" s="315">
        <v>0</v>
      </c>
      <c r="AU124" s="315">
        <v>0</v>
      </c>
      <c r="AV124" s="315">
        <v>0</v>
      </c>
      <c r="AW124" s="315">
        <v>0</v>
      </c>
      <c r="AX124" s="315">
        <v>0</v>
      </c>
      <c r="AY124" s="315">
        <v>0</v>
      </c>
      <c r="AZ124" s="315">
        <v>0</v>
      </c>
      <c r="BA124" s="315">
        <v>0</v>
      </c>
      <c r="BB124" s="315">
        <v>0</v>
      </c>
      <c r="BC124" s="315">
        <v>0</v>
      </c>
      <c r="BD124" s="315">
        <v>0</v>
      </c>
      <c r="BE124" s="315">
        <v>0</v>
      </c>
      <c r="BF124" s="315">
        <v>0</v>
      </c>
      <c r="BG124" s="315">
        <v>0</v>
      </c>
      <c r="BH124" s="315">
        <v>0</v>
      </c>
      <c r="BI124" s="315">
        <v>0</v>
      </c>
      <c r="BJ124" s="315">
        <v>0</v>
      </c>
      <c r="BK124" s="315">
        <v>0</v>
      </c>
      <c r="BL124" s="315">
        <v>0</v>
      </c>
      <c r="BM124" s="315">
        <v>0</v>
      </c>
      <c r="BN124" s="315">
        <v>0</v>
      </c>
      <c r="BO124" s="315">
        <v>0</v>
      </c>
      <c r="BU124" s="315">
        <v>0</v>
      </c>
      <c r="BV124" s="315">
        <v>0</v>
      </c>
    </row>
    <row r="125" spans="12:74" hidden="1" x14ac:dyDescent="0.2">
      <c r="L125" s="315">
        <v>0</v>
      </c>
      <c r="M125" s="315">
        <v>0</v>
      </c>
      <c r="N125" s="315">
        <v>0</v>
      </c>
      <c r="O125" s="315">
        <v>0</v>
      </c>
      <c r="P125" s="315">
        <v>0</v>
      </c>
      <c r="Q125" s="315">
        <v>0</v>
      </c>
      <c r="R125" s="315">
        <v>0</v>
      </c>
      <c r="S125" s="315">
        <v>0</v>
      </c>
      <c r="T125" s="315">
        <v>0</v>
      </c>
      <c r="U125" s="315">
        <v>0</v>
      </c>
      <c r="V125" s="315">
        <v>0</v>
      </c>
      <c r="W125" s="315">
        <v>0</v>
      </c>
      <c r="X125" s="315">
        <v>0</v>
      </c>
      <c r="Y125" s="315">
        <v>0</v>
      </c>
      <c r="Z125" s="315">
        <v>0</v>
      </c>
      <c r="AA125" s="315">
        <v>0</v>
      </c>
      <c r="AB125" s="315">
        <v>0</v>
      </c>
      <c r="AC125" s="315">
        <v>0</v>
      </c>
      <c r="AD125" s="315">
        <v>0</v>
      </c>
      <c r="AE125" s="315">
        <v>0</v>
      </c>
      <c r="AF125" s="315">
        <v>0</v>
      </c>
      <c r="AG125" s="315">
        <v>0</v>
      </c>
      <c r="AH125" s="315">
        <v>0</v>
      </c>
      <c r="AI125" s="315">
        <v>0</v>
      </c>
      <c r="AJ125" s="315">
        <v>0</v>
      </c>
      <c r="AK125" s="315">
        <v>0</v>
      </c>
      <c r="AL125" s="315">
        <v>0</v>
      </c>
      <c r="AM125" s="315">
        <v>0</v>
      </c>
      <c r="AN125" s="315">
        <v>0</v>
      </c>
      <c r="AO125" s="315">
        <v>0</v>
      </c>
      <c r="AP125" s="315">
        <v>0</v>
      </c>
      <c r="AQ125" s="315">
        <v>0</v>
      </c>
      <c r="AR125" s="315">
        <v>0</v>
      </c>
      <c r="AS125" s="315">
        <v>0</v>
      </c>
      <c r="AT125" s="315">
        <v>0</v>
      </c>
      <c r="AU125" s="315">
        <v>0</v>
      </c>
      <c r="AV125" s="315">
        <v>0</v>
      </c>
      <c r="AW125" s="315">
        <v>0</v>
      </c>
      <c r="AX125" s="315">
        <v>0</v>
      </c>
      <c r="AY125" s="315">
        <v>0</v>
      </c>
      <c r="AZ125" s="315">
        <v>0</v>
      </c>
      <c r="BA125" s="315">
        <v>0</v>
      </c>
      <c r="BB125" s="315">
        <v>0</v>
      </c>
      <c r="BC125" s="315">
        <v>0</v>
      </c>
      <c r="BD125" s="315">
        <v>0</v>
      </c>
      <c r="BE125" s="315">
        <v>0</v>
      </c>
      <c r="BF125" s="315">
        <v>0</v>
      </c>
      <c r="BG125" s="315">
        <v>0</v>
      </c>
      <c r="BH125" s="315">
        <v>0</v>
      </c>
      <c r="BI125" s="315">
        <v>0</v>
      </c>
      <c r="BJ125" s="315">
        <v>0</v>
      </c>
      <c r="BK125" s="315">
        <v>0</v>
      </c>
      <c r="BL125" s="315">
        <v>0</v>
      </c>
      <c r="BM125" s="315">
        <v>0</v>
      </c>
      <c r="BN125" s="315">
        <v>0</v>
      </c>
      <c r="BO125" s="315">
        <v>0</v>
      </c>
      <c r="BU125" s="315">
        <v>0</v>
      </c>
      <c r="BV125" s="315">
        <v>0</v>
      </c>
    </row>
    <row r="126" spans="12:74" hidden="1" x14ac:dyDescent="0.2">
      <c r="L126" s="315">
        <v>21066080</v>
      </c>
      <c r="M126" s="315">
        <v>0</v>
      </c>
      <c r="N126" s="315">
        <v>0</v>
      </c>
      <c r="O126" s="315">
        <v>0</v>
      </c>
      <c r="P126" s="315">
        <v>0</v>
      </c>
      <c r="Q126" s="315">
        <v>0</v>
      </c>
      <c r="R126" s="315">
        <v>0</v>
      </c>
      <c r="S126" s="315">
        <v>0</v>
      </c>
      <c r="T126" s="315">
        <v>0</v>
      </c>
      <c r="U126" s="315">
        <v>0</v>
      </c>
      <c r="V126" s="315">
        <v>0</v>
      </c>
      <c r="W126" s="315">
        <v>0</v>
      </c>
      <c r="X126" s="315">
        <v>0</v>
      </c>
      <c r="Y126" s="315">
        <v>0</v>
      </c>
      <c r="Z126" s="315">
        <v>0</v>
      </c>
      <c r="AA126" s="315">
        <v>0</v>
      </c>
      <c r="AB126" s="315">
        <v>0</v>
      </c>
      <c r="AC126" s="315">
        <v>0</v>
      </c>
      <c r="AD126" s="315">
        <v>0</v>
      </c>
      <c r="AE126" s="315">
        <v>0</v>
      </c>
      <c r="AF126" s="315">
        <v>0</v>
      </c>
      <c r="AG126" s="315">
        <v>0</v>
      </c>
      <c r="AH126" s="315">
        <v>0</v>
      </c>
      <c r="AI126" s="315">
        <v>0</v>
      </c>
      <c r="AJ126" s="315">
        <v>0</v>
      </c>
      <c r="AK126" s="315">
        <v>0</v>
      </c>
      <c r="AL126" s="315">
        <v>0</v>
      </c>
      <c r="AM126" s="315">
        <v>0</v>
      </c>
      <c r="AN126" s="315">
        <v>0</v>
      </c>
      <c r="AO126" s="315">
        <v>0</v>
      </c>
      <c r="AP126" s="315">
        <v>0</v>
      </c>
      <c r="AQ126" s="315">
        <v>0</v>
      </c>
      <c r="AR126" s="315">
        <v>0</v>
      </c>
      <c r="AS126" s="315">
        <v>0</v>
      </c>
      <c r="AT126" s="315">
        <v>0</v>
      </c>
      <c r="AU126" s="315">
        <v>0</v>
      </c>
      <c r="AV126" s="315">
        <v>0</v>
      </c>
      <c r="AW126" s="315">
        <v>0</v>
      </c>
      <c r="AX126" s="315">
        <v>0</v>
      </c>
      <c r="AY126" s="315">
        <v>0</v>
      </c>
      <c r="AZ126" s="315">
        <v>0</v>
      </c>
      <c r="BA126" s="315">
        <v>0</v>
      </c>
      <c r="BB126" s="315">
        <v>0</v>
      </c>
      <c r="BC126" s="315">
        <v>0</v>
      </c>
      <c r="BD126" s="315">
        <v>0</v>
      </c>
      <c r="BE126" s="315">
        <v>0</v>
      </c>
      <c r="BF126" s="315">
        <v>0</v>
      </c>
      <c r="BG126" s="315">
        <v>0</v>
      </c>
      <c r="BH126" s="315">
        <v>0</v>
      </c>
      <c r="BI126" s="315">
        <v>0</v>
      </c>
      <c r="BJ126" s="315">
        <v>0</v>
      </c>
      <c r="BK126" s="315">
        <v>0</v>
      </c>
      <c r="BL126" s="315">
        <v>0</v>
      </c>
      <c r="BM126" s="315">
        <v>0</v>
      </c>
      <c r="BN126" s="315">
        <v>0</v>
      </c>
      <c r="BO126" s="315">
        <v>0</v>
      </c>
      <c r="BU126" s="315">
        <v>0</v>
      </c>
      <c r="BV126" s="315">
        <v>0</v>
      </c>
    </row>
    <row r="127" spans="12:74" hidden="1" x14ac:dyDescent="0.2">
      <c r="L127" s="315">
        <v>21066080</v>
      </c>
      <c r="M127" s="315">
        <v>0</v>
      </c>
      <c r="N127" s="315">
        <v>0</v>
      </c>
      <c r="O127" s="315">
        <v>0</v>
      </c>
      <c r="P127" s="315">
        <v>0</v>
      </c>
      <c r="Q127" s="315">
        <v>0</v>
      </c>
      <c r="R127" s="315">
        <v>0</v>
      </c>
      <c r="S127" s="315">
        <v>0</v>
      </c>
      <c r="T127" s="315">
        <v>0</v>
      </c>
      <c r="U127" s="315">
        <v>0</v>
      </c>
      <c r="V127" s="315">
        <v>0</v>
      </c>
      <c r="W127" s="315">
        <v>0</v>
      </c>
      <c r="X127" s="315">
        <v>0</v>
      </c>
      <c r="Y127" s="315">
        <v>0</v>
      </c>
      <c r="Z127" s="315">
        <v>0</v>
      </c>
      <c r="AA127" s="315">
        <v>0</v>
      </c>
      <c r="AB127" s="315">
        <v>0</v>
      </c>
      <c r="AC127" s="315">
        <v>0</v>
      </c>
      <c r="AD127" s="315">
        <v>0</v>
      </c>
      <c r="AE127" s="315">
        <v>0</v>
      </c>
      <c r="AF127" s="315">
        <v>0</v>
      </c>
      <c r="AG127" s="315">
        <v>0</v>
      </c>
      <c r="AH127" s="315">
        <v>0</v>
      </c>
      <c r="AI127" s="315">
        <v>0</v>
      </c>
      <c r="AJ127" s="315">
        <v>0</v>
      </c>
      <c r="AK127" s="315">
        <v>0</v>
      </c>
      <c r="AL127" s="315">
        <v>0</v>
      </c>
      <c r="AM127" s="315">
        <v>0</v>
      </c>
      <c r="AN127" s="315">
        <v>0</v>
      </c>
      <c r="AO127" s="315">
        <v>0</v>
      </c>
      <c r="AP127" s="315">
        <v>0</v>
      </c>
      <c r="AQ127" s="315">
        <v>0</v>
      </c>
      <c r="AR127" s="315">
        <v>0</v>
      </c>
      <c r="AS127" s="315">
        <v>0</v>
      </c>
      <c r="AT127" s="315">
        <v>0</v>
      </c>
      <c r="AU127" s="315">
        <v>0</v>
      </c>
      <c r="AV127" s="315">
        <v>0</v>
      </c>
      <c r="AW127" s="315">
        <v>0</v>
      </c>
      <c r="AX127" s="315">
        <v>0</v>
      </c>
      <c r="AY127" s="315">
        <v>0</v>
      </c>
      <c r="AZ127" s="315">
        <v>0</v>
      </c>
      <c r="BA127" s="315">
        <v>0</v>
      </c>
      <c r="BB127" s="315">
        <v>0</v>
      </c>
      <c r="BC127" s="315">
        <v>0</v>
      </c>
      <c r="BD127" s="315">
        <v>0</v>
      </c>
      <c r="BE127" s="315">
        <v>0</v>
      </c>
      <c r="BF127" s="315">
        <v>0</v>
      </c>
      <c r="BG127" s="315">
        <v>0</v>
      </c>
      <c r="BH127" s="315">
        <v>0</v>
      </c>
      <c r="BI127" s="315">
        <v>0</v>
      </c>
      <c r="BJ127" s="315">
        <v>0</v>
      </c>
      <c r="BK127" s="315">
        <v>0</v>
      </c>
      <c r="BL127" s="315">
        <v>0</v>
      </c>
      <c r="BM127" s="315">
        <v>0</v>
      </c>
      <c r="BN127" s="315">
        <v>0</v>
      </c>
      <c r="BO127" s="315">
        <v>0</v>
      </c>
      <c r="BU127" s="315">
        <v>0</v>
      </c>
      <c r="BV127" s="315">
        <v>0</v>
      </c>
    </row>
    <row r="128" spans="12:74" hidden="1" x14ac:dyDescent="0.2">
      <c r="L128" s="315">
        <v>0</v>
      </c>
      <c r="M128" s="315">
        <v>0</v>
      </c>
      <c r="N128" s="315">
        <v>0</v>
      </c>
      <c r="O128" s="315">
        <v>0</v>
      </c>
      <c r="P128" s="315">
        <v>0</v>
      </c>
      <c r="Q128" s="315">
        <v>0</v>
      </c>
      <c r="R128" s="315">
        <v>0</v>
      </c>
      <c r="S128" s="315">
        <v>0</v>
      </c>
      <c r="T128" s="315">
        <v>0</v>
      </c>
      <c r="U128" s="315">
        <v>0</v>
      </c>
      <c r="V128" s="315">
        <v>0</v>
      </c>
      <c r="W128" s="315">
        <v>0</v>
      </c>
      <c r="X128" s="315">
        <v>0</v>
      </c>
      <c r="Y128" s="315">
        <v>0</v>
      </c>
      <c r="Z128" s="315">
        <v>0</v>
      </c>
      <c r="AA128" s="315">
        <v>0</v>
      </c>
      <c r="AB128" s="315">
        <v>0</v>
      </c>
      <c r="AC128" s="315">
        <v>0</v>
      </c>
      <c r="AD128" s="315">
        <v>0</v>
      </c>
      <c r="AE128" s="315">
        <v>0</v>
      </c>
      <c r="AF128" s="315">
        <v>0</v>
      </c>
      <c r="AG128" s="315">
        <v>0</v>
      </c>
      <c r="AH128" s="315">
        <v>0</v>
      </c>
      <c r="AI128" s="315">
        <v>0</v>
      </c>
      <c r="AJ128" s="315">
        <v>0</v>
      </c>
      <c r="AK128" s="315">
        <v>0</v>
      </c>
      <c r="AL128" s="315">
        <v>0</v>
      </c>
      <c r="AM128" s="315">
        <v>0</v>
      </c>
      <c r="AN128" s="315">
        <v>0</v>
      </c>
      <c r="AO128" s="315">
        <v>0</v>
      </c>
      <c r="AP128" s="315">
        <v>0</v>
      </c>
      <c r="AQ128" s="315">
        <v>0</v>
      </c>
      <c r="AR128" s="315">
        <v>0</v>
      </c>
      <c r="AS128" s="315">
        <v>0</v>
      </c>
      <c r="AT128" s="315">
        <v>0</v>
      </c>
      <c r="AU128" s="315">
        <v>0</v>
      </c>
      <c r="AV128" s="315">
        <v>0</v>
      </c>
      <c r="AW128" s="315">
        <v>0</v>
      </c>
      <c r="AX128" s="315">
        <v>0</v>
      </c>
      <c r="AY128" s="315">
        <v>0</v>
      </c>
      <c r="AZ128" s="315">
        <v>0</v>
      </c>
      <c r="BA128" s="315">
        <v>0</v>
      </c>
      <c r="BB128" s="315">
        <v>0</v>
      </c>
      <c r="BC128" s="315">
        <v>0</v>
      </c>
      <c r="BD128" s="315">
        <v>0</v>
      </c>
      <c r="BE128" s="315">
        <v>0</v>
      </c>
      <c r="BF128" s="315">
        <v>0</v>
      </c>
      <c r="BG128" s="315">
        <v>0</v>
      </c>
      <c r="BH128" s="315">
        <v>0</v>
      </c>
      <c r="BI128" s="315">
        <v>0</v>
      </c>
      <c r="BJ128" s="315">
        <v>0</v>
      </c>
      <c r="BK128" s="315">
        <v>0</v>
      </c>
      <c r="BL128" s="315">
        <v>0</v>
      </c>
      <c r="BM128" s="315">
        <v>0</v>
      </c>
      <c r="BN128" s="315">
        <v>0</v>
      </c>
      <c r="BO128" s="315">
        <v>0</v>
      </c>
      <c r="BU128" s="315">
        <v>0</v>
      </c>
      <c r="BV128" s="315">
        <v>0</v>
      </c>
    </row>
    <row r="129" spans="12:74" hidden="1" x14ac:dyDescent="0.2">
      <c r="L129" s="315">
        <v>0</v>
      </c>
      <c r="M129" s="315">
        <v>0</v>
      </c>
      <c r="N129" s="315">
        <v>0</v>
      </c>
      <c r="O129" s="315">
        <v>0</v>
      </c>
      <c r="P129" s="315">
        <v>0</v>
      </c>
      <c r="Q129" s="315">
        <v>0</v>
      </c>
      <c r="R129" s="315">
        <v>0</v>
      </c>
      <c r="S129" s="315">
        <v>0</v>
      </c>
      <c r="T129" s="315">
        <v>0</v>
      </c>
      <c r="U129" s="315">
        <v>0</v>
      </c>
      <c r="V129" s="315">
        <v>0</v>
      </c>
      <c r="W129" s="315">
        <v>0</v>
      </c>
      <c r="X129" s="315">
        <v>0</v>
      </c>
      <c r="Y129" s="315">
        <v>0</v>
      </c>
      <c r="Z129" s="315">
        <v>0</v>
      </c>
      <c r="AA129" s="315">
        <v>0</v>
      </c>
      <c r="AB129" s="315">
        <v>0</v>
      </c>
      <c r="AC129" s="315">
        <v>0</v>
      </c>
      <c r="AD129" s="315">
        <v>0</v>
      </c>
      <c r="AE129" s="315">
        <v>0</v>
      </c>
      <c r="AF129" s="315">
        <v>0</v>
      </c>
      <c r="AG129" s="315">
        <v>0</v>
      </c>
      <c r="AH129" s="315">
        <v>0</v>
      </c>
      <c r="AI129" s="315">
        <v>0</v>
      </c>
      <c r="AJ129" s="315">
        <v>0</v>
      </c>
      <c r="AK129" s="315">
        <v>0</v>
      </c>
      <c r="AL129" s="315">
        <v>0</v>
      </c>
      <c r="AM129" s="315">
        <v>0</v>
      </c>
      <c r="AN129" s="315">
        <v>0</v>
      </c>
      <c r="AO129" s="315">
        <v>0</v>
      </c>
      <c r="AP129" s="315">
        <v>0</v>
      </c>
      <c r="AQ129" s="315">
        <v>0</v>
      </c>
      <c r="AR129" s="315">
        <v>0</v>
      </c>
      <c r="AS129" s="315">
        <v>0</v>
      </c>
      <c r="AT129" s="315">
        <v>0</v>
      </c>
      <c r="AU129" s="315">
        <v>0</v>
      </c>
      <c r="AV129" s="315">
        <v>0</v>
      </c>
      <c r="AW129" s="315">
        <v>0</v>
      </c>
      <c r="AX129" s="315">
        <v>0</v>
      </c>
      <c r="AY129" s="315">
        <v>0</v>
      </c>
      <c r="AZ129" s="315">
        <v>0</v>
      </c>
      <c r="BA129" s="315">
        <v>0</v>
      </c>
      <c r="BB129" s="315">
        <v>0</v>
      </c>
      <c r="BC129" s="315">
        <v>0</v>
      </c>
      <c r="BD129" s="315">
        <v>0</v>
      </c>
      <c r="BE129" s="315">
        <v>0</v>
      </c>
      <c r="BF129" s="315">
        <v>0</v>
      </c>
      <c r="BG129" s="315">
        <v>0</v>
      </c>
      <c r="BH129" s="315">
        <v>0</v>
      </c>
      <c r="BI129" s="315">
        <v>0</v>
      </c>
      <c r="BJ129" s="315">
        <v>0</v>
      </c>
      <c r="BK129" s="315">
        <v>0</v>
      </c>
      <c r="BL129" s="315">
        <v>0</v>
      </c>
      <c r="BM129" s="315">
        <v>0</v>
      </c>
      <c r="BN129" s="315">
        <v>0</v>
      </c>
      <c r="BO129" s="315">
        <v>0</v>
      </c>
      <c r="BU129" s="315">
        <v>0</v>
      </c>
      <c r="BV129" s="315">
        <v>0</v>
      </c>
    </row>
    <row r="130" spans="12:74" hidden="1" x14ac:dyDescent="0.2">
      <c r="L130" s="315">
        <v>0</v>
      </c>
      <c r="M130" s="315">
        <v>0</v>
      </c>
      <c r="N130" s="315">
        <v>0</v>
      </c>
      <c r="O130" s="315">
        <v>0</v>
      </c>
      <c r="P130" s="315">
        <v>0</v>
      </c>
      <c r="Q130" s="315">
        <v>0</v>
      </c>
      <c r="R130" s="315">
        <v>0</v>
      </c>
      <c r="S130" s="315">
        <v>0</v>
      </c>
      <c r="T130" s="315">
        <v>0</v>
      </c>
      <c r="U130" s="315">
        <v>0</v>
      </c>
      <c r="V130" s="315">
        <v>0</v>
      </c>
      <c r="W130" s="315">
        <v>0</v>
      </c>
      <c r="X130" s="315">
        <v>0</v>
      </c>
      <c r="Y130" s="315">
        <v>0</v>
      </c>
      <c r="Z130" s="315">
        <v>0</v>
      </c>
      <c r="AA130" s="315">
        <v>0</v>
      </c>
      <c r="AB130" s="315">
        <v>0</v>
      </c>
      <c r="AC130" s="315">
        <v>0</v>
      </c>
      <c r="AD130" s="315">
        <v>0</v>
      </c>
      <c r="AE130" s="315">
        <v>0</v>
      </c>
      <c r="AF130" s="315">
        <v>0</v>
      </c>
      <c r="AG130" s="315">
        <v>0</v>
      </c>
      <c r="AH130" s="315">
        <v>0</v>
      </c>
      <c r="AI130" s="315">
        <v>0</v>
      </c>
      <c r="AJ130" s="315">
        <v>0</v>
      </c>
      <c r="AK130" s="315">
        <v>0</v>
      </c>
      <c r="AL130" s="315">
        <v>0</v>
      </c>
      <c r="AM130" s="315">
        <v>0</v>
      </c>
      <c r="AN130" s="315">
        <v>0</v>
      </c>
      <c r="AO130" s="315">
        <v>0</v>
      </c>
      <c r="AP130" s="315">
        <v>0</v>
      </c>
      <c r="AQ130" s="315">
        <v>0</v>
      </c>
      <c r="AR130" s="315">
        <v>0</v>
      </c>
      <c r="AS130" s="315">
        <v>0</v>
      </c>
      <c r="AT130" s="315">
        <v>0</v>
      </c>
      <c r="AU130" s="315">
        <v>0</v>
      </c>
      <c r="AV130" s="315">
        <v>0</v>
      </c>
      <c r="AW130" s="315">
        <v>0</v>
      </c>
      <c r="AX130" s="315">
        <v>0</v>
      </c>
      <c r="AY130" s="315">
        <v>0</v>
      </c>
      <c r="AZ130" s="315">
        <v>0</v>
      </c>
      <c r="BA130" s="315">
        <v>0</v>
      </c>
      <c r="BB130" s="315">
        <v>0</v>
      </c>
      <c r="BC130" s="315">
        <v>0</v>
      </c>
      <c r="BD130" s="315">
        <v>0</v>
      </c>
      <c r="BE130" s="315">
        <v>0</v>
      </c>
      <c r="BF130" s="315">
        <v>0</v>
      </c>
      <c r="BG130" s="315">
        <v>0</v>
      </c>
      <c r="BH130" s="315">
        <v>0</v>
      </c>
      <c r="BI130" s="315">
        <v>0</v>
      </c>
      <c r="BJ130" s="315">
        <v>0</v>
      </c>
      <c r="BK130" s="315">
        <v>0</v>
      </c>
      <c r="BL130" s="315">
        <v>0</v>
      </c>
      <c r="BM130" s="315">
        <v>0</v>
      </c>
      <c r="BN130" s="315">
        <v>0</v>
      </c>
      <c r="BO130" s="315">
        <v>0</v>
      </c>
      <c r="BU130" s="315">
        <v>0</v>
      </c>
      <c r="BV130" s="315">
        <v>0</v>
      </c>
    </row>
    <row r="131" spans="12:74" hidden="1" x14ac:dyDescent="0.2">
      <c r="L131" s="315">
        <v>24075520</v>
      </c>
      <c r="M131" s="315">
        <v>0</v>
      </c>
      <c r="N131" s="315">
        <v>0</v>
      </c>
      <c r="O131" s="315">
        <v>0</v>
      </c>
      <c r="P131" s="315">
        <v>0</v>
      </c>
      <c r="Q131" s="315">
        <v>0</v>
      </c>
      <c r="R131" s="315">
        <v>0</v>
      </c>
      <c r="S131" s="315">
        <v>0</v>
      </c>
      <c r="T131" s="315">
        <v>0</v>
      </c>
      <c r="U131" s="315">
        <v>0</v>
      </c>
      <c r="V131" s="315">
        <v>0</v>
      </c>
      <c r="W131" s="315">
        <v>0</v>
      </c>
      <c r="X131" s="315">
        <v>0</v>
      </c>
      <c r="Y131" s="315">
        <v>0</v>
      </c>
      <c r="Z131" s="315">
        <v>0</v>
      </c>
      <c r="AA131" s="315">
        <v>0</v>
      </c>
      <c r="AB131" s="315">
        <v>0</v>
      </c>
      <c r="AC131" s="315">
        <v>0</v>
      </c>
      <c r="AD131" s="315">
        <v>0</v>
      </c>
      <c r="AE131" s="315">
        <v>0</v>
      </c>
      <c r="AF131" s="315">
        <v>0</v>
      </c>
      <c r="AG131" s="315">
        <v>0</v>
      </c>
      <c r="AH131" s="315">
        <v>0</v>
      </c>
      <c r="AI131" s="315">
        <v>0</v>
      </c>
      <c r="AJ131" s="315">
        <v>0</v>
      </c>
      <c r="AK131" s="315">
        <v>0</v>
      </c>
      <c r="AL131" s="315">
        <v>0</v>
      </c>
      <c r="AM131" s="315">
        <v>0</v>
      </c>
      <c r="AN131" s="315">
        <v>0</v>
      </c>
      <c r="AO131" s="315">
        <v>0</v>
      </c>
      <c r="AP131" s="315">
        <v>0</v>
      </c>
      <c r="AQ131" s="315">
        <v>0</v>
      </c>
      <c r="AR131" s="315">
        <v>0</v>
      </c>
      <c r="AS131" s="315">
        <v>0</v>
      </c>
      <c r="AT131" s="315">
        <v>0</v>
      </c>
      <c r="AU131" s="315">
        <v>0</v>
      </c>
      <c r="AV131" s="315">
        <v>0</v>
      </c>
      <c r="AW131" s="315">
        <v>0</v>
      </c>
      <c r="AX131" s="315">
        <v>0</v>
      </c>
      <c r="AY131" s="315">
        <v>0</v>
      </c>
      <c r="AZ131" s="315">
        <v>0</v>
      </c>
      <c r="BA131" s="315">
        <v>0</v>
      </c>
      <c r="BB131" s="315">
        <v>0</v>
      </c>
      <c r="BC131" s="315">
        <v>0</v>
      </c>
      <c r="BD131" s="315">
        <v>0</v>
      </c>
      <c r="BE131" s="315">
        <v>0</v>
      </c>
      <c r="BF131" s="315">
        <v>0</v>
      </c>
      <c r="BG131" s="315">
        <v>0</v>
      </c>
      <c r="BH131" s="315">
        <v>0</v>
      </c>
      <c r="BI131" s="315">
        <v>0</v>
      </c>
      <c r="BJ131" s="315">
        <v>0</v>
      </c>
      <c r="BK131" s="315">
        <v>0</v>
      </c>
      <c r="BL131" s="315">
        <v>0</v>
      </c>
      <c r="BM131" s="315">
        <v>0</v>
      </c>
      <c r="BN131" s="315">
        <v>0</v>
      </c>
      <c r="BO131" s="315">
        <v>0</v>
      </c>
      <c r="BU131" s="315">
        <v>0</v>
      </c>
      <c r="BV131" s="315">
        <v>0</v>
      </c>
    </row>
    <row r="132" spans="12:74" hidden="1" x14ac:dyDescent="0.2">
      <c r="L132" s="315">
        <v>24075520</v>
      </c>
      <c r="M132" s="315">
        <v>0</v>
      </c>
      <c r="N132" s="315">
        <v>0</v>
      </c>
      <c r="O132" s="315">
        <v>0</v>
      </c>
      <c r="P132" s="315">
        <v>0</v>
      </c>
      <c r="Q132" s="315">
        <v>0</v>
      </c>
      <c r="R132" s="315">
        <v>0</v>
      </c>
      <c r="S132" s="315">
        <v>0</v>
      </c>
      <c r="T132" s="315">
        <v>0</v>
      </c>
      <c r="U132" s="315">
        <v>0</v>
      </c>
      <c r="V132" s="315">
        <v>0</v>
      </c>
      <c r="W132" s="315">
        <v>0</v>
      </c>
      <c r="X132" s="315">
        <v>0</v>
      </c>
      <c r="Y132" s="315">
        <v>0</v>
      </c>
      <c r="Z132" s="315">
        <v>0</v>
      </c>
      <c r="AA132" s="315">
        <v>0</v>
      </c>
      <c r="AB132" s="315">
        <v>0</v>
      </c>
      <c r="AC132" s="315">
        <v>0</v>
      </c>
      <c r="AD132" s="315">
        <v>0</v>
      </c>
      <c r="AE132" s="315">
        <v>0</v>
      </c>
      <c r="AF132" s="315">
        <v>0</v>
      </c>
      <c r="AG132" s="315">
        <v>0</v>
      </c>
      <c r="AH132" s="315">
        <v>0</v>
      </c>
      <c r="AI132" s="315">
        <v>0</v>
      </c>
      <c r="AJ132" s="315">
        <v>0</v>
      </c>
      <c r="AK132" s="315">
        <v>0</v>
      </c>
      <c r="AL132" s="315">
        <v>0</v>
      </c>
      <c r="AM132" s="315">
        <v>0</v>
      </c>
      <c r="AN132" s="315">
        <v>0</v>
      </c>
      <c r="AO132" s="315">
        <v>0</v>
      </c>
      <c r="AP132" s="315">
        <v>0</v>
      </c>
      <c r="AQ132" s="315">
        <v>0</v>
      </c>
      <c r="AR132" s="315">
        <v>0</v>
      </c>
      <c r="AS132" s="315">
        <v>0</v>
      </c>
      <c r="AT132" s="315">
        <v>0</v>
      </c>
      <c r="AU132" s="315">
        <v>0</v>
      </c>
      <c r="AV132" s="315">
        <v>0</v>
      </c>
      <c r="AW132" s="315">
        <v>0</v>
      </c>
      <c r="AX132" s="315">
        <v>0</v>
      </c>
      <c r="AY132" s="315">
        <v>0</v>
      </c>
      <c r="AZ132" s="315">
        <v>0</v>
      </c>
      <c r="BA132" s="315">
        <v>0</v>
      </c>
      <c r="BB132" s="315">
        <v>0</v>
      </c>
      <c r="BC132" s="315">
        <v>0</v>
      </c>
      <c r="BD132" s="315">
        <v>0</v>
      </c>
      <c r="BE132" s="315">
        <v>0</v>
      </c>
      <c r="BF132" s="315">
        <v>0</v>
      </c>
      <c r="BG132" s="315">
        <v>0</v>
      </c>
      <c r="BH132" s="315">
        <v>0</v>
      </c>
      <c r="BI132" s="315">
        <v>0</v>
      </c>
      <c r="BJ132" s="315">
        <v>0</v>
      </c>
      <c r="BK132" s="315">
        <v>0</v>
      </c>
      <c r="BL132" s="315">
        <v>0</v>
      </c>
      <c r="BM132" s="315">
        <v>0</v>
      </c>
      <c r="BN132" s="315">
        <v>0</v>
      </c>
      <c r="BO132" s="315">
        <v>0</v>
      </c>
      <c r="BU132" s="315" t="e">
        <v>#REF!</v>
      </c>
      <c r="BV132" s="315" t="e">
        <v>#REF!</v>
      </c>
    </row>
    <row r="133" spans="12:74" hidden="1" x14ac:dyDescent="0.2">
      <c r="L133" s="315">
        <v>0</v>
      </c>
      <c r="M133" s="315">
        <v>0</v>
      </c>
      <c r="N133" s="315">
        <v>0</v>
      </c>
      <c r="O133" s="315">
        <v>0</v>
      </c>
      <c r="P133" s="315">
        <v>0</v>
      </c>
      <c r="Q133" s="315">
        <v>0</v>
      </c>
      <c r="R133" s="315">
        <v>0</v>
      </c>
      <c r="S133" s="315">
        <v>0</v>
      </c>
      <c r="T133" s="315">
        <v>0</v>
      </c>
      <c r="U133" s="315">
        <v>0</v>
      </c>
      <c r="V133" s="315">
        <v>0</v>
      </c>
      <c r="W133" s="315">
        <v>0</v>
      </c>
      <c r="X133" s="315">
        <v>0</v>
      </c>
      <c r="Y133" s="315">
        <v>0</v>
      </c>
      <c r="Z133" s="315">
        <v>0</v>
      </c>
      <c r="AA133" s="315">
        <v>0</v>
      </c>
      <c r="AB133" s="315">
        <v>0</v>
      </c>
      <c r="AC133" s="315">
        <v>0</v>
      </c>
      <c r="AD133" s="315">
        <v>0</v>
      </c>
      <c r="AE133" s="315">
        <v>0</v>
      </c>
      <c r="AF133" s="315">
        <v>0</v>
      </c>
      <c r="AG133" s="315">
        <v>0</v>
      </c>
      <c r="AH133" s="315">
        <v>0</v>
      </c>
      <c r="AI133" s="315">
        <v>0</v>
      </c>
      <c r="AJ133" s="315">
        <v>0</v>
      </c>
      <c r="AK133" s="315">
        <v>0</v>
      </c>
      <c r="AL133" s="315">
        <v>0</v>
      </c>
      <c r="AM133" s="315">
        <v>0</v>
      </c>
      <c r="AN133" s="315">
        <v>0</v>
      </c>
      <c r="AO133" s="315">
        <v>0</v>
      </c>
      <c r="AP133" s="315">
        <v>0</v>
      </c>
      <c r="AQ133" s="315">
        <v>0</v>
      </c>
      <c r="AR133" s="315">
        <v>0</v>
      </c>
      <c r="AS133" s="315">
        <v>0</v>
      </c>
      <c r="AT133" s="315">
        <v>0</v>
      </c>
      <c r="AU133" s="315">
        <v>0</v>
      </c>
      <c r="AV133" s="315">
        <v>0</v>
      </c>
      <c r="AW133" s="315">
        <v>0</v>
      </c>
      <c r="AX133" s="315">
        <v>0</v>
      </c>
      <c r="AY133" s="315">
        <v>0</v>
      </c>
      <c r="AZ133" s="315">
        <v>0</v>
      </c>
      <c r="BA133" s="315">
        <v>0</v>
      </c>
      <c r="BB133" s="315">
        <v>0</v>
      </c>
      <c r="BC133" s="315">
        <v>0</v>
      </c>
      <c r="BD133" s="315">
        <v>0</v>
      </c>
      <c r="BE133" s="315">
        <v>0</v>
      </c>
      <c r="BF133" s="315">
        <v>0</v>
      </c>
      <c r="BG133" s="315">
        <v>0</v>
      </c>
      <c r="BH133" s="315">
        <v>0</v>
      </c>
      <c r="BI133" s="315">
        <v>0</v>
      </c>
      <c r="BJ133" s="315">
        <v>0</v>
      </c>
      <c r="BK133" s="315">
        <v>0</v>
      </c>
      <c r="BL133" s="315">
        <v>0</v>
      </c>
      <c r="BM133" s="315">
        <v>0</v>
      </c>
      <c r="BN133" s="315">
        <v>0</v>
      </c>
      <c r="BO133" s="315">
        <v>0</v>
      </c>
      <c r="BU133" s="315" t="e">
        <v>#REF!</v>
      </c>
      <c r="BV133" s="315" t="e">
        <v>#REF!</v>
      </c>
    </row>
    <row r="134" spans="12:74" hidden="1" x14ac:dyDescent="0.2">
      <c r="L134" s="315">
        <v>0</v>
      </c>
      <c r="M134" s="315">
        <v>0</v>
      </c>
      <c r="N134" s="315">
        <v>0</v>
      </c>
      <c r="O134" s="315">
        <v>0</v>
      </c>
      <c r="P134" s="315">
        <v>0</v>
      </c>
      <c r="Q134" s="315">
        <v>0</v>
      </c>
      <c r="R134" s="315">
        <v>0</v>
      </c>
      <c r="S134" s="315">
        <v>0</v>
      </c>
      <c r="T134" s="315">
        <v>0</v>
      </c>
      <c r="U134" s="315">
        <v>0</v>
      </c>
      <c r="V134" s="315">
        <v>0</v>
      </c>
      <c r="W134" s="315">
        <v>0</v>
      </c>
      <c r="X134" s="315">
        <v>0</v>
      </c>
      <c r="Y134" s="315">
        <v>0</v>
      </c>
      <c r="Z134" s="315">
        <v>0</v>
      </c>
      <c r="AA134" s="315">
        <v>0</v>
      </c>
      <c r="AB134" s="315">
        <v>0</v>
      </c>
      <c r="AC134" s="315">
        <v>0</v>
      </c>
      <c r="AD134" s="315">
        <v>0</v>
      </c>
      <c r="AE134" s="315">
        <v>0</v>
      </c>
      <c r="AF134" s="315">
        <v>0</v>
      </c>
      <c r="AG134" s="315">
        <v>0</v>
      </c>
      <c r="AH134" s="315">
        <v>0</v>
      </c>
      <c r="AI134" s="315">
        <v>0</v>
      </c>
      <c r="AJ134" s="315">
        <v>0</v>
      </c>
      <c r="AK134" s="315">
        <v>0</v>
      </c>
      <c r="AL134" s="315">
        <v>0</v>
      </c>
      <c r="AM134" s="315">
        <v>0</v>
      </c>
      <c r="AN134" s="315">
        <v>0</v>
      </c>
      <c r="AO134" s="315">
        <v>0</v>
      </c>
      <c r="AP134" s="315">
        <v>0</v>
      </c>
      <c r="AQ134" s="315">
        <v>0</v>
      </c>
      <c r="AR134" s="315">
        <v>0</v>
      </c>
      <c r="AS134" s="315">
        <v>0</v>
      </c>
      <c r="AT134" s="315">
        <v>0</v>
      </c>
      <c r="AU134" s="315">
        <v>0</v>
      </c>
      <c r="AV134" s="315">
        <v>0</v>
      </c>
      <c r="AW134" s="315">
        <v>0</v>
      </c>
      <c r="AX134" s="315">
        <v>0</v>
      </c>
      <c r="AY134" s="315">
        <v>0</v>
      </c>
      <c r="AZ134" s="315">
        <v>0</v>
      </c>
      <c r="BA134" s="315">
        <v>0</v>
      </c>
      <c r="BB134" s="315">
        <v>0</v>
      </c>
      <c r="BC134" s="315">
        <v>0</v>
      </c>
      <c r="BD134" s="315">
        <v>0</v>
      </c>
      <c r="BE134" s="315">
        <v>0</v>
      </c>
      <c r="BF134" s="315">
        <v>0</v>
      </c>
      <c r="BG134" s="315">
        <v>0</v>
      </c>
      <c r="BH134" s="315">
        <v>0</v>
      </c>
      <c r="BI134" s="315">
        <v>0</v>
      </c>
      <c r="BJ134" s="315">
        <v>0</v>
      </c>
      <c r="BK134" s="315">
        <v>0</v>
      </c>
      <c r="BL134" s="315">
        <v>0</v>
      </c>
      <c r="BM134" s="315">
        <v>0</v>
      </c>
      <c r="BN134" s="315">
        <v>0</v>
      </c>
      <c r="BO134" s="315">
        <v>0</v>
      </c>
      <c r="BU134" s="315" t="e">
        <v>#REF!</v>
      </c>
      <c r="BV134" s="315" t="e">
        <v>#REF!</v>
      </c>
    </row>
    <row r="135" spans="12:74" hidden="1" x14ac:dyDescent="0.2">
      <c r="L135" s="315">
        <v>0</v>
      </c>
      <c r="M135" s="315">
        <v>0</v>
      </c>
      <c r="N135" s="315">
        <v>0</v>
      </c>
      <c r="O135" s="315">
        <v>0</v>
      </c>
      <c r="P135" s="315">
        <v>0</v>
      </c>
      <c r="Q135" s="315">
        <v>0</v>
      </c>
      <c r="R135" s="315">
        <v>0</v>
      </c>
      <c r="S135" s="315">
        <v>0</v>
      </c>
      <c r="T135" s="315">
        <v>0</v>
      </c>
      <c r="U135" s="315">
        <v>0</v>
      </c>
      <c r="V135" s="315">
        <v>0</v>
      </c>
      <c r="W135" s="315">
        <v>0</v>
      </c>
      <c r="X135" s="315">
        <v>0</v>
      </c>
      <c r="Y135" s="315">
        <v>0</v>
      </c>
      <c r="Z135" s="315">
        <v>0</v>
      </c>
      <c r="AA135" s="315">
        <v>0</v>
      </c>
      <c r="AB135" s="315">
        <v>0</v>
      </c>
      <c r="AC135" s="315">
        <v>0</v>
      </c>
      <c r="AD135" s="315">
        <v>0</v>
      </c>
      <c r="AE135" s="315">
        <v>0</v>
      </c>
      <c r="AF135" s="315">
        <v>0</v>
      </c>
      <c r="AG135" s="315">
        <v>0</v>
      </c>
      <c r="AH135" s="315">
        <v>0</v>
      </c>
      <c r="AI135" s="315">
        <v>0</v>
      </c>
      <c r="AJ135" s="315">
        <v>0</v>
      </c>
      <c r="AK135" s="315">
        <v>0</v>
      </c>
      <c r="AL135" s="315">
        <v>0</v>
      </c>
      <c r="AM135" s="315">
        <v>0</v>
      </c>
      <c r="AN135" s="315">
        <v>0</v>
      </c>
      <c r="AO135" s="315">
        <v>0</v>
      </c>
      <c r="AP135" s="315">
        <v>0</v>
      </c>
      <c r="AQ135" s="315">
        <v>0</v>
      </c>
      <c r="AR135" s="315">
        <v>0</v>
      </c>
      <c r="AS135" s="315">
        <v>0</v>
      </c>
      <c r="AT135" s="315">
        <v>0</v>
      </c>
      <c r="AU135" s="315">
        <v>0</v>
      </c>
      <c r="AV135" s="315">
        <v>0</v>
      </c>
      <c r="AW135" s="315">
        <v>0</v>
      </c>
      <c r="AX135" s="315">
        <v>0</v>
      </c>
      <c r="AY135" s="315">
        <v>0</v>
      </c>
      <c r="AZ135" s="315">
        <v>0</v>
      </c>
      <c r="BA135" s="315">
        <v>0</v>
      </c>
      <c r="BB135" s="315">
        <v>0</v>
      </c>
      <c r="BC135" s="315">
        <v>0</v>
      </c>
      <c r="BD135" s="315">
        <v>0</v>
      </c>
      <c r="BE135" s="315">
        <v>0</v>
      </c>
      <c r="BF135" s="315">
        <v>0</v>
      </c>
      <c r="BG135" s="315">
        <v>0</v>
      </c>
      <c r="BH135" s="315">
        <v>0</v>
      </c>
      <c r="BI135" s="315">
        <v>0</v>
      </c>
      <c r="BJ135" s="315">
        <v>0</v>
      </c>
      <c r="BK135" s="315">
        <v>0</v>
      </c>
      <c r="BL135" s="315">
        <v>0</v>
      </c>
      <c r="BM135" s="315">
        <v>0</v>
      </c>
      <c r="BN135" s="315">
        <v>0</v>
      </c>
      <c r="BO135" s="315">
        <v>0</v>
      </c>
      <c r="BU135" s="315" t="e">
        <v>#REF!</v>
      </c>
      <c r="BV135" s="315" t="e">
        <v>#REF!</v>
      </c>
    </row>
    <row r="136" spans="12:74" hidden="1" x14ac:dyDescent="0.2">
      <c r="L136" s="315">
        <v>0</v>
      </c>
      <c r="M136" s="315">
        <v>0</v>
      </c>
      <c r="N136" s="315">
        <v>0</v>
      </c>
      <c r="O136" s="315">
        <v>0</v>
      </c>
      <c r="P136" s="315">
        <v>0</v>
      </c>
      <c r="Q136" s="315">
        <v>0</v>
      </c>
      <c r="R136" s="315">
        <v>0</v>
      </c>
      <c r="S136" s="315">
        <v>0</v>
      </c>
      <c r="T136" s="315">
        <v>0</v>
      </c>
      <c r="U136" s="315">
        <v>0</v>
      </c>
      <c r="V136" s="315">
        <v>0</v>
      </c>
      <c r="W136" s="315">
        <v>0</v>
      </c>
      <c r="X136" s="315">
        <v>0</v>
      </c>
      <c r="Y136" s="315">
        <v>0</v>
      </c>
      <c r="Z136" s="315">
        <v>0</v>
      </c>
      <c r="AA136" s="315">
        <v>0</v>
      </c>
      <c r="AB136" s="315">
        <v>0</v>
      </c>
      <c r="AC136" s="315">
        <v>0</v>
      </c>
      <c r="AD136" s="315">
        <v>0</v>
      </c>
      <c r="AE136" s="315">
        <v>0</v>
      </c>
      <c r="AF136" s="315">
        <v>0</v>
      </c>
      <c r="AG136" s="315">
        <v>0</v>
      </c>
      <c r="AH136" s="315">
        <v>0</v>
      </c>
      <c r="AI136" s="315">
        <v>0</v>
      </c>
      <c r="AJ136" s="315">
        <v>0</v>
      </c>
      <c r="AK136" s="315">
        <v>6790681</v>
      </c>
      <c r="AL136" s="315">
        <v>0</v>
      </c>
      <c r="AM136" s="315">
        <v>0</v>
      </c>
      <c r="AN136" s="315">
        <v>0</v>
      </c>
      <c r="AO136" s="315">
        <v>0</v>
      </c>
      <c r="AP136" s="315">
        <v>0</v>
      </c>
      <c r="AQ136" s="315">
        <v>0</v>
      </c>
      <c r="AR136" s="315">
        <v>0</v>
      </c>
      <c r="AS136" s="315">
        <v>0</v>
      </c>
      <c r="AT136" s="315">
        <v>0</v>
      </c>
      <c r="AU136" s="315">
        <v>0</v>
      </c>
      <c r="AV136" s="315">
        <v>0</v>
      </c>
      <c r="AW136" s="315">
        <v>0</v>
      </c>
      <c r="AX136" s="315">
        <v>0</v>
      </c>
      <c r="AY136" s="315">
        <v>0</v>
      </c>
      <c r="AZ136" s="315">
        <v>0</v>
      </c>
      <c r="BA136" s="315">
        <v>0</v>
      </c>
      <c r="BB136" s="315">
        <v>0</v>
      </c>
      <c r="BC136" s="315">
        <v>0</v>
      </c>
      <c r="BD136" s="315">
        <v>0</v>
      </c>
      <c r="BE136" s="315">
        <v>0</v>
      </c>
      <c r="BF136" s="315">
        <v>0</v>
      </c>
      <c r="BG136" s="315">
        <v>0</v>
      </c>
      <c r="BH136" s="315">
        <v>0</v>
      </c>
      <c r="BI136" s="315">
        <v>0</v>
      </c>
      <c r="BJ136" s="315">
        <v>0</v>
      </c>
      <c r="BK136" s="315">
        <v>0</v>
      </c>
      <c r="BL136" s="315">
        <v>0</v>
      </c>
      <c r="BM136" s="315">
        <v>0</v>
      </c>
      <c r="BN136" s="315">
        <v>0</v>
      </c>
      <c r="BO136" s="315">
        <v>0</v>
      </c>
      <c r="BU136" s="315" t="e">
        <v>#REF!</v>
      </c>
      <c r="BV136" s="315" t="e">
        <v>#REF!</v>
      </c>
    </row>
    <row r="137" spans="12:74" hidden="1" x14ac:dyDescent="0.2">
      <c r="L137" s="315">
        <v>0</v>
      </c>
      <c r="M137" s="315">
        <v>0</v>
      </c>
      <c r="N137" s="315">
        <v>0</v>
      </c>
      <c r="O137" s="315">
        <v>0</v>
      </c>
      <c r="P137" s="315">
        <v>0</v>
      </c>
      <c r="Q137" s="315">
        <v>0</v>
      </c>
      <c r="R137" s="315">
        <v>0</v>
      </c>
      <c r="S137" s="315">
        <v>0</v>
      </c>
      <c r="T137" s="315">
        <v>0</v>
      </c>
      <c r="U137" s="315">
        <v>0</v>
      </c>
      <c r="V137" s="315">
        <v>0</v>
      </c>
      <c r="W137" s="315">
        <v>0</v>
      </c>
      <c r="X137" s="315">
        <v>0</v>
      </c>
      <c r="Y137" s="315">
        <v>0</v>
      </c>
      <c r="Z137" s="315">
        <v>0</v>
      </c>
      <c r="AA137" s="315">
        <v>0</v>
      </c>
      <c r="AB137" s="315">
        <v>0</v>
      </c>
      <c r="AC137" s="315">
        <v>0</v>
      </c>
      <c r="AD137" s="315">
        <v>0</v>
      </c>
      <c r="AE137" s="315">
        <v>0</v>
      </c>
      <c r="AF137" s="315">
        <v>0</v>
      </c>
      <c r="AG137" s="315">
        <v>0</v>
      </c>
      <c r="AH137" s="315">
        <v>0</v>
      </c>
      <c r="AI137" s="315">
        <v>0</v>
      </c>
      <c r="AJ137" s="315">
        <v>0</v>
      </c>
      <c r="AK137" s="315">
        <v>6790681</v>
      </c>
      <c r="AL137" s="315">
        <v>0</v>
      </c>
      <c r="AM137" s="315">
        <v>0</v>
      </c>
      <c r="AN137" s="315">
        <v>0</v>
      </c>
      <c r="AO137" s="315">
        <v>0</v>
      </c>
      <c r="AP137" s="315">
        <v>0</v>
      </c>
      <c r="AQ137" s="315">
        <v>0</v>
      </c>
      <c r="AR137" s="315">
        <v>0</v>
      </c>
      <c r="AS137" s="315">
        <v>0</v>
      </c>
      <c r="AT137" s="315">
        <v>0</v>
      </c>
      <c r="AU137" s="315">
        <v>0</v>
      </c>
      <c r="AV137" s="315">
        <v>0</v>
      </c>
      <c r="AW137" s="315">
        <v>0</v>
      </c>
      <c r="AX137" s="315">
        <v>0</v>
      </c>
      <c r="AY137" s="315">
        <v>0</v>
      </c>
      <c r="AZ137" s="315">
        <v>0</v>
      </c>
      <c r="BA137" s="315">
        <v>0</v>
      </c>
      <c r="BB137" s="315">
        <v>0</v>
      </c>
      <c r="BC137" s="315">
        <v>0</v>
      </c>
      <c r="BD137" s="315">
        <v>0</v>
      </c>
      <c r="BE137" s="315">
        <v>0</v>
      </c>
      <c r="BF137" s="315">
        <v>0</v>
      </c>
      <c r="BG137" s="315">
        <v>0</v>
      </c>
      <c r="BH137" s="315">
        <v>0</v>
      </c>
      <c r="BI137" s="315">
        <v>0</v>
      </c>
      <c r="BJ137" s="315">
        <v>0</v>
      </c>
      <c r="BK137" s="315">
        <v>0</v>
      </c>
      <c r="BL137" s="315">
        <v>0</v>
      </c>
      <c r="BM137" s="315">
        <v>0</v>
      </c>
      <c r="BN137" s="315">
        <v>0</v>
      </c>
      <c r="BO137" s="315">
        <v>0</v>
      </c>
      <c r="BU137" s="315" t="e">
        <v>#REF!</v>
      </c>
      <c r="BV137" s="315" t="e">
        <v>#REF!</v>
      </c>
    </row>
    <row r="138" spans="12:74" hidden="1" x14ac:dyDescent="0.2">
      <c r="L138" s="315">
        <v>0</v>
      </c>
      <c r="M138" s="315">
        <v>0</v>
      </c>
      <c r="N138" s="315">
        <v>0</v>
      </c>
      <c r="O138" s="315">
        <v>0</v>
      </c>
      <c r="P138" s="315">
        <v>0</v>
      </c>
      <c r="Q138" s="315">
        <v>0</v>
      </c>
      <c r="R138" s="315">
        <v>0</v>
      </c>
      <c r="S138" s="315">
        <v>0</v>
      </c>
      <c r="T138" s="315">
        <v>0</v>
      </c>
      <c r="U138" s="315">
        <v>0</v>
      </c>
      <c r="V138" s="315">
        <v>0</v>
      </c>
      <c r="W138" s="315">
        <v>0</v>
      </c>
      <c r="X138" s="315">
        <v>0</v>
      </c>
      <c r="Y138" s="315">
        <v>0</v>
      </c>
      <c r="Z138" s="315">
        <v>0</v>
      </c>
      <c r="AA138" s="315">
        <v>0</v>
      </c>
      <c r="AB138" s="315">
        <v>0</v>
      </c>
      <c r="AC138" s="315">
        <v>0</v>
      </c>
      <c r="AD138" s="315">
        <v>0</v>
      </c>
      <c r="AE138" s="315">
        <v>0</v>
      </c>
      <c r="AF138" s="315">
        <v>0</v>
      </c>
      <c r="AG138" s="315">
        <v>0</v>
      </c>
      <c r="AH138" s="315">
        <v>0</v>
      </c>
      <c r="AI138" s="315">
        <v>0</v>
      </c>
      <c r="AJ138" s="315">
        <v>0</v>
      </c>
      <c r="AK138" s="315">
        <v>0</v>
      </c>
      <c r="AL138" s="315">
        <v>0</v>
      </c>
      <c r="AM138" s="315">
        <v>0</v>
      </c>
      <c r="AN138" s="315">
        <v>0</v>
      </c>
      <c r="AO138" s="315">
        <v>0</v>
      </c>
      <c r="AP138" s="315">
        <v>0</v>
      </c>
      <c r="AQ138" s="315">
        <v>0</v>
      </c>
      <c r="AR138" s="315">
        <v>0</v>
      </c>
      <c r="AS138" s="315">
        <v>0</v>
      </c>
      <c r="AT138" s="315">
        <v>0</v>
      </c>
      <c r="AU138" s="315">
        <v>0</v>
      </c>
      <c r="AV138" s="315">
        <v>0</v>
      </c>
      <c r="AW138" s="315">
        <v>0</v>
      </c>
      <c r="AX138" s="315">
        <v>0</v>
      </c>
      <c r="AY138" s="315">
        <v>0</v>
      </c>
      <c r="AZ138" s="315">
        <v>0</v>
      </c>
      <c r="BA138" s="315">
        <v>0</v>
      </c>
      <c r="BB138" s="315">
        <v>0</v>
      </c>
      <c r="BC138" s="315">
        <v>0</v>
      </c>
      <c r="BD138" s="315">
        <v>0</v>
      </c>
      <c r="BE138" s="315">
        <v>0</v>
      </c>
      <c r="BF138" s="315">
        <v>0</v>
      </c>
      <c r="BG138" s="315">
        <v>0</v>
      </c>
      <c r="BH138" s="315">
        <v>0</v>
      </c>
      <c r="BI138" s="315">
        <v>0</v>
      </c>
      <c r="BJ138" s="315">
        <v>0</v>
      </c>
      <c r="BK138" s="315">
        <v>0</v>
      </c>
      <c r="BL138" s="315">
        <v>0</v>
      </c>
      <c r="BM138" s="315">
        <v>0</v>
      </c>
      <c r="BN138" s="315">
        <v>0</v>
      </c>
      <c r="BO138" s="315">
        <v>0</v>
      </c>
      <c r="BU138" s="315" t="e">
        <v>#REF!</v>
      </c>
      <c r="BV138" s="315" t="e">
        <v>#REF!</v>
      </c>
    </row>
    <row r="139" spans="12:74" hidden="1" x14ac:dyDescent="0.2">
      <c r="L139" s="315">
        <v>0</v>
      </c>
      <c r="M139" s="315">
        <v>0</v>
      </c>
      <c r="N139" s="315">
        <v>0</v>
      </c>
      <c r="O139" s="315">
        <v>0</v>
      </c>
      <c r="P139" s="315">
        <v>0</v>
      </c>
      <c r="Q139" s="315">
        <v>0</v>
      </c>
      <c r="R139" s="315">
        <v>0</v>
      </c>
      <c r="S139" s="315">
        <v>0</v>
      </c>
      <c r="T139" s="315">
        <v>0</v>
      </c>
      <c r="U139" s="315">
        <v>0</v>
      </c>
      <c r="V139" s="315">
        <v>0</v>
      </c>
      <c r="W139" s="315">
        <v>0</v>
      </c>
      <c r="X139" s="315">
        <v>0</v>
      </c>
      <c r="Y139" s="315">
        <v>0</v>
      </c>
      <c r="Z139" s="315">
        <v>0</v>
      </c>
      <c r="AA139" s="315">
        <v>0</v>
      </c>
      <c r="AB139" s="315">
        <v>0</v>
      </c>
      <c r="AC139" s="315">
        <v>0</v>
      </c>
      <c r="AD139" s="315">
        <v>0</v>
      </c>
      <c r="AE139" s="315">
        <v>0</v>
      </c>
      <c r="AF139" s="315">
        <v>0</v>
      </c>
      <c r="AG139" s="315">
        <v>0</v>
      </c>
      <c r="AH139" s="315">
        <v>0</v>
      </c>
      <c r="AI139" s="315">
        <v>0</v>
      </c>
      <c r="AJ139" s="315">
        <v>0</v>
      </c>
      <c r="AK139" s="315">
        <v>0</v>
      </c>
      <c r="AL139" s="315">
        <v>0</v>
      </c>
      <c r="AM139" s="315">
        <v>0</v>
      </c>
      <c r="AN139" s="315">
        <v>0</v>
      </c>
      <c r="AO139" s="315">
        <v>0</v>
      </c>
      <c r="AP139" s="315">
        <v>0</v>
      </c>
      <c r="AQ139" s="315">
        <v>0</v>
      </c>
      <c r="AR139" s="315">
        <v>0</v>
      </c>
      <c r="AS139" s="315">
        <v>0</v>
      </c>
      <c r="AT139" s="315">
        <v>0</v>
      </c>
      <c r="AU139" s="315">
        <v>0</v>
      </c>
      <c r="AV139" s="315">
        <v>0</v>
      </c>
      <c r="AW139" s="315">
        <v>0</v>
      </c>
      <c r="AX139" s="315">
        <v>0</v>
      </c>
      <c r="AY139" s="315">
        <v>0</v>
      </c>
      <c r="AZ139" s="315">
        <v>0</v>
      </c>
      <c r="BA139" s="315">
        <v>0</v>
      </c>
      <c r="BB139" s="315">
        <v>0</v>
      </c>
      <c r="BC139" s="315">
        <v>0</v>
      </c>
      <c r="BD139" s="315">
        <v>0</v>
      </c>
      <c r="BE139" s="315">
        <v>0</v>
      </c>
      <c r="BF139" s="315">
        <v>0</v>
      </c>
      <c r="BG139" s="315">
        <v>0</v>
      </c>
      <c r="BH139" s="315">
        <v>0</v>
      </c>
      <c r="BI139" s="315">
        <v>0</v>
      </c>
      <c r="BJ139" s="315">
        <v>0</v>
      </c>
      <c r="BK139" s="315">
        <v>0</v>
      </c>
      <c r="BL139" s="315">
        <v>0</v>
      </c>
      <c r="BM139" s="315">
        <v>0</v>
      </c>
      <c r="BN139" s="315">
        <v>0</v>
      </c>
      <c r="BO139" s="315">
        <v>0</v>
      </c>
      <c r="BU139" s="315">
        <v>0</v>
      </c>
      <c r="BV139" s="315">
        <v>0</v>
      </c>
    </row>
    <row r="140" spans="12:74" hidden="1" x14ac:dyDescent="0.2">
      <c r="L140" s="315" t="e">
        <v>#REF!</v>
      </c>
      <c r="M140" s="315" t="e">
        <v>#REF!</v>
      </c>
      <c r="N140" s="315" t="e">
        <v>#REF!</v>
      </c>
      <c r="O140" s="315" t="e">
        <v>#REF!</v>
      </c>
      <c r="P140" s="315" t="e">
        <v>#REF!</v>
      </c>
      <c r="Q140" s="315" t="e">
        <v>#REF!</v>
      </c>
      <c r="R140" s="315" t="e">
        <v>#REF!</v>
      </c>
      <c r="S140" s="315" t="e">
        <v>#REF!</v>
      </c>
      <c r="T140" s="315" t="e">
        <v>#REF!</v>
      </c>
      <c r="U140" s="315" t="e">
        <v>#REF!</v>
      </c>
      <c r="V140" s="315" t="e">
        <v>#REF!</v>
      </c>
      <c r="W140" s="315" t="e">
        <v>#REF!</v>
      </c>
      <c r="X140" s="315" t="e">
        <v>#REF!</v>
      </c>
      <c r="Y140" s="315" t="e">
        <v>#REF!</v>
      </c>
      <c r="Z140" s="315" t="e">
        <v>#REF!</v>
      </c>
      <c r="AA140" s="315" t="e">
        <v>#REF!</v>
      </c>
      <c r="AB140" s="315" t="e">
        <v>#REF!</v>
      </c>
      <c r="AC140" s="315" t="e">
        <v>#REF!</v>
      </c>
      <c r="AD140" s="315" t="e">
        <v>#REF!</v>
      </c>
      <c r="AE140" s="315" t="e">
        <v>#REF!</v>
      </c>
      <c r="AF140" s="315" t="e">
        <v>#REF!</v>
      </c>
      <c r="AG140" s="315" t="e">
        <v>#REF!</v>
      </c>
      <c r="AH140" s="315" t="e">
        <v>#REF!</v>
      </c>
      <c r="AI140" s="315" t="e">
        <v>#REF!</v>
      </c>
      <c r="AJ140" s="315" t="e">
        <v>#REF!</v>
      </c>
      <c r="AK140" s="315" t="e">
        <v>#REF!</v>
      </c>
      <c r="AL140" s="315" t="e">
        <v>#REF!</v>
      </c>
      <c r="AM140" s="315" t="e">
        <v>#REF!</v>
      </c>
      <c r="AN140" s="315" t="e">
        <v>#REF!</v>
      </c>
      <c r="AO140" s="315" t="e">
        <v>#REF!</v>
      </c>
      <c r="AP140" s="315" t="e">
        <v>#REF!</v>
      </c>
      <c r="AQ140" s="315" t="e">
        <v>#REF!</v>
      </c>
      <c r="AR140" s="315" t="e">
        <v>#REF!</v>
      </c>
      <c r="AS140" s="315" t="e">
        <v>#REF!</v>
      </c>
      <c r="AT140" s="315" t="e">
        <v>#REF!</v>
      </c>
      <c r="AU140" s="315" t="e">
        <v>#REF!</v>
      </c>
      <c r="AV140" s="315" t="e">
        <v>#REF!</v>
      </c>
      <c r="AW140" s="315" t="e">
        <v>#REF!</v>
      </c>
      <c r="AX140" s="315" t="e">
        <v>#REF!</v>
      </c>
      <c r="AY140" s="315" t="e">
        <v>#REF!</v>
      </c>
      <c r="AZ140" s="315" t="e">
        <v>#REF!</v>
      </c>
      <c r="BA140" s="315" t="e">
        <v>#REF!</v>
      </c>
      <c r="BB140" s="315" t="e">
        <v>#REF!</v>
      </c>
      <c r="BC140" s="315" t="e">
        <v>#REF!</v>
      </c>
      <c r="BD140" s="315" t="e">
        <v>#REF!</v>
      </c>
      <c r="BE140" s="315" t="e">
        <v>#REF!</v>
      </c>
      <c r="BF140" s="315" t="e">
        <v>#REF!</v>
      </c>
      <c r="BG140" s="315" t="e">
        <v>#REF!</v>
      </c>
      <c r="BH140" s="315" t="e">
        <v>#REF!</v>
      </c>
      <c r="BI140" s="315" t="e">
        <v>#REF!</v>
      </c>
      <c r="BJ140" s="315" t="e">
        <v>#REF!</v>
      </c>
      <c r="BK140" s="315" t="e">
        <v>#REF!</v>
      </c>
      <c r="BL140" s="315" t="e">
        <v>#REF!</v>
      </c>
      <c r="BM140" s="315" t="e">
        <v>#REF!</v>
      </c>
      <c r="BN140" s="315" t="e">
        <v>#REF!</v>
      </c>
      <c r="BO140" s="315" t="e">
        <v>#REF!</v>
      </c>
      <c r="BU140" s="315">
        <v>0</v>
      </c>
      <c r="BV140" s="315">
        <v>0</v>
      </c>
    </row>
    <row r="141" spans="12:74" hidden="1" x14ac:dyDescent="0.2">
      <c r="L141" s="315" t="e">
        <v>#REF!</v>
      </c>
      <c r="M141" s="315" t="e">
        <v>#REF!</v>
      </c>
      <c r="N141" s="315" t="e">
        <v>#REF!</v>
      </c>
      <c r="O141" s="315" t="e">
        <v>#REF!</v>
      </c>
      <c r="P141" s="315" t="e">
        <v>#REF!</v>
      </c>
      <c r="Q141" s="315" t="e">
        <v>#REF!</v>
      </c>
      <c r="R141" s="315" t="e">
        <v>#REF!</v>
      </c>
      <c r="S141" s="315" t="e">
        <v>#REF!</v>
      </c>
      <c r="T141" s="315" t="e">
        <v>#REF!</v>
      </c>
      <c r="U141" s="315" t="e">
        <v>#REF!</v>
      </c>
      <c r="V141" s="315" t="e">
        <v>#REF!</v>
      </c>
      <c r="W141" s="315" t="e">
        <v>#REF!</v>
      </c>
      <c r="X141" s="315" t="e">
        <v>#REF!</v>
      </c>
      <c r="Y141" s="315" t="e">
        <v>#REF!</v>
      </c>
      <c r="Z141" s="315" t="e">
        <v>#REF!</v>
      </c>
      <c r="AA141" s="315" t="e">
        <v>#REF!</v>
      </c>
      <c r="AB141" s="315" t="e">
        <v>#REF!</v>
      </c>
      <c r="AC141" s="315" t="e">
        <v>#REF!</v>
      </c>
      <c r="AD141" s="315" t="e">
        <v>#REF!</v>
      </c>
      <c r="AE141" s="315" t="e">
        <v>#REF!</v>
      </c>
      <c r="AF141" s="315" t="e">
        <v>#REF!</v>
      </c>
      <c r="AG141" s="315" t="e">
        <v>#REF!</v>
      </c>
      <c r="AH141" s="315" t="e">
        <v>#REF!</v>
      </c>
      <c r="AI141" s="315" t="e">
        <v>#REF!</v>
      </c>
      <c r="AJ141" s="315" t="e">
        <v>#REF!</v>
      </c>
      <c r="AK141" s="315" t="e">
        <v>#REF!</v>
      </c>
      <c r="AL141" s="315" t="e">
        <v>#REF!</v>
      </c>
      <c r="AM141" s="315" t="e">
        <v>#REF!</v>
      </c>
      <c r="AN141" s="315" t="e">
        <v>#REF!</v>
      </c>
      <c r="AO141" s="315" t="e">
        <v>#REF!</v>
      </c>
      <c r="AP141" s="315" t="e">
        <v>#REF!</v>
      </c>
      <c r="AQ141" s="315" t="e">
        <v>#REF!</v>
      </c>
      <c r="AR141" s="315" t="e">
        <v>#REF!</v>
      </c>
      <c r="AS141" s="315" t="e">
        <v>#REF!</v>
      </c>
      <c r="AT141" s="315" t="e">
        <v>#REF!</v>
      </c>
      <c r="AU141" s="315" t="e">
        <v>#REF!</v>
      </c>
      <c r="AV141" s="315" t="e">
        <v>#REF!</v>
      </c>
      <c r="AW141" s="315" t="e">
        <v>#REF!</v>
      </c>
      <c r="AX141" s="315" t="e">
        <v>#REF!</v>
      </c>
      <c r="AY141" s="315" t="e">
        <v>#REF!</v>
      </c>
      <c r="AZ141" s="315" t="e">
        <v>#REF!</v>
      </c>
      <c r="BA141" s="315" t="e">
        <v>#REF!</v>
      </c>
      <c r="BB141" s="315" t="e">
        <v>#REF!</v>
      </c>
      <c r="BC141" s="315" t="e">
        <v>#REF!</v>
      </c>
      <c r="BD141" s="315" t="e">
        <v>#REF!</v>
      </c>
      <c r="BE141" s="315" t="e">
        <v>#REF!</v>
      </c>
      <c r="BF141" s="315" t="e">
        <v>#REF!</v>
      </c>
      <c r="BG141" s="315" t="e">
        <v>#REF!</v>
      </c>
      <c r="BH141" s="315" t="e">
        <v>#REF!</v>
      </c>
      <c r="BI141" s="315" t="e">
        <v>#REF!</v>
      </c>
      <c r="BJ141" s="315" t="e">
        <v>#REF!</v>
      </c>
      <c r="BK141" s="315" t="e">
        <v>#REF!</v>
      </c>
      <c r="BL141" s="315" t="e">
        <v>#REF!</v>
      </c>
      <c r="BM141" s="315" t="e">
        <v>#REF!</v>
      </c>
      <c r="BN141" s="315" t="e">
        <v>#REF!</v>
      </c>
      <c r="BO141" s="315" t="e">
        <v>#REF!</v>
      </c>
      <c r="BU141" s="315">
        <v>0</v>
      </c>
      <c r="BV141" s="315">
        <v>0</v>
      </c>
    </row>
    <row r="142" spans="12:74" hidden="1" x14ac:dyDescent="0.2">
      <c r="L142" s="315" t="e">
        <v>#REF!</v>
      </c>
      <c r="M142" s="315" t="e">
        <v>#REF!</v>
      </c>
      <c r="N142" s="315" t="e">
        <v>#REF!</v>
      </c>
      <c r="O142" s="315" t="e">
        <v>#REF!</v>
      </c>
      <c r="P142" s="315" t="e">
        <v>#REF!</v>
      </c>
      <c r="Q142" s="315" t="e">
        <v>#REF!</v>
      </c>
      <c r="R142" s="315" t="e">
        <v>#REF!</v>
      </c>
      <c r="S142" s="315" t="e">
        <v>#REF!</v>
      </c>
      <c r="T142" s="315" t="e">
        <v>#REF!</v>
      </c>
      <c r="U142" s="315" t="e">
        <v>#REF!</v>
      </c>
      <c r="V142" s="315" t="e">
        <v>#REF!</v>
      </c>
      <c r="W142" s="315" t="e">
        <v>#REF!</v>
      </c>
      <c r="X142" s="315" t="e">
        <v>#REF!</v>
      </c>
      <c r="Y142" s="315" t="e">
        <v>#REF!</v>
      </c>
      <c r="Z142" s="315" t="e">
        <v>#REF!</v>
      </c>
      <c r="AA142" s="315" t="e">
        <v>#REF!</v>
      </c>
      <c r="AB142" s="315" t="e">
        <v>#REF!</v>
      </c>
      <c r="AC142" s="315" t="e">
        <v>#REF!</v>
      </c>
      <c r="AD142" s="315" t="e">
        <v>#REF!</v>
      </c>
      <c r="AE142" s="315" t="e">
        <v>#REF!</v>
      </c>
      <c r="AF142" s="315" t="e">
        <v>#REF!</v>
      </c>
      <c r="AG142" s="315" t="e">
        <v>#REF!</v>
      </c>
      <c r="AH142" s="315" t="e">
        <v>#REF!</v>
      </c>
      <c r="AI142" s="315" t="e">
        <v>#REF!</v>
      </c>
      <c r="AJ142" s="315" t="e">
        <v>#REF!</v>
      </c>
      <c r="AK142" s="315" t="e">
        <v>#REF!</v>
      </c>
      <c r="AL142" s="315" t="e">
        <v>#REF!</v>
      </c>
      <c r="AM142" s="315" t="e">
        <v>#REF!</v>
      </c>
      <c r="AN142" s="315" t="e">
        <v>#REF!</v>
      </c>
      <c r="AO142" s="315" t="e">
        <v>#REF!</v>
      </c>
      <c r="AP142" s="315" t="e">
        <v>#REF!</v>
      </c>
      <c r="AQ142" s="315" t="e">
        <v>#REF!</v>
      </c>
      <c r="AR142" s="315" t="e">
        <v>#REF!</v>
      </c>
      <c r="AS142" s="315" t="e">
        <v>#REF!</v>
      </c>
      <c r="AT142" s="315" t="e">
        <v>#REF!</v>
      </c>
      <c r="AU142" s="315" t="e">
        <v>#REF!</v>
      </c>
      <c r="AV142" s="315" t="e">
        <v>#REF!</v>
      </c>
      <c r="AW142" s="315" t="e">
        <v>#REF!</v>
      </c>
      <c r="AX142" s="315" t="e">
        <v>#REF!</v>
      </c>
      <c r="AY142" s="315" t="e">
        <v>#REF!</v>
      </c>
      <c r="AZ142" s="315" t="e">
        <v>#REF!</v>
      </c>
      <c r="BA142" s="315" t="e">
        <v>#REF!</v>
      </c>
      <c r="BB142" s="315" t="e">
        <v>#REF!</v>
      </c>
      <c r="BC142" s="315" t="e">
        <v>#REF!</v>
      </c>
      <c r="BD142" s="315" t="e">
        <v>#REF!</v>
      </c>
      <c r="BE142" s="315" t="e">
        <v>#REF!</v>
      </c>
      <c r="BF142" s="315" t="e">
        <v>#REF!</v>
      </c>
      <c r="BG142" s="315" t="e">
        <v>#REF!</v>
      </c>
      <c r="BH142" s="315" t="e">
        <v>#REF!</v>
      </c>
      <c r="BI142" s="315" t="e">
        <v>#REF!</v>
      </c>
      <c r="BJ142" s="315" t="e">
        <v>#REF!</v>
      </c>
      <c r="BK142" s="315" t="e">
        <v>#REF!</v>
      </c>
      <c r="BL142" s="315" t="e">
        <v>#REF!</v>
      </c>
      <c r="BM142" s="315" t="e">
        <v>#REF!</v>
      </c>
      <c r="BN142" s="315" t="e">
        <v>#REF!</v>
      </c>
      <c r="BO142" s="315" t="e">
        <v>#REF!</v>
      </c>
      <c r="BU142" s="315">
        <v>0</v>
      </c>
      <c r="BV142" s="315">
        <v>0</v>
      </c>
    </row>
    <row r="143" spans="12:74" hidden="1" x14ac:dyDescent="0.2">
      <c r="L143" s="315" t="e">
        <v>#REF!</v>
      </c>
      <c r="M143" s="315" t="e">
        <v>#REF!</v>
      </c>
      <c r="N143" s="315" t="e">
        <v>#REF!</v>
      </c>
      <c r="O143" s="315" t="e">
        <v>#REF!</v>
      </c>
      <c r="P143" s="315" t="e">
        <v>#REF!</v>
      </c>
      <c r="Q143" s="315" t="e">
        <v>#REF!</v>
      </c>
      <c r="R143" s="315" t="e">
        <v>#REF!</v>
      </c>
      <c r="S143" s="315" t="e">
        <v>#REF!</v>
      </c>
      <c r="T143" s="315" t="e">
        <v>#REF!</v>
      </c>
      <c r="U143" s="315" t="e">
        <v>#REF!</v>
      </c>
      <c r="V143" s="315" t="e">
        <v>#REF!</v>
      </c>
      <c r="W143" s="315" t="e">
        <v>#REF!</v>
      </c>
      <c r="X143" s="315" t="e">
        <v>#REF!</v>
      </c>
      <c r="Y143" s="315" t="e">
        <v>#REF!</v>
      </c>
      <c r="Z143" s="315" t="e">
        <v>#REF!</v>
      </c>
      <c r="AA143" s="315" t="e">
        <v>#REF!</v>
      </c>
      <c r="AB143" s="315" t="e">
        <v>#REF!</v>
      </c>
      <c r="AC143" s="315" t="e">
        <v>#REF!</v>
      </c>
      <c r="AD143" s="315" t="e">
        <v>#REF!</v>
      </c>
      <c r="AE143" s="315" t="e">
        <v>#REF!</v>
      </c>
      <c r="AF143" s="315" t="e">
        <v>#REF!</v>
      </c>
      <c r="AG143" s="315" t="e">
        <v>#REF!</v>
      </c>
      <c r="AH143" s="315" t="e">
        <v>#REF!</v>
      </c>
      <c r="AI143" s="315" t="e">
        <v>#REF!</v>
      </c>
      <c r="AJ143" s="315" t="e">
        <v>#REF!</v>
      </c>
      <c r="AK143" s="315" t="e">
        <v>#REF!</v>
      </c>
      <c r="AL143" s="315" t="e">
        <v>#REF!</v>
      </c>
      <c r="AM143" s="315" t="e">
        <v>#REF!</v>
      </c>
      <c r="AN143" s="315" t="e">
        <v>#REF!</v>
      </c>
      <c r="AO143" s="315" t="e">
        <v>#REF!</v>
      </c>
      <c r="AP143" s="315" t="e">
        <v>#REF!</v>
      </c>
      <c r="AQ143" s="315" t="e">
        <v>#REF!</v>
      </c>
      <c r="AR143" s="315" t="e">
        <v>#REF!</v>
      </c>
      <c r="AS143" s="315" t="e">
        <v>#REF!</v>
      </c>
      <c r="AT143" s="315" t="e">
        <v>#REF!</v>
      </c>
      <c r="AU143" s="315" t="e">
        <v>#REF!</v>
      </c>
      <c r="AV143" s="315" t="e">
        <v>#REF!</v>
      </c>
      <c r="AW143" s="315" t="e">
        <v>#REF!</v>
      </c>
      <c r="AX143" s="315" t="e">
        <v>#REF!</v>
      </c>
      <c r="AY143" s="315" t="e">
        <v>#REF!</v>
      </c>
      <c r="AZ143" s="315" t="e">
        <v>#REF!</v>
      </c>
      <c r="BA143" s="315" t="e">
        <v>#REF!</v>
      </c>
      <c r="BB143" s="315" t="e">
        <v>#REF!</v>
      </c>
      <c r="BC143" s="315" t="e">
        <v>#REF!</v>
      </c>
      <c r="BD143" s="315" t="e">
        <v>#REF!</v>
      </c>
      <c r="BE143" s="315" t="e">
        <v>#REF!</v>
      </c>
      <c r="BF143" s="315" t="e">
        <v>#REF!</v>
      </c>
      <c r="BG143" s="315" t="e">
        <v>#REF!</v>
      </c>
      <c r="BH143" s="315" t="e">
        <v>#REF!</v>
      </c>
      <c r="BI143" s="315" t="e">
        <v>#REF!</v>
      </c>
      <c r="BJ143" s="315" t="e">
        <v>#REF!</v>
      </c>
      <c r="BK143" s="315" t="e">
        <v>#REF!</v>
      </c>
      <c r="BL143" s="315" t="e">
        <v>#REF!</v>
      </c>
      <c r="BM143" s="315" t="e">
        <v>#REF!</v>
      </c>
      <c r="BN143" s="315" t="e">
        <v>#REF!</v>
      </c>
      <c r="BO143" s="315" t="e">
        <v>#REF!</v>
      </c>
      <c r="BU143" s="315">
        <v>0</v>
      </c>
      <c r="BV143" s="315">
        <v>0</v>
      </c>
    </row>
    <row r="144" spans="12:74" hidden="1" x14ac:dyDescent="0.2">
      <c r="L144" s="315" t="e">
        <v>#REF!</v>
      </c>
      <c r="M144" s="315" t="e">
        <v>#REF!</v>
      </c>
      <c r="N144" s="315" t="e">
        <v>#REF!</v>
      </c>
      <c r="O144" s="315" t="e">
        <v>#REF!</v>
      </c>
      <c r="P144" s="315" t="e">
        <v>#REF!</v>
      </c>
      <c r="Q144" s="315" t="e">
        <v>#REF!</v>
      </c>
      <c r="R144" s="315" t="e">
        <v>#REF!</v>
      </c>
      <c r="S144" s="315" t="e">
        <v>#REF!</v>
      </c>
      <c r="T144" s="315" t="e">
        <v>#REF!</v>
      </c>
      <c r="U144" s="315" t="e">
        <v>#REF!</v>
      </c>
      <c r="V144" s="315" t="e">
        <v>#REF!</v>
      </c>
      <c r="W144" s="315" t="e">
        <v>#REF!</v>
      </c>
      <c r="X144" s="315" t="e">
        <v>#REF!</v>
      </c>
      <c r="Y144" s="315" t="e">
        <v>#REF!</v>
      </c>
      <c r="Z144" s="315" t="e">
        <v>#REF!</v>
      </c>
      <c r="AA144" s="315" t="e">
        <v>#REF!</v>
      </c>
      <c r="AB144" s="315" t="e">
        <v>#REF!</v>
      </c>
      <c r="AC144" s="315" t="e">
        <v>#REF!</v>
      </c>
      <c r="AD144" s="315" t="e">
        <v>#REF!</v>
      </c>
      <c r="AE144" s="315" t="e">
        <v>#REF!</v>
      </c>
      <c r="AF144" s="315" t="e">
        <v>#REF!</v>
      </c>
      <c r="AG144" s="315" t="e">
        <v>#REF!</v>
      </c>
      <c r="AH144" s="315" t="e">
        <v>#REF!</v>
      </c>
      <c r="AI144" s="315" t="e">
        <v>#REF!</v>
      </c>
      <c r="AJ144" s="315" t="e">
        <v>#REF!</v>
      </c>
      <c r="AK144" s="315" t="e">
        <v>#REF!</v>
      </c>
      <c r="AL144" s="315" t="e">
        <v>#REF!</v>
      </c>
      <c r="AM144" s="315" t="e">
        <v>#REF!</v>
      </c>
      <c r="AN144" s="315" t="e">
        <v>#REF!</v>
      </c>
      <c r="AO144" s="315" t="e">
        <v>#REF!</v>
      </c>
      <c r="AP144" s="315" t="e">
        <v>#REF!</v>
      </c>
      <c r="AQ144" s="315" t="e">
        <v>#REF!</v>
      </c>
      <c r="AR144" s="315" t="e">
        <v>#REF!</v>
      </c>
      <c r="AS144" s="315" t="e">
        <v>#REF!</v>
      </c>
      <c r="AT144" s="315" t="e">
        <v>#REF!</v>
      </c>
      <c r="AU144" s="315" t="e">
        <v>#REF!</v>
      </c>
      <c r="AV144" s="315" t="e">
        <v>#REF!</v>
      </c>
      <c r="AW144" s="315" t="e">
        <v>#REF!</v>
      </c>
      <c r="AX144" s="315" t="e">
        <v>#REF!</v>
      </c>
      <c r="AY144" s="315" t="e">
        <v>#REF!</v>
      </c>
      <c r="AZ144" s="315" t="e">
        <v>#REF!</v>
      </c>
      <c r="BA144" s="315" t="e">
        <v>#REF!</v>
      </c>
      <c r="BB144" s="315" t="e">
        <v>#REF!</v>
      </c>
      <c r="BC144" s="315" t="e">
        <v>#REF!</v>
      </c>
      <c r="BD144" s="315" t="e">
        <v>#REF!</v>
      </c>
      <c r="BE144" s="315" t="e">
        <v>#REF!</v>
      </c>
      <c r="BF144" s="315" t="e">
        <v>#REF!</v>
      </c>
      <c r="BG144" s="315" t="e">
        <v>#REF!</v>
      </c>
      <c r="BH144" s="315" t="e">
        <v>#REF!</v>
      </c>
      <c r="BI144" s="315" t="e">
        <v>#REF!</v>
      </c>
      <c r="BJ144" s="315" t="e">
        <v>#REF!</v>
      </c>
      <c r="BK144" s="315" t="e">
        <v>#REF!</v>
      </c>
      <c r="BL144" s="315" t="e">
        <v>#REF!</v>
      </c>
      <c r="BM144" s="315" t="e">
        <v>#REF!</v>
      </c>
      <c r="BN144" s="315" t="e">
        <v>#REF!</v>
      </c>
      <c r="BO144" s="315" t="e">
        <v>#REF!</v>
      </c>
      <c r="BU144" s="315">
        <v>0</v>
      </c>
      <c r="BV144" s="315">
        <v>0</v>
      </c>
    </row>
    <row r="145" spans="12:74" hidden="1" x14ac:dyDescent="0.2">
      <c r="L145" s="315" t="e">
        <v>#REF!</v>
      </c>
      <c r="M145" s="315" t="e">
        <v>#REF!</v>
      </c>
      <c r="N145" s="315" t="e">
        <v>#REF!</v>
      </c>
      <c r="O145" s="315" t="e">
        <v>#REF!</v>
      </c>
      <c r="P145" s="315" t="e">
        <v>#REF!</v>
      </c>
      <c r="Q145" s="315" t="e">
        <v>#REF!</v>
      </c>
      <c r="R145" s="315" t="e">
        <v>#REF!</v>
      </c>
      <c r="S145" s="315" t="e">
        <v>#REF!</v>
      </c>
      <c r="T145" s="315" t="e">
        <v>#REF!</v>
      </c>
      <c r="U145" s="315" t="e">
        <v>#REF!</v>
      </c>
      <c r="V145" s="315" t="e">
        <v>#REF!</v>
      </c>
      <c r="W145" s="315" t="e">
        <v>#REF!</v>
      </c>
      <c r="X145" s="315" t="e">
        <v>#REF!</v>
      </c>
      <c r="Y145" s="315" t="e">
        <v>#REF!</v>
      </c>
      <c r="Z145" s="315" t="e">
        <v>#REF!</v>
      </c>
      <c r="AA145" s="315" t="e">
        <v>#REF!</v>
      </c>
      <c r="AB145" s="315" t="e">
        <v>#REF!</v>
      </c>
      <c r="AC145" s="315" t="e">
        <v>#REF!</v>
      </c>
      <c r="AD145" s="315" t="e">
        <v>#REF!</v>
      </c>
      <c r="AE145" s="315" t="e">
        <v>#REF!</v>
      </c>
      <c r="AF145" s="315" t="e">
        <v>#REF!</v>
      </c>
      <c r="AG145" s="315" t="e">
        <v>#REF!</v>
      </c>
      <c r="AH145" s="315" t="e">
        <v>#REF!</v>
      </c>
      <c r="AI145" s="315" t="e">
        <v>#REF!</v>
      </c>
      <c r="AJ145" s="315" t="e">
        <v>#REF!</v>
      </c>
      <c r="AK145" s="315" t="e">
        <v>#REF!</v>
      </c>
      <c r="AL145" s="315" t="e">
        <v>#REF!</v>
      </c>
      <c r="AM145" s="315" t="e">
        <v>#REF!</v>
      </c>
      <c r="AN145" s="315" t="e">
        <v>#REF!</v>
      </c>
      <c r="AO145" s="315" t="e">
        <v>#REF!</v>
      </c>
      <c r="AP145" s="315" t="e">
        <v>#REF!</v>
      </c>
      <c r="AQ145" s="315" t="e">
        <v>#REF!</v>
      </c>
      <c r="AR145" s="315" t="e">
        <v>#REF!</v>
      </c>
      <c r="AS145" s="315" t="e">
        <v>#REF!</v>
      </c>
      <c r="AT145" s="315" t="e">
        <v>#REF!</v>
      </c>
      <c r="AU145" s="315" t="e">
        <v>#REF!</v>
      </c>
      <c r="AV145" s="315" t="e">
        <v>#REF!</v>
      </c>
      <c r="AW145" s="315" t="e">
        <v>#REF!</v>
      </c>
      <c r="AX145" s="315" t="e">
        <v>#REF!</v>
      </c>
      <c r="AY145" s="315" t="e">
        <v>#REF!</v>
      </c>
      <c r="AZ145" s="315" t="e">
        <v>#REF!</v>
      </c>
      <c r="BA145" s="315" t="e">
        <v>#REF!</v>
      </c>
      <c r="BB145" s="315" t="e">
        <v>#REF!</v>
      </c>
      <c r="BC145" s="315" t="e">
        <v>#REF!</v>
      </c>
      <c r="BD145" s="315" t="e">
        <v>#REF!</v>
      </c>
      <c r="BE145" s="315" t="e">
        <v>#REF!</v>
      </c>
      <c r="BF145" s="315" t="e">
        <v>#REF!</v>
      </c>
      <c r="BG145" s="315" t="e">
        <v>#REF!</v>
      </c>
      <c r="BH145" s="315" t="e">
        <v>#REF!</v>
      </c>
      <c r="BI145" s="315" t="e">
        <v>#REF!</v>
      </c>
      <c r="BJ145" s="315" t="e">
        <v>#REF!</v>
      </c>
      <c r="BK145" s="315" t="e">
        <v>#REF!</v>
      </c>
      <c r="BL145" s="315" t="e">
        <v>#REF!</v>
      </c>
      <c r="BM145" s="315" t="e">
        <v>#REF!</v>
      </c>
      <c r="BN145" s="315" t="e">
        <v>#REF!</v>
      </c>
      <c r="BO145" s="315" t="e">
        <v>#REF!</v>
      </c>
      <c r="BU145" s="315">
        <v>0</v>
      </c>
      <c r="BV145" s="315">
        <v>0</v>
      </c>
    </row>
    <row r="146" spans="12:74" hidden="1" x14ac:dyDescent="0.2">
      <c r="L146" s="315" t="e">
        <v>#REF!</v>
      </c>
      <c r="M146" s="315" t="e">
        <v>#REF!</v>
      </c>
      <c r="N146" s="315" t="e">
        <v>#REF!</v>
      </c>
      <c r="O146" s="315" t="e">
        <v>#REF!</v>
      </c>
      <c r="P146" s="315" t="e">
        <v>#REF!</v>
      </c>
      <c r="Q146" s="315" t="e">
        <v>#REF!</v>
      </c>
      <c r="R146" s="315" t="e">
        <v>#REF!</v>
      </c>
      <c r="S146" s="315" t="e">
        <v>#REF!</v>
      </c>
      <c r="T146" s="315" t="e">
        <v>#REF!</v>
      </c>
      <c r="U146" s="315" t="e">
        <v>#REF!</v>
      </c>
      <c r="V146" s="315" t="e">
        <v>#REF!</v>
      </c>
      <c r="W146" s="315" t="e">
        <v>#REF!</v>
      </c>
      <c r="X146" s="315" t="e">
        <v>#REF!</v>
      </c>
      <c r="Y146" s="315" t="e">
        <v>#REF!</v>
      </c>
      <c r="Z146" s="315" t="e">
        <v>#REF!</v>
      </c>
      <c r="AA146" s="315" t="e">
        <v>#REF!</v>
      </c>
      <c r="AB146" s="315" t="e">
        <v>#REF!</v>
      </c>
      <c r="AC146" s="315" t="e">
        <v>#REF!</v>
      </c>
      <c r="AD146" s="315" t="e">
        <v>#REF!</v>
      </c>
      <c r="AE146" s="315" t="e">
        <v>#REF!</v>
      </c>
      <c r="AF146" s="315" t="e">
        <v>#REF!</v>
      </c>
      <c r="AG146" s="315" t="e">
        <v>#REF!</v>
      </c>
      <c r="AH146" s="315" t="e">
        <v>#REF!</v>
      </c>
      <c r="AI146" s="315" t="e">
        <v>#REF!</v>
      </c>
      <c r="AJ146" s="315" t="e">
        <v>#REF!</v>
      </c>
      <c r="AK146" s="315" t="e">
        <v>#REF!</v>
      </c>
      <c r="AL146" s="315" t="e">
        <v>#REF!</v>
      </c>
      <c r="AM146" s="315" t="e">
        <v>#REF!</v>
      </c>
      <c r="AN146" s="315" t="e">
        <v>#REF!</v>
      </c>
      <c r="AO146" s="315" t="e">
        <v>#REF!</v>
      </c>
      <c r="AP146" s="315" t="e">
        <v>#REF!</v>
      </c>
      <c r="AQ146" s="315" t="e">
        <v>#REF!</v>
      </c>
      <c r="AR146" s="315" t="e">
        <v>#REF!</v>
      </c>
      <c r="AS146" s="315" t="e">
        <v>#REF!</v>
      </c>
      <c r="AT146" s="315" t="e">
        <v>#REF!</v>
      </c>
      <c r="AU146" s="315" t="e">
        <v>#REF!</v>
      </c>
      <c r="AV146" s="315" t="e">
        <v>#REF!</v>
      </c>
      <c r="AW146" s="315" t="e">
        <v>#REF!</v>
      </c>
      <c r="AX146" s="315" t="e">
        <v>#REF!</v>
      </c>
      <c r="AY146" s="315" t="e">
        <v>#REF!</v>
      </c>
      <c r="AZ146" s="315" t="e">
        <v>#REF!</v>
      </c>
      <c r="BA146" s="315" t="e">
        <v>#REF!</v>
      </c>
      <c r="BB146" s="315" t="e">
        <v>#REF!</v>
      </c>
      <c r="BC146" s="315" t="e">
        <v>#REF!</v>
      </c>
      <c r="BD146" s="315" t="e">
        <v>#REF!</v>
      </c>
      <c r="BE146" s="315" t="e">
        <v>#REF!</v>
      </c>
      <c r="BF146" s="315" t="e">
        <v>#REF!</v>
      </c>
      <c r="BG146" s="315" t="e">
        <v>#REF!</v>
      </c>
      <c r="BH146" s="315" t="e">
        <v>#REF!</v>
      </c>
      <c r="BI146" s="315" t="e">
        <v>#REF!</v>
      </c>
      <c r="BJ146" s="315" t="e">
        <v>#REF!</v>
      </c>
      <c r="BK146" s="315" t="e">
        <v>#REF!</v>
      </c>
      <c r="BL146" s="315" t="e">
        <v>#REF!</v>
      </c>
      <c r="BM146" s="315" t="e">
        <v>#REF!</v>
      </c>
      <c r="BN146" s="315" t="e">
        <v>#REF!</v>
      </c>
      <c r="BO146" s="315" t="e">
        <v>#REF!</v>
      </c>
      <c r="BU146" s="315">
        <v>0</v>
      </c>
      <c r="BV146" s="315">
        <v>0</v>
      </c>
    </row>
    <row r="147" spans="12:74" hidden="1" x14ac:dyDescent="0.2">
      <c r="L147" s="315">
        <v>0</v>
      </c>
      <c r="M147" s="315">
        <v>0</v>
      </c>
      <c r="N147" s="315">
        <v>0</v>
      </c>
      <c r="O147" s="315">
        <v>0</v>
      </c>
      <c r="P147" s="315">
        <v>0</v>
      </c>
      <c r="Q147" s="315">
        <v>0</v>
      </c>
      <c r="R147" s="315">
        <v>0</v>
      </c>
      <c r="S147" s="315">
        <v>0</v>
      </c>
      <c r="T147" s="315">
        <v>0</v>
      </c>
      <c r="U147" s="315">
        <v>0</v>
      </c>
      <c r="V147" s="315">
        <v>0</v>
      </c>
      <c r="W147" s="315">
        <v>0</v>
      </c>
      <c r="X147" s="315">
        <v>0</v>
      </c>
      <c r="Y147" s="315">
        <v>0</v>
      </c>
      <c r="Z147" s="315">
        <v>0</v>
      </c>
      <c r="AA147" s="315">
        <v>0</v>
      </c>
      <c r="AB147" s="315">
        <v>0</v>
      </c>
      <c r="AC147" s="315">
        <v>0</v>
      </c>
      <c r="AD147" s="315">
        <v>0</v>
      </c>
      <c r="AE147" s="315">
        <v>0</v>
      </c>
      <c r="AF147" s="315">
        <v>0</v>
      </c>
      <c r="AG147" s="315">
        <v>0</v>
      </c>
      <c r="AH147" s="315">
        <v>0</v>
      </c>
      <c r="AI147" s="315">
        <v>0</v>
      </c>
      <c r="AJ147" s="315">
        <v>0</v>
      </c>
      <c r="AK147" s="315">
        <v>0</v>
      </c>
      <c r="AL147" s="315">
        <v>0</v>
      </c>
      <c r="AM147" s="315">
        <v>0</v>
      </c>
      <c r="AN147" s="315">
        <v>0</v>
      </c>
      <c r="AO147" s="315">
        <v>0</v>
      </c>
      <c r="AP147" s="315">
        <v>0</v>
      </c>
      <c r="AQ147" s="315">
        <v>0</v>
      </c>
      <c r="AR147" s="315">
        <v>0</v>
      </c>
      <c r="AS147" s="315">
        <v>0</v>
      </c>
      <c r="AT147" s="315">
        <v>0</v>
      </c>
      <c r="AU147" s="315">
        <v>0</v>
      </c>
      <c r="AV147" s="315">
        <v>0</v>
      </c>
      <c r="AW147" s="315">
        <v>0</v>
      </c>
      <c r="AX147" s="315">
        <v>0</v>
      </c>
      <c r="AY147" s="315">
        <v>0</v>
      </c>
      <c r="AZ147" s="315">
        <v>0</v>
      </c>
      <c r="BA147" s="315">
        <v>0</v>
      </c>
      <c r="BB147" s="315">
        <v>0</v>
      </c>
      <c r="BC147" s="315">
        <v>0</v>
      </c>
      <c r="BD147" s="315">
        <v>0</v>
      </c>
      <c r="BE147" s="315">
        <v>0</v>
      </c>
      <c r="BF147" s="315">
        <v>0</v>
      </c>
      <c r="BG147" s="315">
        <v>0</v>
      </c>
      <c r="BH147" s="315">
        <v>0</v>
      </c>
      <c r="BI147" s="315">
        <v>0</v>
      </c>
      <c r="BJ147" s="315">
        <v>0</v>
      </c>
      <c r="BK147" s="315">
        <v>0</v>
      </c>
      <c r="BL147" s="315">
        <v>0</v>
      </c>
      <c r="BM147" s="315">
        <v>0</v>
      </c>
      <c r="BN147" s="315">
        <v>0</v>
      </c>
      <c r="BO147" s="315">
        <v>0</v>
      </c>
      <c r="BU147" s="315">
        <v>0</v>
      </c>
      <c r="BV147" s="315">
        <v>0</v>
      </c>
    </row>
    <row r="148" spans="12:74" hidden="1" x14ac:dyDescent="0.2">
      <c r="L148" s="315">
        <v>0</v>
      </c>
      <c r="M148" s="315">
        <v>0</v>
      </c>
      <c r="N148" s="315">
        <v>0</v>
      </c>
      <c r="O148" s="315">
        <v>0</v>
      </c>
      <c r="P148" s="315">
        <v>0</v>
      </c>
      <c r="Q148" s="315">
        <v>0</v>
      </c>
      <c r="R148" s="315">
        <v>0</v>
      </c>
      <c r="S148" s="315">
        <v>0</v>
      </c>
      <c r="T148" s="315">
        <v>0</v>
      </c>
      <c r="U148" s="315">
        <v>0</v>
      </c>
      <c r="V148" s="315">
        <v>0</v>
      </c>
      <c r="W148" s="315">
        <v>0</v>
      </c>
      <c r="X148" s="315">
        <v>0</v>
      </c>
      <c r="Y148" s="315">
        <v>0</v>
      </c>
      <c r="Z148" s="315">
        <v>0</v>
      </c>
      <c r="AA148" s="315">
        <v>0</v>
      </c>
      <c r="AB148" s="315">
        <v>0</v>
      </c>
      <c r="AC148" s="315">
        <v>0</v>
      </c>
      <c r="AD148" s="315">
        <v>0</v>
      </c>
      <c r="AE148" s="315">
        <v>0</v>
      </c>
      <c r="AF148" s="315">
        <v>0</v>
      </c>
      <c r="AG148" s="315">
        <v>0</v>
      </c>
      <c r="AH148" s="315">
        <v>0</v>
      </c>
      <c r="AI148" s="315">
        <v>0</v>
      </c>
      <c r="AJ148" s="315">
        <v>0</v>
      </c>
      <c r="AK148" s="315">
        <v>0</v>
      </c>
      <c r="AL148" s="315">
        <v>0</v>
      </c>
      <c r="AM148" s="315">
        <v>0</v>
      </c>
      <c r="AN148" s="315">
        <v>0</v>
      </c>
      <c r="AO148" s="315">
        <v>0</v>
      </c>
      <c r="AP148" s="315">
        <v>0</v>
      </c>
      <c r="AQ148" s="315">
        <v>0</v>
      </c>
      <c r="AR148" s="315">
        <v>0</v>
      </c>
      <c r="AS148" s="315">
        <v>0</v>
      </c>
      <c r="AT148" s="315">
        <v>0</v>
      </c>
      <c r="AU148" s="315">
        <v>0</v>
      </c>
      <c r="AV148" s="315">
        <v>0</v>
      </c>
      <c r="AW148" s="315">
        <v>0</v>
      </c>
      <c r="AX148" s="315">
        <v>0</v>
      </c>
      <c r="AY148" s="315">
        <v>0</v>
      </c>
      <c r="AZ148" s="315">
        <v>0</v>
      </c>
      <c r="BA148" s="315">
        <v>0</v>
      </c>
      <c r="BB148" s="315">
        <v>0</v>
      </c>
      <c r="BC148" s="315">
        <v>0</v>
      </c>
      <c r="BD148" s="315">
        <v>0</v>
      </c>
      <c r="BE148" s="315">
        <v>0</v>
      </c>
      <c r="BF148" s="315">
        <v>0</v>
      </c>
      <c r="BG148" s="315">
        <v>0</v>
      </c>
      <c r="BH148" s="315">
        <v>0</v>
      </c>
      <c r="BI148" s="315">
        <v>0</v>
      </c>
      <c r="BJ148" s="315">
        <v>0</v>
      </c>
      <c r="BK148" s="315">
        <v>0</v>
      </c>
      <c r="BL148" s="315">
        <v>0</v>
      </c>
      <c r="BM148" s="315">
        <v>0</v>
      </c>
      <c r="BN148" s="315">
        <v>0</v>
      </c>
      <c r="BO148" s="315">
        <v>0</v>
      </c>
      <c r="BU148" s="315">
        <v>0</v>
      </c>
      <c r="BV148" s="315">
        <v>0</v>
      </c>
    </row>
    <row r="149" spans="12:74" hidden="1" x14ac:dyDescent="0.2">
      <c r="L149" s="315">
        <v>0</v>
      </c>
      <c r="M149" s="315">
        <v>0</v>
      </c>
      <c r="N149" s="315">
        <v>0</v>
      </c>
      <c r="O149" s="315">
        <v>0</v>
      </c>
      <c r="P149" s="315">
        <v>0</v>
      </c>
      <c r="Q149" s="315">
        <v>0</v>
      </c>
      <c r="R149" s="315">
        <v>0</v>
      </c>
      <c r="S149" s="315">
        <v>0</v>
      </c>
      <c r="T149" s="315">
        <v>0</v>
      </c>
      <c r="U149" s="315">
        <v>0</v>
      </c>
      <c r="V149" s="315">
        <v>0</v>
      </c>
      <c r="W149" s="315">
        <v>0</v>
      </c>
      <c r="X149" s="315">
        <v>0</v>
      </c>
      <c r="Y149" s="315">
        <v>0</v>
      </c>
      <c r="Z149" s="315">
        <v>0</v>
      </c>
      <c r="AA149" s="315">
        <v>0</v>
      </c>
      <c r="AB149" s="315">
        <v>0</v>
      </c>
      <c r="AC149" s="315">
        <v>0</v>
      </c>
      <c r="AD149" s="315">
        <v>0</v>
      </c>
      <c r="AE149" s="315">
        <v>0</v>
      </c>
      <c r="AF149" s="315">
        <v>0</v>
      </c>
      <c r="AG149" s="315">
        <v>0</v>
      </c>
      <c r="AH149" s="315">
        <v>0</v>
      </c>
      <c r="AI149" s="315">
        <v>0</v>
      </c>
      <c r="AJ149" s="315">
        <v>0</v>
      </c>
      <c r="AK149" s="315">
        <v>0</v>
      </c>
      <c r="AL149" s="315">
        <v>0</v>
      </c>
      <c r="AM149" s="315">
        <v>0</v>
      </c>
      <c r="AN149" s="315">
        <v>0</v>
      </c>
      <c r="AO149" s="315">
        <v>0</v>
      </c>
      <c r="AP149" s="315">
        <v>0</v>
      </c>
      <c r="AQ149" s="315">
        <v>0</v>
      </c>
      <c r="AR149" s="315">
        <v>0</v>
      </c>
      <c r="AS149" s="315">
        <v>0</v>
      </c>
      <c r="AT149" s="315">
        <v>0</v>
      </c>
      <c r="AU149" s="315">
        <v>0</v>
      </c>
      <c r="AV149" s="315">
        <v>0</v>
      </c>
      <c r="AW149" s="315">
        <v>0</v>
      </c>
      <c r="AX149" s="315">
        <v>0</v>
      </c>
      <c r="AY149" s="315">
        <v>0</v>
      </c>
      <c r="AZ149" s="315">
        <v>0</v>
      </c>
      <c r="BA149" s="315">
        <v>0</v>
      </c>
      <c r="BB149" s="315">
        <v>0</v>
      </c>
      <c r="BC149" s="315">
        <v>0</v>
      </c>
      <c r="BD149" s="315">
        <v>0</v>
      </c>
      <c r="BE149" s="315">
        <v>0</v>
      </c>
      <c r="BF149" s="315">
        <v>0</v>
      </c>
      <c r="BG149" s="315">
        <v>0</v>
      </c>
      <c r="BH149" s="315">
        <v>0</v>
      </c>
      <c r="BI149" s="315">
        <v>0</v>
      </c>
      <c r="BJ149" s="315">
        <v>0</v>
      </c>
      <c r="BK149" s="315">
        <v>0</v>
      </c>
      <c r="BL149" s="315">
        <v>0</v>
      </c>
      <c r="BM149" s="315">
        <v>0</v>
      </c>
      <c r="BN149" s="315">
        <v>0</v>
      </c>
      <c r="BO149" s="315">
        <v>0</v>
      </c>
      <c r="BU149" s="315">
        <v>0</v>
      </c>
      <c r="BV149" s="315">
        <v>0</v>
      </c>
    </row>
    <row r="150" spans="12:74" hidden="1" x14ac:dyDescent="0.2">
      <c r="L150" s="315">
        <v>0</v>
      </c>
      <c r="M150" s="315">
        <v>0</v>
      </c>
      <c r="N150" s="315">
        <v>0</v>
      </c>
      <c r="O150" s="315">
        <v>0</v>
      </c>
      <c r="P150" s="315">
        <v>0</v>
      </c>
      <c r="Q150" s="315">
        <v>0</v>
      </c>
      <c r="R150" s="315">
        <v>0</v>
      </c>
      <c r="S150" s="315">
        <v>0</v>
      </c>
      <c r="T150" s="315">
        <v>0</v>
      </c>
      <c r="U150" s="315">
        <v>0</v>
      </c>
      <c r="V150" s="315">
        <v>0</v>
      </c>
      <c r="W150" s="315">
        <v>0</v>
      </c>
      <c r="X150" s="315">
        <v>0</v>
      </c>
      <c r="Y150" s="315">
        <v>0</v>
      </c>
      <c r="Z150" s="315">
        <v>0</v>
      </c>
      <c r="AA150" s="315">
        <v>0</v>
      </c>
      <c r="AB150" s="315">
        <v>0</v>
      </c>
      <c r="AC150" s="315">
        <v>0</v>
      </c>
      <c r="AD150" s="315">
        <v>0</v>
      </c>
      <c r="AE150" s="315">
        <v>0</v>
      </c>
      <c r="AF150" s="315">
        <v>0</v>
      </c>
      <c r="AG150" s="315">
        <v>0</v>
      </c>
      <c r="AH150" s="315">
        <v>0</v>
      </c>
      <c r="AI150" s="315">
        <v>0</v>
      </c>
      <c r="AJ150" s="315">
        <v>0</v>
      </c>
      <c r="AK150" s="315">
        <v>0</v>
      </c>
      <c r="AL150" s="315">
        <v>0</v>
      </c>
      <c r="AM150" s="315">
        <v>0</v>
      </c>
      <c r="AN150" s="315">
        <v>0</v>
      </c>
      <c r="AO150" s="315">
        <v>0</v>
      </c>
      <c r="AP150" s="315">
        <v>0</v>
      </c>
      <c r="AQ150" s="315">
        <v>0</v>
      </c>
      <c r="AR150" s="315">
        <v>0</v>
      </c>
      <c r="AS150" s="315">
        <v>0</v>
      </c>
      <c r="AT150" s="315">
        <v>0</v>
      </c>
      <c r="AU150" s="315">
        <v>0</v>
      </c>
      <c r="AV150" s="315">
        <v>0</v>
      </c>
      <c r="AW150" s="315">
        <v>0</v>
      </c>
      <c r="AX150" s="315">
        <v>0</v>
      </c>
      <c r="AY150" s="315">
        <v>0</v>
      </c>
      <c r="AZ150" s="315">
        <v>0</v>
      </c>
      <c r="BA150" s="315">
        <v>0</v>
      </c>
      <c r="BB150" s="315">
        <v>0</v>
      </c>
      <c r="BC150" s="315">
        <v>0</v>
      </c>
      <c r="BD150" s="315">
        <v>0</v>
      </c>
      <c r="BE150" s="315">
        <v>0</v>
      </c>
      <c r="BF150" s="315">
        <v>0</v>
      </c>
      <c r="BG150" s="315">
        <v>0</v>
      </c>
      <c r="BH150" s="315">
        <v>0</v>
      </c>
      <c r="BI150" s="315">
        <v>0</v>
      </c>
      <c r="BJ150" s="315">
        <v>0</v>
      </c>
      <c r="BK150" s="315">
        <v>0</v>
      </c>
      <c r="BL150" s="315">
        <v>0</v>
      </c>
      <c r="BM150" s="315">
        <v>0</v>
      </c>
      <c r="BN150" s="315">
        <v>0</v>
      </c>
      <c r="BO150" s="315">
        <v>0</v>
      </c>
      <c r="BU150" s="315">
        <v>0</v>
      </c>
      <c r="BV150" s="315">
        <v>0</v>
      </c>
    </row>
    <row r="151" spans="12:74" hidden="1" x14ac:dyDescent="0.2">
      <c r="L151" s="315">
        <v>0</v>
      </c>
      <c r="M151" s="315">
        <v>0</v>
      </c>
      <c r="N151" s="315">
        <v>0</v>
      </c>
      <c r="O151" s="315">
        <v>0</v>
      </c>
      <c r="P151" s="315">
        <v>0</v>
      </c>
      <c r="Q151" s="315">
        <v>0</v>
      </c>
      <c r="R151" s="315">
        <v>0</v>
      </c>
      <c r="S151" s="315">
        <v>0</v>
      </c>
      <c r="T151" s="315">
        <v>0</v>
      </c>
      <c r="U151" s="315">
        <v>0</v>
      </c>
      <c r="V151" s="315">
        <v>0</v>
      </c>
      <c r="W151" s="315">
        <v>0</v>
      </c>
      <c r="X151" s="315">
        <v>0</v>
      </c>
      <c r="Y151" s="315">
        <v>0</v>
      </c>
      <c r="Z151" s="315">
        <v>0</v>
      </c>
      <c r="AA151" s="315">
        <v>0</v>
      </c>
      <c r="AB151" s="315">
        <v>0</v>
      </c>
      <c r="AC151" s="315">
        <v>0</v>
      </c>
      <c r="AD151" s="315">
        <v>0</v>
      </c>
      <c r="AE151" s="315">
        <v>0</v>
      </c>
      <c r="AF151" s="315">
        <v>0</v>
      </c>
      <c r="AG151" s="315">
        <v>0</v>
      </c>
      <c r="AH151" s="315">
        <v>0</v>
      </c>
      <c r="AI151" s="315">
        <v>0</v>
      </c>
      <c r="AJ151" s="315">
        <v>0</v>
      </c>
      <c r="AK151" s="315">
        <v>0</v>
      </c>
      <c r="AL151" s="315">
        <v>0</v>
      </c>
      <c r="AM151" s="315">
        <v>0</v>
      </c>
      <c r="AN151" s="315">
        <v>0</v>
      </c>
      <c r="AO151" s="315">
        <v>0</v>
      </c>
      <c r="AP151" s="315">
        <v>0</v>
      </c>
      <c r="AQ151" s="315">
        <v>0</v>
      </c>
      <c r="AR151" s="315">
        <v>0</v>
      </c>
      <c r="AS151" s="315">
        <v>0</v>
      </c>
      <c r="AT151" s="315">
        <v>0</v>
      </c>
      <c r="AU151" s="315">
        <v>0</v>
      </c>
      <c r="AV151" s="315">
        <v>0</v>
      </c>
      <c r="AW151" s="315">
        <v>0</v>
      </c>
      <c r="AX151" s="315">
        <v>0</v>
      </c>
      <c r="AY151" s="315">
        <v>0</v>
      </c>
      <c r="AZ151" s="315">
        <v>0</v>
      </c>
      <c r="BA151" s="315">
        <v>0</v>
      </c>
      <c r="BB151" s="315">
        <v>0</v>
      </c>
      <c r="BC151" s="315">
        <v>0</v>
      </c>
      <c r="BD151" s="315">
        <v>0</v>
      </c>
      <c r="BE151" s="315">
        <v>0</v>
      </c>
      <c r="BF151" s="315">
        <v>0</v>
      </c>
      <c r="BG151" s="315">
        <v>0</v>
      </c>
      <c r="BH151" s="315">
        <v>0</v>
      </c>
      <c r="BI151" s="315">
        <v>0</v>
      </c>
      <c r="BJ151" s="315">
        <v>0</v>
      </c>
      <c r="BK151" s="315">
        <v>0</v>
      </c>
      <c r="BL151" s="315">
        <v>0</v>
      </c>
      <c r="BM151" s="315">
        <v>0</v>
      </c>
      <c r="BN151" s="315">
        <v>0</v>
      </c>
      <c r="BO151" s="315">
        <v>0</v>
      </c>
      <c r="BU151" s="315">
        <v>0</v>
      </c>
      <c r="BV151" s="315">
        <v>0</v>
      </c>
    </row>
    <row r="152" spans="12:74" hidden="1" x14ac:dyDescent="0.2">
      <c r="L152" s="315">
        <v>0</v>
      </c>
      <c r="M152" s="315">
        <v>0</v>
      </c>
      <c r="N152" s="315">
        <v>0</v>
      </c>
      <c r="O152" s="315">
        <v>0</v>
      </c>
      <c r="P152" s="315">
        <v>0</v>
      </c>
      <c r="Q152" s="315">
        <v>0</v>
      </c>
      <c r="R152" s="315">
        <v>0</v>
      </c>
      <c r="S152" s="315">
        <v>0</v>
      </c>
      <c r="T152" s="315">
        <v>0</v>
      </c>
      <c r="U152" s="315">
        <v>0</v>
      </c>
      <c r="V152" s="315">
        <v>0</v>
      </c>
      <c r="W152" s="315">
        <v>0</v>
      </c>
      <c r="X152" s="315">
        <v>0</v>
      </c>
      <c r="Y152" s="315">
        <v>0</v>
      </c>
      <c r="Z152" s="315">
        <v>0</v>
      </c>
      <c r="AA152" s="315">
        <v>0</v>
      </c>
      <c r="AB152" s="315">
        <v>0</v>
      </c>
      <c r="AC152" s="315">
        <v>0</v>
      </c>
      <c r="AD152" s="315">
        <v>0</v>
      </c>
      <c r="AE152" s="315">
        <v>0</v>
      </c>
      <c r="AF152" s="315">
        <v>0</v>
      </c>
      <c r="AG152" s="315">
        <v>0</v>
      </c>
      <c r="AH152" s="315">
        <v>0</v>
      </c>
      <c r="AI152" s="315">
        <v>0</v>
      </c>
      <c r="AJ152" s="315">
        <v>0</v>
      </c>
      <c r="AK152" s="315">
        <v>0</v>
      </c>
      <c r="AL152" s="315">
        <v>0</v>
      </c>
      <c r="AM152" s="315">
        <v>0</v>
      </c>
      <c r="AN152" s="315">
        <v>0</v>
      </c>
      <c r="AO152" s="315">
        <v>0</v>
      </c>
      <c r="AP152" s="315">
        <v>0</v>
      </c>
      <c r="AQ152" s="315">
        <v>0</v>
      </c>
      <c r="AR152" s="315">
        <v>0</v>
      </c>
      <c r="AS152" s="315">
        <v>0</v>
      </c>
      <c r="AT152" s="315">
        <v>0</v>
      </c>
      <c r="AU152" s="315">
        <v>0</v>
      </c>
      <c r="AV152" s="315">
        <v>0</v>
      </c>
      <c r="AW152" s="315">
        <v>0</v>
      </c>
      <c r="AX152" s="315">
        <v>0</v>
      </c>
      <c r="AY152" s="315">
        <v>0</v>
      </c>
      <c r="AZ152" s="315">
        <v>0</v>
      </c>
      <c r="BA152" s="315">
        <v>0</v>
      </c>
      <c r="BB152" s="315">
        <v>0</v>
      </c>
      <c r="BC152" s="315">
        <v>0</v>
      </c>
      <c r="BD152" s="315">
        <v>0</v>
      </c>
      <c r="BE152" s="315">
        <v>0</v>
      </c>
      <c r="BF152" s="315">
        <v>0</v>
      </c>
      <c r="BG152" s="315">
        <v>0</v>
      </c>
      <c r="BH152" s="315">
        <v>0</v>
      </c>
      <c r="BI152" s="315">
        <v>0</v>
      </c>
      <c r="BJ152" s="315">
        <v>0</v>
      </c>
      <c r="BK152" s="315">
        <v>0</v>
      </c>
      <c r="BL152" s="315">
        <v>0</v>
      </c>
      <c r="BM152" s="315">
        <v>0</v>
      </c>
      <c r="BN152" s="315">
        <v>0</v>
      </c>
      <c r="BO152" s="315">
        <v>0</v>
      </c>
      <c r="BU152" s="315">
        <v>0</v>
      </c>
      <c r="BV152" s="315">
        <v>0</v>
      </c>
    </row>
    <row r="153" spans="12:74" hidden="1" x14ac:dyDescent="0.2">
      <c r="L153" s="315">
        <v>0</v>
      </c>
      <c r="M153" s="315">
        <v>0</v>
      </c>
      <c r="N153" s="315">
        <v>0</v>
      </c>
      <c r="O153" s="315">
        <v>0</v>
      </c>
      <c r="P153" s="315">
        <v>0</v>
      </c>
      <c r="Q153" s="315">
        <v>0</v>
      </c>
      <c r="R153" s="315">
        <v>0</v>
      </c>
      <c r="S153" s="315">
        <v>0</v>
      </c>
      <c r="T153" s="315">
        <v>0</v>
      </c>
      <c r="U153" s="315">
        <v>0</v>
      </c>
      <c r="V153" s="315">
        <v>0</v>
      </c>
      <c r="W153" s="315">
        <v>0</v>
      </c>
      <c r="X153" s="315">
        <v>0</v>
      </c>
      <c r="Y153" s="315">
        <v>0</v>
      </c>
      <c r="Z153" s="315">
        <v>0</v>
      </c>
      <c r="AA153" s="315">
        <v>0</v>
      </c>
      <c r="AB153" s="315">
        <v>0</v>
      </c>
      <c r="AC153" s="315">
        <v>0</v>
      </c>
      <c r="AD153" s="315">
        <v>0</v>
      </c>
      <c r="AE153" s="315">
        <v>0</v>
      </c>
      <c r="AF153" s="315">
        <v>0</v>
      </c>
      <c r="AG153" s="315">
        <v>0</v>
      </c>
      <c r="AH153" s="315">
        <v>0</v>
      </c>
      <c r="AI153" s="315">
        <v>0</v>
      </c>
      <c r="AJ153" s="315">
        <v>0</v>
      </c>
      <c r="AK153" s="315">
        <v>0</v>
      </c>
      <c r="AL153" s="315">
        <v>0</v>
      </c>
      <c r="AM153" s="315">
        <v>0</v>
      </c>
      <c r="AN153" s="315">
        <v>0</v>
      </c>
      <c r="AO153" s="315">
        <v>0</v>
      </c>
      <c r="AP153" s="315">
        <v>0</v>
      </c>
      <c r="AQ153" s="315">
        <v>0</v>
      </c>
      <c r="AR153" s="315">
        <v>0</v>
      </c>
      <c r="AS153" s="315">
        <v>0</v>
      </c>
      <c r="AT153" s="315">
        <v>0</v>
      </c>
      <c r="AU153" s="315">
        <v>0</v>
      </c>
      <c r="AV153" s="315">
        <v>0</v>
      </c>
      <c r="AW153" s="315">
        <v>0</v>
      </c>
      <c r="AX153" s="315">
        <v>0</v>
      </c>
      <c r="AY153" s="315">
        <v>0</v>
      </c>
      <c r="AZ153" s="315">
        <v>0</v>
      </c>
      <c r="BA153" s="315">
        <v>0</v>
      </c>
      <c r="BB153" s="315">
        <v>0</v>
      </c>
      <c r="BC153" s="315">
        <v>0</v>
      </c>
      <c r="BD153" s="315">
        <v>0</v>
      </c>
      <c r="BE153" s="315">
        <v>0</v>
      </c>
      <c r="BF153" s="315">
        <v>0</v>
      </c>
      <c r="BG153" s="315">
        <v>0</v>
      </c>
      <c r="BH153" s="315">
        <v>0</v>
      </c>
      <c r="BI153" s="315">
        <v>0</v>
      </c>
      <c r="BJ153" s="315">
        <v>0</v>
      </c>
      <c r="BK153" s="315">
        <v>0</v>
      </c>
      <c r="BL153" s="315">
        <v>0</v>
      </c>
      <c r="BM153" s="315">
        <v>0</v>
      </c>
      <c r="BN153" s="315">
        <v>0</v>
      </c>
      <c r="BO153" s="315">
        <v>0</v>
      </c>
      <c r="BU153" s="315">
        <v>0</v>
      </c>
      <c r="BV153" s="315">
        <v>0</v>
      </c>
    </row>
    <row r="154" spans="12:74" hidden="1" x14ac:dyDescent="0.2">
      <c r="L154" s="315">
        <v>0</v>
      </c>
      <c r="M154" s="315">
        <v>0</v>
      </c>
      <c r="N154" s="315">
        <v>0</v>
      </c>
      <c r="O154" s="315">
        <v>0</v>
      </c>
      <c r="P154" s="315">
        <v>0</v>
      </c>
      <c r="Q154" s="315">
        <v>0</v>
      </c>
      <c r="R154" s="315">
        <v>0</v>
      </c>
      <c r="S154" s="315">
        <v>0</v>
      </c>
      <c r="T154" s="315">
        <v>0</v>
      </c>
      <c r="U154" s="315">
        <v>0</v>
      </c>
      <c r="V154" s="315">
        <v>0</v>
      </c>
      <c r="W154" s="315">
        <v>0</v>
      </c>
      <c r="X154" s="315">
        <v>0</v>
      </c>
      <c r="Y154" s="315">
        <v>0</v>
      </c>
      <c r="Z154" s="315">
        <v>0</v>
      </c>
      <c r="AA154" s="315">
        <v>0</v>
      </c>
      <c r="AB154" s="315">
        <v>0</v>
      </c>
      <c r="AC154" s="315">
        <v>0</v>
      </c>
      <c r="AD154" s="315">
        <v>0</v>
      </c>
      <c r="AE154" s="315">
        <v>0</v>
      </c>
      <c r="AF154" s="315">
        <v>0</v>
      </c>
      <c r="AG154" s="315">
        <v>0</v>
      </c>
      <c r="AH154" s="315">
        <v>0</v>
      </c>
      <c r="AI154" s="315">
        <v>0</v>
      </c>
      <c r="AJ154" s="315">
        <v>0</v>
      </c>
      <c r="AK154" s="315">
        <v>0</v>
      </c>
      <c r="AL154" s="315">
        <v>0</v>
      </c>
      <c r="AM154" s="315">
        <v>0</v>
      </c>
      <c r="AN154" s="315">
        <v>0</v>
      </c>
      <c r="AO154" s="315">
        <v>0</v>
      </c>
      <c r="AP154" s="315">
        <v>0</v>
      </c>
      <c r="AQ154" s="315">
        <v>0</v>
      </c>
      <c r="AR154" s="315">
        <v>0</v>
      </c>
      <c r="AS154" s="315">
        <v>0</v>
      </c>
      <c r="AT154" s="315">
        <v>0</v>
      </c>
      <c r="AU154" s="315">
        <v>0</v>
      </c>
      <c r="AV154" s="315">
        <v>0</v>
      </c>
      <c r="AW154" s="315">
        <v>0</v>
      </c>
      <c r="AX154" s="315">
        <v>0</v>
      </c>
      <c r="AY154" s="315">
        <v>0</v>
      </c>
      <c r="AZ154" s="315">
        <v>0</v>
      </c>
      <c r="BA154" s="315">
        <v>0</v>
      </c>
      <c r="BB154" s="315">
        <v>0</v>
      </c>
      <c r="BC154" s="315">
        <v>0</v>
      </c>
      <c r="BD154" s="315">
        <v>0</v>
      </c>
      <c r="BE154" s="315">
        <v>0</v>
      </c>
      <c r="BF154" s="315">
        <v>0</v>
      </c>
      <c r="BG154" s="315">
        <v>0</v>
      </c>
      <c r="BH154" s="315">
        <v>0</v>
      </c>
      <c r="BI154" s="315">
        <v>0</v>
      </c>
      <c r="BJ154" s="315">
        <v>0</v>
      </c>
      <c r="BK154" s="315">
        <v>0</v>
      </c>
      <c r="BL154" s="315">
        <v>0</v>
      </c>
      <c r="BM154" s="315">
        <v>0</v>
      </c>
      <c r="BN154" s="315">
        <v>0</v>
      </c>
      <c r="BO154" s="315">
        <v>0</v>
      </c>
      <c r="BU154" s="315">
        <v>0</v>
      </c>
      <c r="BV154" s="315">
        <v>0</v>
      </c>
    </row>
    <row r="155" spans="12:74" hidden="1" x14ac:dyDescent="0.2">
      <c r="L155" s="315">
        <v>0</v>
      </c>
      <c r="M155" s="315">
        <v>0</v>
      </c>
      <c r="N155" s="315">
        <v>0</v>
      </c>
      <c r="O155" s="315">
        <v>0</v>
      </c>
      <c r="P155" s="315">
        <v>0</v>
      </c>
      <c r="Q155" s="315">
        <v>0</v>
      </c>
      <c r="R155" s="315">
        <v>0</v>
      </c>
      <c r="S155" s="315">
        <v>0</v>
      </c>
      <c r="T155" s="315">
        <v>0</v>
      </c>
      <c r="U155" s="315">
        <v>0</v>
      </c>
      <c r="V155" s="315">
        <v>0</v>
      </c>
      <c r="W155" s="315">
        <v>0</v>
      </c>
      <c r="X155" s="315">
        <v>0</v>
      </c>
      <c r="Y155" s="315">
        <v>0</v>
      </c>
      <c r="Z155" s="315">
        <v>0</v>
      </c>
      <c r="AA155" s="315">
        <v>0</v>
      </c>
      <c r="AB155" s="315">
        <v>0</v>
      </c>
      <c r="AC155" s="315">
        <v>0</v>
      </c>
      <c r="AD155" s="315">
        <v>0</v>
      </c>
      <c r="AE155" s="315">
        <v>0</v>
      </c>
      <c r="AF155" s="315">
        <v>0</v>
      </c>
      <c r="AG155" s="315">
        <v>0</v>
      </c>
      <c r="AH155" s="315">
        <v>0</v>
      </c>
      <c r="AI155" s="315">
        <v>0</v>
      </c>
      <c r="AJ155" s="315">
        <v>0</v>
      </c>
      <c r="AK155" s="315">
        <v>0</v>
      </c>
      <c r="AL155" s="315">
        <v>0</v>
      </c>
      <c r="AM155" s="315">
        <v>0</v>
      </c>
      <c r="AN155" s="315">
        <v>0</v>
      </c>
      <c r="AO155" s="315">
        <v>0</v>
      </c>
      <c r="AP155" s="315">
        <v>0</v>
      </c>
      <c r="AQ155" s="315">
        <v>0</v>
      </c>
      <c r="AR155" s="315">
        <v>0</v>
      </c>
      <c r="AS155" s="315">
        <v>0</v>
      </c>
      <c r="AT155" s="315">
        <v>0</v>
      </c>
      <c r="AU155" s="315">
        <v>0</v>
      </c>
      <c r="AV155" s="315">
        <v>0</v>
      </c>
      <c r="AW155" s="315">
        <v>0</v>
      </c>
      <c r="AX155" s="315">
        <v>0</v>
      </c>
      <c r="AY155" s="315">
        <v>0</v>
      </c>
      <c r="AZ155" s="315">
        <v>0</v>
      </c>
      <c r="BA155" s="315">
        <v>0</v>
      </c>
      <c r="BB155" s="315">
        <v>0</v>
      </c>
      <c r="BC155" s="315">
        <v>0</v>
      </c>
      <c r="BD155" s="315">
        <v>0</v>
      </c>
      <c r="BE155" s="315">
        <v>0</v>
      </c>
      <c r="BF155" s="315">
        <v>0</v>
      </c>
      <c r="BG155" s="315">
        <v>0</v>
      </c>
      <c r="BH155" s="315">
        <v>0</v>
      </c>
      <c r="BI155" s="315">
        <v>0</v>
      </c>
      <c r="BJ155" s="315">
        <v>0</v>
      </c>
      <c r="BK155" s="315">
        <v>0</v>
      </c>
      <c r="BL155" s="315">
        <v>0</v>
      </c>
      <c r="BM155" s="315">
        <v>0</v>
      </c>
      <c r="BN155" s="315">
        <v>0</v>
      </c>
      <c r="BO155" s="315">
        <v>0</v>
      </c>
      <c r="BU155" s="315">
        <v>0</v>
      </c>
      <c r="BV155" s="315">
        <v>0</v>
      </c>
    </row>
    <row r="156" spans="12:74" hidden="1" x14ac:dyDescent="0.2">
      <c r="L156" s="315">
        <v>0</v>
      </c>
      <c r="M156" s="315">
        <v>0</v>
      </c>
      <c r="N156" s="315">
        <v>0</v>
      </c>
      <c r="O156" s="315">
        <v>0</v>
      </c>
      <c r="P156" s="315">
        <v>0</v>
      </c>
      <c r="Q156" s="315">
        <v>0</v>
      </c>
      <c r="R156" s="315">
        <v>0</v>
      </c>
      <c r="S156" s="315">
        <v>0</v>
      </c>
      <c r="T156" s="315">
        <v>0</v>
      </c>
      <c r="U156" s="315">
        <v>0</v>
      </c>
      <c r="V156" s="315">
        <v>0</v>
      </c>
      <c r="W156" s="315">
        <v>0</v>
      </c>
      <c r="X156" s="315">
        <v>0</v>
      </c>
      <c r="Y156" s="315">
        <v>0</v>
      </c>
      <c r="Z156" s="315">
        <v>0</v>
      </c>
      <c r="AA156" s="315">
        <v>0</v>
      </c>
      <c r="AB156" s="315">
        <v>0</v>
      </c>
      <c r="AC156" s="315">
        <v>0</v>
      </c>
      <c r="AD156" s="315">
        <v>0</v>
      </c>
      <c r="AE156" s="315">
        <v>0</v>
      </c>
      <c r="AF156" s="315">
        <v>0</v>
      </c>
      <c r="AG156" s="315">
        <v>0</v>
      </c>
      <c r="AH156" s="315">
        <v>0</v>
      </c>
      <c r="AI156" s="315">
        <v>0</v>
      </c>
      <c r="AJ156" s="315">
        <v>0</v>
      </c>
      <c r="AK156" s="315">
        <v>0</v>
      </c>
      <c r="AL156" s="315">
        <v>0</v>
      </c>
      <c r="AM156" s="315">
        <v>0</v>
      </c>
      <c r="AN156" s="315">
        <v>0</v>
      </c>
      <c r="AO156" s="315">
        <v>0</v>
      </c>
      <c r="AP156" s="315">
        <v>0</v>
      </c>
      <c r="AQ156" s="315">
        <v>0</v>
      </c>
      <c r="AR156" s="315">
        <v>0</v>
      </c>
      <c r="AS156" s="315">
        <v>0</v>
      </c>
      <c r="AT156" s="315">
        <v>0</v>
      </c>
      <c r="AU156" s="315">
        <v>0</v>
      </c>
      <c r="AV156" s="315">
        <v>0</v>
      </c>
      <c r="AW156" s="315">
        <v>0</v>
      </c>
      <c r="AX156" s="315">
        <v>0</v>
      </c>
      <c r="AY156" s="315">
        <v>0</v>
      </c>
      <c r="AZ156" s="315">
        <v>0</v>
      </c>
      <c r="BA156" s="315">
        <v>0</v>
      </c>
      <c r="BB156" s="315">
        <v>0</v>
      </c>
      <c r="BC156" s="315">
        <v>0</v>
      </c>
      <c r="BD156" s="315">
        <v>0</v>
      </c>
      <c r="BE156" s="315">
        <v>0</v>
      </c>
      <c r="BF156" s="315">
        <v>0</v>
      </c>
      <c r="BG156" s="315">
        <v>0</v>
      </c>
      <c r="BH156" s="315">
        <v>0</v>
      </c>
      <c r="BI156" s="315">
        <v>0</v>
      </c>
      <c r="BJ156" s="315">
        <v>0</v>
      </c>
      <c r="BK156" s="315">
        <v>0</v>
      </c>
      <c r="BL156" s="315">
        <v>0</v>
      </c>
      <c r="BM156" s="315">
        <v>0</v>
      </c>
      <c r="BN156" s="315">
        <v>0</v>
      </c>
      <c r="BO156" s="315">
        <v>0</v>
      </c>
      <c r="BU156" s="315">
        <v>0</v>
      </c>
      <c r="BV156" s="315">
        <v>0</v>
      </c>
    </row>
    <row r="157" spans="12:74" hidden="1" x14ac:dyDescent="0.2">
      <c r="L157" s="315">
        <v>0</v>
      </c>
      <c r="M157" s="315">
        <v>0</v>
      </c>
      <c r="N157" s="315">
        <v>0</v>
      </c>
      <c r="O157" s="315">
        <v>0</v>
      </c>
      <c r="P157" s="315">
        <v>0</v>
      </c>
      <c r="Q157" s="315">
        <v>0</v>
      </c>
      <c r="R157" s="315">
        <v>0</v>
      </c>
      <c r="S157" s="315">
        <v>0</v>
      </c>
      <c r="T157" s="315">
        <v>0</v>
      </c>
      <c r="U157" s="315">
        <v>0</v>
      </c>
      <c r="V157" s="315">
        <v>0</v>
      </c>
      <c r="W157" s="315">
        <v>0</v>
      </c>
      <c r="X157" s="315">
        <v>0</v>
      </c>
      <c r="Y157" s="315">
        <v>0</v>
      </c>
      <c r="Z157" s="315">
        <v>0</v>
      </c>
      <c r="AA157" s="315">
        <v>0</v>
      </c>
      <c r="AB157" s="315">
        <v>0</v>
      </c>
      <c r="AC157" s="315">
        <v>0</v>
      </c>
      <c r="AD157" s="315">
        <v>0</v>
      </c>
      <c r="AE157" s="315">
        <v>0</v>
      </c>
      <c r="AF157" s="315">
        <v>0</v>
      </c>
      <c r="AG157" s="315">
        <v>0</v>
      </c>
      <c r="AH157" s="315">
        <v>0</v>
      </c>
      <c r="AI157" s="315">
        <v>0</v>
      </c>
      <c r="AJ157" s="315">
        <v>0</v>
      </c>
      <c r="AK157" s="315">
        <v>0</v>
      </c>
      <c r="AL157" s="315">
        <v>0</v>
      </c>
      <c r="AM157" s="315">
        <v>0</v>
      </c>
      <c r="AN157" s="315">
        <v>0</v>
      </c>
      <c r="AO157" s="315">
        <v>0</v>
      </c>
      <c r="AP157" s="315">
        <v>0</v>
      </c>
      <c r="AQ157" s="315">
        <v>0</v>
      </c>
      <c r="AR157" s="315">
        <v>0</v>
      </c>
      <c r="AS157" s="315">
        <v>0</v>
      </c>
      <c r="AT157" s="315">
        <v>0</v>
      </c>
      <c r="AU157" s="315">
        <v>0</v>
      </c>
      <c r="AV157" s="315">
        <v>0</v>
      </c>
      <c r="AW157" s="315">
        <v>0</v>
      </c>
      <c r="AX157" s="315">
        <v>0</v>
      </c>
      <c r="AY157" s="315">
        <v>0</v>
      </c>
      <c r="AZ157" s="315">
        <v>0</v>
      </c>
      <c r="BA157" s="315">
        <v>0</v>
      </c>
      <c r="BB157" s="315">
        <v>0</v>
      </c>
      <c r="BC157" s="315">
        <v>0</v>
      </c>
      <c r="BD157" s="315">
        <v>0</v>
      </c>
      <c r="BE157" s="315">
        <v>0</v>
      </c>
      <c r="BF157" s="315">
        <v>0</v>
      </c>
      <c r="BG157" s="315">
        <v>0</v>
      </c>
      <c r="BH157" s="315">
        <v>0</v>
      </c>
      <c r="BI157" s="315">
        <v>0</v>
      </c>
      <c r="BJ157" s="315">
        <v>0</v>
      </c>
      <c r="BK157" s="315">
        <v>0</v>
      </c>
      <c r="BL157" s="315">
        <v>0</v>
      </c>
      <c r="BM157" s="315">
        <v>0</v>
      </c>
      <c r="BN157" s="315">
        <v>0</v>
      </c>
      <c r="BO157" s="315">
        <v>0</v>
      </c>
      <c r="BU157" s="315">
        <v>0</v>
      </c>
      <c r="BV157" s="315">
        <v>0</v>
      </c>
    </row>
    <row r="158" spans="12:74" hidden="1" x14ac:dyDescent="0.2">
      <c r="L158" s="315">
        <v>0</v>
      </c>
      <c r="M158" s="315">
        <v>0</v>
      </c>
      <c r="N158" s="315">
        <v>0</v>
      </c>
      <c r="O158" s="315">
        <v>0</v>
      </c>
      <c r="P158" s="315">
        <v>0</v>
      </c>
      <c r="Q158" s="315">
        <v>0</v>
      </c>
      <c r="R158" s="315">
        <v>0</v>
      </c>
      <c r="S158" s="315">
        <v>0</v>
      </c>
      <c r="T158" s="315">
        <v>0</v>
      </c>
      <c r="U158" s="315">
        <v>0</v>
      </c>
      <c r="V158" s="315">
        <v>0</v>
      </c>
      <c r="W158" s="315">
        <v>0</v>
      </c>
      <c r="X158" s="315">
        <v>0</v>
      </c>
      <c r="Y158" s="315">
        <v>0</v>
      </c>
      <c r="Z158" s="315">
        <v>0</v>
      </c>
      <c r="AA158" s="315">
        <v>0</v>
      </c>
      <c r="AB158" s="315">
        <v>0</v>
      </c>
      <c r="AC158" s="315">
        <v>0</v>
      </c>
      <c r="AD158" s="315">
        <v>0</v>
      </c>
      <c r="AE158" s="315">
        <v>0</v>
      </c>
      <c r="AF158" s="315">
        <v>0</v>
      </c>
      <c r="AG158" s="315">
        <v>0</v>
      </c>
      <c r="AH158" s="315">
        <v>0</v>
      </c>
      <c r="AI158" s="315">
        <v>0</v>
      </c>
      <c r="AJ158" s="315">
        <v>0</v>
      </c>
      <c r="AK158" s="315">
        <v>0</v>
      </c>
      <c r="AL158" s="315">
        <v>0</v>
      </c>
      <c r="AM158" s="315">
        <v>0</v>
      </c>
      <c r="AN158" s="315">
        <v>0</v>
      </c>
      <c r="AO158" s="315">
        <v>0</v>
      </c>
      <c r="AP158" s="315">
        <v>0</v>
      </c>
      <c r="AQ158" s="315">
        <v>0</v>
      </c>
      <c r="AR158" s="315">
        <v>0</v>
      </c>
      <c r="AS158" s="315">
        <v>0</v>
      </c>
      <c r="AT158" s="315">
        <v>0</v>
      </c>
      <c r="AU158" s="315">
        <v>0</v>
      </c>
      <c r="AV158" s="315">
        <v>0</v>
      </c>
      <c r="AW158" s="315">
        <v>0</v>
      </c>
      <c r="AX158" s="315">
        <v>0</v>
      </c>
      <c r="AY158" s="315">
        <v>0</v>
      </c>
      <c r="AZ158" s="315">
        <v>0</v>
      </c>
      <c r="BA158" s="315">
        <v>0</v>
      </c>
      <c r="BB158" s="315">
        <v>0</v>
      </c>
      <c r="BC158" s="315">
        <v>0</v>
      </c>
      <c r="BD158" s="315">
        <v>0</v>
      </c>
      <c r="BE158" s="315">
        <v>0</v>
      </c>
      <c r="BF158" s="315">
        <v>0</v>
      </c>
      <c r="BG158" s="315">
        <v>0</v>
      </c>
      <c r="BH158" s="315">
        <v>0</v>
      </c>
      <c r="BI158" s="315">
        <v>0</v>
      </c>
      <c r="BJ158" s="315">
        <v>0</v>
      </c>
      <c r="BK158" s="315">
        <v>0</v>
      </c>
      <c r="BL158" s="315">
        <v>0</v>
      </c>
      <c r="BM158" s="315">
        <v>0</v>
      </c>
      <c r="BN158" s="315">
        <v>0</v>
      </c>
      <c r="BO158" s="315">
        <v>0</v>
      </c>
      <c r="BU158" s="315">
        <v>0</v>
      </c>
      <c r="BV158" s="315">
        <v>0</v>
      </c>
    </row>
    <row r="159" spans="12:74" hidden="1" x14ac:dyDescent="0.2">
      <c r="L159" s="315">
        <v>0</v>
      </c>
      <c r="M159" s="315">
        <v>0</v>
      </c>
      <c r="N159" s="315">
        <v>0</v>
      </c>
      <c r="O159" s="315">
        <v>0</v>
      </c>
      <c r="P159" s="315">
        <v>0</v>
      </c>
      <c r="Q159" s="315">
        <v>0</v>
      </c>
      <c r="R159" s="315">
        <v>0</v>
      </c>
      <c r="S159" s="315">
        <v>0</v>
      </c>
      <c r="T159" s="315">
        <v>0</v>
      </c>
      <c r="U159" s="315">
        <v>0</v>
      </c>
      <c r="V159" s="315">
        <v>0</v>
      </c>
      <c r="W159" s="315">
        <v>0</v>
      </c>
      <c r="X159" s="315">
        <v>0</v>
      </c>
      <c r="Y159" s="315">
        <v>0</v>
      </c>
      <c r="Z159" s="315">
        <v>0</v>
      </c>
      <c r="AA159" s="315">
        <v>0</v>
      </c>
      <c r="AB159" s="315">
        <v>0</v>
      </c>
      <c r="AC159" s="315">
        <v>0</v>
      </c>
      <c r="AD159" s="315">
        <v>0</v>
      </c>
      <c r="AE159" s="315">
        <v>0</v>
      </c>
      <c r="AF159" s="315">
        <v>0</v>
      </c>
      <c r="AG159" s="315">
        <v>0</v>
      </c>
      <c r="AH159" s="315">
        <v>0</v>
      </c>
      <c r="AI159" s="315">
        <v>0</v>
      </c>
      <c r="AJ159" s="315">
        <v>0</v>
      </c>
      <c r="AK159" s="315">
        <v>0</v>
      </c>
      <c r="AL159" s="315">
        <v>0</v>
      </c>
      <c r="AM159" s="315">
        <v>0</v>
      </c>
      <c r="AN159" s="315">
        <v>0</v>
      </c>
      <c r="AO159" s="315">
        <v>0</v>
      </c>
      <c r="AP159" s="315">
        <v>0</v>
      </c>
      <c r="AQ159" s="315">
        <v>0</v>
      </c>
      <c r="AR159" s="315">
        <v>0</v>
      </c>
      <c r="AS159" s="315">
        <v>0</v>
      </c>
      <c r="AT159" s="315">
        <v>0</v>
      </c>
      <c r="AU159" s="315">
        <v>0</v>
      </c>
      <c r="AV159" s="315">
        <v>0</v>
      </c>
      <c r="AW159" s="315">
        <v>0</v>
      </c>
      <c r="AX159" s="315">
        <v>0</v>
      </c>
      <c r="AY159" s="315">
        <v>0</v>
      </c>
      <c r="AZ159" s="315">
        <v>0</v>
      </c>
      <c r="BA159" s="315">
        <v>0</v>
      </c>
      <c r="BB159" s="315">
        <v>0</v>
      </c>
      <c r="BC159" s="315">
        <v>0</v>
      </c>
      <c r="BD159" s="315">
        <v>0</v>
      </c>
      <c r="BE159" s="315">
        <v>0</v>
      </c>
      <c r="BF159" s="315">
        <v>0</v>
      </c>
      <c r="BG159" s="315">
        <v>0</v>
      </c>
      <c r="BH159" s="315">
        <v>0</v>
      </c>
      <c r="BI159" s="315">
        <v>0</v>
      </c>
      <c r="BJ159" s="315">
        <v>0</v>
      </c>
      <c r="BK159" s="315">
        <v>0</v>
      </c>
      <c r="BL159" s="315">
        <v>0</v>
      </c>
      <c r="BM159" s="315">
        <v>0</v>
      </c>
      <c r="BN159" s="315">
        <v>0</v>
      </c>
      <c r="BO159" s="315">
        <v>0</v>
      </c>
      <c r="BU159" s="315">
        <v>0</v>
      </c>
      <c r="BV159" s="315">
        <v>0</v>
      </c>
    </row>
    <row r="160" spans="12:74" hidden="1" x14ac:dyDescent="0.2">
      <c r="L160" s="315">
        <v>0</v>
      </c>
      <c r="M160" s="315">
        <v>0</v>
      </c>
      <c r="N160" s="315">
        <v>0</v>
      </c>
      <c r="O160" s="315">
        <v>0</v>
      </c>
      <c r="P160" s="315">
        <v>0</v>
      </c>
      <c r="Q160" s="315">
        <v>0</v>
      </c>
      <c r="R160" s="315">
        <v>0</v>
      </c>
      <c r="S160" s="315">
        <v>0</v>
      </c>
      <c r="T160" s="315">
        <v>0</v>
      </c>
      <c r="U160" s="315">
        <v>0</v>
      </c>
      <c r="V160" s="315">
        <v>0</v>
      </c>
      <c r="W160" s="315">
        <v>0</v>
      </c>
      <c r="X160" s="315">
        <v>0</v>
      </c>
      <c r="Y160" s="315">
        <v>0</v>
      </c>
      <c r="Z160" s="315">
        <v>0</v>
      </c>
      <c r="AA160" s="315">
        <v>0</v>
      </c>
      <c r="AB160" s="315">
        <v>0</v>
      </c>
      <c r="AC160" s="315">
        <v>0</v>
      </c>
      <c r="AD160" s="315">
        <v>0</v>
      </c>
      <c r="AE160" s="315">
        <v>0</v>
      </c>
      <c r="AF160" s="315">
        <v>0</v>
      </c>
      <c r="AG160" s="315">
        <v>0</v>
      </c>
      <c r="AH160" s="315">
        <v>0</v>
      </c>
      <c r="AI160" s="315">
        <v>0</v>
      </c>
      <c r="AJ160" s="315">
        <v>0</v>
      </c>
      <c r="AK160" s="315">
        <v>0</v>
      </c>
      <c r="AL160" s="315">
        <v>0</v>
      </c>
      <c r="AM160" s="315">
        <v>0</v>
      </c>
      <c r="AN160" s="315">
        <v>0</v>
      </c>
      <c r="AO160" s="315">
        <v>0</v>
      </c>
      <c r="AP160" s="315">
        <v>0</v>
      </c>
      <c r="AQ160" s="315">
        <v>0</v>
      </c>
      <c r="AR160" s="315">
        <v>0</v>
      </c>
      <c r="AS160" s="315">
        <v>0</v>
      </c>
      <c r="AT160" s="315">
        <v>0</v>
      </c>
      <c r="AU160" s="315">
        <v>0</v>
      </c>
      <c r="AV160" s="315">
        <v>0</v>
      </c>
      <c r="AW160" s="315">
        <v>0</v>
      </c>
      <c r="AX160" s="315">
        <v>0</v>
      </c>
      <c r="AY160" s="315">
        <v>0</v>
      </c>
      <c r="AZ160" s="315">
        <v>0</v>
      </c>
      <c r="BA160" s="315">
        <v>0</v>
      </c>
      <c r="BB160" s="315">
        <v>0</v>
      </c>
      <c r="BC160" s="315">
        <v>0</v>
      </c>
      <c r="BD160" s="315">
        <v>0</v>
      </c>
      <c r="BE160" s="315">
        <v>0</v>
      </c>
      <c r="BF160" s="315">
        <v>0</v>
      </c>
      <c r="BG160" s="315">
        <v>0</v>
      </c>
      <c r="BH160" s="315">
        <v>0</v>
      </c>
      <c r="BI160" s="315">
        <v>0</v>
      </c>
      <c r="BJ160" s="315">
        <v>0</v>
      </c>
      <c r="BK160" s="315">
        <v>0</v>
      </c>
      <c r="BL160" s="315">
        <v>0</v>
      </c>
      <c r="BM160" s="315">
        <v>0</v>
      </c>
      <c r="BN160" s="315">
        <v>0</v>
      </c>
      <c r="BO160" s="315">
        <v>0</v>
      </c>
      <c r="BU160" s="315">
        <v>0</v>
      </c>
      <c r="BV160" s="315">
        <v>0</v>
      </c>
    </row>
    <row r="161" spans="12:74" hidden="1" x14ac:dyDescent="0.2">
      <c r="L161" s="315">
        <v>0</v>
      </c>
      <c r="M161" s="315">
        <v>0</v>
      </c>
      <c r="N161" s="315">
        <v>0</v>
      </c>
      <c r="O161" s="315">
        <v>0</v>
      </c>
      <c r="P161" s="315">
        <v>0</v>
      </c>
      <c r="Q161" s="315">
        <v>0</v>
      </c>
      <c r="R161" s="315">
        <v>0</v>
      </c>
      <c r="S161" s="315">
        <v>0</v>
      </c>
      <c r="T161" s="315">
        <v>0</v>
      </c>
      <c r="U161" s="315">
        <v>0</v>
      </c>
      <c r="V161" s="315">
        <v>0</v>
      </c>
      <c r="W161" s="315">
        <v>0</v>
      </c>
      <c r="X161" s="315">
        <v>0</v>
      </c>
      <c r="Y161" s="315">
        <v>0</v>
      </c>
      <c r="Z161" s="315">
        <v>0</v>
      </c>
      <c r="AA161" s="315">
        <v>0</v>
      </c>
      <c r="AB161" s="315">
        <v>0</v>
      </c>
      <c r="AC161" s="315">
        <v>0</v>
      </c>
      <c r="AD161" s="315">
        <v>0</v>
      </c>
      <c r="AE161" s="315">
        <v>0</v>
      </c>
      <c r="AF161" s="315">
        <v>0</v>
      </c>
      <c r="AG161" s="315">
        <v>0</v>
      </c>
      <c r="AH161" s="315">
        <v>0</v>
      </c>
      <c r="AI161" s="315">
        <v>0</v>
      </c>
      <c r="AJ161" s="315">
        <v>0</v>
      </c>
      <c r="AK161" s="315">
        <v>0</v>
      </c>
      <c r="AL161" s="315">
        <v>0</v>
      </c>
      <c r="AM161" s="315">
        <v>0</v>
      </c>
      <c r="AN161" s="315">
        <v>0</v>
      </c>
      <c r="AO161" s="315">
        <v>0</v>
      </c>
      <c r="AP161" s="315">
        <v>0</v>
      </c>
      <c r="AQ161" s="315">
        <v>0</v>
      </c>
      <c r="AR161" s="315">
        <v>0</v>
      </c>
      <c r="AS161" s="315">
        <v>0</v>
      </c>
      <c r="AT161" s="315">
        <v>0</v>
      </c>
      <c r="AU161" s="315">
        <v>0</v>
      </c>
      <c r="AV161" s="315">
        <v>0</v>
      </c>
      <c r="AW161" s="315">
        <v>0</v>
      </c>
      <c r="AX161" s="315">
        <v>0</v>
      </c>
      <c r="AY161" s="315">
        <v>0</v>
      </c>
      <c r="AZ161" s="315">
        <v>0</v>
      </c>
      <c r="BA161" s="315">
        <v>0</v>
      </c>
      <c r="BB161" s="315">
        <v>0</v>
      </c>
      <c r="BC161" s="315">
        <v>0</v>
      </c>
      <c r="BD161" s="315">
        <v>0</v>
      </c>
      <c r="BE161" s="315">
        <v>0</v>
      </c>
      <c r="BF161" s="315">
        <v>0</v>
      </c>
      <c r="BG161" s="315">
        <v>0</v>
      </c>
      <c r="BH161" s="315">
        <v>0</v>
      </c>
      <c r="BI161" s="315">
        <v>0</v>
      </c>
      <c r="BJ161" s="315">
        <v>0</v>
      </c>
      <c r="BK161" s="315">
        <v>0</v>
      </c>
      <c r="BL161" s="315">
        <v>0</v>
      </c>
      <c r="BM161" s="315">
        <v>0</v>
      </c>
      <c r="BN161" s="315">
        <v>0</v>
      </c>
      <c r="BO161" s="315">
        <v>0</v>
      </c>
      <c r="BU161" s="315">
        <v>0</v>
      </c>
      <c r="BV161" s="315">
        <v>0</v>
      </c>
    </row>
    <row r="162" spans="12:74" hidden="1" x14ac:dyDescent="0.2">
      <c r="L162" s="315">
        <v>0</v>
      </c>
      <c r="M162" s="315">
        <v>0</v>
      </c>
      <c r="N162" s="315">
        <v>0</v>
      </c>
      <c r="O162" s="315">
        <v>0</v>
      </c>
      <c r="P162" s="315">
        <v>0</v>
      </c>
      <c r="Q162" s="315">
        <v>0</v>
      </c>
      <c r="R162" s="315">
        <v>0</v>
      </c>
      <c r="S162" s="315">
        <v>0</v>
      </c>
      <c r="T162" s="315">
        <v>0</v>
      </c>
      <c r="U162" s="315">
        <v>0</v>
      </c>
      <c r="V162" s="315">
        <v>0</v>
      </c>
      <c r="W162" s="315">
        <v>0</v>
      </c>
      <c r="X162" s="315">
        <v>0</v>
      </c>
      <c r="Y162" s="315">
        <v>0</v>
      </c>
      <c r="Z162" s="315">
        <v>0</v>
      </c>
      <c r="AA162" s="315">
        <v>0</v>
      </c>
      <c r="AB162" s="315">
        <v>0</v>
      </c>
      <c r="AC162" s="315">
        <v>0</v>
      </c>
      <c r="AD162" s="315">
        <v>0</v>
      </c>
      <c r="AE162" s="315">
        <v>0</v>
      </c>
      <c r="AF162" s="315">
        <v>0</v>
      </c>
      <c r="AG162" s="315">
        <v>0</v>
      </c>
      <c r="AH162" s="315">
        <v>0</v>
      </c>
      <c r="AI162" s="315">
        <v>0</v>
      </c>
      <c r="AJ162" s="315">
        <v>0</v>
      </c>
      <c r="AK162" s="315">
        <v>0</v>
      </c>
      <c r="AL162" s="315">
        <v>0</v>
      </c>
      <c r="AM162" s="315">
        <v>0</v>
      </c>
      <c r="AN162" s="315">
        <v>0</v>
      </c>
      <c r="AO162" s="315">
        <v>0</v>
      </c>
      <c r="AP162" s="315">
        <v>0</v>
      </c>
      <c r="AQ162" s="315">
        <v>0</v>
      </c>
      <c r="AR162" s="315">
        <v>0</v>
      </c>
      <c r="AS162" s="315">
        <v>0</v>
      </c>
      <c r="AT162" s="315">
        <v>0</v>
      </c>
      <c r="AU162" s="315">
        <v>0</v>
      </c>
      <c r="AV162" s="315">
        <v>0</v>
      </c>
      <c r="AW162" s="315">
        <v>0</v>
      </c>
      <c r="AX162" s="315">
        <v>0</v>
      </c>
      <c r="AY162" s="315">
        <v>0</v>
      </c>
      <c r="AZ162" s="315">
        <v>0</v>
      </c>
      <c r="BA162" s="315">
        <v>0</v>
      </c>
      <c r="BB162" s="315">
        <v>0</v>
      </c>
      <c r="BC162" s="315">
        <v>0</v>
      </c>
      <c r="BD162" s="315">
        <v>0</v>
      </c>
      <c r="BE162" s="315">
        <v>0</v>
      </c>
      <c r="BF162" s="315">
        <v>0</v>
      </c>
      <c r="BG162" s="315">
        <v>0</v>
      </c>
      <c r="BH162" s="315">
        <v>0</v>
      </c>
      <c r="BI162" s="315">
        <v>0</v>
      </c>
      <c r="BJ162" s="315">
        <v>0</v>
      </c>
      <c r="BK162" s="315">
        <v>0</v>
      </c>
      <c r="BL162" s="315">
        <v>0</v>
      </c>
      <c r="BM162" s="315">
        <v>0</v>
      </c>
      <c r="BN162" s="315">
        <v>0</v>
      </c>
      <c r="BO162" s="315">
        <v>0</v>
      </c>
      <c r="BU162" s="315">
        <v>0</v>
      </c>
      <c r="BV162" s="315">
        <v>0</v>
      </c>
    </row>
    <row r="163" spans="12:74" hidden="1" x14ac:dyDescent="0.2">
      <c r="L163" s="315">
        <v>0</v>
      </c>
      <c r="M163" s="315">
        <v>0</v>
      </c>
      <c r="N163" s="315">
        <v>0</v>
      </c>
      <c r="O163" s="315">
        <v>0</v>
      </c>
      <c r="P163" s="315">
        <v>0</v>
      </c>
      <c r="Q163" s="315">
        <v>0</v>
      </c>
      <c r="R163" s="315">
        <v>0</v>
      </c>
      <c r="S163" s="315">
        <v>0</v>
      </c>
      <c r="T163" s="315">
        <v>0</v>
      </c>
      <c r="U163" s="315">
        <v>0</v>
      </c>
      <c r="V163" s="315">
        <v>0</v>
      </c>
      <c r="W163" s="315">
        <v>0</v>
      </c>
      <c r="X163" s="315">
        <v>0</v>
      </c>
      <c r="Y163" s="315">
        <v>0</v>
      </c>
      <c r="Z163" s="315">
        <v>0</v>
      </c>
      <c r="AA163" s="315">
        <v>0</v>
      </c>
      <c r="AB163" s="315">
        <v>0</v>
      </c>
      <c r="AC163" s="315">
        <v>0</v>
      </c>
      <c r="AD163" s="315">
        <v>0</v>
      </c>
      <c r="AE163" s="315">
        <v>0</v>
      </c>
      <c r="AF163" s="315">
        <v>0</v>
      </c>
      <c r="AG163" s="315">
        <v>0</v>
      </c>
      <c r="AH163" s="315">
        <v>0</v>
      </c>
      <c r="AI163" s="315">
        <v>0</v>
      </c>
      <c r="AJ163" s="315">
        <v>0</v>
      </c>
      <c r="AK163" s="315">
        <v>0</v>
      </c>
      <c r="AL163" s="315">
        <v>0</v>
      </c>
      <c r="AM163" s="315">
        <v>0</v>
      </c>
      <c r="AN163" s="315">
        <v>0</v>
      </c>
      <c r="AO163" s="315">
        <v>0</v>
      </c>
      <c r="AP163" s="315">
        <v>0</v>
      </c>
      <c r="AQ163" s="315">
        <v>0</v>
      </c>
      <c r="AR163" s="315">
        <v>0</v>
      </c>
      <c r="AS163" s="315">
        <v>0</v>
      </c>
      <c r="AT163" s="315">
        <v>0</v>
      </c>
      <c r="AU163" s="315">
        <v>0</v>
      </c>
      <c r="AV163" s="315">
        <v>0</v>
      </c>
      <c r="AW163" s="315">
        <v>0</v>
      </c>
      <c r="AX163" s="315">
        <v>0</v>
      </c>
      <c r="AY163" s="315">
        <v>0</v>
      </c>
      <c r="AZ163" s="315">
        <v>0</v>
      </c>
      <c r="BA163" s="315">
        <v>0</v>
      </c>
      <c r="BB163" s="315">
        <v>0</v>
      </c>
      <c r="BC163" s="315">
        <v>0</v>
      </c>
      <c r="BD163" s="315">
        <v>0</v>
      </c>
      <c r="BE163" s="315">
        <v>0</v>
      </c>
      <c r="BF163" s="315">
        <v>0</v>
      </c>
      <c r="BG163" s="315">
        <v>0</v>
      </c>
      <c r="BH163" s="315">
        <v>0</v>
      </c>
      <c r="BI163" s="315">
        <v>0</v>
      </c>
      <c r="BJ163" s="315">
        <v>0</v>
      </c>
      <c r="BK163" s="315">
        <v>0</v>
      </c>
      <c r="BL163" s="315">
        <v>0</v>
      </c>
      <c r="BM163" s="315">
        <v>0</v>
      </c>
      <c r="BN163" s="315">
        <v>0</v>
      </c>
      <c r="BO163" s="315">
        <v>0</v>
      </c>
      <c r="BU163" s="315">
        <v>0</v>
      </c>
      <c r="BV163" s="315">
        <v>0</v>
      </c>
    </row>
    <row r="164" spans="12:74" hidden="1" x14ac:dyDescent="0.2">
      <c r="L164" s="315">
        <v>0</v>
      </c>
      <c r="M164" s="315">
        <v>0</v>
      </c>
      <c r="N164" s="315">
        <v>0</v>
      </c>
      <c r="O164" s="315">
        <v>0</v>
      </c>
      <c r="P164" s="315">
        <v>0</v>
      </c>
      <c r="Q164" s="315">
        <v>0</v>
      </c>
      <c r="R164" s="315">
        <v>0</v>
      </c>
      <c r="S164" s="315">
        <v>0</v>
      </c>
      <c r="T164" s="315">
        <v>0</v>
      </c>
      <c r="U164" s="315">
        <v>0</v>
      </c>
      <c r="V164" s="315">
        <v>0</v>
      </c>
      <c r="W164" s="315">
        <v>0</v>
      </c>
      <c r="X164" s="315">
        <v>0</v>
      </c>
      <c r="Y164" s="315">
        <v>0</v>
      </c>
      <c r="Z164" s="315">
        <v>0</v>
      </c>
      <c r="AA164" s="315">
        <v>0</v>
      </c>
      <c r="AB164" s="315">
        <v>0</v>
      </c>
      <c r="AC164" s="315">
        <v>0</v>
      </c>
      <c r="AD164" s="315">
        <v>0</v>
      </c>
      <c r="AE164" s="315">
        <v>0</v>
      </c>
      <c r="AF164" s="315">
        <v>0</v>
      </c>
      <c r="AG164" s="315">
        <v>0</v>
      </c>
      <c r="AH164" s="315">
        <v>0</v>
      </c>
      <c r="AI164" s="315">
        <v>0</v>
      </c>
      <c r="AJ164" s="315">
        <v>0</v>
      </c>
      <c r="AK164" s="315">
        <v>0</v>
      </c>
      <c r="AL164" s="315">
        <v>0</v>
      </c>
      <c r="AM164" s="315">
        <v>0</v>
      </c>
      <c r="AN164" s="315">
        <v>0</v>
      </c>
      <c r="AO164" s="315">
        <v>0</v>
      </c>
      <c r="AP164" s="315">
        <v>0</v>
      </c>
      <c r="AQ164" s="315">
        <v>0</v>
      </c>
      <c r="AR164" s="315">
        <v>0</v>
      </c>
      <c r="AS164" s="315">
        <v>0</v>
      </c>
      <c r="AT164" s="315">
        <v>0</v>
      </c>
      <c r="AU164" s="315">
        <v>0</v>
      </c>
      <c r="AV164" s="315">
        <v>0</v>
      </c>
      <c r="AW164" s="315">
        <v>0</v>
      </c>
      <c r="AX164" s="315">
        <v>0</v>
      </c>
      <c r="AY164" s="315">
        <v>0</v>
      </c>
      <c r="AZ164" s="315">
        <v>0</v>
      </c>
      <c r="BA164" s="315">
        <v>0</v>
      </c>
      <c r="BB164" s="315">
        <v>0</v>
      </c>
      <c r="BC164" s="315">
        <v>0</v>
      </c>
      <c r="BD164" s="315">
        <v>0</v>
      </c>
      <c r="BE164" s="315">
        <v>0</v>
      </c>
      <c r="BF164" s="315">
        <v>0</v>
      </c>
      <c r="BG164" s="315">
        <v>0</v>
      </c>
      <c r="BH164" s="315">
        <v>0</v>
      </c>
      <c r="BI164" s="315">
        <v>0</v>
      </c>
      <c r="BJ164" s="315">
        <v>0</v>
      </c>
      <c r="BK164" s="315">
        <v>0</v>
      </c>
      <c r="BL164" s="315">
        <v>0</v>
      </c>
      <c r="BM164" s="315">
        <v>0</v>
      </c>
      <c r="BN164" s="315">
        <v>0</v>
      </c>
      <c r="BO164" s="315">
        <v>0</v>
      </c>
      <c r="BU164" s="315">
        <v>0</v>
      </c>
      <c r="BV164" s="315">
        <v>0</v>
      </c>
    </row>
    <row r="165" spans="12:74" hidden="1" x14ac:dyDescent="0.2">
      <c r="L165" s="315">
        <v>0</v>
      </c>
      <c r="M165" s="315">
        <v>0</v>
      </c>
      <c r="N165" s="315">
        <v>0</v>
      </c>
      <c r="O165" s="315">
        <v>0</v>
      </c>
      <c r="P165" s="315">
        <v>0</v>
      </c>
      <c r="Q165" s="315">
        <v>0</v>
      </c>
      <c r="R165" s="315">
        <v>0</v>
      </c>
      <c r="S165" s="315">
        <v>0</v>
      </c>
      <c r="T165" s="315">
        <v>0</v>
      </c>
      <c r="U165" s="315">
        <v>0</v>
      </c>
      <c r="V165" s="315">
        <v>0</v>
      </c>
      <c r="W165" s="315">
        <v>0</v>
      </c>
      <c r="X165" s="315">
        <v>0</v>
      </c>
      <c r="Y165" s="315">
        <v>0</v>
      </c>
      <c r="Z165" s="315">
        <v>0</v>
      </c>
      <c r="AA165" s="315">
        <v>0</v>
      </c>
      <c r="AB165" s="315">
        <v>0</v>
      </c>
      <c r="AC165" s="315">
        <v>0</v>
      </c>
      <c r="AD165" s="315">
        <v>0</v>
      </c>
      <c r="AE165" s="315">
        <v>0</v>
      </c>
      <c r="AF165" s="315">
        <v>0</v>
      </c>
      <c r="AG165" s="315">
        <v>0</v>
      </c>
      <c r="AH165" s="315">
        <v>0</v>
      </c>
      <c r="AI165" s="315">
        <v>0</v>
      </c>
      <c r="AJ165" s="315">
        <v>0</v>
      </c>
      <c r="AK165" s="315">
        <v>0</v>
      </c>
      <c r="AL165" s="315">
        <v>0</v>
      </c>
      <c r="AM165" s="315">
        <v>0</v>
      </c>
      <c r="AN165" s="315">
        <v>0</v>
      </c>
      <c r="AO165" s="315">
        <v>0</v>
      </c>
      <c r="AP165" s="315">
        <v>0</v>
      </c>
      <c r="AQ165" s="315">
        <v>0</v>
      </c>
      <c r="AR165" s="315">
        <v>0</v>
      </c>
      <c r="AS165" s="315">
        <v>0</v>
      </c>
      <c r="AT165" s="315">
        <v>0</v>
      </c>
      <c r="AU165" s="315">
        <v>0</v>
      </c>
      <c r="AV165" s="315">
        <v>0</v>
      </c>
      <c r="AW165" s="315">
        <v>0</v>
      </c>
      <c r="AX165" s="315">
        <v>0</v>
      </c>
      <c r="AY165" s="315">
        <v>0</v>
      </c>
      <c r="AZ165" s="315">
        <v>0</v>
      </c>
      <c r="BA165" s="315">
        <v>0</v>
      </c>
      <c r="BB165" s="315">
        <v>0</v>
      </c>
      <c r="BC165" s="315">
        <v>0</v>
      </c>
      <c r="BD165" s="315">
        <v>0</v>
      </c>
      <c r="BE165" s="315">
        <v>0</v>
      </c>
      <c r="BF165" s="315">
        <v>0</v>
      </c>
      <c r="BG165" s="315">
        <v>0</v>
      </c>
      <c r="BH165" s="315">
        <v>0</v>
      </c>
      <c r="BI165" s="315">
        <v>0</v>
      </c>
      <c r="BJ165" s="315">
        <v>0</v>
      </c>
      <c r="BK165" s="315">
        <v>0</v>
      </c>
      <c r="BL165" s="315">
        <v>0</v>
      </c>
      <c r="BM165" s="315">
        <v>0</v>
      </c>
      <c r="BN165" s="315">
        <v>0</v>
      </c>
      <c r="BO165" s="315">
        <v>0</v>
      </c>
      <c r="BU165" s="315">
        <v>0</v>
      </c>
      <c r="BV165" s="315">
        <v>0</v>
      </c>
    </row>
    <row r="166" spans="12:74" hidden="1" x14ac:dyDescent="0.2">
      <c r="L166" s="315">
        <v>0</v>
      </c>
      <c r="M166" s="315">
        <v>0</v>
      </c>
      <c r="N166" s="315">
        <v>0</v>
      </c>
      <c r="O166" s="315">
        <v>0</v>
      </c>
      <c r="P166" s="315">
        <v>0</v>
      </c>
      <c r="Q166" s="315">
        <v>0</v>
      </c>
      <c r="R166" s="315">
        <v>0</v>
      </c>
      <c r="S166" s="315">
        <v>0</v>
      </c>
      <c r="T166" s="315">
        <v>0</v>
      </c>
      <c r="U166" s="315">
        <v>0</v>
      </c>
      <c r="V166" s="315">
        <v>0</v>
      </c>
      <c r="W166" s="315">
        <v>0</v>
      </c>
      <c r="X166" s="315">
        <v>0</v>
      </c>
      <c r="Y166" s="315">
        <v>0</v>
      </c>
      <c r="Z166" s="315">
        <v>0</v>
      </c>
      <c r="AA166" s="315">
        <v>0</v>
      </c>
      <c r="AB166" s="315">
        <v>0</v>
      </c>
      <c r="AC166" s="315">
        <v>0</v>
      </c>
      <c r="AD166" s="315">
        <v>0</v>
      </c>
      <c r="AE166" s="315">
        <v>0</v>
      </c>
      <c r="AF166" s="315">
        <v>0</v>
      </c>
      <c r="AG166" s="315">
        <v>0</v>
      </c>
      <c r="AH166" s="315">
        <v>0</v>
      </c>
      <c r="AI166" s="315">
        <v>0</v>
      </c>
      <c r="AJ166" s="315">
        <v>0</v>
      </c>
      <c r="AK166" s="315">
        <v>0</v>
      </c>
      <c r="AL166" s="315">
        <v>0</v>
      </c>
      <c r="AM166" s="315">
        <v>0</v>
      </c>
      <c r="AN166" s="315">
        <v>0</v>
      </c>
      <c r="AO166" s="315">
        <v>0</v>
      </c>
      <c r="AP166" s="315">
        <v>0</v>
      </c>
      <c r="AQ166" s="315">
        <v>0</v>
      </c>
      <c r="AR166" s="315">
        <v>0</v>
      </c>
      <c r="AS166" s="315">
        <v>0</v>
      </c>
      <c r="AT166" s="315">
        <v>0</v>
      </c>
      <c r="AU166" s="315">
        <v>0</v>
      </c>
      <c r="AV166" s="315">
        <v>0</v>
      </c>
      <c r="AW166" s="315">
        <v>0</v>
      </c>
      <c r="AX166" s="315">
        <v>0</v>
      </c>
      <c r="AY166" s="315">
        <v>0</v>
      </c>
      <c r="AZ166" s="315">
        <v>0</v>
      </c>
      <c r="BA166" s="315">
        <v>0</v>
      </c>
      <c r="BB166" s="315">
        <v>0</v>
      </c>
      <c r="BC166" s="315">
        <v>0</v>
      </c>
      <c r="BD166" s="315">
        <v>0</v>
      </c>
      <c r="BE166" s="315">
        <v>0</v>
      </c>
      <c r="BF166" s="315">
        <v>0</v>
      </c>
      <c r="BG166" s="315">
        <v>0</v>
      </c>
      <c r="BH166" s="315">
        <v>0</v>
      </c>
      <c r="BI166" s="315">
        <v>0</v>
      </c>
      <c r="BJ166" s="315">
        <v>0</v>
      </c>
      <c r="BK166" s="315">
        <v>0</v>
      </c>
      <c r="BL166" s="315">
        <v>0</v>
      </c>
      <c r="BM166" s="315">
        <v>0</v>
      </c>
      <c r="BN166" s="315">
        <v>0</v>
      </c>
      <c r="BO166" s="315">
        <v>0</v>
      </c>
      <c r="BU166" s="315">
        <v>0</v>
      </c>
      <c r="BV166" s="315">
        <v>0</v>
      </c>
    </row>
    <row r="167" spans="12:74" hidden="1" x14ac:dyDescent="0.2">
      <c r="L167" s="315">
        <v>0</v>
      </c>
      <c r="M167" s="315">
        <v>0</v>
      </c>
      <c r="N167" s="315">
        <v>0</v>
      </c>
      <c r="O167" s="315">
        <v>0</v>
      </c>
      <c r="P167" s="315">
        <v>0</v>
      </c>
      <c r="Q167" s="315">
        <v>0</v>
      </c>
      <c r="R167" s="315">
        <v>0</v>
      </c>
      <c r="S167" s="315">
        <v>0</v>
      </c>
      <c r="T167" s="315">
        <v>0</v>
      </c>
      <c r="U167" s="315">
        <v>0</v>
      </c>
      <c r="V167" s="315">
        <v>0</v>
      </c>
      <c r="W167" s="315">
        <v>0</v>
      </c>
      <c r="X167" s="315">
        <v>0</v>
      </c>
      <c r="Y167" s="315">
        <v>0</v>
      </c>
      <c r="Z167" s="315">
        <v>0</v>
      </c>
      <c r="AA167" s="315">
        <v>0</v>
      </c>
      <c r="AB167" s="315">
        <v>0</v>
      </c>
      <c r="AC167" s="315">
        <v>0</v>
      </c>
      <c r="AD167" s="315">
        <v>0</v>
      </c>
      <c r="AE167" s="315">
        <v>0</v>
      </c>
      <c r="AF167" s="315">
        <v>0</v>
      </c>
      <c r="AG167" s="315">
        <v>0</v>
      </c>
      <c r="AH167" s="315">
        <v>0</v>
      </c>
      <c r="AI167" s="315">
        <v>0</v>
      </c>
      <c r="AJ167" s="315">
        <v>0</v>
      </c>
      <c r="AK167" s="315">
        <v>0</v>
      </c>
      <c r="AL167" s="315">
        <v>0</v>
      </c>
      <c r="AM167" s="315">
        <v>0</v>
      </c>
      <c r="AN167" s="315">
        <v>0</v>
      </c>
      <c r="AO167" s="315">
        <v>0</v>
      </c>
      <c r="AP167" s="315">
        <v>0</v>
      </c>
      <c r="AQ167" s="315">
        <v>0</v>
      </c>
      <c r="AR167" s="315">
        <v>0</v>
      </c>
      <c r="AS167" s="315">
        <v>0</v>
      </c>
      <c r="AT167" s="315">
        <v>0</v>
      </c>
      <c r="AU167" s="315">
        <v>0</v>
      </c>
      <c r="AV167" s="315">
        <v>0</v>
      </c>
      <c r="AW167" s="315">
        <v>0</v>
      </c>
      <c r="AX167" s="315">
        <v>0</v>
      </c>
      <c r="AY167" s="315">
        <v>0</v>
      </c>
      <c r="AZ167" s="315">
        <v>0</v>
      </c>
      <c r="BA167" s="315">
        <v>0</v>
      </c>
      <c r="BB167" s="315">
        <v>0</v>
      </c>
      <c r="BC167" s="315">
        <v>0</v>
      </c>
      <c r="BD167" s="315">
        <v>0</v>
      </c>
      <c r="BE167" s="315">
        <v>0</v>
      </c>
      <c r="BF167" s="315">
        <v>0</v>
      </c>
      <c r="BG167" s="315">
        <v>0</v>
      </c>
      <c r="BH167" s="315">
        <v>0</v>
      </c>
      <c r="BI167" s="315">
        <v>0</v>
      </c>
      <c r="BJ167" s="315">
        <v>0</v>
      </c>
      <c r="BK167" s="315">
        <v>0</v>
      </c>
      <c r="BL167" s="315">
        <v>0</v>
      </c>
      <c r="BM167" s="315">
        <v>0</v>
      </c>
      <c r="BN167" s="315">
        <v>0</v>
      </c>
      <c r="BO167" s="315">
        <v>0</v>
      </c>
      <c r="BU167" s="315">
        <v>0</v>
      </c>
      <c r="BV167" s="315">
        <v>0</v>
      </c>
    </row>
    <row r="168" spans="12:74" hidden="1" x14ac:dyDescent="0.2">
      <c r="L168" s="315">
        <v>0</v>
      </c>
      <c r="M168" s="315">
        <v>0</v>
      </c>
      <c r="N168" s="315">
        <v>0</v>
      </c>
      <c r="O168" s="315">
        <v>0</v>
      </c>
      <c r="P168" s="315">
        <v>0</v>
      </c>
      <c r="Q168" s="315">
        <v>0</v>
      </c>
      <c r="R168" s="315">
        <v>0</v>
      </c>
      <c r="S168" s="315">
        <v>0</v>
      </c>
      <c r="T168" s="315">
        <v>0</v>
      </c>
      <c r="U168" s="315">
        <v>0</v>
      </c>
      <c r="V168" s="315">
        <v>0</v>
      </c>
      <c r="W168" s="315">
        <v>0</v>
      </c>
      <c r="X168" s="315">
        <v>0</v>
      </c>
      <c r="Y168" s="315">
        <v>0</v>
      </c>
      <c r="Z168" s="315">
        <v>0</v>
      </c>
      <c r="AA168" s="315">
        <v>0</v>
      </c>
      <c r="AB168" s="315">
        <v>0</v>
      </c>
      <c r="AC168" s="315">
        <v>0</v>
      </c>
      <c r="AD168" s="315">
        <v>0</v>
      </c>
      <c r="AE168" s="315">
        <v>0</v>
      </c>
      <c r="AF168" s="315">
        <v>0</v>
      </c>
      <c r="AG168" s="315">
        <v>0</v>
      </c>
      <c r="AH168" s="315">
        <v>0</v>
      </c>
      <c r="AI168" s="315">
        <v>0</v>
      </c>
      <c r="AJ168" s="315">
        <v>0</v>
      </c>
      <c r="AK168" s="315">
        <v>0</v>
      </c>
      <c r="AL168" s="315">
        <v>0</v>
      </c>
      <c r="AM168" s="315">
        <v>0</v>
      </c>
      <c r="AN168" s="315">
        <v>0</v>
      </c>
      <c r="AO168" s="315">
        <v>0</v>
      </c>
      <c r="AP168" s="315">
        <v>0</v>
      </c>
      <c r="AQ168" s="315">
        <v>0</v>
      </c>
      <c r="AR168" s="315">
        <v>0</v>
      </c>
      <c r="AS168" s="315">
        <v>0</v>
      </c>
      <c r="AT168" s="315">
        <v>0</v>
      </c>
      <c r="AU168" s="315">
        <v>0</v>
      </c>
      <c r="AV168" s="315">
        <v>0</v>
      </c>
      <c r="AW168" s="315">
        <v>0</v>
      </c>
      <c r="AX168" s="315">
        <v>0</v>
      </c>
      <c r="AY168" s="315">
        <v>0</v>
      </c>
      <c r="AZ168" s="315">
        <v>0</v>
      </c>
      <c r="BA168" s="315">
        <v>0</v>
      </c>
      <c r="BB168" s="315">
        <v>0</v>
      </c>
      <c r="BC168" s="315">
        <v>0</v>
      </c>
      <c r="BD168" s="315">
        <v>0</v>
      </c>
      <c r="BE168" s="315">
        <v>0</v>
      </c>
      <c r="BF168" s="315">
        <v>0</v>
      </c>
      <c r="BG168" s="315">
        <v>0</v>
      </c>
      <c r="BH168" s="315">
        <v>0</v>
      </c>
      <c r="BI168" s="315">
        <v>0</v>
      </c>
      <c r="BJ168" s="315">
        <v>0</v>
      </c>
      <c r="BK168" s="315">
        <v>0</v>
      </c>
      <c r="BL168" s="315">
        <v>0</v>
      </c>
      <c r="BM168" s="315">
        <v>0</v>
      </c>
      <c r="BN168" s="315">
        <v>0</v>
      </c>
      <c r="BO168" s="315">
        <v>0</v>
      </c>
      <c r="BU168" s="315">
        <v>0</v>
      </c>
      <c r="BV168" s="315">
        <v>0</v>
      </c>
    </row>
    <row r="169" spans="12:74" hidden="1" x14ac:dyDescent="0.2">
      <c r="L169" s="315">
        <v>0</v>
      </c>
      <c r="M169" s="315">
        <v>0</v>
      </c>
      <c r="N169" s="315">
        <v>0</v>
      </c>
      <c r="O169" s="315">
        <v>0</v>
      </c>
      <c r="P169" s="315">
        <v>0</v>
      </c>
      <c r="Q169" s="315">
        <v>0</v>
      </c>
      <c r="R169" s="315">
        <v>0</v>
      </c>
      <c r="S169" s="315">
        <v>0</v>
      </c>
      <c r="T169" s="315">
        <v>0</v>
      </c>
      <c r="U169" s="315">
        <v>0</v>
      </c>
      <c r="V169" s="315">
        <v>0</v>
      </c>
      <c r="W169" s="315">
        <v>0</v>
      </c>
      <c r="X169" s="315">
        <v>0</v>
      </c>
      <c r="Y169" s="315">
        <v>0</v>
      </c>
      <c r="Z169" s="315">
        <v>0</v>
      </c>
      <c r="AA169" s="315">
        <v>0</v>
      </c>
      <c r="AB169" s="315">
        <v>0</v>
      </c>
      <c r="AC169" s="315">
        <v>0</v>
      </c>
      <c r="AD169" s="315">
        <v>0</v>
      </c>
      <c r="AE169" s="315">
        <v>0</v>
      </c>
      <c r="AF169" s="315">
        <v>0</v>
      </c>
      <c r="AG169" s="315">
        <v>0</v>
      </c>
      <c r="AH169" s="315">
        <v>0</v>
      </c>
      <c r="AI169" s="315">
        <v>0</v>
      </c>
      <c r="AJ169" s="315">
        <v>0</v>
      </c>
      <c r="AK169" s="315">
        <v>0</v>
      </c>
      <c r="AL169" s="315">
        <v>0</v>
      </c>
      <c r="AM169" s="315">
        <v>0</v>
      </c>
      <c r="AN169" s="315">
        <v>0</v>
      </c>
      <c r="AO169" s="315">
        <v>0</v>
      </c>
      <c r="AP169" s="315">
        <v>0</v>
      </c>
      <c r="AQ169" s="315">
        <v>0</v>
      </c>
      <c r="AR169" s="315">
        <v>0</v>
      </c>
      <c r="AS169" s="315">
        <v>0</v>
      </c>
      <c r="AT169" s="315">
        <v>0</v>
      </c>
      <c r="AU169" s="315">
        <v>0</v>
      </c>
      <c r="AV169" s="315">
        <v>0</v>
      </c>
      <c r="AW169" s="315">
        <v>0</v>
      </c>
      <c r="AX169" s="315">
        <v>0</v>
      </c>
      <c r="AY169" s="315">
        <v>0</v>
      </c>
      <c r="AZ169" s="315">
        <v>0</v>
      </c>
      <c r="BA169" s="315">
        <v>0</v>
      </c>
      <c r="BB169" s="315">
        <v>0</v>
      </c>
      <c r="BC169" s="315">
        <v>0</v>
      </c>
      <c r="BD169" s="315">
        <v>0</v>
      </c>
      <c r="BE169" s="315">
        <v>0</v>
      </c>
      <c r="BF169" s="315">
        <v>0</v>
      </c>
      <c r="BG169" s="315">
        <v>0</v>
      </c>
      <c r="BH169" s="315">
        <v>0</v>
      </c>
      <c r="BI169" s="315">
        <v>0</v>
      </c>
      <c r="BJ169" s="315">
        <v>0</v>
      </c>
      <c r="BK169" s="315">
        <v>0</v>
      </c>
      <c r="BL169" s="315">
        <v>0</v>
      </c>
      <c r="BM169" s="315">
        <v>0</v>
      </c>
      <c r="BN169" s="315">
        <v>0</v>
      </c>
      <c r="BO169" s="315">
        <v>0</v>
      </c>
      <c r="BU169" s="315">
        <v>0</v>
      </c>
      <c r="BV169" s="315">
        <v>0</v>
      </c>
    </row>
    <row r="170" spans="12:74" hidden="1" x14ac:dyDescent="0.2">
      <c r="L170" s="315">
        <v>0</v>
      </c>
      <c r="M170" s="315">
        <v>0</v>
      </c>
      <c r="N170" s="315">
        <v>0</v>
      </c>
      <c r="O170" s="315">
        <v>0</v>
      </c>
      <c r="P170" s="315">
        <v>0</v>
      </c>
      <c r="Q170" s="315">
        <v>0</v>
      </c>
      <c r="R170" s="315">
        <v>0</v>
      </c>
      <c r="S170" s="315">
        <v>0</v>
      </c>
      <c r="T170" s="315">
        <v>0</v>
      </c>
      <c r="U170" s="315">
        <v>0</v>
      </c>
      <c r="V170" s="315">
        <v>0</v>
      </c>
      <c r="W170" s="315">
        <v>0</v>
      </c>
      <c r="X170" s="315">
        <v>0</v>
      </c>
      <c r="Y170" s="315">
        <v>0</v>
      </c>
      <c r="Z170" s="315">
        <v>0</v>
      </c>
      <c r="AA170" s="315">
        <v>0</v>
      </c>
      <c r="AB170" s="315">
        <v>0</v>
      </c>
      <c r="AC170" s="315">
        <v>0</v>
      </c>
      <c r="AD170" s="315">
        <v>0</v>
      </c>
      <c r="AE170" s="315">
        <v>0</v>
      </c>
      <c r="AF170" s="315">
        <v>0</v>
      </c>
      <c r="AG170" s="315">
        <v>0</v>
      </c>
      <c r="AH170" s="315">
        <v>0</v>
      </c>
      <c r="AI170" s="315">
        <v>0</v>
      </c>
      <c r="AJ170" s="315">
        <v>0</v>
      </c>
      <c r="AK170" s="315">
        <v>0</v>
      </c>
      <c r="AL170" s="315">
        <v>0</v>
      </c>
      <c r="AM170" s="315">
        <v>0</v>
      </c>
      <c r="AN170" s="315">
        <v>0</v>
      </c>
      <c r="AO170" s="315">
        <v>0</v>
      </c>
      <c r="AP170" s="315">
        <v>0</v>
      </c>
      <c r="AQ170" s="315">
        <v>0</v>
      </c>
      <c r="AR170" s="315">
        <v>0</v>
      </c>
      <c r="AS170" s="315">
        <v>0</v>
      </c>
      <c r="AT170" s="315">
        <v>0</v>
      </c>
      <c r="AU170" s="315">
        <v>0</v>
      </c>
      <c r="AV170" s="315">
        <v>0</v>
      </c>
      <c r="AW170" s="315">
        <v>0</v>
      </c>
      <c r="AX170" s="315">
        <v>0</v>
      </c>
      <c r="AY170" s="315">
        <v>0</v>
      </c>
      <c r="AZ170" s="315">
        <v>0</v>
      </c>
      <c r="BA170" s="315">
        <v>0</v>
      </c>
      <c r="BB170" s="315">
        <v>0</v>
      </c>
      <c r="BC170" s="315">
        <v>0</v>
      </c>
      <c r="BD170" s="315">
        <v>0</v>
      </c>
      <c r="BE170" s="315">
        <v>0</v>
      </c>
      <c r="BF170" s="315">
        <v>0</v>
      </c>
      <c r="BG170" s="315">
        <v>0</v>
      </c>
      <c r="BH170" s="315">
        <v>0</v>
      </c>
      <c r="BI170" s="315">
        <v>0</v>
      </c>
      <c r="BJ170" s="315">
        <v>0</v>
      </c>
      <c r="BK170" s="315">
        <v>0</v>
      </c>
      <c r="BL170" s="315">
        <v>0</v>
      </c>
      <c r="BM170" s="315">
        <v>0</v>
      </c>
      <c r="BN170" s="315">
        <v>0</v>
      </c>
      <c r="BO170" s="315">
        <v>0</v>
      </c>
      <c r="BU170" s="315">
        <v>0</v>
      </c>
      <c r="BV170" s="315">
        <v>0</v>
      </c>
    </row>
    <row r="171" spans="12:74" hidden="1" x14ac:dyDescent="0.2">
      <c r="L171" s="315">
        <v>0</v>
      </c>
      <c r="M171" s="315">
        <v>0</v>
      </c>
      <c r="N171" s="315">
        <v>0</v>
      </c>
      <c r="O171" s="315">
        <v>0</v>
      </c>
      <c r="P171" s="315">
        <v>0</v>
      </c>
      <c r="Q171" s="315">
        <v>0</v>
      </c>
      <c r="R171" s="315">
        <v>0</v>
      </c>
      <c r="S171" s="315">
        <v>0</v>
      </c>
      <c r="T171" s="315">
        <v>0</v>
      </c>
      <c r="U171" s="315">
        <v>0</v>
      </c>
      <c r="V171" s="315">
        <v>0</v>
      </c>
      <c r="W171" s="315">
        <v>0</v>
      </c>
      <c r="X171" s="315">
        <v>0</v>
      </c>
      <c r="Y171" s="315">
        <v>0</v>
      </c>
      <c r="Z171" s="315">
        <v>0</v>
      </c>
      <c r="AA171" s="315">
        <v>0</v>
      </c>
      <c r="AB171" s="315">
        <v>0</v>
      </c>
      <c r="AC171" s="315">
        <v>0</v>
      </c>
      <c r="AD171" s="315">
        <v>0</v>
      </c>
      <c r="AE171" s="315">
        <v>0</v>
      </c>
      <c r="AF171" s="315">
        <v>0</v>
      </c>
      <c r="AG171" s="315">
        <v>0</v>
      </c>
      <c r="AH171" s="315">
        <v>0</v>
      </c>
      <c r="AI171" s="315">
        <v>0</v>
      </c>
      <c r="AJ171" s="315">
        <v>0</v>
      </c>
      <c r="AK171" s="315">
        <v>0</v>
      </c>
      <c r="AL171" s="315">
        <v>0</v>
      </c>
      <c r="AM171" s="315">
        <v>0</v>
      </c>
      <c r="AN171" s="315">
        <v>0</v>
      </c>
      <c r="AO171" s="315">
        <v>0</v>
      </c>
      <c r="AP171" s="315">
        <v>0</v>
      </c>
      <c r="AQ171" s="315">
        <v>0</v>
      </c>
      <c r="AR171" s="315">
        <v>0</v>
      </c>
      <c r="AS171" s="315">
        <v>0</v>
      </c>
      <c r="AT171" s="315">
        <v>0</v>
      </c>
      <c r="AU171" s="315">
        <v>0</v>
      </c>
      <c r="AV171" s="315">
        <v>0</v>
      </c>
      <c r="AW171" s="315">
        <v>0</v>
      </c>
      <c r="AX171" s="315">
        <v>0</v>
      </c>
      <c r="AY171" s="315">
        <v>0</v>
      </c>
      <c r="AZ171" s="315">
        <v>0</v>
      </c>
      <c r="BA171" s="315">
        <v>0</v>
      </c>
      <c r="BB171" s="315">
        <v>0</v>
      </c>
      <c r="BC171" s="315">
        <v>0</v>
      </c>
      <c r="BD171" s="315">
        <v>0</v>
      </c>
      <c r="BE171" s="315">
        <v>0</v>
      </c>
      <c r="BF171" s="315">
        <v>0</v>
      </c>
      <c r="BG171" s="315">
        <v>0</v>
      </c>
      <c r="BH171" s="315">
        <v>0</v>
      </c>
      <c r="BI171" s="315">
        <v>0</v>
      </c>
      <c r="BJ171" s="315">
        <v>0</v>
      </c>
      <c r="BK171" s="315">
        <v>0</v>
      </c>
      <c r="BL171" s="315">
        <v>0</v>
      </c>
      <c r="BM171" s="315">
        <v>0</v>
      </c>
      <c r="BN171" s="315">
        <v>0</v>
      </c>
      <c r="BO171" s="315">
        <v>0</v>
      </c>
      <c r="BU171" s="315">
        <v>0</v>
      </c>
      <c r="BV171" s="315">
        <v>0</v>
      </c>
    </row>
    <row r="172" spans="12:74" hidden="1" x14ac:dyDescent="0.2">
      <c r="L172" s="315">
        <v>0</v>
      </c>
      <c r="M172" s="315">
        <v>0</v>
      </c>
      <c r="N172" s="315">
        <v>0</v>
      </c>
      <c r="O172" s="315">
        <v>0</v>
      </c>
      <c r="P172" s="315">
        <v>0</v>
      </c>
      <c r="Q172" s="315">
        <v>0</v>
      </c>
      <c r="R172" s="315">
        <v>0</v>
      </c>
      <c r="S172" s="315">
        <v>0</v>
      </c>
      <c r="T172" s="315">
        <v>0</v>
      </c>
      <c r="U172" s="315">
        <v>0</v>
      </c>
      <c r="V172" s="315">
        <v>0</v>
      </c>
      <c r="W172" s="315">
        <v>0</v>
      </c>
      <c r="X172" s="315">
        <v>0</v>
      </c>
      <c r="Y172" s="315">
        <v>0</v>
      </c>
      <c r="Z172" s="315">
        <v>0</v>
      </c>
      <c r="AA172" s="315">
        <v>0</v>
      </c>
      <c r="AB172" s="315">
        <v>0</v>
      </c>
      <c r="AC172" s="315">
        <v>0</v>
      </c>
      <c r="AD172" s="315">
        <v>0</v>
      </c>
      <c r="AE172" s="315">
        <v>0</v>
      </c>
      <c r="AF172" s="315">
        <v>0</v>
      </c>
      <c r="AG172" s="315">
        <v>0</v>
      </c>
      <c r="AH172" s="315">
        <v>0</v>
      </c>
      <c r="AI172" s="315">
        <v>0</v>
      </c>
      <c r="AJ172" s="315">
        <v>0</v>
      </c>
      <c r="AK172" s="315">
        <v>0</v>
      </c>
      <c r="AL172" s="315">
        <v>0</v>
      </c>
      <c r="AM172" s="315">
        <v>0</v>
      </c>
      <c r="AN172" s="315">
        <v>0</v>
      </c>
      <c r="AO172" s="315">
        <v>0</v>
      </c>
      <c r="AP172" s="315">
        <v>0</v>
      </c>
      <c r="AQ172" s="315">
        <v>0</v>
      </c>
      <c r="AR172" s="315">
        <v>0</v>
      </c>
      <c r="AS172" s="315">
        <v>0</v>
      </c>
      <c r="AT172" s="315">
        <v>0</v>
      </c>
      <c r="AU172" s="315">
        <v>0</v>
      </c>
      <c r="AV172" s="315">
        <v>0</v>
      </c>
      <c r="AW172" s="315">
        <v>0</v>
      </c>
      <c r="AX172" s="315">
        <v>0</v>
      </c>
      <c r="AY172" s="315">
        <v>0</v>
      </c>
      <c r="AZ172" s="315">
        <v>0</v>
      </c>
      <c r="BA172" s="315">
        <v>0</v>
      </c>
      <c r="BB172" s="315">
        <v>0</v>
      </c>
      <c r="BC172" s="315">
        <v>0</v>
      </c>
      <c r="BD172" s="315">
        <v>0</v>
      </c>
      <c r="BE172" s="315">
        <v>0</v>
      </c>
      <c r="BF172" s="315">
        <v>0</v>
      </c>
      <c r="BG172" s="315">
        <v>0</v>
      </c>
      <c r="BH172" s="315">
        <v>0</v>
      </c>
      <c r="BI172" s="315">
        <v>0</v>
      </c>
      <c r="BJ172" s="315">
        <v>0</v>
      </c>
      <c r="BK172" s="315">
        <v>0</v>
      </c>
      <c r="BL172" s="315">
        <v>0</v>
      </c>
      <c r="BM172" s="315">
        <v>0</v>
      </c>
      <c r="BN172" s="315">
        <v>0</v>
      </c>
      <c r="BO172" s="315">
        <v>0</v>
      </c>
      <c r="BU172" s="315">
        <v>0</v>
      </c>
      <c r="BV172" s="315">
        <v>0</v>
      </c>
    </row>
    <row r="173" spans="12:74" hidden="1" x14ac:dyDescent="0.2">
      <c r="L173" s="315">
        <v>0</v>
      </c>
      <c r="M173" s="315">
        <v>0</v>
      </c>
      <c r="N173" s="315">
        <v>0</v>
      </c>
      <c r="O173" s="315">
        <v>0</v>
      </c>
      <c r="P173" s="315">
        <v>0</v>
      </c>
      <c r="Q173" s="315">
        <v>0</v>
      </c>
      <c r="R173" s="315">
        <v>0</v>
      </c>
      <c r="S173" s="315">
        <v>0</v>
      </c>
      <c r="T173" s="315">
        <v>0</v>
      </c>
      <c r="U173" s="315">
        <v>0</v>
      </c>
      <c r="V173" s="315">
        <v>0</v>
      </c>
      <c r="W173" s="315">
        <v>0</v>
      </c>
      <c r="X173" s="315">
        <v>0</v>
      </c>
      <c r="Y173" s="315">
        <v>0</v>
      </c>
      <c r="Z173" s="315">
        <v>0</v>
      </c>
      <c r="AA173" s="315">
        <v>0</v>
      </c>
      <c r="AB173" s="315">
        <v>0</v>
      </c>
      <c r="AC173" s="315">
        <v>0</v>
      </c>
      <c r="AD173" s="315">
        <v>0</v>
      </c>
      <c r="AE173" s="315">
        <v>0</v>
      </c>
      <c r="AF173" s="315">
        <v>0</v>
      </c>
      <c r="AG173" s="315">
        <v>0</v>
      </c>
      <c r="AH173" s="315">
        <v>0</v>
      </c>
      <c r="AI173" s="315">
        <v>0</v>
      </c>
      <c r="AJ173" s="315">
        <v>0</v>
      </c>
      <c r="AK173" s="315">
        <v>0</v>
      </c>
      <c r="AL173" s="315">
        <v>0</v>
      </c>
      <c r="AM173" s="315">
        <v>0</v>
      </c>
      <c r="AN173" s="315">
        <v>0</v>
      </c>
      <c r="AO173" s="315">
        <v>0</v>
      </c>
      <c r="AP173" s="315">
        <v>0</v>
      </c>
      <c r="AQ173" s="315">
        <v>0</v>
      </c>
      <c r="AR173" s="315">
        <v>0</v>
      </c>
      <c r="AS173" s="315">
        <v>0</v>
      </c>
      <c r="AT173" s="315">
        <v>0</v>
      </c>
      <c r="AU173" s="315">
        <v>0</v>
      </c>
      <c r="AV173" s="315">
        <v>0</v>
      </c>
      <c r="AW173" s="315">
        <v>0</v>
      </c>
      <c r="AX173" s="315">
        <v>0</v>
      </c>
      <c r="AY173" s="315">
        <v>0</v>
      </c>
      <c r="AZ173" s="315">
        <v>0</v>
      </c>
      <c r="BA173" s="315">
        <v>0</v>
      </c>
      <c r="BB173" s="315">
        <v>0</v>
      </c>
      <c r="BC173" s="315">
        <v>0</v>
      </c>
      <c r="BD173" s="315">
        <v>0</v>
      </c>
      <c r="BE173" s="315">
        <v>0</v>
      </c>
      <c r="BF173" s="315">
        <v>0</v>
      </c>
      <c r="BG173" s="315">
        <v>0</v>
      </c>
      <c r="BH173" s="315">
        <v>0</v>
      </c>
      <c r="BI173" s="315">
        <v>0</v>
      </c>
      <c r="BJ173" s="315">
        <v>0</v>
      </c>
      <c r="BK173" s="315">
        <v>0</v>
      </c>
      <c r="BL173" s="315">
        <v>0</v>
      </c>
      <c r="BM173" s="315">
        <v>0</v>
      </c>
      <c r="BN173" s="315">
        <v>0</v>
      </c>
      <c r="BO173" s="315">
        <v>0</v>
      </c>
      <c r="BU173" s="315">
        <v>0</v>
      </c>
      <c r="BV173" s="315">
        <v>0</v>
      </c>
    </row>
    <row r="174" spans="12:74" hidden="1" x14ac:dyDescent="0.2">
      <c r="L174" s="315">
        <v>0</v>
      </c>
      <c r="M174" s="315">
        <v>0</v>
      </c>
      <c r="N174" s="315">
        <v>0</v>
      </c>
      <c r="O174" s="315">
        <v>0</v>
      </c>
      <c r="P174" s="315">
        <v>0</v>
      </c>
      <c r="Q174" s="315">
        <v>0</v>
      </c>
      <c r="R174" s="315">
        <v>0</v>
      </c>
      <c r="S174" s="315">
        <v>0</v>
      </c>
      <c r="T174" s="315">
        <v>0</v>
      </c>
      <c r="U174" s="315">
        <v>0</v>
      </c>
      <c r="V174" s="315">
        <v>0</v>
      </c>
      <c r="W174" s="315">
        <v>0</v>
      </c>
      <c r="X174" s="315">
        <v>0</v>
      </c>
      <c r="Y174" s="315">
        <v>0</v>
      </c>
      <c r="Z174" s="315">
        <v>0</v>
      </c>
      <c r="AA174" s="315">
        <v>0</v>
      </c>
      <c r="AB174" s="315">
        <v>0</v>
      </c>
      <c r="AC174" s="315">
        <v>0</v>
      </c>
      <c r="AD174" s="315">
        <v>0</v>
      </c>
      <c r="AE174" s="315">
        <v>0</v>
      </c>
      <c r="AF174" s="315">
        <v>0</v>
      </c>
      <c r="AG174" s="315">
        <v>0</v>
      </c>
      <c r="AH174" s="315">
        <v>0</v>
      </c>
      <c r="AI174" s="315">
        <v>0</v>
      </c>
      <c r="AJ174" s="315">
        <v>0</v>
      </c>
      <c r="AK174" s="315">
        <v>0</v>
      </c>
      <c r="AL174" s="315">
        <v>0</v>
      </c>
      <c r="AM174" s="315">
        <v>0</v>
      </c>
      <c r="AN174" s="315">
        <v>0</v>
      </c>
      <c r="AO174" s="315">
        <v>0</v>
      </c>
      <c r="AP174" s="315">
        <v>0</v>
      </c>
      <c r="AQ174" s="315">
        <v>0</v>
      </c>
      <c r="AR174" s="315">
        <v>0</v>
      </c>
      <c r="AS174" s="315">
        <v>0</v>
      </c>
      <c r="AT174" s="315">
        <v>0</v>
      </c>
      <c r="AU174" s="315">
        <v>0</v>
      </c>
      <c r="AV174" s="315">
        <v>0</v>
      </c>
      <c r="AW174" s="315">
        <v>0</v>
      </c>
      <c r="AX174" s="315">
        <v>0</v>
      </c>
      <c r="AY174" s="315">
        <v>0</v>
      </c>
      <c r="AZ174" s="315">
        <v>0</v>
      </c>
      <c r="BA174" s="315">
        <v>0</v>
      </c>
      <c r="BB174" s="315">
        <v>0</v>
      </c>
      <c r="BC174" s="315">
        <v>0</v>
      </c>
      <c r="BD174" s="315">
        <v>0</v>
      </c>
      <c r="BE174" s="315">
        <v>0</v>
      </c>
      <c r="BF174" s="315">
        <v>0</v>
      </c>
      <c r="BG174" s="315">
        <v>0</v>
      </c>
      <c r="BH174" s="315">
        <v>0</v>
      </c>
      <c r="BI174" s="315">
        <v>0</v>
      </c>
      <c r="BJ174" s="315">
        <v>0</v>
      </c>
      <c r="BK174" s="315">
        <v>0</v>
      </c>
      <c r="BL174" s="315">
        <v>0</v>
      </c>
      <c r="BM174" s="315">
        <v>0</v>
      </c>
      <c r="BN174" s="315">
        <v>0</v>
      </c>
      <c r="BO174" s="315">
        <v>0</v>
      </c>
      <c r="BU174" s="315">
        <v>0</v>
      </c>
      <c r="BV174" s="315">
        <v>0</v>
      </c>
    </row>
    <row r="175" spans="12:74" hidden="1" x14ac:dyDescent="0.2">
      <c r="L175" s="315">
        <v>0</v>
      </c>
      <c r="M175" s="315">
        <v>0</v>
      </c>
      <c r="N175" s="315">
        <v>0</v>
      </c>
      <c r="O175" s="315">
        <v>0</v>
      </c>
      <c r="P175" s="315">
        <v>0</v>
      </c>
      <c r="Q175" s="315">
        <v>0</v>
      </c>
      <c r="R175" s="315">
        <v>0</v>
      </c>
      <c r="S175" s="315">
        <v>0</v>
      </c>
      <c r="T175" s="315">
        <v>0</v>
      </c>
      <c r="U175" s="315">
        <v>0</v>
      </c>
      <c r="V175" s="315">
        <v>0</v>
      </c>
      <c r="W175" s="315">
        <v>0</v>
      </c>
      <c r="X175" s="315">
        <v>0</v>
      </c>
      <c r="Y175" s="315">
        <v>0</v>
      </c>
      <c r="Z175" s="315">
        <v>0</v>
      </c>
      <c r="AA175" s="315">
        <v>0</v>
      </c>
      <c r="AB175" s="315">
        <v>0</v>
      </c>
      <c r="AC175" s="315">
        <v>0</v>
      </c>
      <c r="AD175" s="315">
        <v>0</v>
      </c>
      <c r="AE175" s="315">
        <v>0</v>
      </c>
      <c r="AF175" s="315">
        <v>0</v>
      </c>
      <c r="AG175" s="315">
        <v>0</v>
      </c>
      <c r="AH175" s="315">
        <v>0</v>
      </c>
      <c r="AI175" s="315">
        <v>0</v>
      </c>
      <c r="AJ175" s="315">
        <v>0</v>
      </c>
      <c r="AK175" s="315">
        <v>0</v>
      </c>
      <c r="AL175" s="315">
        <v>0</v>
      </c>
      <c r="AM175" s="315">
        <v>0</v>
      </c>
      <c r="AN175" s="315">
        <v>0</v>
      </c>
      <c r="AO175" s="315">
        <v>0</v>
      </c>
      <c r="AP175" s="315">
        <v>0</v>
      </c>
      <c r="AQ175" s="315">
        <v>0</v>
      </c>
      <c r="AR175" s="315">
        <v>0</v>
      </c>
      <c r="AS175" s="315">
        <v>0</v>
      </c>
      <c r="AT175" s="315">
        <v>0</v>
      </c>
      <c r="AU175" s="315">
        <v>0</v>
      </c>
      <c r="AV175" s="315">
        <v>0</v>
      </c>
      <c r="AW175" s="315">
        <v>0</v>
      </c>
      <c r="AX175" s="315">
        <v>0</v>
      </c>
      <c r="AY175" s="315">
        <v>0</v>
      </c>
      <c r="AZ175" s="315">
        <v>0</v>
      </c>
      <c r="BA175" s="315">
        <v>0</v>
      </c>
      <c r="BB175" s="315">
        <v>0</v>
      </c>
      <c r="BC175" s="315">
        <v>0</v>
      </c>
      <c r="BD175" s="315">
        <v>0</v>
      </c>
      <c r="BE175" s="315">
        <v>0</v>
      </c>
      <c r="BF175" s="315">
        <v>0</v>
      </c>
      <c r="BG175" s="315">
        <v>0</v>
      </c>
      <c r="BH175" s="315">
        <v>0</v>
      </c>
      <c r="BI175" s="315">
        <v>0</v>
      </c>
      <c r="BJ175" s="315">
        <v>0</v>
      </c>
      <c r="BK175" s="315">
        <v>0</v>
      </c>
      <c r="BL175" s="315">
        <v>0</v>
      </c>
      <c r="BM175" s="315">
        <v>0</v>
      </c>
      <c r="BN175" s="315">
        <v>0</v>
      </c>
      <c r="BO175" s="315">
        <v>0</v>
      </c>
      <c r="BU175" s="315">
        <v>0</v>
      </c>
      <c r="BV175" s="315">
        <v>0</v>
      </c>
    </row>
    <row r="176" spans="12:74" hidden="1" x14ac:dyDescent="0.2">
      <c r="L176" s="315">
        <v>0</v>
      </c>
      <c r="M176" s="315">
        <v>0</v>
      </c>
      <c r="N176" s="315">
        <v>0</v>
      </c>
      <c r="O176" s="315">
        <v>0</v>
      </c>
      <c r="P176" s="315">
        <v>0</v>
      </c>
      <c r="Q176" s="315">
        <v>0</v>
      </c>
      <c r="R176" s="315">
        <v>0</v>
      </c>
      <c r="S176" s="315">
        <v>0</v>
      </c>
      <c r="T176" s="315">
        <v>0</v>
      </c>
      <c r="U176" s="315">
        <v>0</v>
      </c>
      <c r="V176" s="315">
        <v>0</v>
      </c>
      <c r="W176" s="315">
        <v>0</v>
      </c>
      <c r="X176" s="315">
        <v>0</v>
      </c>
      <c r="Y176" s="315">
        <v>0</v>
      </c>
      <c r="Z176" s="315">
        <v>0</v>
      </c>
      <c r="AA176" s="315">
        <v>0</v>
      </c>
      <c r="AB176" s="315">
        <v>0</v>
      </c>
      <c r="AC176" s="315">
        <v>0</v>
      </c>
      <c r="AD176" s="315">
        <v>0</v>
      </c>
      <c r="AE176" s="315">
        <v>0</v>
      </c>
      <c r="AF176" s="315">
        <v>0</v>
      </c>
      <c r="AG176" s="315">
        <v>0</v>
      </c>
      <c r="AH176" s="315">
        <v>0</v>
      </c>
      <c r="AI176" s="315">
        <v>0</v>
      </c>
      <c r="AJ176" s="315">
        <v>0</v>
      </c>
      <c r="AK176" s="315">
        <v>0</v>
      </c>
      <c r="AL176" s="315">
        <v>0</v>
      </c>
      <c r="AM176" s="315">
        <v>0</v>
      </c>
      <c r="AN176" s="315">
        <v>0</v>
      </c>
      <c r="AO176" s="315">
        <v>0</v>
      </c>
      <c r="AP176" s="315">
        <v>0</v>
      </c>
      <c r="AQ176" s="315">
        <v>0</v>
      </c>
      <c r="AR176" s="315">
        <v>0</v>
      </c>
      <c r="AS176" s="315">
        <v>0</v>
      </c>
      <c r="AT176" s="315">
        <v>0</v>
      </c>
      <c r="AU176" s="315">
        <v>0</v>
      </c>
      <c r="AV176" s="315">
        <v>0</v>
      </c>
      <c r="AW176" s="315">
        <v>0</v>
      </c>
      <c r="AX176" s="315">
        <v>0</v>
      </c>
      <c r="AY176" s="315">
        <v>0</v>
      </c>
      <c r="AZ176" s="315">
        <v>0</v>
      </c>
      <c r="BA176" s="315">
        <v>0</v>
      </c>
      <c r="BB176" s="315">
        <v>0</v>
      </c>
      <c r="BC176" s="315">
        <v>0</v>
      </c>
      <c r="BD176" s="315">
        <v>0</v>
      </c>
      <c r="BE176" s="315">
        <v>0</v>
      </c>
      <c r="BF176" s="315">
        <v>0</v>
      </c>
      <c r="BG176" s="315">
        <v>0</v>
      </c>
      <c r="BH176" s="315">
        <v>0</v>
      </c>
      <c r="BI176" s="315">
        <v>0</v>
      </c>
      <c r="BJ176" s="315">
        <v>0</v>
      </c>
      <c r="BK176" s="315">
        <v>0</v>
      </c>
      <c r="BL176" s="315">
        <v>0</v>
      </c>
      <c r="BM176" s="315">
        <v>0</v>
      </c>
      <c r="BN176" s="315">
        <v>0</v>
      </c>
      <c r="BO176" s="315">
        <v>0</v>
      </c>
      <c r="BU176" s="315">
        <v>0</v>
      </c>
      <c r="BV176" s="315">
        <v>0</v>
      </c>
    </row>
    <row r="177" spans="12:74" hidden="1" x14ac:dyDescent="0.2">
      <c r="L177" s="315">
        <v>0</v>
      </c>
      <c r="M177" s="315">
        <v>0</v>
      </c>
      <c r="N177" s="315">
        <v>0</v>
      </c>
      <c r="O177" s="315">
        <v>0</v>
      </c>
      <c r="P177" s="315">
        <v>0</v>
      </c>
      <c r="Q177" s="315">
        <v>0</v>
      </c>
      <c r="R177" s="315">
        <v>0</v>
      </c>
      <c r="S177" s="315">
        <v>0</v>
      </c>
      <c r="T177" s="315">
        <v>0</v>
      </c>
      <c r="U177" s="315">
        <v>0</v>
      </c>
      <c r="V177" s="315">
        <v>0</v>
      </c>
      <c r="W177" s="315">
        <v>0</v>
      </c>
      <c r="X177" s="315">
        <v>0</v>
      </c>
      <c r="Y177" s="315">
        <v>0</v>
      </c>
      <c r="Z177" s="315">
        <v>0</v>
      </c>
      <c r="AA177" s="315">
        <v>0</v>
      </c>
      <c r="AB177" s="315">
        <v>0</v>
      </c>
      <c r="AC177" s="315">
        <v>0</v>
      </c>
      <c r="AD177" s="315">
        <v>0</v>
      </c>
      <c r="AE177" s="315">
        <v>0</v>
      </c>
      <c r="AF177" s="315">
        <v>0</v>
      </c>
      <c r="AG177" s="315">
        <v>0</v>
      </c>
      <c r="AH177" s="315">
        <v>0</v>
      </c>
      <c r="AI177" s="315">
        <v>0</v>
      </c>
      <c r="AJ177" s="315">
        <v>0</v>
      </c>
      <c r="AK177" s="315">
        <v>0</v>
      </c>
      <c r="AL177" s="315">
        <v>0</v>
      </c>
      <c r="AM177" s="315">
        <v>0</v>
      </c>
      <c r="AN177" s="315">
        <v>0</v>
      </c>
      <c r="AO177" s="315">
        <v>0</v>
      </c>
      <c r="AP177" s="315">
        <v>0</v>
      </c>
      <c r="AQ177" s="315">
        <v>0</v>
      </c>
      <c r="AR177" s="315">
        <v>0</v>
      </c>
      <c r="AS177" s="315">
        <v>0</v>
      </c>
      <c r="AT177" s="315">
        <v>0</v>
      </c>
      <c r="AU177" s="315">
        <v>0</v>
      </c>
      <c r="AV177" s="315">
        <v>0</v>
      </c>
      <c r="AW177" s="315">
        <v>0</v>
      </c>
      <c r="AX177" s="315">
        <v>0</v>
      </c>
      <c r="AY177" s="315">
        <v>0</v>
      </c>
      <c r="AZ177" s="315">
        <v>0</v>
      </c>
      <c r="BA177" s="315">
        <v>0</v>
      </c>
      <c r="BB177" s="315">
        <v>0</v>
      </c>
      <c r="BC177" s="315">
        <v>0</v>
      </c>
      <c r="BD177" s="315">
        <v>0</v>
      </c>
      <c r="BE177" s="315">
        <v>0</v>
      </c>
      <c r="BF177" s="315">
        <v>0</v>
      </c>
      <c r="BG177" s="315">
        <v>0</v>
      </c>
      <c r="BH177" s="315">
        <v>0</v>
      </c>
      <c r="BI177" s="315">
        <v>0</v>
      </c>
      <c r="BJ177" s="315">
        <v>0</v>
      </c>
      <c r="BK177" s="315">
        <v>0</v>
      </c>
      <c r="BL177" s="315">
        <v>0</v>
      </c>
      <c r="BM177" s="315">
        <v>0</v>
      </c>
      <c r="BN177" s="315">
        <v>0</v>
      </c>
      <c r="BO177" s="315">
        <v>0</v>
      </c>
      <c r="BU177" s="315">
        <v>0</v>
      </c>
      <c r="BV177" s="315">
        <v>0</v>
      </c>
    </row>
    <row r="178" spans="12:74" hidden="1" x14ac:dyDescent="0.2">
      <c r="L178" s="315">
        <v>0</v>
      </c>
      <c r="M178" s="315">
        <v>0</v>
      </c>
      <c r="N178" s="315">
        <v>0</v>
      </c>
      <c r="O178" s="315">
        <v>0</v>
      </c>
      <c r="P178" s="315">
        <v>0</v>
      </c>
      <c r="Q178" s="315">
        <v>0</v>
      </c>
      <c r="R178" s="315">
        <v>0</v>
      </c>
      <c r="S178" s="315">
        <v>0</v>
      </c>
      <c r="T178" s="315">
        <v>0</v>
      </c>
      <c r="U178" s="315">
        <v>0</v>
      </c>
      <c r="V178" s="315">
        <v>0</v>
      </c>
      <c r="W178" s="315">
        <v>0</v>
      </c>
      <c r="X178" s="315">
        <v>0</v>
      </c>
      <c r="Y178" s="315">
        <v>0</v>
      </c>
      <c r="Z178" s="315">
        <v>0</v>
      </c>
      <c r="AA178" s="315">
        <v>0</v>
      </c>
      <c r="AB178" s="315">
        <v>0</v>
      </c>
      <c r="AC178" s="315">
        <v>0</v>
      </c>
      <c r="AD178" s="315">
        <v>0</v>
      </c>
      <c r="AE178" s="315">
        <v>0</v>
      </c>
      <c r="AF178" s="315">
        <v>0</v>
      </c>
      <c r="AG178" s="315">
        <v>0</v>
      </c>
      <c r="AH178" s="315">
        <v>0</v>
      </c>
      <c r="AI178" s="315">
        <v>0</v>
      </c>
      <c r="AJ178" s="315">
        <v>0</v>
      </c>
      <c r="AK178" s="315">
        <v>0</v>
      </c>
      <c r="AL178" s="315">
        <v>0</v>
      </c>
      <c r="AM178" s="315">
        <v>0</v>
      </c>
      <c r="AN178" s="315">
        <v>0</v>
      </c>
      <c r="AO178" s="315">
        <v>0</v>
      </c>
      <c r="AP178" s="315">
        <v>0</v>
      </c>
      <c r="AQ178" s="315">
        <v>0</v>
      </c>
      <c r="AR178" s="315">
        <v>0</v>
      </c>
      <c r="AS178" s="315">
        <v>0</v>
      </c>
      <c r="AT178" s="315">
        <v>0</v>
      </c>
      <c r="AU178" s="315">
        <v>0</v>
      </c>
      <c r="AV178" s="315">
        <v>0</v>
      </c>
      <c r="AW178" s="315">
        <v>0</v>
      </c>
      <c r="AX178" s="315">
        <v>0</v>
      </c>
      <c r="AY178" s="315">
        <v>0</v>
      </c>
      <c r="AZ178" s="315">
        <v>0</v>
      </c>
      <c r="BA178" s="315">
        <v>0</v>
      </c>
      <c r="BB178" s="315">
        <v>0</v>
      </c>
      <c r="BC178" s="315">
        <v>0</v>
      </c>
      <c r="BD178" s="315">
        <v>0</v>
      </c>
      <c r="BE178" s="315">
        <v>0</v>
      </c>
      <c r="BF178" s="315">
        <v>0</v>
      </c>
      <c r="BG178" s="315">
        <v>0</v>
      </c>
      <c r="BH178" s="315">
        <v>0</v>
      </c>
      <c r="BI178" s="315">
        <v>0</v>
      </c>
      <c r="BJ178" s="315">
        <v>0</v>
      </c>
      <c r="BK178" s="315">
        <v>0</v>
      </c>
      <c r="BL178" s="315">
        <v>0</v>
      </c>
      <c r="BM178" s="315">
        <v>0</v>
      </c>
      <c r="BN178" s="315">
        <v>0</v>
      </c>
      <c r="BO178" s="315">
        <v>0</v>
      </c>
      <c r="BU178" s="315">
        <v>0</v>
      </c>
      <c r="BV178" s="315">
        <v>0</v>
      </c>
    </row>
    <row r="179" spans="12:74" hidden="1" x14ac:dyDescent="0.2">
      <c r="L179" s="315">
        <v>0</v>
      </c>
      <c r="M179" s="315">
        <v>0</v>
      </c>
      <c r="N179" s="315">
        <v>0</v>
      </c>
      <c r="O179" s="315">
        <v>0</v>
      </c>
      <c r="P179" s="315">
        <v>0</v>
      </c>
      <c r="Q179" s="315">
        <v>0</v>
      </c>
      <c r="R179" s="315">
        <v>0</v>
      </c>
      <c r="S179" s="315">
        <v>0</v>
      </c>
      <c r="T179" s="315">
        <v>0</v>
      </c>
      <c r="U179" s="315">
        <v>0</v>
      </c>
      <c r="V179" s="315">
        <v>0</v>
      </c>
      <c r="W179" s="315">
        <v>0</v>
      </c>
      <c r="X179" s="315">
        <v>0</v>
      </c>
      <c r="Y179" s="315">
        <v>0</v>
      </c>
      <c r="Z179" s="315">
        <v>0</v>
      </c>
      <c r="AA179" s="315">
        <v>0</v>
      </c>
      <c r="AB179" s="315">
        <v>0</v>
      </c>
      <c r="AC179" s="315">
        <v>0</v>
      </c>
      <c r="AD179" s="315">
        <v>0</v>
      </c>
      <c r="AE179" s="315">
        <v>0</v>
      </c>
      <c r="AF179" s="315">
        <v>0</v>
      </c>
      <c r="AG179" s="315">
        <v>0</v>
      </c>
      <c r="AH179" s="315">
        <v>0</v>
      </c>
      <c r="AI179" s="315">
        <v>0</v>
      </c>
      <c r="AJ179" s="315">
        <v>0</v>
      </c>
      <c r="AK179" s="315">
        <v>0</v>
      </c>
      <c r="AL179" s="315">
        <v>0</v>
      </c>
      <c r="AM179" s="315">
        <v>0</v>
      </c>
      <c r="AN179" s="315">
        <v>0</v>
      </c>
      <c r="AO179" s="315">
        <v>0</v>
      </c>
      <c r="AP179" s="315">
        <v>0</v>
      </c>
      <c r="AQ179" s="315">
        <v>0</v>
      </c>
      <c r="AR179" s="315">
        <v>0</v>
      </c>
      <c r="AS179" s="315">
        <v>0</v>
      </c>
      <c r="AT179" s="315">
        <v>0</v>
      </c>
      <c r="AU179" s="315">
        <v>0</v>
      </c>
      <c r="AV179" s="315">
        <v>0</v>
      </c>
      <c r="AW179" s="315">
        <v>0</v>
      </c>
      <c r="AX179" s="315">
        <v>0</v>
      </c>
      <c r="AY179" s="315">
        <v>0</v>
      </c>
      <c r="AZ179" s="315">
        <v>0</v>
      </c>
      <c r="BA179" s="315">
        <v>0</v>
      </c>
      <c r="BB179" s="315">
        <v>0</v>
      </c>
      <c r="BC179" s="315">
        <v>0</v>
      </c>
      <c r="BD179" s="315">
        <v>0</v>
      </c>
      <c r="BE179" s="315">
        <v>0</v>
      </c>
      <c r="BF179" s="315">
        <v>0</v>
      </c>
      <c r="BG179" s="315">
        <v>0</v>
      </c>
      <c r="BH179" s="315">
        <v>0</v>
      </c>
      <c r="BI179" s="315">
        <v>0</v>
      </c>
      <c r="BJ179" s="315">
        <v>0</v>
      </c>
      <c r="BK179" s="315">
        <v>0</v>
      </c>
      <c r="BL179" s="315">
        <v>0</v>
      </c>
      <c r="BM179" s="315">
        <v>0</v>
      </c>
      <c r="BN179" s="315">
        <v>0</v>
      </c>
      <c r="BO179" s="315">
        <v>0</v>
      </c>
      <c r="BU179" s="315">
        <v>0</v>
      </c>
      <c r="BV179" s="315">
        <v>0</v>
      </c>
    </row>
    <row r="180" spans="12:74" hidden="1" x14ac:dyDescent="0.2">
      <c r="L180" s="315">
        <v>0</v>
      </c>
      <c r="M180" s="315">
        <v>0</v>
      </c>
      <c r="N180" s="315">
        <v>0</v>
      </c>
      <c r="O180" s="315">
        <v>0</v>
      </c>
      <c r="P180" s="315">
        <v>0</v>
      </c>
      <c r="Q180" s="315">
        <v>0</v>
      </c>
      <c r="R180" s="315">
        <v>0</v>
      </c>
      <c r="S180" s="315">
        <v>0</v>
      </c>
      <c r="T180" s="315">
        <v>0</v>
      </c>
      <c r="U180" s="315">
        <v>0</v>
      </c>
      <c r="V180" s="315">
        <v>0</v>
      </c>
      <c r="W180" s="315">
        <v>0</v>
      </c>
      <c r="X180" s="315">
        <v>0</v>
      </c>
      <c r="Y180" s="315">
        <v>0</v>
      </c>
      <c r="Z180" s="315">
        <v>0</v>
      </c>
      <c r="AA180" s="315">
        <v>0</v>
      </c>
      <c r="AB180" s="315">
        <v>0</v>
      </c>
      <c r="AC180" s="315">
        <v>0</v>
      </c>
      <c r="AD180" s="315">
        <v>0</v>
      </c>
      <c r="AE180" s="315">
        <v>0</v>
      </c>
      <c r="AF180" s="315">
        <v>0</v>
      </c>
      <c r="AG180" s="315">
        <v>0</v>
      </c>
      <c r="AH180" s="315">
        <v>0</v>
      </c>
      <c r="AI180" s="315">
        <v>0</v>
      </c>
      <c r="AJ180" s="315">
        <v>0</v>
      </c>
      <c r="AK180" s="315">
        <v>0</v>
      </c>
      <c r="AL180" s="315">
        <v>0</v>
      </c>
      <c r="AM180" s="315">
        <v>0</v>
      </c>
      <c r="AN180" s="315">
        <v>0</v>
      </c>
      <c r="AO180" s="315">
        <v>0</v>
      </c>
      <c r="AP180" s="315">
        <v>0</v>
      </c>
      <c r="AQ180" s="315">
        <v>0</v>
      </c>
      <c r="AR180" s="315">
        <v>0</v>
      </c>
      <c r="AS180" s="315">
        <v>0</v>
      </c>
      <c r="AT180" s="315">
        <v>0</v>
      </c>
      <c r="AU180" s="315">
        <v>0</v>
      </c>
      <c r="AV180" s="315">
        <v>0</v>
      </c>
      <c r="AW180" s="315">
        <v>0</v>
      </c>
      <c r="AX180" s="315">
        <v>0</v>
      </c>
      <c r="AY180" s="315">
        <v>0</v>
      </c>
      <c r="AZ180" s="315">
        <v>0</v>
      </c>
      <c r="BA180" s="315">
        <v>0</v>
      </c>
      <c r="BB180" s="315">
        <v>0</v>
      </c>
      <c r="BC180" s="315">
        <v>0</v>
      </c>
      <c r="BD180" s="315">
        <v>0</v>
      </c>
      <c r="BE180" s="315">
        <v>0</v>
      </c>
      <c r="BF180" s="315">
        <v>0</v>
      </c>
      <c r="BG180" s="315">
        <v>0</v>
      </c>
      <c r="BH180" s="315">
        <v>0</v>
      </c>
      <c r="BI180" s="315">
        <v>0</v>
      </c>
      <c r="BJ180" s="315">
        <v>0</v>
      </c>
      <c r="BK180" s="315">
        <v>0</v>
      </c>
      <c r="BL180" s="315">
        <v>0</v>
      </c>
      <c r="BM180" s="315">
        <v>0</v>
      </c>
      <c r="BN180" s="315">
        <v>0</v>
      </c>
      <c r="BO180" s="315">
        <v>0</v>
      </c>
      <c r="BU180" s="315">
        <v>0</v>
      </c>
      <c r="BV180" s="315">
        <v>0</v>
      </c>
    </row>
    <row r="181" spans="12:74" hidden="1" x14ac:dyDescent="0.2">
      <c r="L181" s="315">
        <v>0</v>
      </c>
      <c r="M181" s="315">
        <v>0</v>
      </c>
      <c r="N181" s="315">
        <v>0</v>
      </c>
      <c r="O181" s="315">
        <v>0</v>
      </c>
      <c r="P181" s="315">
        <v>0</v>
      </c>
      <c r="Q181" s="315">
        <v>0</v>
      </c>
      <c r="R181" s="315">
        <v>0</v>
      </c>
      <c r="S181" s="315">
        <v>0</v>
      </c>
      <c r="T181" s="315">
        <v>0</v>
      </c>
      <c r="U181" s="315">
        <v>0</v>
      </c>
      <c r="V181" s="315">
        <v>0</v>
      </c>
      <c r="W181" s="315">
        <v>0</v>
      </c>
      <c r="X181" s="315">
        <v>0</v>
      </c>
      <c r="Y181" s="315">
        <v>0</v>
      </c>
      <c r="Z181" s="315">
        <v>0</v>
      </c>
      <c r="AA181" s="315">
        <v>0</v>
      </c>
      <c r="AB181" s="315">
        <v>0</v>
      </c>
      <c r="AC181" s="315">
        <v>0</v>
      </c>
      <c r="AD181" s="315">
        <v>0</v>
      </c>
      <c r="AE181" s="315">
        <v>0</v>
      </c>
      <c r="AF181" s="315">
        <v>0</v>
      </c>
      <c r="AG181" s="315">
        <v>0</v>
      </c>
      <c r="AH181" s="315">
        <v>0</v>
      </c>
      <c r="AI181" s="315">
        <v>0</v>
      </c>
      <c r="AJ181" s="315">
        <v>0</v>
      </c>
      <c r="AK181" s="315">
        <v>0</v>
      </c>
      <c r="AL181" s="315">
        <v>0</v>
      </c>
      <c r="AM181" s="315">
        <v>0</v>
      </c>
      <c r="AN181" s="315">
        <v>0</v>
      </c>
      <c r="AO181" s="315">
        <v>0</v>
      </c>
      <c r="AP181" s="315">
        <v>0</v>
      </c>
      <c r="AQ181" s="315">
        <v>0</v>
      </c>
      <c r="AR181" s="315">
        <v>0</v>
      </c>
      <c r="AS181" s="315">
        <v>0</v>
      </c>
      <c r="AT181" s="315">
        <v>0</v>
      </c>
      <c r="AU181" s="315">
        <v>0</v>
      </c>
      <c r="AV181" s="315">
        <v>0</v>
      </c>
      <c r="AW181" s="315">
        <v>0</v>
      </c>
      <c r="AX181" s="315">
        <v>0</v>
      </c>
      <c r="AY181" s="315">
        <v>0</v>
      </c>
      <c r="AZ181" s="315">
        <v>0</v>
      </c>
      <c r="BA181" s="315">
        <v>0</v>
      </c>
      <c r="BB181" s="315">
        <v>0</v>
      </c>
      <c r="BC181" s="315">
        <v>0</v>
      </c>
      <c r="BD181" s="315">
        <v>0</v>
      </c>
      <c r="BE181" s="315">
        <v>0</v>
      </c>
      <c r="BF181" s="315">
        <v>0</v>
      </c>
      <c r="BG181" s="315">
        <v>0</v>
      </c>
      <c r="BH181" s="315">
        <v>0</v>
      </c>
      <c r="BI181" s="315">
        <v>0</v>
      </c>
      <c r="BJ181" s="315">
        <v>0</v>
      </c>
      <c r="BK181" s="315">
        <v>0</v>
      </c>
      <c r="BL181" s="315">
        <v>0</v>
      </c>
      <c r="BM181" s="315">
        <v>0</v>
      </c>
      <c r="BN181" s="315">
        <v>0</v>
      </c>
      <c r="BO181" s="315">
        <v>0</v>
      </c>
      <c r="BU181" s="315">
        <v>0</v>
      </c>
      <c r="BV181" s="315">
        <v>0</v>
      </c>
    </row>
    <row r="182" spans="12:74" hidden="1" x14ac:dyDescent="0.2">
      <c r="L182" s="315">
        <v>0</v>
      </c>
      <c r="M182" s="315">
        <v>0</v>
      </c>
      <c r="N182" s="315">
        <v>0</v>
      </c>
      <c r="O182" s="315">
        <v>0</v>
      </c>
      <c r="P182" s="315">
        <v>0</v>
      </c>
      <c r="Q182" s="315">
        <v>0</v>
      </c>
      <c r="R182" s="315">
        <v>0</v>
      </c>
      <c r="S182" s="315">
        <v>0</v>
      </c>
      <c r="T182" s="315">
        <v>0</v>
      </c>
      <c r="U182" s="315">
        <v>0</v>
      </c>
      <c r="V182" s="315">
        <v>0</v>
      </c>
      <c r="W182" s="315">
        <v>0</v>
      </c>
      <c r="X182" s="315">
        <v>0</v>
      </c>
      <c r="Y182" s="315">
        <v>0</v>
      </c>
      <c r="Z182" s="315">
        <v>0</v>
      </c>
      <c r="AA182" s="315">
        <v>0</v>
      </c>
      <c r="AB182" s="315">
        <v>0</v>
      </c>
      <c r="AC182" s="315">
        <v>0</v>
      </c>
      <c r="AD182" s="315">
        <v>0</v>
      </c>
      <c r="AE182" s="315">
        <v>0</v>
      </c>
      <c r="AF182" s="315">
        <v>0</v>
      </c>
      <c r="AG182" s="315">
        <v>0</v>
      </c>
      <c r="AH182" s="315">
        <v>0</v>
      </c>
      <c r="AI182" s="315">
        <v>0</v>
      </c>
      <c r="AJ182" s="315">
        <v>0</v>
      </c>
      <c r="AK182" s="315">
        <v>0</v>
      </c>
      <c r="AL182" s="315">
        <v>0</v>
      </c>
      <c r="AM182" s="315">
        <v>0</v>
      </c>
      <c r="AN182" s="315">
        <v>0</v>
      </c>
      <c r="AO182" s="315">
        <v>0</v>
      </c>
      <c r="AP182" s="315">
        <v>0</v>
      </c>
      <c r="AQ182" s="315">
        <v>0</v>
      </c>
      <c r="AR182" s="315">
        <v>0</v>
      </c>
      <c r="AS182" s="315">
        <v>0</v>
      </c>
      <c r="AT182" s="315">
        <v>0</v>
      </c>
      <c r="AU182" s="315">
        <v>0</v>
      </c>
      <c r="AV182" s="315">
        <v>0</v>
      </c>
      <c r="AW182" s="315">
        <v>0</v>
      </c>
      <c r="AX182" s="315">
        <v>0</v>
      </c>
      <c r="AY182" s="315">
        <v>0</v>
      </c>
      <c r="AZ182" s="315">
        <v>0</v>
      </c>
      <c r="BA182" s="315">
        <v>0</v>
      </c>
      <c r="BB182" s="315">
        <v>0</v>
      </c>
      <c r="BC182" s="315">
        <v>0</v>
      </c>
      <c r="BD182" s="315">
        <v>0</v>
      </c>
      <c r="BE182" s="315">
        <v>0</v>
      </c>
      <c r="BF182" s="315">
        <v>0</v>
      </c>
      <c r="BG182" s="315">
        <v>0</v>
      </c>
      <c r="BH182" s="315">
        <v>0</v>
      </c>
      <c r="BI182" s="315">
        <v>0</v>
      </c>
      <c r="BJ182" s="315">
        <v>0</v>
      </c>
      <c r="BK182" s="315">
        <v>0</v>
      </c>
      <c r="BL182" s="315">
        <v>0</v>
      </c>
      <c r="BM182" s="315">
        <v>0</v>
      </c>
      <c r="BN182" s="315">
        <v>0</v>
      </c>
      <c r="BO182" s="315">
        <v>0</v>
      </c>
      <c r="BU182" s="315">
        <v>0</v>
      </c>
      <c r="BV182" s="315">
        <v>0</v>
      </c>
    </row>
    <row r="183" spans="12:74" hidden="1" x14ac:dyDescent="0.2">
      <c r="L183" s="315">
        <v>0</v>
      </c>
      <c r="M183" s="315">
        <v>0</v>
      </c>
      <c r="N183" s="315">
        <v>0</v>
      </c>
      <c r="O183" s="315">
        <v>0</v>
      </c>
      <c r="P183" s="315">
        <v>0</v>
      </c>
      <c r="Q183" s="315">
        <v>0</v>
      </c>
      <c r="R183" s="315">
        <v>0</v>
      </c>
      <c r="S183" s="315">
        <v>0</v>
      </c>
      <c r="T183" s="315">
        <v>0</v>
      </c>
      <c r="U183" s="315">
        <v>0</v>
      </c>
      <c r="V183" s="315">
        <v>0</v>
      </c>
      <c r="W183" s="315">
        <v>0</v>
      </c>
      <c r="X183" s="315">
        <v>0</v>
      </c>
      <c r="Y183" s="315">
        <v>0</v>
      </c>
      <c r="Z183" s="315">
        <v>0</v>
      </c>
      <c r="AA183" s="315">
        <v>0</v>
      </c>
      <c r="AB183" s="315">
        <v>0</v>
      </c>
      <c r="AC183" s="315">
        <v>0</v>
      </c>
      <c r="AD183" s="315">
        <v>0</v>
      </c>
      <c r="AE183" s="315">
        <v>0</v>
      </c>
      <c r="AF183" s="315">
        <v>0</v>
      </c>
      <c r="AG183" s="315">
        <v>0</v>
      </c>
      <c r="AH183" s="315">
        <v>0</v>
      </c>
      <c r="AI183" s="315">
        <v>0</v>
      </c>
      <c r="AJ183" s="315">
        <v>0</v>
      </c>
      <c r="AK183" s="315">
        <v>0</v>
      </c>
      <c r="AL183" s="315">
        <v>0</v>
      </c>
      <c r="AM183" s="315">
        <v>0</v>
      </c>
      <c r="AN183" s="315">
        <v>0</v>
      </c>
      <c r="AO183" s="315">
        <v>0</v>
      </c>
      <c r="AP183" s="315">
        <v>0</v>
      </c>
      <c r="AQ183" s="315">
        <v>0</v>
      </c>
      <c r="AR183" s="315">
        <v>0</v>
      </c>
      <c r="AS183" s="315">
        <v>0</v>
      </c>
      <c r="AT183" s="315">
        <v>0</v>
      </c>
      <c r="AU183" s="315">
        <v>0</v>
      </c>
      <c r="AV183" s="315">
        <v>0</v>
      </c>
      <c r="AW183" s="315">
        <v>0</v>
      </c>
      <c r="AX183" s="315">
        <v>0</v>
      </c>
      <c r="AY183" s="315">
        <v>0</v>
      </c>
      <c r="AZ183" s="315">
        <v>0</v>
      </c>
      <c r="BA183" s="315">
        <v>0</v>
      </c>
      <c r="BB183" s="315">
        <v>0</v>
      </c>
      <c r="BC183" s="315">
        <v>0</v>
      </c>
      <c r="BD183" s="315">
        <v>0</v>
      </c>
      <c r="BE183" s="315">
        <v>0</v>
      </c>
      <c r="BF183" s="315">
        <v>0</v>
      </c>
      <c r="BG183" s="315">
        <v>0</v>
      </c>
      <c r="BH183" s="315">
        <v>0</v>
      </c>
      <c r="BI183" s="315">
        <v>0</v>
      </c>
      <c r="BJ183" s="315">
        <v>0</v>
      </c>
      <c r="BK183" s="315">
        <v>0</v>
      </c>
      <c r="BL183" s="315">
        <v>0</v>
      </c>
      <c r="BM183" s="315">
        <v>0</v>
      </c>
      <c r="BN183" s="315">
        <v>0</v>
      </c>
      <c r="BO183" s="315">
        <v>0</v>
      </c>
      <c r="BU183" s="315">
        <v>0</v>
      </c>
      <c r="BV183" s="315">
        <v>0</v>
      </c>
    </row>
    <row r="184" spans="12:74" hidden="1" x14ac:dyDescent="0.2">
      <c r="L184" s="315">
        <v>0</v>
      </c>
      <c r="M184" s="315">
        <v>0</v>
      </c>
      <c r="N184" s="315">
        <v>0</v>
      </c>
      <c r="O184" s="315">
        <v>0</v>
      </c>
      <c r="P184" s="315">
        <v>0</v>
      </c>
      <c r="Q184" s="315">
        <v>0</v>
      </c>
      <c r="R184" s="315">
        <v>0</v>
      </c>
      <c r="S184" s="315">
        <v>0</v>
      </c>
      <c r="T184" s="315">
        <v>0</v>
      </c>
      <c r="U184" s="315">
        <v>0</v>
      </c>
      <c r="V184" s="315">
        <v>0</v>
      </c>
      <c r="W184" s="315">
        <v>0</v>
      </c>
      <c r="X184" s="315">
        <v>0</v>
      </c>
      <c r="Y184" s="315">
        <v>0</v>
      </c>
      <c r="Z184" s="315">
        <v>0</v>
      </c>
      <c r="AA184" s="315">
        <v>0</v>
      </c>
      <c r="AB184" s="315">
        <v>0</v>
      </c>
      <c r="AC184" s="315">
        <v>0</v>
      </c>
      <c r="AD184" s="315">
        <v>0</v>
      </c>
      <c r="AE184" s="315">
        <v>0</v>
      </c>
      <c r="AF184" s="315">
        <v>0</v>
      </c>
      <c r="AG184" s="315">
        <v>0</v>
      </c>
      <c r="AH184" s="315">
        <v>0</v>
      </c>
      <c r="AI184" s="315">
        <v>0</v>
      </c>
      <c r="AJ184" s="315">
        <v>0</v>
      </c>
      <c r="AK184" s="315">
        <v>0</v>
      </c>
      <c r="AL184" s="315">
        <v>0</v>
      </c>
      <c r="AM184" s="315">
        <v>0</v>
      </c>
      <c r="AN184" s="315">
        <v>0</v>
      </c>
      <c r="AO184" s="315">
        <v>0</v>
      </c>
      <c r="AP184" s="315">
        <v>0</v>
      </c>
      <c r="AQ184" s="315">
        <v>0</v>
      </c>
      <c r="AR184" s="315">
        <v>0</v>
      </c>
      <c r="AS184" s="315">
        <v>0</v>
      </c>
      <c r="AT184" s="315">
        <v>0</v>
      </c>
      <c r="AU184" s="315">
        <v>0</v>
      </c>
      <c r="AV184" s="315">
        <v>0</v>
      </c>
      <c r="AW184" s="315">
        <v>0</v>
      </c>
      <c r="AX184" s="315">
        <v>0</v>
      </c>
      <c r="AY184" s="315">
        <v>0</v>
      </c>
      <c r="AZ184" s="315">
        <v>0</v>
      </c>
      <c r="BA184" s="315">
        <v>0</v>
      </c>
      <c r="BB184" s="315">
        <v>0</v>
      </c>
      <c r="BC184" s="315">
        <v>0</v>
      </c>
      <c r="BD184" s="315">
        <v>0</v>
      </c>
      <c r="BE184" s="315">
        <v>0</v>
      </c>
      <c r="BF184" s="315">
        <v>0</v>
      </c>
      <c r="BG184" s="315">
        <v>0</v>
      </c>
      <c r="BH184" s="315">
        <v>0</v>
      </c>
      <c r="BI184" s="315">
        <v>0</v>
      </c>
      <c r="BJ184" s="315">
        <v>0</v>
      </c>
      <c r="BK184" s="315">
        <v>0</v>
      </c>
      <c r="BL184" s="315">
        <v>0</v>
      </c>
      <c r="BM184" s="315">
        <v>0</v>
      </c>
      <c r="BN184" s="315">
        <v>0</v>
      </c>
      <c r="BO184" s="315">
        <v>0</v>
      </c>
      <c r="BU184" s="315">
        <v>0</v>
      </c>
      <c r="BV184" s="315">
        <v>0</v>
      </c>
    </row>
    <row r="185" spans="12:74" hidden="1" x14ac:dyDescent="0.2">
      <c r="L185" s="315">
        <v>0</v>
      </c>
      <c r="M185" s="315">
        <v>0</v>
      </c>
      <c r="N185" s="315">
        <v>0</v>
      </c>
      <c r="O185" s="315">
        <v>0</v>
      </c>
      <c r="P185" s="315">
        <v>0</v>
      </c>
      <c r="Q185" s="315">
        <v>0</v>
      </c>
      <c r="R185" s="315">
        <v>0</v>
      </c>
      <c r="S185" s="315">
        <v>0</v>
      </c>
      <c r="T185" s="315">
        <v>0</v>
      </c>
      <c r="U185" s="315">
        <v>0</v>
      </c>
      <c r="V185" s="315">
        <v>0</v>
      </c>
      <c r="W185" s="315">
        <v>0</v>
      </c>
      <c r="X185" s="315">
        <v>0</v>
      </c>
      <c r="Y185" s="315">
        <v>0</v>
      </c>
      <c r="Z185" s="315">
        <v>0</v>
      </c>
      <c r="AA185" s="315">
        <v>0</v>
      </c>
      <c r="AB185" s="315">
        <v>0</v>
      </c>
      <c r="AC185" s="315">
        <v>0</v>
      </c>
      <c r="AD185" s="315">
        <v>0</v>
      </c>
      <c r="AE185" s="315">
        <v>0</v>
      </c>
      <c r="AF185" s="315">
        <v>0</v>
      </c>
      <c r="AG185" s="315">
        <v>0</v>
      </c>
      <c r="AH185" s="315">
        <v>0</v>
      </c>
      <c r="AI185" s="315">
        <v>0</v>
      </c>
      <c r="AJ185" s="315">
        <v>0</v>
      </c>
      <c r="AK185" s="315">
        <v>0</v>
      </c>
      <c r="AL185" s="315">
        <v>0</v>
      </c>
      <c r="AM185" s="315">
        <v>0</v>
      </c>
      <c r="AN185" s="315">
        <v>0</v>
      </c>
      <c r="AO185" s="315">
        <v>0</v>
      </c>
      <c r="AP185" s="315">
        <v>0</v>
      </c>
      <c r="AQ185" s="315">
        <v>0</v>
      </c>
      <c r="AR185" s="315">
        <v>0</v>
      </c>
      <c r="AS185" s="315">
        <v>0</v>
      </c>
      <c r="AT185" s="315">
        <v>0</v>
      </c>
      <c r="AU185" s="315">
        <v>0</v>
      </c>
      <c r="AV185" s="315">
        <v>0</v>
      </c>
      <c r="AW185" s="315">
        <v>0</v>
      </c>
      <c r="AX185" s="315">
        <v>0</v>
      </c>
      <c r="AY185" s="315">
        <v>0</v>
      </c>
      <c r="AZ185" s="315">
        <v>0</v>
      </c>
      <c r="BA185" s="315">
        <v>0</v>
      </c>
      <c r="BB185" s="315">
        <v>0</v>
      </c>
      <c r="BC185" s="315">
        <v>0</v>
      </c>
      <c r="BD185" s="315">
        <v>0</v>
      </c>
      <c r="BE185" s="315">
        <v>0</v>
      </c>
      <c r="BF185" s="315">
        <v>0</v>
      </c>
      <c r="BG185" s="315">
        <v>0</v>
      </c>
      <c r="BH185" s="315">
        <v>0</v>
      </c>
      <c r="BI185" s="315">
        <v>0</v>
      </c>
      <c r="BJ185" s="315">
        <v>0</v>
      </c>
      <c r="BK185" s="315">
        <v>0</v>
      </c>
      <c r="BL185" s="315">
        <v>0</v>
      </c>
      <c r="BM185" s="315">
        <v>0</v>
      </c>
      <c r="BN185" s="315">
        <v>0</v>
      </c>
      <c r="BO185" s="315">
        <v>0</v>
      </c>
      <c r="BU185" s="315">
        <v>0</v>
      </c>
      <c r="BV185" s="315">
        <v>0</v>
      </c>
    </row>
    <row r="186" spans="12:74" hidden="1" x14ac:dyDescent="0.2">
      <c r="L186" s="315">
        <v>0</v>
      </c>
      <c r="M186" s="315">
        <v>0</v>
      </c>
      <c r="N186" s="315">
        <v>0</v>
      </c>
      <c r="O186" s="315">
        <v>0</v>
      </c>
      <c r="P186" s="315">
        <v>0</v>
      </c>
      <c r="Q186" s="315">
        <v>0</v>
      </c>
      <c r="R186" s="315">
        <v>0</v>
      </c>
      <c r="S186" s="315">
        <v>0</v>
      </c>
      <c r="T186" s="315">
        <v>0</v>
      </c>
      <c r="U186" s="315">
        <v>0</v>
      </c>
      <c r="V186" s="315">
        <v>0</v>
      </c>
      <c r="W186" s="315">
        <v>0</v>
      </c>
      <c r="X186" s="315">
        <v>0</v>
      </c>
      <c r="Y186" s="315">
        <v>0</v>
      </c>
      <c r="Z186" s="315">
        <v>0</v>
      </c>
      <c r="AA186" s="315">
        <v>0</v>
      </c>
      <c r="AB186" s="315">
        <v>0</v>
      </c>
      <c r="AC186" s="315">
        <v>0</v>
      </c>
      <c r="AD186" s="315">
        <v>0</v>
      </c>
      <c r="AE186" s="315">
        <v>0</v>
      </c>
      <c r="AF186" s="315">
        <v>0</v>
      </c>
      <c r="AG186" s="315">
        <v>0</v>
      </c>
      <c r="AH186" s="315">
        <v>0</v>
      </c>
      <c r="AI186" s="315">
        <v>0</v>
      </c>
      <c r="AJ186" s="315">
        <v>0</v>
      </c>
      <c r="AK186" s="315">
        <v>0</v>
      </c>
      <c r="AL186" s="315">
        <v>0</v>
      </c>
      <c r="AM186" s="315">
        <v>0</v>
      </c>
      <c r="AN186" s="315">
        <v>0</v>
      </c>
      <c r="AO186" s="315">
        <v>0</v>
      </c>
      <c r="AP186" s="315">
        <v>0</v>
      </c>
      <c r="AQ186" s="315">
        <v>0</v>
      </c>
      <c r="AR186" s="315">
        <v>0</v>
      </c>
      <c r="AS186" s="315">
        <v>0</v>
      </c>
      <c r="AT186" s="315">
        <v>0</v>
      </c>
      <c r="AU186" s="315">
        <v>0</v>
      </c>
      <c r="AV186" s="315">
        <v>0</v>
      </c>
      <c r="AW186" s="315">
        <v>0</v>
      </c>
      <c r="AX186" s="315">
        <v>0</v>
      </c>
      <c r="AY186" s="315">
        <v>0</v>
      </c>
      <c r="AZ186" s="315">
        <v>0</v>
      </c>
      <c r="BA186" s="315">
        <v>0</v>
      </c>
      <c r="BB186" s="315">
        <v>0</v>
      </c>
      <c r="BC186" s="315">
        <v>0</v>
      </c>
      <c r="BD186" s="315">
        <v>0</v>
      </c>
      <c r="BE186" s="315">
        <v>0</v>
      </c>
      <c r="BF186" s="315">
        <v>0</v>
      </c>
      <c r="BG186" s="315">
        <v>0</v>
      </c>
      <c r="BH186" s="315">
        <v>0</v>
      </c>
      <c r="BI186" s="315">
        <v>0</v>
      </c>
      <c r="BJ186" s="315">
        <v>0</v>
      </c>
      <c r="BK186" s="315">
        <v>0</v>
      </c>
      <c r="BL186" s="315">
        <v>0</v>
      </c>
      <c r="BM186" s="315">
        <v>0</v>
      </c>
      <c r="BN186" s="315">
        <v>0</v>
      </c>
      <c r="BO186" s="315">
        <v>0</v>
      </c>
      <c r="BU186" s="315">
        <v>0</v>
      </c>
      <c r="BV186" s="315">
        <v>0</v>
      </c>
    </row>
    <row r="187" spans="12:74" hidden="1" x14ac:dyDescent="0.2">
      <c r="L187" s="315">
        <v>0</v>
      </c>
      <c r="M187" s="315">
        <v>0</v>
      </c>
      <c r="N187" s="315">
        <v>0</v>
      </c>
      <c r="O187" s="315">
        <v>0</v>
      </c>
      <c r="P187" s="315">
        <v>0</v>
      </c>
      <c r="Q187" s="315">
        <v>15755546</v>
      </c>
      <c r="R187" s="315">
        <v>0</v>
      </c>
      <c r="S187" s="315">
        <v>0</v>
      </c>
      <c r="T187" s="315">
        <v>0</v>
      </c>
      <c r="U187" s="315">
        <v>0</v>
      </c>
      <c r="V187" s="315">
        <v>0</v>
      </c>
      <c r="W187" s="315">
        <v>0</v>
      </c>
      <c r="X187" s="315">
        <v>0</v>
      </c>
      <c r="Y187" s="315">
        <v>0</v>
      </c>
      <c r="Z187" s="315">
        <v>0</v>
      </c>
      <c r="AA187" s="315">
        <v>0</v>
      </c>
      <c r="AB187" s="315">
        <v>0</v>
      </c>
      <c r="AC187" s="315">
        <v>0</v>
      </c>
      <c r="AD187" s="315">
        <v>0</v>
      </c>
      <c r="AE187" s="315">
        <v>0</v>
      </c>
      <c r="AF187" s="315">
        <v>0</v>
      </c>
      <c r="AG187" s="315">
        <v>0</v>
      </c>
      <c r="AH187" s="315">
        <v>0</v>
      </c>
      <c r="AI187" s="315">
        <v>0</v>
      </c>
      <c r="AJ187" s="315">
        <v>0</v>
      </c>
      <c r="AK187" s="315">
        <v>-3912780</v>
      </c>
      <c r="AL187" s="315">
        <v>0</v>
      </c>
      <c r="AM187" s="315">
        <v>0</v>
      </c>
      <c r="AN187" s="315">
        <v>0</v>
      </c>
      <c r="AO187" s="315">
        <v>0</v>
      </c>
      <c r="AP187" s="315">
        <v>0</v>
      </c>
      <c r="AQ187" s="315">
        <v>0</v>
      </c>
      <c r="AR187" s="315">
        <v>0</v>
      </c>
      <c r="AS187" s="315">
        <v>0</v>
      </c>
      <c r="AT187" s="315">
        <v>0</v>
      </c>
      <c r="AU187" s="315">
        <v>0</v>
      </c>
      <c r="AV187" s="315">
        <v>0</v>
      </c>
      <c r="AW187" s="315">
        <v>0</v>
      </c>
      <c r="AX187" s="315">
        <v>0</v>
      </c>
      <c r="AY187" s="315">
        <v>0</v>
      </c>
      <c r="AZ187" s="315">
        <v>0</v>
      </c>
      <c r="BA187" s="315">
        <v>0</v>
      </c>
      <c r="BB187" s="315">
        <v>0</v>
      </c>
      <c r="BC187" s="315">
        <v>0</v>
      </c>
      <c r="BD187" s="315">
        <v>0</v>
      </c>
      <c r="BE187" s="315">
        <v>0</v>
      </c>
      <c r="BF187" s="315">
        <v>0</v>
      </c>
      <c r="BG187" s="315">
        <v>0</v>
      </c>
      <c r="BH187" s="315">
        <v>0</v>
      </c>
      <c r="BI187" s="315">
        <v>0</v>
      </c>
      <c r="BJ187" s="315">
        <v>0</v>
      </c>
      <c r="BK187" s="315">
        <v>0</v>
      </c>
      <c r="BL187" s="315">
        <v>0</v>
      </c>
      <c r="BM187" s="315">
        <v>0</v>
      </c>
      <c r="BN187" s="315">
        <v>0</v>
      </c>
      <c r="BO187" s="315">
        <v>0</v>
      </c>
      <c r="BU187" s="315">
        <v>0</v>
      </c>
      <c r="BV187" s="315">
        <v>0</v>
      </c>
    </row>
    <row r="188" spans="12:74" hidden="1" x14ac:dyDescent="0.2">
      <c r="L188" s="315">
        <v>0</v>
      </c>
      <c r="M188" s="315">
        <v>0</v>
      </c>
      <c r="N188" s="315">
        <v>0</v>
      </c>
      <c r="O188" s="315">
        <v>0</v>
      </c>
      <c r="P188" s="315">
        <v>0</v>
      </c>
      <c r="Q188" s="315">
        <v>15755546</v>
      </c>
      <c r="R188" s="315">
        <v>0</v>
      </c>
      <c r="S188" s="315">
        <v>0</v>
      </c>
      <c r="T188" s="315">
        <v>0</v>
      </c>
      <c r="U188" s="315">
        <v>0</v>
      </c>
      <c r="V188" s="315">
        <v>0</v>
      </c>
      <c r="W188" s="315">
        <v>0</v>
      </c>
      <c r="X188" s="315">
        <v>0</v>
      </c>
      <c r="Y188" s="315">
        <v>0</v>
      </c>
      <c r="Z188" s="315">
        <v>0</v>
      </c>
      <c r="AA188" s="315">
        <v>0</v>
      </c>
      <c r="AB188" s="315">
        <v>0</v>
      </c>
      <c r="AC188" s="315">
        <v>0</v>
      </c>
      <c r="AD188" s="315">
        <v>0</v>
      </c>
      <c r="AE188" s="315">
        <v>0</v>
      </c>
      <c r="AF188" s="315">
        <v>0</v>
      </c>
      <c r="AG188" s="315">
        <v>0</v>
      </c>
      <c r="AH188" s="315">
        <v>0</v>
      </c>
      <c r="AI188" s="315">
        <v>0</v>
      </c>
      <c r="AJ188" s="315">
        <v>0</v>
      </c>
      <c r="AK188" s="315">
        <v>-3912780</v>
      </c>
      <c r="AL188" s="315">
        <v>0</v>
      </c>
      <c r="AM188" s="315">
        <v>0</v>
      </c>
      <c r="AN188" s="315">
        <v>0</v>
      </c>
      <c r="AO188" s="315">
        <v>0</v>
      </c>
      <c r="AP188" s="315">
        <v>0</v>
      </c>
      <c r="AQ188" s="315">
        <v>0</v>
      </c>
      <c r="AR188" s="315">
        <v>0</v>
      </c>
      <c r="AS188" s="315">
        <v>0</v>
      </c>
      <c r="AT188" s="315">
        <v>0</v>
      </c>
      <c r="AU188" s="315">
        <v>0</v>
      </c>
      <c r="AV188" s="315">
        <v>0</v>
      </c>
      <c r="AW188" s="315">
        <v>0</v>
      </c>
      <c r="AX188" s="315">
        <v>0</v>
      </c>
      <c r="AY188" s="315">
        <v>0</v>
      </c>
      <c r="AZ188" s="315">
        <v>0</v>
      </c>
      <c r="BA188" s="315">
        <v>0</v>
      </c>
      <c r="BB188" s="315">
        <v>0</v>
      </c>
      <c r="BC188" s="315">
        <v>0</v>
      </c>
      <c r="BD188" s="315">
        <v>0</v>
      </c>
      <c r="BE188" s="315">
        <v>0</v>
      </c>
      <c r="BF188" s="315">
        <v>0</v>
      </c>
      <c r="BG188" s="315">
        <v>0</v>
      </c>
      <c r="BH188" s="315">
        <v>0</v>
      </c>
      <c r="BI188" s="315">
        <v>0</v>
      </c>
      <c r="BJ188" s="315">
        <v>0</v>
      </c>
      <c r="BK188" s="315">
        <v>0</v>
      </c>
      <c r="BL188" s="315">
        <v>0</v>
      </c>
      <c r="BM188" s="315">
        <v>0</v>
      </c>
      <c r="BN188" s="315">
        <v>0</v>
      </c>
      <c r="BO188" s="315">
        <v>0</v>
      </c>
      <c r="BU188" s="315">
        <v>0</v>
      </c>
      <c r="BV188" s="315">
        <v>0</v>
      </c>
    </row>
    <row r="189" spans="12:74" hidden="1" x14ac:dyDescent="0.2">
      <c r="L189" s="315">
        <v>0</v>
      </c>
      <c r="M189" s="315">
        <v>0</v>
      </c>
      <c r="N189" s="315">
        <v>0</v>
      </c>
      <c r="O189" s="315">
        <v>0</v>
      </c>
      <c r="P189" s="315">
        <v>0</v>
      </c>
      <c r="Q189" s="315">
        <v>0</v>
      </c>
      <c r="R189" s="315">
        <v>0</v>
      </c>
      <c r="S189" s="315">
        <v>0</v>
      </c>
      <c r="T189" s="315">
        <v>0</v>
      </c>
      <c r="U189" s="315">
        <v>0</v>
      </c>
      <c r="V189" s="315">
        <v>0</v>
      </c>
      <c r="W189" s="315">
        <v>0</v>
      </c>
      <c r="X189" s="315">
        <v>0</v>
      </c>
      <c r="Y189" s="315">
        <v>0</v>
      </c>
      <c r="Z189" s="315">
        <v>0</v>
      </c>
      <c r="AA189" s="315">
        <v>0</v>
      </c>
      <c r="AB189" s="315">
        <v>0</v>
      </c>
      <c r="AC189" s="315">
        <v>0</v>
      </c>
      <c r="AD189" s="315">
        <v>0</v>
      </c>
      <c r="AE189" s="315">
        <v>0</v>
      </c>
      <c r="AF189" s="315">
        <v>0</v>
      </c>
      <c r="AG189" s="315">
        <v>0</v>
      </c>
      <c r="AH189" s="315">
        <v>0</v>
      </c>
      <c r="AI189" s="315">
        <v>0</v>
      </c>
      <c r="AJ189" s="315">
        <v>0</v>
      </c>
      <c r="AK189" s="315">
        <v>0</v>
      </c>
      <c r="AL189" s="315">
        <v>0</v>
      </c>
      <c r="AM189" s="315">
        <v>0</v>
      </c>
      <c r="AN189" s="315">
        <v>0</v>
      </c>
      <c r="AO189" s="315">
        <v>0</v>
      </c>
      <c r="AP189" s="315">
        <v>0</v>
      </c>
      <c r="AQ189" s="315">
        <v>0</v>
      </c>
      <c r="AR189" s="315">
        <v>0</v>
      </c>
      <c r="AS189" s="315">
        <v>0</v>
      </c>
      <c r="AT189" s="315">
        <v>0</v>
      </c>
      <c r="AU189" s="315">
        <v>0</v>
      </c>
      <c r="AV189" s="315">
        <v>0</v>
      </c>
      <c r="AW189" s="315">
        <v>0</v>
      </c>
      <c r="AX189" s="315">
        <v>0</v>
      </c>
      <c r="AY189" s="315">
        <v>0</v>
      </c>
      <c r="AZ189" s="315">
        <v>0</v>
      </c>
      <c r="BA189" s="315">
        <v>0</v>
      </c>
      <c r="BB189" s="315">
        <v>0</v>
      </c>
      <c r="BC189" s="315">
        <v>0</v>
      </c>
      <c r="BD189" s="315">
        <v>0</v>
      </c>
      <c r="BE189" s="315">
        <v>0</v>
      </c>
      <c r="BF189" s="315">
        <v>0</v>
      </c>
      <c r="BG189" s="315">
        <v>0</v>
      </c>
      <c r="BH189" s="315">
        <v>0</v>
      </c>
      <c r="BI189" s="315">
        <v>0</v>
      </c>
      <c r="BJ189" s="315">
        <v>0</v>
      </c>
      <c r="BK189" s="315">
        <v>0</v>
      </c>
      <c r="BL189" s="315">
        <v>0</v>
      </c>
      <c r="BM189" s="315">
        <v>0</v>
      </c>
      <c r="BN189" s="315">
        <v>0</v>
      </c>
      <c r="BO189" s="315">
        <v>0</v>
      </c>
      <c r="BU189" s="315">
        <v>0</v>
      </c>
      <c r="BV189" s="315">
        <v>0</v>
      </c>
    </row>
    <row r="190" spans="12:74" hidden="1" x14ac:dyDescent="0.2">
      <c r="L190" s="315">
        <v>0</v>
      </c>
      <c r="M190" s="315">
        <v>0</v>
      </c>
      <c r="N190" s="315">
        <v>0</v>
      </c>
      <c r="O190" s="315">
        <v>0</v>
      </c>
      <c r="P190" s="315">
        <v>0</v>
      </c>
      <c r="Q190" s="315">
        <v>0</v>
      </c>
      <c r="R190" s="315">
        <v>0</v>
      </c>
      <c r="S190" s="315">
        <v>0</v>
      </c>
      <c r="T190" s="315">
        <v>0</v>
      </c>
      <c r="U190" s="315">
        <v>0</v>
      </c>
      <c r="V190" s="315">
        <v>0</v>
      </c>
      <c r="W190" s="315">
        <v>0</v>
      </c>
      <c r="X190" s="315">
        <v>0</v>
      </c>
      <c r="Y190" s="315">
        <v>0</v>
      </c>
      <c r="Z190" s="315">
        <v>0</v>
      </c>
      <c r="AA190" s="315">
        <v>0</v>
      </c>
      <c r="AB190" s="315">
        <v>0</v>
      </c>
      <c r="AC190" s="315">
        <v>0</v>
      </c>
      <c r="AD190" s="315">
        <v>0</v>
      </c>
      <c r="AE190" s="315">
        <v>0</v>
      </c>
      <c r="AF190" s="315">
        <v>0</v>
      </c>
      <c r="AG190" s="315">
        <v>0</v>
      </c>
      <c r="AH190" s="315">
        <v>0</v>
      </c>
      <c r="AI190" s="315">
        <v>0</v>
      </c>
      <c r="AJ190" s="315">
        <v>0</v>
      </c>
      <c r="AK190" s="315">
        <v>0</v>
      </c>
      <c r="AL190" s="315">
        <v>0</v>
      </c>
      <c r="AM190" s="315">
        <v>0</v>
      </c>
      <c r="AN190" s="315">
        <v>0</v>
      </c>
      <c r="AO190" s="315">
        <v>0</v>
      </c>
      <c r="AP190" s="315">
        <v>0</v>
      </c>
      <c r="AQ190" s="315">
        <v>0</v>
      </c>
      <c r="AR190" s="315">
        <v>0</v>
      </c>
      <c r="AS190" s="315">
        <v>0</v>
      </c>
      <c r="AT190" s="315">
        <v>0</v>
      </c>
      <c r="AU190" s="315">
        <v>0</v>
      </c>
      <c r="AV190" s="315">
        <v>0</v>
      </c>
      <c r="AW190" s="315">
        <v>0</v>
      </c>
      <c r="AX190" s="315">
        <v>0</v>
      </c>
      <c r="AY190" s="315">
        <v>0</v>
      </c>
      <c r="AZ190" s="315">
        <v>0</v>
      </c>
      <c r="BA190" s="315">
        <v>0</v>
      </c>
      <c r="BB190" s="315">
        <v>0</v>
      </c>
      <c r="BC190" s="315">
        <v>0</v>
      </c>
      <c r="BD190" s="315">
        <v>0</v>
      </c>
      <c r="BE190" s="315">
        <v>0</v>
      </c>
      <c r="BF190" s="315">
        <v>0</v>
      </c>
      <c r="BG190" s="315">
        <v>0</v>
      </c>
      <c r="BH190" s="315">
        <v>0</v>
      </c>
      <c r="BI190" s="315">
        <v>0</v>
      </c>
      <c r="BJ190" s="315">
        <v>0</v>
      </c>
      <c r="BK190" s="315">
        <v>0</v>
      </c>
      <c r="BL190" s="315">
        <v>0</v>
      </c>
      <c r="BM190" s="315">
        <v>0</v>
      </c>
      <c r="BN190" s="315">
        <v>0</v>
      </c>
      <c r="BO190" s="315">
        <v>0</v>
      </c>
      <c r="BU190" s="315">
        <v>0</v>
      </c>
      <c r="BV190" s="315">
        <v>0</v>
      </c>
    </row>
    <row r="191" spans="12:74" hidden="1" x14ac:dyDescent="0.2">
      <c r="L191" s="315">
        <v>0</v>
      </c>
      <c r="M191" s="315">
        <v>0</v>
      </c>
      <c r="N191" s="315">
        <v>0</v>
      </c>
      <c r="O191" s="315">
        <v>0</v>
      </c>
      <c r="P191" s="315">
        <v>0</v>
      </c>
      <c r="Q191" s="315">
        <v>0</v>
      </c>
      <c r="R191" s="315">
        <v>0</v>
      </c>
      <c r="S191" s="315">
        <v>0</v>
      </c>
      <c r="T191" s="315">
        <v>0</v>
      </c>
      <c r="U191" s="315">
        <v>0</v>
      </c>
      <c r="V191" s="315">
        <v>0</v>
      </c>
      <c r="W191" s="315">
        <v>0</v>
      </c>
      <c r="X191" s="315">
        <v>0</v>
      </c>
      <c r="Y191" s="315">
        <v>0</v>
      </c>
      <c r="Z191" s="315">
        <v>0</v>
      </c>
      <c r="AA191" s="315">
        <v>0</v>
      </c>
      <c r="AB191" s="315">
        <v>0</v>
      </c>
      <c r="AC191" s="315">
        <v>0</v>
      </c>
      <c r="AD191" s="315">
        <v>0</v>
      </c>
      <c r="AE191" s="315">
        <v>0</v>
      </c>
      <c r="AF191" s="315">
        <v>0</v>
      </c>
      <c r="AG191" s="315">
        <v>0</v>
      </c>
      <c r="AH191" s="315">
        <v>0</v>
      </c>
      <c r="AI191" s="315">
        <v>0</v>
      </c>
      <c r="AJ191" s="315">
        <v>0</v>
      </c>
      <c r="AK191" s="315">
        <v>0</v>
      </c>
      <c r="AL191" s="315">
        <v>0</v>
      </c>
      <c r="AM191" s="315">
        <v>0</v>
      </c>
      <c r="AN191" s="315">
        <v>0</v>
      </c>
      <c r="AO191" s="315">
        <v>0</v>
      </c>
      <c r="AP191" s="315">
        <v>0</v>
      </c>
      <c r="AQ191" s="315">
        <v>0</v>
      </c>
      <c r="AR191" s="315">
        <v>0</v>
      </c>
      <c r="AS191" s="315">
        <v>0</v>
      </c>
      <c r="AT191" s="315">
        <v>0</v>
      </c>
      <c r="AU191" s="315">
        <v>0</v>
      </c>
      <c r="AV191" s="315">
        <v>0</v>
      </c>
      <c r="AW191" s="315">
        <v>0</v>
      </c>
      <c r="AX191" s="315">
        <v>0</v>
      </c>
      <c r="AY191" s="315">
        <v>0</v>
      </c>
      <c r="AZ191" s="315">
        <v>0</v>
      </c>
      <c r="BA191" s="315">
        <v>0</v>
      </c>
      <c r="BB191" s="315">
        <v>0</v>
      </c>
      <c r="BC191" s="315">
        <v>0</v>
      </c>
      <c r="BD191" s="315">
        <v>0</v>
      </c>
      <c r="BE191" s="315">
        <v>0</v>
      </c>
      <c r="BF191" s="315">
        <v>0</v>
      </c>
      <c r="BG191" s="315">
        <v>0</v>
      </c>
      <c r="BH191" s="315">
        <v>0</v>
      </c>
      <c r="BI191" s="315">
        <v>0</v>
      </c>
      <c r="BJ191" s="315">
        <v>0</v>
      </c>
      <c r="BK191" s="315">
        <v>0</v>
      </c>
      <c r="BL191" s="315">
        <v>0</v>
      </c>
      <c r="BM191" s="315">
        <v>0</v>
      </c>
      <c r="BN191" s="315">
        <v>0</v>
      </c>
      <c r="BO191" s="315">
        <v>0</v>
      </c>
      <c r="BU191" s="315">
        <v>0</v>
      </c>
      <c r="BV191" s="315">
        <v>0</v>
      </c>
    </row>
    <row r="192" spans="12:74" hidden="1" x14ac:dyDescent="0.2">
      <c r="L192" s="315">
        <v>0</v>
      </c>
      <c r="M192" s="315">
        <v>0</v>
      </c>
      <c r="N192" s="315">
        <v>0</v>
      </c>
      <c r="O192" s="315">
        <v>0</v>
      </c>
      <c r="P192" s="315">
        <v>0</v>
      </c>
      <c r="Q192" s="315">
        <v>15755546</v>
      </c>
      <c r="R192" s="315">
        <v>0</v>
      </c>
      <c r="S192" s="315">
        <v>0</v>
      </c>
      <c r="T192" s="315">
        <v>0</v>
      </c>
      <c r="U192" s="315">
        <v>0</v>
      </c>
      <c r="V192" s="315">
        <v>0</v>
      </c>
      <c r="W192" s="315">
        <v>0</v>
      </c>
      <c r="X192" s="315">
        <v>0</v>
      </c>
      <c r="Y192" s="315">
        <v>0</v>
      </c>
      <c r="Z192" s="315">
        <v>0</v>
      </c>
      <c r="AA192" s="315">
        <v>0</v>
      </c>
      <c r="AB192" s="315">
        <v>0</v>
      </c>
      <c r="AC192" s="315">
        <v>0</v>
      </c>
      <c r="AD192" s="315">
        <v>0</v>
      </c>
      <c r="AE192" s="315">
        <v>0</v>
      </c>
      <c r="AF192" s="315">
        <v>0</v>
      </c>
      <c r="AG192" s="315">
        <v>0</v>
      </c>
      <c r="AH192" s="315">
        <v>0</v>
      </c>
      <c r="AI192" s="315">
        <v>0</v>
      </c>
      <c r="AJ192" s="315">
        <v>0</v>
      </c>
      <c r="AK192" s="315">
        <v>-3912780</v>
      </c>
      <c r="AL192" s="315">
        <v>0</v>
      </c>
      <c r="AM192" s="315">
        <v>0</v>
      </c>
      <c r="AN192" s="315">
        <v>0</v>
      </c>
      <c r="AO192" s="315">
        <v>0</v>
      </c>
      <c r="AP192" s="315">
        <v>0</v>
      </c>
      <c r="AQ192" s="315">
        <v>0</v>
      </c>
      <c r="AR192" s="315">
        <v>0</v>
      </c>
      <c r="AS192" s="315">
        <v>0</v>
      </c>
      <c r="AT192" s="315">
        <v>0</v>
      </c>
      <c r="AU192" s="315">
        <v>0</v>
      </c>
      <c r="AV192" s="315">
        <v>0</v>
      </c>
      <c r="AW192" s="315">
        <v>0</v>
      </c>
      <c r="AX192" s="315">
        <v>0</v>
      </c>
      <c r="AY192" s="315">
        <v>0</v>
      </c>
      <c r="AZ192" s="315">
        <v>0</v>
      </c>
      <c r="BA192" s="315">
        <v>0</v>
      </c>
      <c r="BB192" s="315">
        <v>0</v>
      </c>
      <c r="BC192" s="315">
        <v>0</v>
      </c>
      <c r="BD192" s="315">
        <v>0</v>
      </c>
      <c r="BE192" s="315">
        <v>0</v>
      </c>
      <c r="BF192" s="315">
        <v>0</v>
      </c>
      <c r="BG192" s="315">
        <v>0</v>
      </c>
      <c r="BH192" s="315">
        <v>0</v>
      </c>
      <c r="BI192" s="315">
        <v>0</v>
      </c>
      <c r="BJ192" s="315">
        <v>0</v>
      </c>
      <c r="BK192" s="315">
        <v>0</v>
      </c>
      <c r="BL192" s="315">
        <v>0</v>
      </c>
      <c r="BM192" s="315">
        <v>0</v>
      </c>
      <c r="BN192" s="315">
        <v>0</v>
      </c>
      <c r="BO192" s="315">
        <v>0</v>
      </c>
      <c r="BU192" s="315">
        <v>0</v>
      </c>
      <c r="BV192" s="315">
        <v>0</v>
      </c>
    </row>
    <row r="193" spans="12:74" hidden="1" x14ac:dyDescent="0.2">
      <c r="L193" s="315">
        <v>0</v>
      </c>
      <c r="M193" s="315">
        <v>0</v>
      </c>
      <c r="N193" s="315">
        <v>0</v>
      </c>
      <c r="O193" s="315">
        <v>0</v>
      </c>
      <c r="P193" s="315">
        <v>0</v>
      </c>
      <c r="Q193" s="315">
        <v>7113060</v>
      </c>
      <c r="R193" s="315">
        <v>0</v>
      </c>
      <c r="S193" s="315">
        <v>0</v>
      </c>
      <c r="T193" s="315">
        <v>0</v>
      </c>
      <c r="U193" s="315">
        <v>0</v>
      </c>
      <c r="V193" s="315">
        <v>0</v>
      </c>
      <c r="W193" s="315">
        <v>0</v>
      </c>
      <c r="X193" s="315">
        <v>0</v>
      </c>
      <c r="Y193" s="315">
        <v>0</v>
      </c>
      <c r="Z193" s="315">
        <v>0</v>
      </c>
      <c r="AA193" s="315">
        <v>0</v>
      </c>
      <c r="AB193" s="315">
        <v>0</v>
      </c>
      <c r="AC193" s="315">
        <v>0</v>
      </c>
      <c r="AD193" s="315">
        <v>0</v>
      </c>
      <c r="AE193" s="315">
        <v>0</v>
      </c>
      <c r="AF193" s="315">
        <v>0</v>
      </c>
      <c r="AG193" s="315">
        <v>0</v>
      </c>
      <c r="AH193" s="315">
        <v>0</v>
      </c>
      <c r="AI193" s="315">
        <v>0</v>
      </c>
      <c r="AJ193" s="315">
        <v>0</v>
      </c>
      <c r="AK193" s="315">
        <v>-1993488</v>
      </c>
      <c r="AL193" s="315">
        <v>0</v>
      </c>
      <c r="AM193" s="315">
        <v>0</v>
      </c>
      <c r="AN193" s="315">
        <v>0</v>
      </c>
      <c r="AO193" s="315">
        <v>0</v>
      </c>
      <c r="AP193" s="315">
        <v>0</v>
      </c>
      <c r="AQ193" s="315">
        <v>0</v>
      </c>
      <c r="AR193" s="315">
        <v>0</v>
      </c>
      <c r="AS193" s="315">
        <v>0</v>
      </c>
      <c r="AT193" s="315">
        <v>0</v>
      </c>
      <c r="AU193" s="315">
        <v>0</v>
      </c>
      <c r="AV193" s="315">
        <v>0</v>
      </c>
      <c r="AW193" s="315">
        <v>0</v>
      </c>
      <c r="AX193" s="315">
        <v>0</v>
      </c>
      <c r="AY193" s="315">
        <v>0</v>
      </c>
      <c r="AZ193" s="315">
        <v>0</v>
      </c>
      <c r="BA193" s="315">
        <v>0</v>
      </c>
      <c r="BB193" s="315">
        <v>0</v>
      </c>
      <c r="BC193" s="315">
        <v>0</v>
      </c>
      <c r="BD193" s="315">
        <v>0</v>
      </c>
      <c r="BE193" s="315">
        <v>0</v>
      </c>
      <c r="BF193" s="315">
        <v>0</v>
      </c>
      <c r="BG193" s="315">
        <v>0</v>
      </c>
      <c r="BH193" s="315">
        <v>0</v>
      </c>
      <c r="BI193" s="315">
        <v>0</v>
      </c>
      <c r="BJ193" s="315">
        <v>0</v>
      </c>
      <c r="BK193" s="315">
        <v>0</v>
      </c>
      <c r="BL193" s="315">
        <v>0</v>
      </c>
      <c r="BM193" s="315">
        <v>0</v>
      </c>
      <c r="BN193" s="315">
        <v>0</v>
      </c>
      <c r="BO193" s="315">
        <v>0</v>
      </c>
      <c r="BU193" s="315">
        <v>0</v>
      </c>
      <c r="BV193" s="315">
        <v>0</v>
      </c>
    </row>
    <row r="194" spans="12:74" hidden="1" x14ac:dyDescent="0.2">
      <c r="L194" s="315">
        <v>0</v>
      </c>
      <c r="M194" s="315">
        <v>0</v>
      </c>
      <c r="N194" s="315">
        <v>0</v>
      </c>
      <c r="O194" s="315">
        <v>0</v>
      </c>
      <c r="P194" s="315">
        <v>0</v>
      </c>
      <c r="Q194" s="315">
        <v>8642486</v>
      </c>
      <c r="R194" s="315">
        <v>0</v>
      </c>
      <c r="S194" s="315">
        <v>0</v>
      </c>
      <c r="T194" s="315">
        <v>0</v>
      </c>
      <c r="U194" s="315">
        <v>0</v>
      </c>
      <c r="V194" s="315">
        <v>0</v>
      </c>
      <c r="W194" s="315">
        <v>0</v>
      </c>
      <c r="X194" s="315">
        <v>0</v>
      </c>
      <c r="Y194" s="315">
        <v>0</v>
      </c>
      <c r="Z194" s="315">
        <v>0</v>
      </c>
      <c r="AA194" s="315">
        <v>0</v>
      </c>
      <c r="AB194" s="315">
        <v>0</v>
      </c>
      <c r="AC194" s="315">
        <v>0</v>
      </c>
      <c r="AD194" s="315">
        <v>0</v>
      </c>
      <c r="AE194" s="315">
        <v>0</v>
      </c>
      <c r="AF194" s="315">
        <v>0</v>
      </c>
      <c r="AG194" s="315">
        <v>0</v>
      </c>
      <c r="AH194" s="315">
        <v>0</v>
      </c>
      <c r="AI194" s="315">
        <v>0</v>
      </c>
      <c r="AJ194" s="315">
        <v>0</v>
      </c>
      <c r="AK194" s="315">
        <v>-1919292</v>
      </c>
      <c r="AL194" s="315">
        <v>0</v>
      </c>
      <c r="AM194" s="315">
        <v>0</v>
      </c>
      <c r="AN194" s="315">
        <v>0</v>
      </c>
      <c r="AO194" s="315">
        <v>0</v>
      </c>
      <c r="AP194" s="315">
        <v>0</v>
      </c>
      <c r="AQ194" s="315">
        <v>0</v>
      </c>
      <c r="AR194" s="315">
        <v>0</v>
      </c>
      <c r="AS194" s="315">
        <v>0</v>
      </c>
      <c r="AT194" s="315">
        <v>0</v>
      </c>
      <c r="AU194" s="315">
        <v>0</v>
      </c>
      <c r="AV194" s="315">
        <v>0</v>
      </c>
      <c r="AW194" s="315">
        <v>0</v>
      </c>
      <c r="AX194" s="315">
        <v>0</v>
      </c>
      <c r="AY194" s="315">
        <v>0</v>
      </c>
      <c r="AZ194" s="315">
        <v>0</v>
      </c>
      <c r="BA194" s="315">
        <v>0</v>
      </c>
      <c r="BB194" s="315">
        <v>0</v>
      </c>
      <c r="BC194" s="315">
        <v>0</v>
      </c>
      <c r="BD194" s="315">
        <v>0</v>
      </c>
      <c r="BE194" s="315">
        <v>0</v>
      </c>
      <c r="BF194" s="315">
        <v>0</v>
      </c>
      <c r="BG194" s="315">
        <v>0</v>
      </c>
      <c r="BH194" s="315">
        <v>0</v>
      </c>
      <c r="BI194" s="315">
        <v>0</v>
      </c>
      <c r="BJ194" s="315">
        <v>0</v>
      </c>
      <c r="BK194" s="315">
        <v>0</v>
      </c>
      <c r="BL194" s="315">
        <v>0</v>
      </c>
      <c r="BM194" s="315">
        <v>0</v>
      </c>
      <c r="BN194" s="315">
        <v>0</v>
      </c>
      <c r="BO194" s="315">
        <v>0</v>
      </c>
      <c r="BU194" s="315">
        <v>0</v>
      </c>
      <c r="BV194" s="315">
        <v>0</v>
      </c>
    </row>
    <row r="195" spans="12:74" hidden="1" x14ac:dyDescent="0.2">
      <c r="L195" s="315">
        <v>0</v>
      </c>
      <c r="M195" s="315">
        <v>0</v>
      </c>
      <c r="N195" s="315">
        <v>0</v>
      </c>
      <c r="O195" s="315">
        <v>0</v>
      </c>
      <c r="P195" s="315">
        <v>0</v>
      </c>
      <c r="Q195" s="315">
        <v>0</v>
      </c>
      <c r="R195" s="315">
        <v>0</v>
      </c>
      <c r="S195" s="315">
        <v>0</v>
      </c>
      <c r="T195" s="315">
        <v>0</v>
      </c>
      <c r="U195" s="315">
        <v>0</v>
      </c>
      <c r="V195" s="315">
        <v>0</v>
      </c>
      <c r="W195" s="315">
        <v>0</v>
      </c>
      <c r="X195" s="315">
        <v>0</v>
      </c>
      <c r="Y195" s="315">
        <v>0</v>
      </c>
      <c r="Z195" s="315">
        <v>0</v>
      </c>
      <c r="AA195" s="315">
        <v>0</v>
      </c>
      <c r="AB195" s="315">
        <v>0</v>
      </c>
      <c r="AC195" s="315">
        <v>0</v>
      </c>
      <c r="AD195" s="315">
        <v>0</v>
      </c>
      <c r="AE195" s="315">
        <v>0</v>
      </c>
      <c r="AF195" s="315">
        <v>0</v>
      </c>
      <c r="AG195" s="315">
        <v>0</v>
      </c>
      <c r="AH195" s="315">
        <v>0</v>
      </c>
      <c r="AI195" s="315">
        <v>0</v>
      </c>
      <c r="AJ195" s="315">
        <v>0</v>
      </c>
      <c r="AK195" s="315">
        <v>0</v>
      </c>
      <c r="AL195" s="315">
        <v>0</v>
      </c>
      <c r="AM195" s="315">
        <v>0</v>
      </c>
      <c r="AN195" s="315">
        <v>0</v>
      </c>
      <c r="AO195" s="315">
        <v>0</v>
      </c>
      <c r="AP195" s="315">
        <v>0</v>
      </c>
      <c r="AQ195" s="315">
        <v>0</v>
      </c>
      <c r="AR195" s="315">
        <v>0</v>
      </c>
      <c r="AS195" s="315">
        <v>0</v>
      </c>
      <c r="AT195" s="315">
        <v>0</v>
      </c>
      <c r="AU195" s="315">
        <v>0</v>
      </c>
      <c r="AV195" s="315">
        <v>0</v>
      </c>
      <c r="AW195" s="315">
        <v>0</v>
      </c>
      <c r="AX195" s="315">
        <v>0</v>
      </c>
      <c r="AY195" s="315">
        <v>0</v>
      </c>
      <c r="AZ195" s="315">
        <v>0</v>
      </c>
      <c r="BA195" s="315">
        <v>0</v>
      </c>
      <c r="BB195" s="315">
        <v>0</v>
      </c>
      <c r="BC195" s="315">
        <v>0</v>
      </c>
      <c r="BD195" s="315">
        <v>0</v>
      </c>
      <c r="BE195" s="315">
        <v>0</v>
      </c>
      <c r="BF195" s="315">
        <v>0</v>
      </c>
      <c r="BG195" s="315">
        <v>0</v>
      </c>
      <c r="BH195" s="315">
        <v>0</v>
      </c>
      <c r="BI195" s="315">
        <v>0</v>
      </c>
      <c r="BJ195" s="315">
        <v>0</v>
      </c>
      <c r="BK195" s="315">
        <v>0</v>
      </c>
      <c r="BL195" s="315">
        <v>0</v>
      </c>
      <c r="BM195" s="315">
        <v>0</v>
      </c>
      <c r="BN195" s="315">
        <v>0</v>
      </c>
      <c r="BO195" s="315">
        <v>0</v>
      </c>
      <c r="BU195" s="315">
        <v>0</v>
      </c>
      <c r="BV195" s="315">
        <v>0</v>
      </c>
    </row>
    <row r="196" spans="12:74" hidden="1" x14ac:dyDescent="0.2">
      <c r="L196" s="315">
        <v>0</v>
      </c>
      <c r="M196" s="315">
        <v>0</v>
      </c>
      <c r="N196" s="315">
        <v>0</v>
      </c>
      <c r="O196" s="315">
        <v>0</v>
      </c>
      <c r="P196" s="315">
        <v>0</v>
      </c>
      <c r="Q196" s="315">
        <v>-6054</v>
      </c>
      <c r="R196" s="315">
        <v>0</v>
      </c>
      <c r="S196" s="315">
        <v>0</v>
      </c>
      <c r="T196" s="315">
        <v>0</v>
      </c>
      <c r="U196" s="315">
        <v>0</v>
      </c>
      <c r="V196" s="315">
        <v>0</v>
      </c>
      <c r="W196" s="315">
        <v>0</v>
      </c>
      <c r="X196" s="315">
        <v>0</v>
      </c>
      <c r="Y196" s="315">
        <v>0</v>
      </c>
      <c r="Z196" s="315">
        <v>0</v>
      </c>
      <c r="AA196" s="315">
        <v>0</v>
      </c>
      <c r="AB196" s="315">
        <v>0</v>
      </c>
      <c r="AC196" s="315">
        <v>0</v>
      </c>
      <c r="AD196" s="315">
        <v>0</v>
      </c>
      <c r="AE196" s="315">
        <v>0</v>
      </c>
      <c r="AF196" s="315">
        <v>0</v>
      </c>
      <c r="AG196" s="315">
        <v>0</v>
      </c>
      <c r="AH196" s="315">
        <v>0</v>
      </c>
      <c r="AI196" s="315">
        <v>0</v>
      </c>
      <c r="AJ196" s="315">
        <v>0</v>
      </c>
      <c r="AK196" s="315">
        <v>0</v>
      </c>
      <c r="AL196" s="315">
        <v>0</v>
      </c>
      <c r="AM196" s="315">
        <v>0</v>
      </c>
      <c r="AN196" s="315">
        <v>0</v>
      </c>
      <c r="AO196" s="315">
        <v>0</v>
      </c>
      <c r="AP196" s="315">
        <v>0</v>
      </c>
      <c r="AQ196" s="315">
        <v>0</v>
      </c>
      <c r="AR196" s="315">
        <v>0</v>
      </c>
      <c r="AS196" s="315">
        <v>0</v>
      </c>
      <c r="AT196" s="315">
        <v>0</v>
      </c>
      <c r="AU196" s="315">
        <v>0</v>
      </c>
      <c r="AV196" s="315">
        <v>0</v>
      </c>
      <c r="AW196" s="315">
        <v>0</v>
      </c>
      <c r="AX196" s="315">
        <v>0</v>
      </c>
      <c r="AY196" s="315">
        <v>0</v>
      </c>
      <c r="AZ196" s="315">
        <v>0</v>
      </c>
      <c r="BA196" s="315">
        <v>0</v>
      </c>
      <c r="BB196" s="315">
        <v>0</v>
      </c>
      <c r="BC196" s="315">
        <v>0</v>
      </c>
      <c r="BD196" s="315">
        <v>0</v>
      </c>
      <c r="BE196" s="315">
        <v>0</v>
      </c>
      <c r="BF196" s="315">
        <v>0</v>
      </c>
      <c r="BG196" s="315">
        <v>0</v>
      </c>
      <c r="BH196" s="315">
        <v>0</v>
      </c>
      <c r="BI196" s="315">
        <v>0</v>
      </c>
      <c r="BJ196" s="315">
        <v>0</v>
      </c>
      <c r="BK196" s="315">
        <v>0</v>
      </c>
      <c r="BL196" s="315">
        <v>0</v>
      </c>
      <c r="BM196" s="315">
        <v>0</v>
      </c>
      <c r="BN196" s="315">
        <v>0</v>
      </c>
      <c r="BO196" s="315">
        <v>0</v>
      </c>
      <c r="BU196" s="315">
        <v>0</v>
      </c>
      <c r="BV196" s="315">
        <v>0</v>
      </c>
    </row>
    <row r="197" spans="12:74" hidden="1" x14ac:dyDescent="0.2">
      <c r="L197" s="315">
        <v>0</v>
      </c>
      <c r="M197" s="315">
        <v>0</v>
      </c>
      <c r="N197" s="315">
        <v>0</v>
      </c>
      <c r="O197" s="315">
        <v>0</v>
      </c>
      <c r="P197" s="315">
        <v>0</v>
      </c>
      <c r="Q197" s="315">
        <v>-1940</v>
      </c>
      <c r="R197" s="315">
        <v>0</v>
      </c>
      <c r="S197" s="315">
        <v>0</v>
      </c>
      <c r="T197" s="315">
        <v>0</v>
      </c>
      <c r="U197" s="315">
        <v>0</v>
      </c>
      <c r="V197" s="315">
        <v>0</v>
      </c>
      <c r="W197" s="315">
        <v>0</v>
      </c>
      <c r="X197" s="315">
        <v>0</v>
      </c>
      <c r="Y197" s="315">
        <v>0</v>
      </c>
      <c r="Z197" s="315">
        <v>0</v>
      </c>
      <c r="AA197" s="315">
        <v>0</v>
      </c>
      <c r="AB197" s="315">
        <v>0</v>
      </c>
      <c r="AC197" s="315">
        <v>0</v>
      </c>
      <c r="AD197" s="315">
        <v>0</v>
      </c>
      <c r="AE197" s="315">
        <v>0</v>
      </c>
      <c r="AF197" s="315">
        <v>0</v>
      </c>
      <c r="AG197" s="315">
        <v>0</v>
      </c>
      <c r="AH197" s="315">
        <v>0</v>
      </c>
      <c r="AI197" s="315">
        <v>0</v>
      </c>
      <c r="AJ197" s="315">
        <v>0</v>
      </c>
      <c r="AK197" s="315">
        <v>0</v>
      </c>
      <c r="AL197" s="315">
        <v>0</v>
      </c>
      <c r="AM197" s="315">
        <v>0</v>
      </c>
      <c r="AN197" s="315">
        <v>0</v>
      </c>
      <c r="AO197" s="315">
        <v>0</v>
      </c>
      <c r="AP197" s="315">
        <v>0</v>
      </c>
      <c r="AQ197" s="315">
        <v>0</v>
      </c>
      <c r="AR197" s="315">
        <v>0</v>
      </c>
      <c r="AS197" s="315">
        <v>0</v>
      </c>
      <c r="AT197" s="315">
        <v>0</v>
      </c>
      <c r="AU197" s="315">
        <v>0</v>
      </c>
      <c r="AV197" s="315">
        <v>0</v>
      </c>
      <c r="AW197" s="315">
        <v>0</v>
      </c>
      <c r="AX197" s="315">
        <v>0</v>
      </c>
      <c r="AY197" s="315">
        <v>0</v>
      </c>
      <c r="AZ197" s="315">
        <v>0</v>
      </c>
      <c r="BA197" s="315">
        <v>0</v>
      </c>
      <c r="BB197" s="315">
        <v>0</v>
      </c>
      <c r="BC197" s="315">
        <v>0</v>
      </c>
      <c r="BD197" s="315">
        <v>0</v>
      </c>
      <c r="BE197" s="315">
        <v>0</v>
      </c>
      <c r="BF197" s="315">
        <v>0</v>
      </c>
      <c r="BG197" s="315">
        <v>0</v>
      </c>
      <c r="BH197" s="315">
        <v>0</v>
      </c>
      <c r="BI197" s="315">
        <v>0</v>
      </c>
      <c r="BJ197" s="315">
        <v>0</v>
      </c>
      <c r="BK197" s="315">
        <v>0</v>
      </c>
      <c r="BL197" s="315">
        <v>0</v>
      </c>
      <c r="BM197" s="315">
        <v>0</v>
      </c>
      <c r="BN197" s="315">
        <v>0</v>
      </c>
      <c r="BO197" s="315">
        <v>0</v>
      </c>
      <c r="BU197" s="315">
        <v>0</v>
      </c>
      <c r="BV197" s="315">
        <v>0</v>
      </c>
    </row>
    <row r="198" spans="12:74" hidden="1" x14ac:dyDescent="0.2">
      <c r="L198" s="315">
        <v>0</v>
      </c>
      <c r="M198" s="315">
        <v>0</v>
      </c>
      <c r="N198" s="315">
        <v>0</v>
      </c>
      <c r="O198" s="315">
        <v>0</v>
      </c>
      <c r="P198" s="315">
        <v>0</v>
      </c>
      <c r="Q198" s="315">
        <v>-4114</v>
      </c>
      <c r="R198" s="315">
        <v>0</v>
      </c>
      <c r="S198" s="315">
        <v>0</v>
      </c>
      <c r="T198" s="315">
        <v>0</v>
      </c>
      <c r="U198" s="315">
        <v>0</v>
      </c>
      <c r="V198" s="315">
        <v>0</v>
      </c>
      <c r="W198" s="315">
        <v>0</v>
      </c>
      <c r="X198" s="315">
        <v>0</v>
      </c>
      <c r="Y198" s="315">
        <v>0</v>
      </c>
      <c r="Z198" s="315">
        <v>0</v>
      </c>
      <c r="AA198" s="315">
        <v>0</v>
      </c>
      <c r="AB198" s="315">
        <v>0</v>
      </c>
      <c r="AC198" s="315">
        <v>0</v>
      </c>
      <c r="AD198" s="315">
        <v>0</v>
      </c>
      <c r="AE198" s="315">
        <v>0</v>
      </c>
      <c r="AF198" s="315">
        <v>0</v>
      </c>
      <c r="AG198" s="315">
        <v>0</v>
      </c>
      <c r="AH198" s="315">
        <v>0</v>
      </c>
      <c r="AI198" s="315">
        <v>0</v>
      </c>
      <c r="AJ198" s="315">
        <v>0</v>
      </c>
      <c r="AK198" s="315">
        <v>0</v>
      </c>
      <c r="AL198" s="315">
        <v>0</v>
      </c>
      <c r="AM198" s="315">
        <v>0</v>
      </c>
      <c r="AN198" s="315">
        <v>0</v>
      </c>
      <c r="AO198" s="315">
        <v>0</v>
      </c>
      <c r="AP198" s="315">
        <v>0</v>
      </c>
      <c r="AQ198" s="315">
        <v>0</v>
      </c>
      <c r="AR198" s="315">
        <v>0</v>
      </c>
      <c r="AS198" s="315">
        <v>0</v>
      </c>
      <c r="AT198" s="315">
        <v>0</v>
      </c>
      <c r="AU198" s="315">
        <v>0</v>
      </c>
      <c r="AV198" s="315">
        <v>0</v>
      </c>
      <c r="AW198" s="315">
        <v>0</v>
      </c>
      <c r="AX198" s="315">
        <v>0</v>
      </c>
      <c r="AY198" s="315">
        <v>0</v>
      </c>
      <c r="AZ198" s="315">
        <v>0</v>
      </c>
      <c r="BA198" s="315">
        <v>0</v>
      </c>
      <c r="BB198" s="315">
        <v>0</v>
      </c>
      <c r="BC198" s="315">
        <v>0</v>
      </c>
      <c r="BD198" s="315">
        <v>0</v>
      </c>
      <c r="BE198" s="315">
        <v>0</v>
      </c>
      <c r="BF198" s="315">
        <v>0</v>
      </c>
      <c r="BG198" s="315">
        <v>0</v>
      </c>
      <c r="BH198" s="315">
        <v>0</v>
      </c>
      <c r="BI198" s="315">
        <v>0</v>
      </c>
      <c r="BJ198" s="315">
        <v>0</v>
      </c>
      <c r="BK198" s="315">
        <v>0</v>
      </c>
      <c r="BL198" s="315">
        <v>0</v>
      </c>
      <c r="BM198" s="315">
        <v>0</v>
      </c>
      <c r="BN198" s="315">
        <v>0</v>
      </c>
      <c r="BO198" s="315">
        <v>0</v>
      </c>
      <c r="BU198" s="315">
        <v>0</v>
      </c>
      <c r="BV198" s="315">
        <v>0</v>
      </c>
    </row>
    <row r="199" spans="12:74" hidden="1" x14ac:dyDescent="0.2">
      <c r="L199" s="315">
        <v>0</v>
      </c>
      <c r="M199" s="315">
        <v>0</v>
      </c>
      <c r="N199" s="315">
        <v>0</v>
      </c>
      <c r="O199" s="315">
        <v>0</v>
      </c>
      <c r="P199" s="315">
        <v>0</v>
      </c>
      <c r="Q199" s="315">
        <v>0</v>
      </c>
      <c r="R199" s="315">
        <v>0</v>
      </c>
      <c r="S199" s="315">
        <v>0</v>
      </c>
      <c r="T199" s="315">
        <v>0</v>
      </c>
      <c r="U199" s="315">
        <v>0</v>
      </c>
      <c r="V199" s="315">
        <v>0</v>
      </c>
      <c r="W199" s="315">
        <v>0</v>
      </c>
      <c r="X199" s="315">
        <v>0</v>
      </c>
      <c r="Y199" s="315">
        <v>0</v>
      </c>
      <c r="Z199" s="315">
        <v>0</v>
      </c>
      <c r="AA199" s="315">
        <v>0</v>
      </c>
      <c r="AB199" s="315">
        <v>0</v>
      </c>
      <c r="AC199" s="315">
        <v>0</v>
      </c>
      <c r="AD199" s="315">
        <v>0</v>
      </c>
      <c r="AE199" s="315">
        <v>0</v>
      </c>
      <c r="AF199" s="315">
        <v>0</v>
      </c>
      <c r="AG199" s="315">
        <v>0</v>
      </c>
      <c r="AH199" s="315">
        <v>0</v>
      </c>
      <c r="AI199" s="315">
        <v>0</v>
      </c>
      <c r="AJ199" s="315">
        <v>0</v>
      </c>
      <c r="AK199" s="315">
        <v>0</v>
      </c>
      <c r="AL199" s="315">
        <v>0</v>
      </c>
      <c r="AM199" s="315">
        <v>0</v>
      </c>
      <c r="AN199" s="315">
        <v>0</v>
      </c>
      <c r="AO199" s="315">
        <v>0</v>
      </c>
      <c r="AP199" s="315">
        <v>0</v>
      </c>
      <c r="AQ199" s="315">
        <v>0</v>
      </c>
      <c r="AR199" s="315">
        <v>0</v>
      </c>
      <c r="AS199" s="315">
        <v>0</v>
      </c>
      <c r="AT199" s="315">
        <v>0</v>
      </c>
      <c r="AU199" s="315">
        <v>0</v>
      </c>
      <c r="AV199" s="315">
        <v>0</v>
      </c>
      <c r="AW199" s="315">
        <v>0</v>
      </c>
      <c r="AX199" s="315">
        <v>0</v>
      </c>
      <c r="AY199" s="315">
        <v>0</v>
      </c>
      <c r="AZ199" s="315">
        <v>0</v>
      </c>
      <c r="BA199" s="315">
        <v>0</v>
      </c>
      <c r="BB199" s="315">
        <v>0</v>
      </c>
      <c r="BC199" s="315">
        <v>0</v>
      </c>
      <c r="BD199" s="315">
        <v>0</v>
      </c>
      <c r="BE199" s="315">
        <v>0</v>
      </c>
      <c r="BF199" s="315">
        <v>0</v>
      </c>
      <c r="BG199" s="315">
        <v>0</v>
      </c>
      <c r="BH199" s="315">
        <v>0</v>
      </c>
      <c r="BI199" s="315">
        <v>0</v>
      </c>
      <c r="BJ199" s="315">
        <v>0</v>
      </c>
      <c r="BK199" s="315">
        <v>0</v>
      </c>
      <c r="BL199" s="315">
        <v>0</v>
      </c>
      <c r="BM199" s="315">
        <v>0</v>
      </c>
      <c r="BN199" s="315">
        <v>0</v>
      </c>
      <c r="BO199" s="315">
        <v>0</v>
      </c>
      <c r="BU199" s="315">
        <v>0</v>
      </c>
      <c r="BV199" s="315">
        <v>0</v>
      </c>
    </row>
    <row r="200" spans="12:74" hidden="1" x14ac:dyDescent="0.2">
      <c r="L200" s="315">
        <v>0</v>
      </c>
      <c r="M200" s="315">
        <v>0</v>
      </c>
      <c r="N200" s="315">
        <v>0</v>
      </c>
      <c r="O200" s="315">
        <v>0</v>
      </c>
      <c r="P200" s="315">
        <v>0</v>
      </c>
      <c r="Q200" s="315">
        <v>0</v>
      </c>
      <c r="R200" s="315">
        <v>0</v>
      </c>
      <c r="S200" s="315">
        <v>0</v>
      </c>
      <c r="T200" s="315">
        <v>0</v>
      </c>
      <c r="U200" s="315">
        <v>0</v>
      </c>
      <c r="V200" s="315">
        <v>0</v>
      </c>
      <c r="W200" s="315">
        <v>0</v>
      </c>
      <c r="X200" s="315">
        <v>0</v>
      </c>
      <c r="Y200" s="315">
        <v>0</v>
      </c>
      <c r="Z200" s="315">
        <v>0</v>
      </c>
      <c r="AA200" s="315">
        <v>0</v>
      </c>
      <c r="AB200" s="315">
        <v>0</v>
      </c>
      <c r="AC200" s="315">
        <v>0</v>
      </c>
      <c r="AD200" s="315">
        <v>0</v>
      </c>
      <c r="AE200" s="315">
        <v>0</v>
      </c>
      <c r="AF200" s="315">
        <v>0</v>
      </c>
      <c r="AG200" s="315">
        <v>0</v>
      </c>
      <c r="AH200" s="315">
        <v>0</v>
      </c>
      <c r="AI200" s="315">
        <v>0</v>
      </c>
      <c r="AJ200" s="315">
        <v>0</v>
      </c>
      <c r="AK200" s="315">
        <v>-3912780</v>
      </c>
      <c r="AL200" s="315">
        <v>0</v>
      </c>
      <c r="AM200" s="315">
        <v>0</v>
      </c>
      <c r="AN200" s="315">
        <v>0</v>
      </c>
      <c r="AO200" s="315">
        <v>0</v>
      </c>
      <c r="AP200" s="315">
        <v>0</v>
      </c>
      <c r="AQ200" s="315">
        <v>0</v>
      </c>
      <c r="AR200" s="315">
        <v>0</v>
      </c>
      <c r="AS200" s="315">
        <v>0</v>
      </c>
      <c r="AT200" s="315">
        <v>0</v>
      </c>
      <c r="AU200" s="315">
        <v>0</v>
      </c>
      <c r="AV200" s="315">
        <v>0</v>
      </c>
      <c r="AW200" s="315">
        <v>0</v>
      </c>
      <c r="AX200" s="315">
        <v>0</v>
      </c>
      <c r="AY200" s="315">
        <v>0</v>
      </c>
      <c r="AZ200" s="315">
        <v>0</v>
      </c>
      <c r="BA200" s="315">
        <v>0</v>
      </c>
      <c r="BB200" s="315">
        <v>0</v>
      </c>
      <c r="BC200" s="315">
        <v>0</v>
      </c>
      <c r="BD200" s="315">
        <v>0</v>
      </c>
      <c r="BE200" s="315">
        <v>0</v>
      </c>
      <c r="BF200" s="315">
        <v>0</v>
      </c>
      <c r="BG200" s="315">
        <v>0</v>
      </c>
      <c r="BH200" s="315">
        <v>0</v>
      </c>
      <c r="BI200" s="315">
        <v>0</v>
      </c>
      <c r="BJ200" s="315">
        <v>0</v>
      </c>
      <c r="BK200" s="315">
        <v>0</v>
      </c>
      <c r="BL200" s="315">
        <v>0</v>
      </c>
      <c r="BM200" s="315">
        <v>0</v>
      </c>
      <c r="BN200" s="315">
        <v>0</v>
      </c>
      <c r="BO200" s="315">
        <v>0</v>
      </c>
      <c r="BU200" s="315">
        <v>0</v>
      </c>
      <c r="BV200" s="315">
        <v>0</v>
      </c>
    </row>
    <row r="201" spans="12:74" hidden="1" x14ac:dyDescent="0.2">
      <c r="L201" s="315">
        <v>0</v>
      </c>
      <c r="M201" s="315">
        <v>0</v>
      </c>
      <c r="N201" s="315">
        <v>0</v>
      </c>
      <c r="O201" s="315">
        <v>0</v>
      </c>
      <c r="P201" s="315">
        <v>0</v>
      </c>
      <c r="Q201" s="315">
        <v>0</v>
      </c>
      <c r="R201" s="315">
        <v>0</v>
      </c>
      <c r="S201" s="315">
        <v>0</v>
      </c>
      <c r="T201" s="315">
        <v>0</v>
      </c>
      <c r="U201" s="315">
        <v>0</v>
      </c>
      <c r="V201" s="315">
        <v>0</v>
      </c>
      <c r="W201" s="315">
        <v>0</v>
      </c>
      <c r="X201" s="315">
        <v>0</v>
      </c>
      <c r="Y201" s="315">
        <v>0</v>
      </c>
      <c r="Z201" s="315">
        <v>0</v>
      </c>
      <c r="AA201" s="315">
        <v>0</v>
      </c>
      <c r="AB201" s="315">
        <v>0</v>
      </c>
      <c r="AC201" s="315">
        <v>0</v>
      </c>
      <c r="AD201" s="315">
        <v>0</v>
      </c>
      <c r="AE201" s="315">
        <v>0</v>
      </c>
      <c r="AF201" s="315">
        <v>0</v>
      </c>
      <c r="AG201" s="315">
        <v>0</v>
      </c>
      <c r="AH201" s="315">
        <v>0</v>
      </c>
      <c r="AI201" s="315">
        <v>0</v>
      </c>
      <c r="AJ201" s="315">
        <v>0</v>
      </c>
      <c r="AK201" s="315">
        <v>-1993488</v>
      </c>
      <c r="AL201" s="315">
        <v>0</v>
      </c>
      <c r="AM201" s="315">
        <v>0</v>
      </c>
      <c r="AN201" s="315">
        <v>0</v>
      </c>
      <c r="AO201" s="315">
        <v>0</v>
      </c>
      <c r="AP201" s="315">
        <v>0</v>
      </c>
      <c r="AQ201" s="315">
        <v>0</v>
      </c>
      <c r="AR201" s="315">
        <v>0</v>
      </c>
      <c r="AS201" s="315">
        <v>0</v>
      </c>
      <c r="AT201" s="315">
        <v>0</v>
      </c>
      <c r="AU201" s="315">
        <v>0</v>
      </c>
      <c r="AV201" s="315">
        <v>0</v>
      </c>
      <c r="AW201" s="315">
        <v>0</v>
      </c>
      <c r="AX201" s="315">
        <v>0</v>
      </c>
      <c r="AY201" s="315">
        <v>0</v>
      </c>
      <c r="AZ201" s="315">
        <v>0</v>
      </c>
      <c r="BA201" s="315">
        <v>0</v>
      </c>
      <c r="BB201" s="315">
        <v>0</v>
      </c>
      <c r="BC201" s="315">
        <v>0</v>
      </c>
      <c r="BD201" s="315">
        <v>0</v>
      </c>
      <c r="BE201" s="315">
        <v>0</v>
      </c>
      <c r="BF201" s="315">
        <v>0</v>
      </c>
      <c r="BG201" s="315">
        <v>0</v>
      </c>
      <c r="BH201" s="315">
        <v>0</v>
      </c>
      <c r="BI201" s="315">
        <v>0</v>
      </c>
      <c r="BJ201" s="315">
        <v>0</v>
      </c>
      <c r="BK201" s="315">
        <v>0</v>
      </c>
      <c r="BL201" s="315">
        <v>0</v>
      </c>
      <c r="BM201" s="315">
        <v>0</v>
      </c>
      <c r="BN201" s="315">
        <v>0</v>
      </c>
      <c r="BO201" s="315">
        <v>0</v>
      </c>
      <c r="BU201" s="315">
        <v>0</v>
      </c>
      <c r="BV201" s="315">
        <v>0</v>
      </c>
    </row>
    <row r="202" spans="12:74" hidden="1" x14ac:dyDescent="0.2">
      <c r="L202" s="315">
        <v>0</v>
      </c>
      <c r="M202" s="315">
        <v>0</v>
      </c>
      <c r="N202" s="315">
        <v>0</v>
      </c>
      <c r="O202" s="315">
        <v>0</v>
      </c>
      <c r="P202" s="315">
        <v>0</v>
      </c>
      <c r="Q202" s="315">
        <v>0</v>
      </c>
      <c r="R202" s="315">
        <v>0</v>
      </c>
      <c r="S202" s="315">
        <v>0</v>
      </c>
      <c r="T202" s="315">
        <v>0</v>
      </c>
      <c r="U202" s="315">
        <v>0</v>
      </c>
      <c r="V202" s="315">
        <v>0</v>
      </c>
      <c r="W202" s="315">
        <v>0</v>
      </c>
      <c r="X202" s="315">
        <v>0</v>
      </c>
      <c r="Y202" s="315">
        <v>0</v>
      </c>
      <c r="Z202" s="315">
        <v>0</v>
      </c>
      <c r="AA202" s="315">
        <v>0</v>
      </c>
      <c r="AB202" s="315">
        <v>0</v>
      </c>
      <c r="AC202" s="315">
        <v>0</v>
      </c>
      <c r="AD202" s="315">
        <v>0</v>
      </c>
      <c r="AE202" s="315">
        <v>0</v>
      </c>
      <c r="AF202" s="315">
        <v>0</v>
      </c>
      <c r="AG202" s="315">
        <v>0</v>
      </c>
      <c r="AH202" s="315">
        <v>0</v>
      </c>
      <c r="AI202" s="315">
        <v>0</v>
      </c>
      <c r="AJ202" s="315">
        <v>0</v>
      </c>
      <c r="AK202" s="315">
        <v>-1919292</v>
      </c>
      <c r="AL202" s="315">
        <v>0</v>
      </c>
      <c r="AM202" s="315">
        <v>0</v>
      </c>
      <c r="AN202" s="315">
        <v>0</v>
      </c>
      <c r="AO202" s="315">
        <v>0</v>
      </c>
      <c r="AP202" s="315">
        <v>0</v>
      </c>
      <c r="AQ202" s="315">
        <v>0</v>
      </c>
      <c r="AR202" s="315">
        <v>0</v>
      </c>
      <c r="AS202" s="315">
        <v>0</v>
      </c>
      <c r="AT202" s="315">
        <v>0</v>
      </c>
      <c r="AU202" s="315">
        <v>0</v>
      </c>
      <c r="AV202" s="315">
        <v>0</v>
      </c>
      <c r="AW202" s="315">
        <v>0</v>
      </c>
      <c r="AX202" s="315">
        <v>0</v>
      </c>
      <c r="AY202" s="315">
        <v>0</v>
      </c>
      <c r="AZ202" s="315">
        <v>0</v>
      </c>
      <c r="BA202" s="315">
        <v>0</v>
      </c>
      <c r="BB202" s="315">
        <v>0</v>
      </c>
      <c r="BC202" s="315">
        <v>0</v>
      </c>
      <c r="BD202" s="315">
        <v>0</v>
      </c>
      <c r="BE202" s="315">
        <v>0</v>
      </c>
      <c r="BF202" s="315">
        <v>0</v>
      </c>
      <c r="BG202" s="315">
        <v>0</v>
      </c>
      <c r="BH202" s="315">
        <v>0</v>
      </c>
      <c r="BI202" s="315">
        <v>0</v>
      </c>
      <c r="BJ202" s="315">
        <v>0</v>
      </c>
      <c r="BK202" s="315">
        <v>0</v>
      </c>
      <c r="BL202" s="315">
        <v>0</v>
      </c>
      <c r="BM202" s="315">
        <v>0</v>
      </c>
      <c r="BN202" s="315">
        <v>0</v>
      </c>
      <c r="BO202" s="315">
        <v>0</v>
      </c>
      <c r="BU202" s="315">
        <v>0</v>
      </c>
      <c r="BV202" s="315">
        <v>0</v>
      </c>
    </row>
    <row r="203" spans="12:74" hidden="1" x14ac:dyDescent="0.2">
      <c r="L203" s="315">
        <v>0</v>
      </c>
      <c r="M203" s="315">
        <v>0</v>
      </c>
      <c r="N203" s="315">
        <v>0</v>
      </c>
      <c r="O203" s="315">
        <v>0</v>
      </c>
      <c r="P203" s="315">
        <v>0</v>
      </c>
      <c r="Q203" s="315">
        <v>0</v>
      </c>
      <c r="R203" s="315">
        <v>0</v>
      </c>
      <c r="S203" s="315">
        <v>0</v>
      </c>
      <c r="T203" s="315">
        <v>0</v>
      </c>
      <c r="U203" s="315">
        <v>0</v>
      </c>
      <c r="V203" s="315">
        <v>0</v>
      </c>
      <c r="W203" s="315">
        <v>0</v>
      </c>
      <c r="X203" s="315">
        <v>0</v>
      </c>
      <c r="Y203" s="315">
        <v>0</v>
      </c>
      <c r="Z203" s="315">
        <v>0</v>
      </c>
      <c r="AA203" s="315">
        <v>0</v>
      </c>
      <c r="AB203" s="315">
        <v>0</v>
      </c>
      <c r="AC203" s="315">
        <v>0</v>
      </c>
      <c r="AD203" s="315">
        <v>0</v>
      </c>
      <c r="AE203" s="315">
        <v>0</v>
      </c>
      <c r="AF203" s="315">
        <v>0</v>
      </c>
      <c r="AG203" s="315">
        <v>0</v>
      </c>
      <c r="AH203" s="315">
        <v>0</v>
      </c>
      <c r="AI203" s="315">
        <v>0</v>
      </c>
      <c r="AJ203" s="315">
        <v>0</v>
      </c>
      <c r="AK203" s="315">
        <v>0</v>
      </c>
      <c r="AL203" s="315">
        <v>0</v>
      </c>
      <c r="AM203" s="315">
        <v>0</v>
      </c>
      <c r="AN203" s="315">
        <v>0</v>
      </c>
      <c r="AO203" s="315">
        <v>0</v>
      </c>
      <c r="AP203" s="315">
        <v>0</v>
      </c>
      <c r="AQ203" s="315">
        <v>0</v>
      </c>
      <c r="AR203" s="315">
        <v>0</v>
      </c>
      <c r="AS203" s="315">
        <v>0</v>
      </c>
      <c r="AT203" s="315">
        <v>0</v>
      </c>
      <c r="AU203" s="315">
        <v>0</v>
      </c>
      <c r="AV203" s="315">
        <v>0</v>
      </c>
      <c r="AW203" s="315">
        <v>0</v>
      </c>
      <c r="AX203" s="315">
        <v>0</v>
      </c>
      <c r="AY203" s="315">
        <v>0</v>
      </c>
      <c r="AZ203" s="315">
        <v>0</v>
      </c>
      <c r="BA203" s="315">
        <v>0</v>
      </c>
      <c r="BB203" s="315">
        <v>0</v>
      </c>
      <c r="BC203" s="315">
        <v>0</v>
      </c>
      <c r="BD203" s="315">
        <v>0</v>
      </c>
      <c r="BE203" s="315">
        <v>0</v>
      </c>
      <c r="BF203" s="315">
        <v>0</v>
      </c>
      <c r="BG203" s="315">
        <v>0</v>
      </c>
      <c r="BH203" s="315">
        <v>0</v>
      </c>
      <c r="BI203" s="315">
        <v>0</v>
      </c>
      <c r="BJ203" s="315">
        <v>0</v>
      </c>
      <c r="BK203" s="315">
        <v>0</v>
      </c>
      <c r="BL203" s="315">
        <v>0</v>
      </c>
      <c r="BM203" s="315">
        <v>0</v>
      </c>
      <c r="BN203" s="315">
        <v>0</v>
      </c>
      <c r="BO203" s="315">
        <v>0</v>
      </c>
      <c r="BU203" s="315">
        <v>0</v>
      </c>
      <c r="BV203" s="315">
        <v>0</v>
      </c>
    </row>
    <row r="204" spans="12:74" hidden="1" x14ac:dyDescent="0.2">
      <c r="L204" s="315">
        <v>0</v>
      </c>
      <c r="M204" s="315">
        <v>0</v>
      </c>
      <c r="N204" s="315">
        <v>0</v>
      </c>
      <c r="O204" s="315">
        <v>0</v>
      </c>
      <c r="P204" s="315">
        <v>0</v>
      </c>
      <c r="Q204" s="315">
        <v>15761600</v>
      </c>
      <c r="R204" s="315">
        <v>0</v>
      </c>
      <c r="S204" s="315">
        <v>0</v>
      </c>
      <c r="T204" s="315">
        <v>0</v>
      </c>
      <c r="U204" s="315">
        <v>0</v>
      </c>
      <c r="V204" s="315">
        <v>0</v>
      </c>
      <c r="W204" s="315">
        <v>0</v>
      </c>
      <c r="X204" s="315">
        <v>0</v>
      </c>
      <c r="Y204" s="315">
        <v>0</v>
      </c>
      <c r="Z204" s="315">
        <v>0</v>
      </c>
      <c r="AA204" s="315">
        <v>0</v>
      </c>
      <c r="AB204" s="315">
        <v>0</v>
      </c>
      <c r="AC204" s="315">
        <v>0</v>
      </c>
      <c r="AD204" s="315">
        <v>0</v>
      </c>
      <c r="AE204" s="315">
        <v>0</v>
      </c>
      <c r="AF204" s="315">
        <v>0</v>
      </c>
      <c r="AG204" s="315">
        <v>0</v>
      </c>
      <c r="AH204" s="315">
        <v>0</v>
      </c>
      <c r="AI204" s="315">
        <v>0</v>
      </c>
      <c r="AJ204" s="315">
        <v>0</v>
      </c>
      <c r="AK204" s="315">
        <v>0</v>
      </c>
      <c r="AL204" s="315">
        <v>0</v>
      </c>
      <c r="AM204" s="315">
        <v>0</v>
      </c>
      <c r="AN204" s="315">
        <v>0</v>
      </c>
      <c r="AO204" s="315">
        <v>0</v>
      </c>
      <c r="AP204" s="315">
        <v>0</v>
      </c>
      <c r="AQ204" s="315">
        <v>0</v>
      </c>
      <c r="AR204" s="315">
        <v>0</v>
      </c>
      <c r="AS204" s="315">
        <v>0</v>
      </c>
      <c r="AT204" s="315">
        <v>0</v>
      </c>
      <c r="AU204" s="315">
        <v>0</v>
      </c>
      <c r="AV204" s="315">
        <v>0</v>
      </c>
      <c r="AW204" s="315">
        <v>0</v>
      </c>
      <c r="AX204" s="315">
        <v>0</v>
      </c>
      <c r="AY204" s="315">
        <v>0</v>
      </c>
      <c r="AZ204" s="315">
        <v>0</v>
      </c>
      <c r="BA204" s="315">
        <v>0</v>
      </c>
      <c r="BB204" s="315">
        <v>0</v>
      </c>
      <c r="BC204" s="315">
        <v>0</v>
      </c>
      <c r="BD204" s="315">
        <v>0</v>
      </c>
      <c r="BE204" s="315">
        <v>0</v>
      </c>
      <c r="BF204" s="315">
        <v>0</v>
      </c>
      <c r="BG204" s="315">
        <v>0</v>
      </c>
      <c r="BH204" s="315">
        <v>0</v>
      </c>
      <c r="BI204" s="315">
        <v>0</v>
      </c>
      <c r="BJ204" s="315">
        <v>0</v>
      </c>
      <c r="BK204" s="315">
        <v>0</v>
      </c>
      <c r="BL204" s="315">
        <v>0</v>
      </c>
      <c r="BM204" s="315">
        <v>0</v>
      </c>
      <c r="BN204" s="315">
        <v>0</v>
      </c>
      <c r="BO204" s="315">
        <v>0</v>
      </c>
      <c r="BU204" s="315">
        <v>0</v>
      </c>
      <c r="BV204" s="315">
        <v>0</v>
      </c>
    </row>
    <row r="205" spans="12:74" hidden="1" x14ac:dyDescent="0.2">
      <c r="L205" s="315">
        <v>0</v>
      </c>
      <c r="M205" s="315">
        <v>0</v>
      </c>
      <c r="N205" s="315">
        <v>0</v>
      </c>
      <c r="O205" s="315">
        <v>0</v>
      </c>
      <c r="P205" s="315">
        <v>0</v>
      </c>
      <c r="Q205" s="315">
        <v>7115000</v>
      </c>
      <c r="R205" s="315">
        <v>0</v>
      </c>
      <c r="S205" s="315">
        <v>0</v>
      </c>
      <c r="T205" s="315">
        <v>0</v>
      </c>
      <c r="U205" s="315">
        <v>0</v>
      </c>
      <c r="V205" s="315">
        <v>0</v>
      </c>
      <c r="W205" s="315">
        <v>0</v>
      </c>
      <c r="X205" s="315">
        <v>0</v>
      </c>
      <c r="Y205" s="315">
        <v>0</v>
      </c>
      <c r="Z205" s="315">
        <v>0</v>
      </c>
      <c r="AA205" s="315">
        <v>0</v>
      </c>
      <c r="AB205" s="315">
        <v>0</v>
      </c>
      <c r="AC205" s="315">
        <v>0</v>
      </c>
      <c r="AD205" s="315">
        <v>0</v>
      </c>
      <c r="AE205" s="315">
        <v>0</v>
      </c>
      <c r="AF205" s="315">
        <v>0</v>
      </c>
      <c r="AG205" s="315">
        <v>0</v>
      </c>
      <c r="AH205" s="315">
        <v>0</v>
      </c>
      <c r="AI205" s="315">
        <v>0</v>
      </c>
      <c r="AJ205" s="315">
        <v>0</v>
      </c>
      <c r="AK205" s="315">
        <v>0</v>
      </c>
      <c r="AL205" s="315">
        <v>0</v>
      </c>
      <c r="AM205" s="315">
        <v>0</v>
      </c>
      <c r="AN205" s="315">
        <v>0</v>
      </c>
      <c r="AO205" s="315">
        <v>0</v>
      </c>
      <c r="AP205" s="315">
        <v>0</v>
      </c>
      <c r="AQ205" s="315">
        <v>0</v>
      </c>
      <c r="AR205" s="315">
        <v>0</v>
      </c>
      <c r="AS205" s="315">
        <v>0</v>
      </c>
      <c r="AT205" s="315">
        <v>0</v>
      </c>
      <c r="AU205" s="315">
        <v>0</v>
      </c>
      <c r="AV205" s="315">
        <v>0</v>
      </c>
      <c r="AW205" s="315">
        <v>0</v>
      </c>
      <c r="AX205" s="315">
        <v>0</v>
      </c>
      <c r="AY205" s="315">
        <v>0</v>
      </c>
      <c r="AZ205" s="315">
        <v>0</v>
      </c>
      <c r="BA205" s="315">
        <v>0</v>
      </c>
      <c r="BB205" s="315">
        <v>0</v>
      </c>
      <c r="BC205" s="315">
        <v>0</v>
      </c>
      <c r="BD205" s="315">
        <v>0</v>
      </c>
      <c r="BE205" s="315">
        <v>0</v>
      </c>
      <c r="BF205" s="315">
        <v>0</v>
      </c>
      <c r="BG205" s="315">
        <v>0</v>
      </c>
      <c r="BH205" s="315">
        <v>0</v>
      </c>
      <c r="BI205" s="315">
        <v>0</v>
      </c>
      <c r="BJ205" s="315">
        <v>0</v>
      </c>
      <c r="BK205" s="315">
        <v>0</v>
      </c>
      <c r="BL205" s="315">
        <v>0</v>
      </c>
      <c r="BM205" s="315">
        <v>0</v>
      </c>
      <c r="BN205" s="315">
        <v>0</v>
      </c>
      <c r="BO205" s="315">
        <v>0</v>
      </c>
      <c r="BU205" s="315">
        <v>0</v>
      </c>
      <c r="BV205" s="315">
        <v>0</v>
      </c>
    </row>
    <row r="206" spans="12:74" hidden="1" x14ac:dyDescent="0.2">
      <c r="L206" s="315">
        <v>0</v>
      </c>
      <c r="M206" s="315">
        <v>0</v>
      </c>
      <c r="N206" s="315">
        <v>0</v>
      </c>
      <c r="O206" s="315">
        <v>0</v>
      </c>
      <c r="P206" s="315">
        <v>0</v>
      </c>
      <c r="Q206" s="315">
        <v>8646600</v>
      </c>
      <c r="R206" s="315">
        <v>0</v>
      </c>
      <c r="S206" s="315">
        <v>0</v>
      </c>
      <c r="T206" s="315">
        <v>0</v>
      </c>
      <c r="U206" s="315">
        <v>0</v>
      </c>
      <c r="V206" s="315">
        <v>0</v>
      </c>
      <c r="W206" s="315">
        <v>0</v>
      </c>
      <c r="X206" s="315">
        <v>0</v>
      </c>
      <c r="Y206" s="315">
        <v>0</v>
      </c>
      <c r="Z206" s="315">
        <v>0</v>
      </c>
      <c r="AA206" s="315">
        <v>0</v>
      </c>
      <c r="AB206" s="315">
        <v>0</v>
      </c>
      <c r="AC206" s="315">
        <v>0</v>
      </c>
      <c r="AD206" s="315">
        <v>0</v>
      </c>
      <c r="AE206" s="315">
        <v>0</v>
      </c>
      <c r="AF206" s="315">
        <v>0</v>
      </c>
      <c r="AG206" s="315">
        <v>0</v>
      </c>
      <c r="AH206" s="315">
        <v>0</v>
      </c>
      <c r="AI206" s="315">
        <v>0</v>
      </c>
      <c r="AJ206" s="315">
        <v>0</v>
      </c>
      <c r="AK206" s="315">
        <v>0</v>
      </c>
      <c r="AL206" s="315">
        <v>0</v>
      </c>
      <c r="AM206" s="315">
        <v>0</v>
      </c>
      <c r="AN206" s="315">
        <v>0</v>
      </c>
      <c r="AO206" s="315">
        <v>0</v>
      </c>
      <c r="AP206" s="315">
        <v>0</v>
      </c>
      <c r="AQ206" s="315">
        <v>0</v>
      </c>
      <c r="AR206" s="315">
        <v>0</v>
      </c>
      <c r="AS206" s="315">
        <v>0</v>
      </c>
      <c r="AT206" s="315">
        <v>0</v>
      </c>
      <c r="AU206" s="315">
        <v>0</v>
      </c>
      <c r="AV206" s="315">
        <v>0</v>
      </c>
      <c r="AW206" s="315">
        <v>0</v>
      </c>
      <c r="AX206" s="315">
        <v>0</v>
      </c>
      <c r="AY206" s="315">
        <v>0</v>
      </c>
      <c r="AZ206" s="315">
        <v>0</v>
      </c>
      <c r="BA206" s="315">
        <v>0</v>
      </c>
      <c r="BB206" s="315">
        <v>0</v>
      </c>
      <c r="BC206" s="315">
        <v>0</v>
      </c>
      <c r="BD206" s="315">
        <v>0</v>
      </c>
      <c r="BE206" s="315">
        <v>0</v>
      </c>
      <c r="BF206" s="315">
        <v>0</v>
      </c>
      <c r="BG206" s="315">
        <v>0</v>
      </c>
      <c r="BH206" s="315">
        <v>0</v>
      </c>
      <c r="BI206" s="315">
        <v>0</v>
      </c>
      <c r="BJ206" s="315">
        <v>0</v>
      </c>
      <c r="BK206" s="315">
        <v>0</v>
      </c>
      <c r="BL206" s="315">
        <v>0</v>
      </c>
      <c r="BM206" s="315">
        <v>0</v>
      </c>
      <c r="BN206" s="315">
        <v>0</v>
      </c>
      <c r="BO206" s="315">
        <v>0</v>
      </c>
      <c r="BU206" s="315">
        <v>0</v>
      </c>
      <c r="BV206" s="315">
        <v>0</v>
      </c>
    </row>
    <row r="207" spans="12:74" hidden="1" x14ac:dyDescent="0.2">
      <c r="L207" s="315">
        <v>0</v>
      </c>
      <c r="M207" s="315">
        <v>0</v>
      </c>
      <c r="N207" s="315">
        <v>0</v>
      </c>
      <c r="O207" s="315">
        <v>0</v>
      </c>
      <c r="P207" s="315">
        <v>0</v>
      </c>
      <c r="Q207" s="315">
        <v>0</v>
      </c>
      <c r="R207" s="315">
        <v>0</v>
      </c>
      <c r="S207" s="315">
        <v>0</v>
      </c>
      <c r="T207" s="315">
        <v>0</v>
      </c>
      <c r="U207" s="315">
        <v>0</v>
      </c>
      <c r="V207" s="315">
        <v>0</v>
      </c>
      <c r="W207" s="315">
        <v>0</v>
      </c>
      <c r="X207" s="315">
        <v>0</v>
      </c>
      <c r="Y207" s="315">
        <v>0</v>
      </c>
      <c r="Z207" s="315">
        <v>0</v>
      </c>
      <c r="AA207" s="315">
        <v>0</v>
      </c>
      <c r="AB207" s="315">
        <v>0</v>
      </c>
      <c r="AC207" s="315">
        <v>0</v>
      </c>
      <c r="AD207" s="315">
        <v>0</v>
      </c>
      <c r="AE207" s="315">
        <v>0</v>
      </c>
      <c r="AF207" s="315">
        <v>0</v>
      </c>
      <c r="AG207" s="315">
        <v>0</v>
      </c>
      <c r="AH207" s="315">
        <v>0</v>
      </c>
      <c r="AI207" s="315">
        <v>0</v>
      </c>
      <c r="AJ207" s="315">
        <v>0</v>
      </c>
      <c r="AK207" s="315">
        <v>0</v>
      </c>
      <c r="AL207" s="315">
        <v>0</v>
      </c>
      <c r="AM207" s="315">
        <v>0</v>
      </c>
      <c r="AN207" s="315">
        <v>0</v>
      </c>
      <c r="AO207" s="315">
        <v>0</v>
      </c>
      <c r="AP207" s="315">
        <v>0</v>
      </c>
      <c r="AQ207" s="315">
        <v>0</v>
      </c>
      <c r="AR207" s="315">
        <v>0</v>
      </c>
      <c r="AS207" s="315">
        <v>0</v>
      </c>
      <c r="AT207" s="315">
        <v>0</v>
      </c>
      <c r="AU207" s="315">
        <v>0</v>
      </c>
      <c r="AV207" s="315">
        <v>0</v>
      </c>
      <c r="AW207" s="315">
        <v>0</v>
      </c>
      <c r="AX207" s="315">
        <v>0</v>
      </c>
      <c r="AY207" s="315">
        <v>0</v>
      </c>
      <c r="AZ207" s="315">
        <v>0</v>
      </c>
      <c r="BA207" s="315">
        <v>0</v>
      </c>
      <c r="BB207" s="315">
        <v>0</v>
      </c>
      <c r="BC207" s="315">
        <v>0</v>
      </c>
      <c r="BD207" s="315">
        <v>0</v>
      </c>
      <c r="BE207" s="315">
        <v>0</v>
      </c>
      <c r="BF207" s="315">
        <v>0</v>
      </c>
      <c r="BG207" s="315">
        <v>0</v>
      </c>
      <c r="BH207" s="315">
        <v>0</v>
      </c>
      <c r="BI207" s="315">
        <v>0</v>
      </c>
      <c r="BJ207" s="315">
        <v>0</v>
      </c>
      <c r="BK207" s="315">
        <v>0</v>
      </c>
      <c r="BL207" s="315">
        <v>0</v>
      </c>
      <c r="BM207" s="315">
        <v>0</v>
      </c>
      <c r="BN207" s="315">
        <v>0</v>
      </c>
      <c r="BO207" s="315">
        <v>0</v>
      </c>
      <c r="BU207" s="315">
        <v>0</v>
      </c>
      <c r="BV207" s="315">
        <v>0</v>
      </c>
    </row>
    <row r="208" spans="12:74" hidden="1" x14ac:dyDescent="0.2">
      <c r="L208" s="315">
        <v>0</v>
      </c>
      <c r="M208" s="315">
        <v>0</v>
      </c>
      <c r="N208" s="315">
        <v>0</v>
      </c>
      <c r="O208" s="315">
        <v>0</v>
      </c>
      <c r="P208" s="315">
        <v>0</v>
      </c>
      <c r="Q208" s="315">
        <v>0</v>
      </c>
      <c r="R208" s="315">
        <v>0</v>
      </c>
      <c r="S208" s="315">
        <v>0</v>
      </c>
      <c r="T208" s="315">
        <v>0</v>
      </c>
      <c r="U208" s="315">
        <v>0</v>
      </c>
      <c r="V208" s="315">
        <v>0</v>
      </c>
      <c r="W208" s="315">
        <v>0</v>
      </c>
      <c r="X208" s="315">
        <v>0</v>
      </c>
      <c r="Y208" s="315">
        <v>0</v>
      </c>
      <c r="Z208" s="315">
        <v>0</v>
      </c>
      <c r="AA208" s="315">
        <v>0</v>
      </c>
      <c r="AB208" s="315">
        <v>0</v>
      </c>
      <c r="AC208" s="315">
        <v>0</v>
      </c>
      <c r="AD208" s="315">
        <v>0</v>
      </c>
      <c r="AE208" s="315">
        <v>0</v>
      </c>
      <c r="AF208" s="315">
        <v>0</v>
      </c>
      <c r="AG208" s="315">
        <v>0</v>
      </c>
      <c r="AH208" s="315">
        <v>0</v>
      </c>
      <c r="AI208" s="315">
        <v>0</v>
      </c>
      <c r="AJ208" s="315">
        <v>0</v>
      </c>
      <c r="AK208" s="315">
        <v>0</v>
      </c>
      <c r="AL208" s="315">
        <v>0</v>
      </c>
      <c r="AM208" s="315">
        <v>0</v>
      </c>
      <c r="AN208" s="315">
        <v>0</v>
      </c>
      <c r="AO208" s="315">
        <v>0</v>
      </c>
      <c r="AP208" s="315">
        <v>0</v>
      </c>
      <c r="AQ208" s="315">
        <v>0</v>
      </c>
      <c r="AR208" s="315">
        <v>0</v>
      </c>
      <c r="AS208" s="315">
        <v>0</v>
      </c>
      <c r="AT208" s="315">
        <v>0</v>
      </c>
      <c r="AU208" s="315">
        <v>0</v>
      </c>
      <c r="AV208" s="315">
        <v>0</v>
      </c>
      <c r="AW208" s="315">
        <v>0</v>
      </c>
      <c r="AX208" s="315">
        <v>0</v>
      </c>
      <c r="AY208" s="315">
        <v>0</v>
      </c>
      <c r="AZ208" s="315">
        <v>0</v>
      </c>
      <c r="BA208" s="315">
        <v>0</v>
      </c>
      <c r="BB208" s="315">
        <v>0</v>
      </c>
      <c r="BC208" s="315">
        <v>0</v>
      </c>
      <c r="BD208" s="315">
        <v>0</v>
      </c>
      <c r="BE208" s="315">
        <v>0</v>
      </c>
      <c r="BF208" s="315">
        <v>0</v>
      </c>
      <c r="BG208" s="315">
        <v>0</v>
      </c>
      <c r="BH208" s="315">
        <v>0</v>
      </c>
      <c r="BI208" s="315">
        <v>0</v>
      </c>
      <c r="BJ208" s="315">
        <v>0</v>
      </c>
      <c r="BK208" s="315">
        <v>0</v>
      </c>
      <c r="BL208" s="315">
        <v>0</v>
      </c>
      <c r="BM208" s="315">
        <v>0</v>
      </c>
      <c r="BN208" s="315">
        <v>0</v>
      </c>
      <c r="BO208" s="315">
        <v>0</v>
      </c>
      <c r="BU208" s="315">
        <v>0</v>
      </c>
      <c r="BV208" s="315">
        <v>0</v>
      </c>
    </row>
    <row r="209" spans="12:74" hidden="1" x14ac:dyDescent="0.2">
      <c r="L209" s="315">
        <v>0</v>
      </c>
      <c r="M209" s="315">
        <v>0</v>
      </c>
      <c r="N209" s="315">
        <v>0</v>
      </c>
      <c r="O209" s="315">
        <v>0</v>
      </c>
      <c r="P209" s="315">
        <v>0</v>
      </c>
      <c r="Q209" s="315">
        <v>0</v>
      </c>
      <c r="R209" s="315">
        <v>0</v>
      </c>
      <c r="S209" s="315">
        <v>0</v>
      </c>
      <c r="T209" s="315">
        <v>0</v>
      </c>
      <c r="U209" s="315">
        <v>0</v>
      </c>
      <c r="V209" s="315">
        <v>0</v>
      </c>
      <c r="W209" s="315">
        <v>0</v>
      </c>
      <c r="X209" s="315">
        <v>0</v>
      </c>
      <c r="Y209" s="315">
        <v>0</v>
      </c>
      <c r="Z209" s="315">
        <v>0</v>
      </c>
      <c r="AA209" s="315">
        <v>0</v>
      </c>
      <c r="AB209" s="315">
        <v>0</v>
      </c>
      <c r="AC209" s="315">
        <v>0</v>
      </c>
      <c r="AD209" s="315">
        <v>0</v>
      </c>
      <c r="AE209" s="315">
        <v>0</v>
      </c>
      <c r="AF209" s="315">
        <v>0</v>
      </c>
      <c r="AG209" s="315">
        <v>0</v>
      </c>
      <c r="AH209" s="315">
        <v>0</v>
      </c>
      <c r="AI209" s="315">
        <v>0</v>
      </c>
      <c r="AJ209" s="315">
        <v>0</v>
      </c>
      <c r="AK209" s="315">
        <v>0</v>
      </c>
      <c r="AL209" s="315">
        <v>0</v>
      </c>
      <c r="AM209" s="315">
        <v>0</v>
      </c>
      <c r="AN209" s="315">
        <v>0</v>
      </c>
      <c r="AO209" s="315">
        <v>0</v>
      </c>
      <c r="AP209" s="315">
        <v>0</v>
      </c>
      <c r="AQ209" s="315">
        <v>0</v>
      </c>
      <c r="AR209" s="315">
        <v>0</v>
      </c>
      <c r="AS209" s="315">
        <v>0</v>
      </c>
      <c r="AT209" s="315">
        <v>0</v>
      </c>
      <c r="AU209" s="315">
        <v>0</v>
      </c>
      <c r="AV209" s="315">
        <v>0</v>
      </c>
      <c r="AW209" s="315">
        <v>0</v>
      </c>
      <c r="AX209" s="315">
        <v>0</v>
      </c>
      <c r="AY209" s="315">
        <v>0</v>
      </c>
      <c r="AZ209" s="315">
        <v>0</v>
      </c>
      <c r="BA209" s="315">
        <v>0</v>
      </c>
      <c r="BB209" s="315">
        <v>0</v>
      </c>
      <c r="BC209" s="315">
        <v>0</v>
      </c>
      <c r="BD209" s="315">
        <v>0</v>
      </c>
      <c r="BE209" s="315">
        <v>0</v>
      </c>
      <c r="BF209" s="315">
        <v>0</v>
      </c>
      <c r="BG209" s="315">
        <v>0</v>
      </c>
      <c r="BH209" s="315">
        <v>0</v>
      </c>
      <c r="BI209" s="315">
        <v>0</v>
      </c>
      <c r="BJ209" s="315">
        <v>0</v>
      </c>
      <c r="BK209" s="315">
        <v>0</v>
      </c>
      <c r="BL209" s="315">
        <v>0</v>
      </c>
      <c r="BM209" s="315">
        <v>0</v>
      </c>
      <c r="BN209" s="315">
        <v>0</v>
      </c>
      <c r="BO209" s="315">
        <v>0</v>
      </c>
      <c r="BU209" s="315">
        <v>0</v>
      </c>
      <c r="BV209" s="315">
        <v>0</v>
      </c>
    </row>
    <row r="210" spans="12:74" hidden="1" x14ac:dyDescent="0.2">
      <c r="L210" s="315">
        <v>0</v>
      </c>
      <c r="M210" s="315">
        <v>0</v>
      </c>
      <c r="N210" s="315">
        <v>0</v>
      </c>
      <c r="O210" s="315">
        <v>0</v>
      </c>
      <c r="P210" s="315">
        <v>0</v>
      </c>
      <c r="Q210" s="315">
        <v>0</v>
      </c>
      <c r="R210" s="315">
        <v>0</v>
      </c>
      <c r="S210" s="315">
        <v>0</v>
      </c>
      <c r="T210" s="315">
        <v>0</v>
      </c>
      <c r="U210" s="315">
        <v>0</v>
      </c>
      <c r="V210" s="315">
        <v>0</v>
      </c>
      <c r="W210" s="315">
        <v>0</v>
      </c>
      <c r="X210" s="315">
        <v>0</v>
      </c>
      <c r="Y210" s="315">
        <v>0</v>
      </c>
      <c r="Z210" s="315">
        <v>0</v>
      </c>
      <c r="AA210" s="315">
        <v>0</v>
      </c>
      <c r="AB210" s="315">
        <v>0</v>
      </c>
      <c r="AC210" s="315">
        <v>0</v>
      </c>
      <c r="AD210" s="315">
        <v>0</v>
      </c>
      <c r="AE210" s="315">
        <v>0</v>
      </c>
      <c r="AF210" s="315">
        <v>0</v>
      </c>
      <c r="AG210" s="315">
        <v>0</v>
      </c>
      <c r="AH210" s="315">
        <v>0</v>
      </c>
      <c r="AI210" s="315">
        <v>0</v>
      </c>
      <c r="AJ210" s="315">
        <v>0</v>
      </c>
      <c r="AK210" s="315">
        <v>0</v>
      </c>
      <c r="AL210" s="315">
        <v>0</v>
      </c>
      <c r="AM210" s="315">
        <v>0</v>
      </c>
      <c r="AN210" s="315">
        <v>0</v>
      </c>
      <c r="AO210" s="315">
        <v>0</v>
      </c>
      <c r="AP210" s="315">
        <v>0</v>
      </c>
      <c r="AQ210" s="315">
        <v>0</v>
      </c>
      <c r="AR210" s="315">
        <v>0</v>
      </c>
      <c r="AS210" s="315">
        <v>0</v>
      </c>
      <c r="AT210" s="315">
        <v>0</v>
      </c>
      <c r="AU210" s="315">
        <v>0</v>
      </c>
      <c r="AV210" s="315">
        <v>0</v>
      </c>
      <c r="AW210" s="315">
        <v>0</v>
      </c>
      <c r="AX210" s="315">
        <v>0</v>
      </c>
      <c r="AY210" s="315">
        <v>0</v>
      </c>
      <c r="AZ210" s="315">
        <v>0</v>
      </c>
      <c r="BA210" s="315">
        <v>0</v>
      </c>
      <c r="BB210" s="315">
        <v>0</v>
      </c>
      <c r="BC210" s="315">
        <v>0</v>
      </c>
      <c r="BD210" s="315">
        <v>0</v>
      </c>
      <c r="BE210" s="315">
        <v>0</v>
      </c>
      <c r="BF210" s="315">
        <v>0</v>
      </c>
      <c r="BG210" s="315">
        <v>0</v>
      </c>
      <c r="BH210" s="315">
        <v>0</v>
      </c>
      <c r="BI210" s="315">
        <v>0</v>
      </c>
      <c r="BJ210" s="315">
        <v>0</v>
      </c>
      <c r="BK210" s="315">
        <v>0</v>
      </c>
      <c r="BL210" s="315">
        <v>0</v>
      </c>
      <c r="BM210" s="315">
        <v>0</v>
      </c>
      <c r="BN210" s="315">
        <v>0</v>
      </c>
      <c r="BO210" s="315">
        <v>0</v>
      </c>
      <c r="BU210" s="315">
        <v>0</v>
      </c>
      <c r="BV210" s="315">
        <v>0</v>
      </c>
    </row>
    <row r="211" spans="12:74" hidden="1" x14ac:dyDescent="0.2">
      <c r="L211" s="315">
        <v>0</v>
      </c>
      <c r="M211" s="315">
        <v>0</v>
      </c>
      <c r="N211" s="315">
        <v>0</v>
      </c>
      <c r="O211" s="315">
        <v>0</v>
      </c>
      <c r="P211" s="315">
        <v>0</v>
      </c>
      <c r="Q211" s="315">
        <v>0</v>
      </c>
      <c r="R211" s="315">
        <v>0</v>
      </c>
      <c r="S211" s="315">
        <v>0</v>
      </c>
      <c r="T211" s="315">
        <v>0</v>
      </c>
      <c r="U211" s="315">
        <v>0</v>
      </c>
      <c r="V211" s="315">
        <v>0</v>
      </c>
      <c r="W211" s="315">
        <v>0</v>
      </c>
      <c r="X211" s="315">
        <v>0</v>
      </c>
      <c r="Y211" s="315">
        <v>0</v>
      </c>
      <c r="Z211" s="315">
        <v>0</v>
      </c>
      <c r="AA211" s="315">
        <v>0</v>
      </c>
      <c r="AB211" s="315">
        <v>0</v>
      </c>
      <c r="AC211" s="315">
        <v>0</v>
      </c>
      <c r="AD211" s="315">
        <v>0</v>
      </c>
      <c r="AE211" s="315">
        <v>0</v>
      </c>
      <c r="AF211" s="315">
        <v>0</v>
      </c>
      <c r="AG211" s="315">
        <v>0</v>
      </c>
      <c r="AH211" s="315">
        <v>0</v>
      </c>
      <c r="AI211" s="315">
        <v>0</v>
      </c>
      <c r="AJ211" s="315">
        <v>0</v>
      </c>
      <c r="AK211" s="315">
        <v>0</v>
      </c>
      <c r="AL211" s="315">
        <v>0</v>
      </c>
      <c r="AM211" s="315">
        <v>0</v>
      </c>
      <c r="AN211" s="315">
        <v>0</v>
      </c>
      <c r="AO211" s="315">
        <v>0</v>
      </c>
      <c r="AP211" s="315">
        <v>0</v>
      </c>
      <c r="AQ211" s="315">
        <v>0</v>
      </c>
      <c r="AR211" s="315">
        <v>0</v>
      </c>
      <c r="AS211" s="315">
        <v>0</v>
      </c>
      <c r="AT211" s="315">
        <v>0</v>
      </c>
      <c r="AU211" s="315">
        <v>0</v>
      </c>
      <c r="AV211" s="315">
        <v>0</v>
      </c>
      <c r="AW211" s="315">
        <v>0</v>
      </c>
      <c r="AX211" s="315">
        <v>0</v>
      </c>
      <c r="AY211" s="315">
        <v>0</v>
      </c>
      <c r="AZ211" s="315">
        <v>0</v>
      </c>
      <c r="BA211" s="315">
        <v>0</v>
      </c>
      <c r="BB211" s="315">
        <v>0</v>
      </c>
      <c r="BC211" s="315">
        <v>0</v>
      </c>
      <c r="BD211" s="315">
        <v>0</v>
      </c>
      <c r="BE211" s="315">
        <v>0</v>
      </c>
      <c r="BF211" s="315">
        <v>0</v>
      </c>
      <c r="BG211" s="315">
        <v>0</v>
      </c>
      <c r="BH211" s="315">
        <v>0</v>
      </c>
      <c r="BI211" s="315">
        <v>0</v>
      </c>
      <c r="BJ211" s="315">
        <v>0</v>
      </c>
      <c r="BK211" s="315">
        <v>0</v>
      </c>
      <c r="BL211" s="315">
        <v>0</v>
      </c>
      <c r="BM211" s="315">
        <v>0</v>
      </c>
      <c r="BN211" s="315">
        <v>0</v>
      </c>
      <c r="BO211" s="315">
        <v>0</v>
      </c>
      <c r="BU211" s="315">
        <v>0</v>
      </c>
      <c r="BV211" s="315">
        <v>0</v>
      </c>
    </row>
    <row r="212" spans="12:74" hidden="1" x14ac:dyDescent="0.2">
      <c r="L212" s="315">
        <v>0</v>
      </c>
      <c r="M212" s="315">
        <v>0</v>
      </c>
      <c r="N212" s="315">
        <v>0</v>
      </c>
      <c r="O212" s="315">
        <v>0</v>
      </c>
      <c r="P212" s="315">
        <v>0</v>
      </c>
      <c r="Q212" s="315">
        <v>0</v>
      </c>
      <c r="R212" s="315">
        <v>0</v>
      </c>
      <c r="S212" s="315">
        <v>0</v>
      </c>
      <c r="T212" s="315">
        <v>0</v>
      </c>
      <c r="U212" s="315">
        <v>0</v>
      </c>
      <c r="V212" s="315">
        <v>0</v>
      </c>
      <c r="W212" s="315">
        <v>0</v>
      </c>
      <c r="X212" s="315">
        <v>0</v>
      </c>
      <c r="Y212" s="315">
        <v>0</v>
      </c>
      <c r="Z212" s="315">
        <v>0</v>
      </c>
      <c r="AA212" s="315">
        <v>0</v>
      </c>
      <c r="AB212" s="315">
        <v>0</v>
      </c>
      <c r="AC212" s="315">
        <v>0</v>
      </c>
      <c r="AD212" s="315">
        <v>0</v>
      </c>
      <c r="AE212" s="315">
        <v>0</v>
      </c>
      <c r="AF212" s="315">
        <v>0</v>
      </c>
      <c r="AG212" s="315">
        <v>0</v>
      </c>
      <c r="AH212" s="315">
        <v>0</v>
      </c>
      <c r="AI212" s="315">
        <v>0</v>
      </c>
      <c r="AJ212" s="315">
        <v>0</v>
      </c>
      <c r="AK212" s="315">
        <v>0</v>
      </c>
      <c r="AL212" s="315">
        <v>0</v>
      </c>
      <c r="AM212" s="315">
        <v>0</v>
      </c>
      <c r="AN212" s="315">
        <v>0</v>
      </c>
      <c r="AO212" s="315">
        <v>0</v>
      </c>
      <c r="AP212" s="315">
        <v>0</v>
      </c>
      <c r="AQ212" s="315">
        <v>0</v>
      </c>
      <c r="AR212" s="315">
        <v>0</v>
      </c>
      <c r="AS212" s="315">
        <v>0</v>
      </c>
      <c r="AT212" s="315">
        <v>0</v>
      </c>
      <c r="AU212" s="315">
        <v>0</v>
      </c>
      <c r="AV212" s="315">
        <v>0</v>
      </c>
      <c r="AW212" s="315">
        <v>0</v>
      </c>
      <c r="AX212" s="315">
        <v>0</v>
      </c>
      <c r="AY212" s="315">
        <v>0</v>
      </c>
      <c r="AZ212" s="315">
        <v>0</v>
      </c>
      <c r="BA212" s="315">
        <v>0</v>
      </c>
      <c r="BB212" s="315">
        <v>0</v>
      </c>
      <c r="BC212" s="315">
        <v>0</v>
      </c>
      <c r="BD212" s="315">
        <v>0</v>
      </c>
      <c r="BE212" s="315">
        <v>0</v>
      </c>
      <c r="BF212" s="315">
        <v>0</v>
      </c>
      <c r="BG212" s="315">
        <v>0</v>
      </c>
      <c r="BH212" s="315">
        <v>0</v>
      </c>
      <c r="BI212" s="315">
        <v>0</v>
      </c>
      <c r="BJ212" s="315">
        <v>0</v>
      </c>
      <c r="BK212" s="315">
        <v>0</v>
      </c>
      <c r="BL212" s="315">
        <v>0</v>
      </c>
      <c r="BM212" s="315">
        <v>0</v>
      </c>
      <c r="BN212" s="315">
        <v>0</v>
      </c>
      <c r="BO212" s="315">
        <v>0</v>
      </c>
      <c r="BU212" s="315">
        <v>0</v>
      </c>
      <c r="BV212" s="315">
        <v>0</v>
      </c>
    </row>
    <row r="213" spans="12:74" hidden="1" x14ac:dyDescent="0.2">
      <c r="L213" s="315">
        <v>0</v>
      </c>
      <c r="M213" s="315">
        <v>0</v>
      </c>
      <c r="N213" s="315">
        <v>0</v>
      </c>
      <c r="O213" s="315">
        <v>0</v>
      </c>
      <c r="P213" s="315">
        <v>0</v>
      </c>
      <c r="Q213" s="315">
        <v>0</v>
      </c>
      <c r="R213" s="315">
        <v>0</v>
      </c>
      <c r="S213" s="315">
        <v>0</v>
      </c>
      <c r="T213" s="315">
        <v>0</v>
      </c>
      <c r="U213" s="315">
        <v>0</v>
      </c>
      <c r="V213" s="315">
        <v>0</v>
      </c>
      <c r="W213" s="315">
        <v>0</v>
      </c>
      <c r="X213" s="315">
        <v>0</v>
      </c>
      <c r="Y213" s="315">
        <v>0</v>
      </c>
      <c r="Z213" s="315">
        <v>0</v>
      </c>
      <c r="AA213" s="315">
        <v>0</v>
      </c>
      <c r="AB213" s="315">
        <v>0</v>
      </c>
      <c r="AC213" s="315">
        <v>0</v>
      </c>
      <c r="AD213" s="315">
        <v>0</v>
      </c>
      <c r="AE213" s="315">
        <v>0</v>
      </c>
      <c r="AF213" s="315">
        <v>0</v>
      </c>
      <c r="AG213" s="315">
        <v>0</v>
      </c>
      <c r="AH213" s="315">
        <v>0</v>
      </c>
      <c r="AI213" s="315">
        <v>0</v>
      </c>
      <c r="AJ213" s="315">
        <v>0</v>
      </c>
      <c r="AK213" s="315">
        <v>0</v>
      </c>
      <c r="AL213" s="315">
        <v>0</v>
      </c>
      <c r="AM213" s="315">
        <v>0</v>
      </c>
      <c r="AN213" s="315">
        <v>0</v>
      </c>
      <c r="AO213" s="315">
        <v>0</v>
      </c>
      <c r="AP213" s="315">
        <v>0</v>
      </c>
      <c r="AQ213" s="315">
        <v>0</v>
      </c>
      <c r="AR213" s="315">
        <v>0</v>
      </c>
      <c r="AS213" s="315">
        <v>0</v>
      </c>
      <c r="AT213" s="315">
        <v>0</v>
      </c>
      <c r="AU213" s="315">
        <v>0</v>
      </c>
      <c r="AV213" s="315">
        <v>0</v>
      </c>
      <c r="AW213" s="315">
        <v>0</v>
      </c>
      <c r="AX213" s="315">
        <v>0</v>
      </c>
      <c r="AY213" s="315">
        <v>0</v>
      </c>
      <c r="AZ213" s="315">
        <v>0</v>
      </c>
      <c r="BA213" s="315">
        <v>0</v>
      </c>
      <c r="BB213" s="315">
        <v>0</v>
      </c>
      <c r="BC213" s="315">
        <v>0</v>
      </c>
      <c r="BD213" s="315">
        <v>0</v>
      </c>
      <c r="BE213" s="315">
        <v>0</v>
      </c>
      <c r="BF213" s="315">
        <v>0</v>
      </c>
      <c r="BG213" s="315">
        <v>0</v>
      </c>
      <c r="BH213" s="315">
        <v>0</v>
      </c>
      <c r="BI213" s="315">
        <v>0</v>
      </c>
      <c r="BJ213" s="315">
        <v>0</v>
      </c>
      <c r="BK213" s="315">
        <v>0</v>
      </c>
      <c r="BL213" s="315">
        <v>0</v>
      </c>
      <c r="BM213" s="315">
        <v>0</v>
      </c>
      <c r="BN213" s="315">
        <v>0</v>
      </c>
      <c r="BO213" s="315">
        <v>0</v>
      </c>
      <c r="BU213" s="315">
        <v>0</v>
      </c>
      <c r="BV213" s="315">
        <v>0</v>
      </c>
    </row>
    <row r="214" spans="12:74" hidden="1" x14ac:dyDescent="0.2">
      <c r="L214" s="315">
        <v>0</v>
      </c>
      <c r="M214" s="315">
        <v>0</v>
      </c>
      <c r="N214" s="315">
        <v>0</v>
      </c>
      <c r="O214" s="315">
        <v>0</v>
      </c>
      <c r="P214" s="315">
        <v>0</v>
      </c>
      <c r="Q214" s="315">
        <v>0</v>
      </c>
      <c r="R214" s="315">
        <v>0</v>
      </c>
      <c r="S214" s="315">
        <v>0</v>
      </c>
      <c r="T214" s="315">
        <v>0</v>
      </c>
      <c r="U214" s="315">
        <v>0</v>
      </c>
      <c r="V214" s="315">
        <v>0</v>
      </c>
      <c r="W214" s="315">
        <v>0</v>
      </c>
      <c r="X214" s="315">
        <v>0</v>
      </c>
      <c r="Y214" s="315">
        <v>0</v>
      </c>
      <c r="Z214" s="315">
        <v>0</v>
      </c>
      <c r="AA214" s="315">
        <v>0</v>
      </c>
      <c r="AB214" s="315">
        <v>0</v>
      </c>
      <c r="AC214" s="315">
        <v>0</v>
      </c>
      <c r="AD214" s="315">
        <v>0</v>
      </c>
      <c r="AE214" s="315">
        <v>0</v>
      </c>
      <c r="AF214" s="315">
        <v>0</v>
      </c>
      <c r="AG214" s="315">
        <v>0</v>
      </c>
      <c r="AH214" s="315">
        <v>0</v>
      </c>
      <c r="AI214" s="315">
        <v>0</v>
      </c>
      <c r="AJ214" s="315">
        <v>0</v>
      </c>
      <c r="AK214" s="315">
        <v>0</v>
      </c>
      <c r="AL214" s="315">
        <v>0</v>
      </c>
      <c r="AM214" s="315">
        <v>0</v>
      </c>
      <c r="AN214" s="315">
        <v>0</v>
      </c>
      <c r="AO214" s="315">
        <v>0</v>
      </c>
      <c r="AP214" s="315">
        <v>0</v>
      </c>
      <c r="AQ214" s="315">
        <v>0</v>
      </c>
      <c r="AR214" s="315">
        <v>0</v>
      </c>
      <c r="AS214" s="315">
        <v>0</v>
      </c>
      <c r="AT214" s="315">
        <v>0</v>
      </c>
      <c r="AU214" s="315">
        <v>0</v>
      </c>
      <c r="AV214" s="315">
        <v>0</v>
      </c>
      <c r="AW214" s="315">
        <v>0</v>
      </c>
      <c r="AX214" s="315">
        <v>0</v>
      </c>
      <c r="AY214" s="315">
        <v>0</v>
      </c>
      <c r="AZ214" s="315">
        <v>0</v>
      </c>
      <c r="BA214" s="315">
        <v>0</v>
      </c>
      <c r="BB214" s="315">
        <v>0</v>
      </c>
      <c r="BC214" s="315">
        <v>0</v>
      </c>
      <c r="BD214" s="315">
        <v>0</v>
      </c>
      <c r="BE214" s="315">
        <v>0</v>
      </c>
      <c r="BF214" s="315">
        <v>0</v>
      </c>
      <c r="BG214" s="315">
        <v>0</v>
      </c>
      <c r="BH214" s="315">
        <v>0</v>
      </c>
      <c r="BI214" s="315">
        <v>0</v>
      </c>
      <c r="BJ214" s="315">
        <v>0</v>
      </c>
      <c r="BK214" s="315">
        <v>0</v>
      </c>
      <c r="BL214" s="315">
        <v>0</v>
      </c>
      <c r="BM214" s="315">
        <v>0</v>
      </c>
      <c r="BN214" s="315">
        <v>0</v>
      </c>
      <c r="BO214" s="315">
        <v>0</v>
      </c>
      <c r="BU214" s="315">
        <v>0</v>
      </c>
      <c r="BV214" s="315">
        <v>0</v>
      </c>
    </row>
    <row r="215" spans="12:74" hidden="1" x14ac:dyDescent="0.2">
      <c r="L215" s="315">
        <v>0</v>
      </c>
      <c r="M215" s="315">
        <v>0</v>
      </c>
      <c r="N215" s="315">
        <v>0</v>
      </c>
      <c r="O215" s="315">
        <v>0</v>
      </c>
      <c r="P215" s="315">
        <v>0</v>
      </c>
      <c r="Q215" s="315">
        <v>0</v>
      </c>
      <c r="R215" s="315">
        <v>0</v>
      </c>
      <c r="S215" s="315">
        <v>0</v>
      </c>
      <c r="T215" s="315">
        <v>0</v>
      </c>
      <c r="U215" s="315">
        <v>0</v>
      </c>
      <c r="V215" s="315">
        <v>0</v>
      </c>
      <c r="W215" s="315">
        <v>0</v>
      </c>
      <c r="X215" s="315">
        <v>0</v>
      </c>
      <c r="Y215" s="315">
        <v>0</v>
      </c>
      <c r="Z215" s="315">
        <v>0</v>
      </c>
      <c r="AA215" s="315">
        <v>0</v>
      </c>
      <c r="AB215" s="315">
        <v>0</v>
      </c>
      <c r="AC215" s="315">
        <v>0</v>
      </c>
      <c r="AD215" s="315">
        <v>0</v>
      </c>
      <c r="AE215" s="315">
        <v>0</v>
      </c>
      <c r="AF215" s="315">
        <v>0</v>
      </c>
      <c r="AG215" s="315">
        <v>0</v>
      </c>
      <c r="AH215" s="315">
        <v>0</v>
      </c>
      <c r="AI215" s="315">
        <v>0</v>
      </c>
      <c r="AJ215" s="315">
        <v>0</v>
      </c>
      <c r="AK215" s="315">
        <v>0</v>
      </c>
      <c r="AL215" s="315">
        <v>0</v>
      </c>
      <c r="AM215" s="315">
        <v>0</v>
      </c>
      <c r="AN215" s="315">
        <v>0</v>
      </c>
      <c r="AO215" s="315">
        <v>0</v>
      </c>
      <c r="AP215" s="315">
        <v>0</v>
      </c>
      <c r="AQ215" s="315">
        <v>0</v>
      </c>
      <c r="AR215" s="315">
        <v>0</v>
      </c>
      <c r="AS215" s="315">
        <v>0</v>
      </c>
      <c r="AT215" s="315">
        <v>0</v>
      </c>
      <c r="AU215" s="315">
        <v>0</v>
      </c>
      <c r="AV215" s="315">
        <v>0</v>
      </c>
      <c r="AW215" s="315">
        <v>0</v>
      </c>
      <c r="AX215" s="315">
        <v>0</v>
      </c>
      <c r="AY215" s="315">
        <v>0</v>
      </c>
      <c r="AZ215" s="315">
        <v>0</v>
      </c>
      <c r="BA215" s="315">
        <v>0</v>
      </c>
      <c r="BB215" s="315">
        <v>0</v>
      </c>
      <c r="BC215" s="315">
        <v>0</v>
      </c>
      <c r="BD215" s="315">
        <v>0</v>
      </c>
      <c r="BE215" s="315">
        <v>0</v>
      </c>
      <c r="BF215" s="315">
        <v>0</v>
      </c>
      <c r="BG215" s="315">
        <v>0</v>
      </c>
      <c r="BH215" s="315">
        <v>0</v>
      </c>
      <c r="BI215" s="315">
        <v>0</v>
      </c>
      <c r="BJ215" s="315">
        <v>0</v>
      </c>
      <c r="BK215" s="315">
        <v>0</v>
      </c>
      <c r="BL215" s="315">
        <v>0</v>
      </c>
      <c r="BM215" s="315">
        <v>0</v>
      </c>
      <c r="BN215" s="315">
        <v>0</v>
      </c>
      <c r="BO215" s="315">
        <v>0</v>
      </c>
      <c r="BU215" s="315">
        <v>0</v>
      </c>
      <c r="BV215" s="315">
        <v>0</v>
      </c>
    </row>
    <row r="216" spans="12:74" hidden="1" x14ac:dyDescent="0.2">
      <c r="L216" s="315">
        <v>0</v>
      </c>
      <c r="M216" s="315">
        <v>0</v>
      </c>
      <c r="N216" s="315">
        <v>0</v>
      </c>
      <c r="O216" s="315">
        <v>0</v>
      </c>
      <c r="P216" s="315">
        <v>0</v>
      </c>
      <c r="Q216" s="315">
        <v>0</v>
      </c>
      <c r="R216" s="315">
        <v>0</v>
      </c>
      <c r="S216" s="315">
        <v>0</v>
      </c>
      <c r="T216" s="315">
        <v>0</v>
      </c>
      <c r="U216" s="315">
        <v>0</v>
      </c>
      <c r="V216" s="315">
        <v>0</v>
      </c>
      <c r="W216" s="315">
        <v>0</v>
      </c>
      <c r="X216" s="315">
        <v>0</v>
      </c>
      <c r="Y216" s="315">
        <v>0</v>
      </c>
      <c r="Z216" s="315">
        <v>0</v>
      </c>
      <c r="AA216" s="315">
        <v>0</v>
      </c>
      <c r="AB216" s="315">
        <v>0</v>
      </c>
      <c r="AC216" s="315">
        <v>0</v>
      </c>
      <c r="AD216" s="315">
        <v>0</v>
      </c>
      <c r="AE216" s="315">
        <v>0</v>
      </c>
      <c r="AF216" s="315">
        <v>0</v>
      </c>
      <c r="AG216" s="315">
        <v>0</v>
      </c>
      <c r="AH216" s="315">
        <v>0</v>
      </c>
      <c r="AI216" s="315">
        <v>0</v>
      </c>
      <c r="AJ216" s="315">
        <v>0</v>
      </c>
      <c r="AK216" s="315">
        <v>0</v>
      </c>
      <c r="AL216" s="315">
        <v>0</v>
      </c>
      <c r="AM216" s="315">
        <v>0</v>
      </c>
      <c r="AN216" s="315">
        <v>0</v>
      </c>
      <c r="AO216" s="315">
        <v>0</v>
      </c>
      <c r="AP216" s="315">
        <v>0</v>
      </c>
      <c r="AQ216" s="315">
        <v>0</v>
      </c>
      <c r="AR216" s="315">
        <v>0</v>
      </c>
      <c r="AS216" s="315">
        <v>0</v>
      </c>
      <c r="AT216" s="315">
        <v>0</v>
      </c>
      <c r="AU216" s="315">
        <v>0</v>
      </c>
      <c r="AV216" s="315">
        <v>0</v>
      </c>
      <c r="AW216" s="315">
        <v>0</v>
      </c>
      <c r="AX216" s="315">
        <v>0</v>
      </c>
      <c r="AY216" s="315">
        <v>0</v>
      </c>
      <c r="AZ216" s="315">
        <v>0</v>
      </c>
      <c r="BA216" s="315">
        <v>0</v>
      </c>
      <c r="BB216" s="315">
        <v>0</v>
      </c>
      <c r="BC216" s="315">
        <v>0</v>
      </c>
      <c r="BD216" s="315">
        <v>0</v>
      </c>
      <c r="BE216" s="315">
        <v>0</v>
      </c>
      <c r="BF216" s="315">
        <v>0</v>
      </c>
      <c r="BG216" s="315">
        <v>0</v>
      </c>
      <c r="BH216" s="315">
        <v>0</v>
      </c>
      <c r="BI216" s="315">
        <v>0</v>
      </c>
      <c r="BJ216" s="315">
        <v>0</v>
      </c>
      <c r="BK216" s="315">
        <v>0</v>
      </c>
      <c r="BL216" s="315">
        <v>0</v>
      </c>
      <c r="BM216" s="315">
        <v>0</v>
      </c>
      <c r="BN216" s="315">
        <v>0</v>
      </c>
      <c r="BO216" s="315">
        <v>0</v>
      </c>
      <c r="BU216" s="315">
        <v>0</v>
      </c>
      <c r="BV216" s="315">
        <v>0</v>
      </c>
    </row>
    <row r="217" spans="12:74" hidden="1" x14ac:dyDescent="0.2">
      <c r="L217" s="315">
        <v>0</v>
      </c>
      <c r="M217" s="315">
        <v>0</v>
      </c>
      <c r="N217" s="315">
        <v>0</v>
      </c>
      <c r="O217" s="315">
        <v>0</v>
      </c>
      <c r="P217" s="315">
        <v>0</v>
      </c>
      <c r="Q217" s="315">
        <v>0</v>
      </c>
      <c r="R217" s="315">
        <v>0</v>
      </c>
      <c r="S217" s="315">
        <v>0</v>
      </c>
      <c r="T217" s="315">
        <v>0</v>
      </c>
      <c r="U217" s="315">
        <v>0</v>
      </c>
      <c r="V217" s="315">
        <v>0</v>
      </c>
      <c r="W217" s="315">
        <v>0</v>
      </c>
      <c r="X217" s="315">
        <v>0</v>
      </c>
      <c r="Y217" s="315">
        <v>0</v>
      </c>
      <c r="Z217" s="315">
        <v>0</v>
      </c>
      <c r="AA217" s="315">
        <v>0</v>
      </c>
      <c r="AB217" s="315">
        <v>0</v>
      </c>
      <c r="AC217" s="315">
        <v>0</v>
      </c>
      <c r="AD217" s="315">
        <v>0</v>
      </c>
      <c r="AE217" s="315">
        <v>0</v>
      </c>
      <c r="AF217" s="315">
        <v>0</v>
      </c>
      <c r="AG217" s="315">
        <v>0</v>
      </c>
      <c r="AH217" s="315">
        <v>0</v>
      </c>
      <c r="AI217" s="315">
        <v>0</v>
      </c>
      <c r="AJ217" s="315">
        <v>0</v>
      </c>
      <c r="AK217" s="315">
        <v>0</v>
      </c>
      <c r="AL217" s="315">
        <v>0</v>
      </c>
      <c r="AM217" s="315">
        <v>0</v>
      </c>
      <c r="AN217" s="315">
        <v>0</v>
      </c>
      <c r="AO217" s="315">
        <v>0</v>
      </c>
      <c r="AP217" s="315">
        <v>0</v>
      </c>
      <c r="AQ217" s="315">
        <v>0</v>
      </c>
      <c r="AR217" s="315">
        <v>0</v>
      </c>
      <c r="AS217" s="315">
        <v>0</v>
      </c>
      <c r="AT217" s="315">
        <v>0</v>
      </c>
      <c r="AU217" s="315">
        <v>0</v>
      </c>
      <c r="AV217" s="315">
        <v>0</v>
      </c>
      <c r="AW217" s="315">
        <v>0</v>
      </c>
      <c r="AX217" s="315">
        <v>0</v>
      </c>
      <c r="AY217" s="315">
        <v>0</v>
      </c>
      <c r="AZ217" s="315">
        <v>0</v>
      </c>
      <c r="BA217" s="315">
        <v>0</v>
      </c>
      <c r="BB217" s="315">
        <v>0</v>
      </c>
      <c r="BC217" s="315">
        <v>0</v>
      </c>
      <c r="BD217" s="315">
        <v>0</v>
      </c>
      <c r="BE217" s="315">
        <v>0</v>
      </c>
      <c r="BF217" s="315">
        <v>0</v>
      </c>
      <c r="BG217" s="315">
        <v>0</v>
      </c>
      <c r="BH217" s="315">
        <v>0</v>
      </c>
      <c r="BI217" s="315">
        <v>0</v>
      </c>
      <c r="BJ217" s="315">
        <v>0</v>
      </c>
      <c r="BK217" s="315">
        <v>0</v>
      </c>
      <c r="BL217" s="315">
        <v>0</v>
      </c>
      <c r="BM217" s="315">
        <v>0</v>
      </c>
      <c r="BN217" s="315">
        <v>0</v>
      </c>
      <c r="BO217" s="315">
        <v>0</v>
      </c>
      <c r="BU217" s="315">
        <v>0</v>
      </c>
      <c r="BV217" s="315">
        <v>0</v>
      </c>
    </row>
    <row r="218" spans="12:74" hidden="1" x14ac:dyDescent="0.2">
      <c r="L218" s="315">
        <v>0</v>
      </c>
      <c r="M218" s="315">
        <v>0</v>
      </c>
      <c r="N218" s="315">
        <v>0</v>
      </c>
      <c r="O218" s="315">
        <v>0</v>
      </c>
      <c r="P218" s="315">
        <v>0</v>
      </c>
      <c r="Q218" s="315">
        <v>0</v>
      </c>
      <c r="R218" s="315">
        <v>0</v>
      </c>
      <c r="S218" s="315">
        <v>0</v>
      </c>
      <c r="T218" s="315">
        <v>0</v>
      </c>
      <c r="U218" s="315">
        <v>0</v>
      </c>
      <c r="V218" s="315">
        <v>0</v>
      </c>
      <c r="W218" s="315">
        <v>0</v>
      </c>
      <c r="X218" s="315">
        <v>0</v>
      </c>
      <c r="Y218" s="315">
        <v>0</v>
      </c>
      <c r="Z218" s="315">
        <v>0</v>
      </c>
      <c r="AA218" s="315">
        <v>0</v>
      </c>
      <c r="AB218" s="315">
        <v>0</v>
      </c>
      <c r="AC218" s="315">
        <v>0</v>
      </c>
      <c r="AD218" s="315">
        <v>0</v>
      </c>
      <c r="AE218" s="315">
        <v>0</v>
      </c>
      <c r="AF218" s="315">
        <v>0</v>
      </c>
      <c r="AG218" s="315">
        <v>0</v>
      </c>
      <c r="AH218" s="315">
        <v>0</v>
      </c>
      <c r="AI218" s="315">
        <v>0</v>
      </c>
      <c r="AJ218" s="315">
        <v>0</v>
      </c>
      <c r="AK218" s="315">
        <v>0</v>
      </c>
      <c r="AL218" s="315">
        <v>0</v>
      </c>
      <c r="AM218" s="315">
        <v>0</v>
      </c>
      <c r="AN218" s="315">
        <v>0</v>
      </c>
      <c r="AO218" s="315">
        <v>0</v>
      </c>
      <c r="AP218" s="315">
        <v>0</v>
      </c>
      <c r="AQ218" s="315">
        <v>0</v>
      </c>
      <c r="AR218" s="315">
        <v>0</v>
      </c>
      <c r="AS218" s="315">
        <v>0</v>
      </c>
      <c r="AT218" s="315">
        <v>0</v>
      </c>
      <c r="AU218" s="315">
        <v>0</v>
      </c>
      <c r="AV218" s="315">
        <v>0</v>
      </c>
      <c r="AW218" s="315">
        <v>0</v>
      </c>
      <c r="AX218" s="315">
        <v>0</v>
      </c>
      <c r="AY218" s="315">
        <v>0</v>
      </c>
      <c r="AZ218" s="315">
        <v>0</v>
      </c>
      <c r="BA218" s="315">
        <v>0</v>
      </c>
      <c r="BB218" s="315">
        <v>0</v>
      </c>
      <c r="BC218" s="315">
        <v>0</v>
      </c>
      <c r="BD218" s="315">
        <v>0</v>
      </c>
      <c r="BE218" s="315">
        <v>0</v>
      </c>
      <c r="BF218" s="315">
        <v>0</v>
      </c>
      <c r="BG218" s="315">
        <v>0</v>
      </c>
      <c r="BH218" s="315">
        <v>0</v>
      </c>
      <c r="BI218" s="315">
        <v>0</v>
      </c>
      <c r="BJ218" s="315">
        <v>0</v>
      </c>
      <c r="BK218" s="315">
        <v>0</v>
      </c>
      <c r="BL218" s="315">
        <v>0</v>
      </c>
      <c r="BM218" s="315">
        <v>0</v>
      </c>
      <c r="BN218" s="315">
        <v>0</v>
      </c>
      <c r="BO218" s="315">
        <v>0</v>
      </c>
      <c r="BU218" s="315">
        <v>0</v>
      </c>
      <c r="BV218" s="315">
        <v>0</v>
      </c>
    </row>
    <row r="219" spans="12:74" hidden="1" x14ac:dyDescent="0.2"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>
        <v>0</v>
      </c>
      <c r="Z219" s="315">
        <v>0</v>
      </c>
      <c r="AA219" s="315">
        <v>0</v>
      </c>
      <c r="AB219" s="315">
        <v>0</v>
      </c>
      <c r="AC219" s="315">
        <v>0</v>
      </c>
      <c r="AD219" s="315">
        <v>0</v>
      </c>
      <c r="AE219" s="315">
        <v>0</v>
      </c>
      <c r="AF219" s="315">
        <v>0</v>
      </c>
      <c r="AG219" s="315">
        <v>0</v>
      </c>
      <c r="AH219" s="315">
        <v>0</v>
      </c>
      <c r="AI219" s="315">
        <v>0</v>
      </c>
      <c r="AJ219" s="315">
        <v>0</v>
      </c>
      <c r="AK219" s="315">
        <v>0</v>
      </c>
      <c r="AL219" s="315">
        <v>0</v>
      </c>
      <c r="AM219" s="315">
        <v>0</v>
      </c>
      <c r="AN219" s="315">
        <v>0</v>
      </c>
      <c r="AO219" s="315">
        <v>0</v>
      </c>
      <c r="AP219" s="315">
        <v>0</v>
      </c>
      <c r="AQ219" s="315">
        <v>0</v>
      </c>
      <c r="AR219" s="315">
        <v>0</v>
      </c>
      <c r="AS219" s="315">
        <v>0</v>
      </c>
      <c r="AT219" s="315">
        <v>0</v>
      </c>
      <c r="AU219" s="315">
        <v>0</v>
      </c>
      <c r="AV219" s="315">
        <v>0</v>
      </c>
      <c r="AW219" s="315">
        <v>0</v>
      </c>
      <c r="AX219" s="315">
        <v>0</v>
      </c>
      <c r="AY219" s="315">
        <v>0</v>
      </c>
      <c r="AZ219" s="315">
        <v>0</v>
      </c>
      <c r="BA219" s="315">
        <v>0</v>
      </c>
      <c r="BB219" s="315">
        <v>0</v>
      </c>
      <c r="BC219" s="315">
        <v>0</v>
      </c>
      <c r="BD219" s="315">
        <v>0</v>
      </c>
      <c r="BE219" s="315">
        <v>0</v>
      </c>
      <c r="BF219" s="315">
        <v>0</v>
      </c>
      <c r="BG219" s="315">
        <v>0</v>
      </c>
      <c r="BH219" s="315">
        <v>0</v>
      </c>
      <c r="BI219" s="315">
        <v>0</v>
      </c>
      <c r="BJ219" s="315">
        <v>0</v>
      </c>
      <c r="BK219" s="315">
        <v>0</v>
      </c>
      <c r="BL219" s="315">
        <v>0</v>
      </c>
      <c r="BM219" s="315">
        <v>0</v>
      </c>
      <c r="BN219" s="315">
        <v>0</v>
      </c>
      <c r="BO219" s="315">
        <v>0</v>
      </c>
      <c r="BU219" s="315">
        <v>0</v>
      </c>
      <c r="BV219" s="315">
        <v>0</v>
      </c>
    </row>
    <row r="220" spans="12:74" hidden="1" x14ac:dyDescent="0.2"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>
        <v>0</v>
      </c>
      <c r="Z220" s="315">
        <v>0</v>
      </c>
      <c r="AA220" s="315">
        <v>0</v>
      </c>
      <c r="AB220" s="315">
        <v>0</v>
      </c>
      <c r="AC220" s="315">
        <v>0</v>
      </c>
      <c r="AD220" s="315">
        <v>0</v>
      </c>
      <c r="AE220" s="315">
        <v>0</v>
      </c>
      <c r="AF220" s="315">
        <v>0</v>
      </c>
      <c r="AG220" s="315">
        <v>0</v>
      </c>
      <c r="AH220" s="315">
        <v>0</v>
      </c>
      <c r="AI220" s="315">
        <v>0</v>
      </c>
      <c r="AJ220" s="315">
        <v>0</v>
      </c>
      <c r="AK220" s="315">
        <v>0</v>
      </c>
      <c r="AL220" s="315">
        <v>0</v>
      </c>
      <c r="AM220" s="315">
        <v>0</v>
      </c>
      <c r="AN220" s="315">
        <v>0</v>
      </c>
      <c r="AO220" s="315">
        <v>0</v>
      </c>
      <c r="AP220" s="315">
        <v>0</v>
      </c>
      <c r="AQ220" s="315">
        <v>0</v>
      </c>
      <c r="AR220" s="315">
        <v>0</v>
      </c>
      <c r="AS220" s="315">
        <v>0</v>
      </c>
      <c r="AT220" s="315">
        <v>0</v>
      </c>
      <c r="AU220" s="315">
        <v>0</v>
      </c>
      <c r="AV220" s="315">
        <v>0</v>
      </c>
      <c r="AW220" s="315">
        <v>0</v>
      </c>
      <c r="AX220" s="315">
        <v>0</v>
      </c>
      <c r="AY220" s="315">
        <v>0</v>
      </c>
      <c r="AZ220" s="315">
        <v>0</v>
      </c>
      <c r="BA220" s="315">
        <v>0</v>
      </c>
      <c r="BB220" s="315">
        <v>0</v>
      </c>
      <c r="BC220" s="315">
        <v>0</v>
      </c>
      <c r="BD220" s="315">
        <v>0</v>
      </c>
      <c r="BE220" s="315">
        <v>0</v>
      </c>
      <c r="BF220" s="315">
        <v>0</v>
      </c>
      <c r="BG220" s="315">
        <v>0</v>
      </c>
      <c r="BH220" s="315">
        <v>0</v>
      </c>
      <c r="BI220" s="315">
        <v>0</v>
      </c>
      <c r="BJ220" s="315">
        <v>0</v>
      </c>
      <c r="BK220" s="315">
        <v>0</v>
      </c>
      <c r="BL220" s="315">
        <v>0</v>
      </c>
      <c r="BM220" s="315">
        <v>0</v>
      </c>
      <c r="BN220" s="315">
        <v>0</v>
      </c>
      <c r="BO220" s="315">
        <v>0</v>
      </c>
      <c r="BU220" s="315">
        <v>0</v>
      </c>
      <c r="BV220" s="315">
        <v>0</v>
      </c>
    </row>
    <row r="221" spans="12:74" hidden="1" x14ac:dyDescent="0.2"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>
        <v>0</v>
      </c>
      <c r="Z221" s="315">
        <v>0</v>
      </c>
      <c r="AA221" s="315">
        <v>0</v>
      </c>
      <c r="AB221" s="315">
        <v>0</v>
      </c>
      <c r="AC221" s="315">
        <v>0</v>
      </c>
      <c r="AD221" s="315">
        <v>0</v>
      </c>
      <c r="AE221" s="315">
        <v>0</v>
      </c>
      <c r="AF221" s="315">
        <v>0</v>
      </c>
      <c r="AG221" s="315">
        <v>0</v>
      </c>
      <c r="AH221" s="315">
        <v>0</v>
      </c>
      <c r="AI221" s="315">
        <v>0</v>
      </c>
      <c r="AJ221" s="315">
        <v>0</v>
      </c>
      <c r="AK221" s="315">
        <v>0</v>
      </c>
      <c r="AL221" s="315">
        <v>0</v>
      </c>
      <c r="AM221" s="315">
        <v>0</v>
      </c>
      <c r="AN221" s="315">
        <v>0</v>
      </c>
      <c r="AO221" s="315">
        <v>0</v>
      </c>
      <c r="AP221" s="315">
        <v>0</v>
      </c>
      <c r="AQ221" s="315">
        <v>0</v>
      </c>
      <c r="AR221" s="315">
        <v>0</v>
      </c>
      <c r="AS221" s="315">
        <v>0</v>
      </c>
      <c r="AT221" s="315">
        <v>0</v>
      </c>
      <c r="AU221" s="315">
        <v>0</v>
      </c>
      <c r="AV221" s="315">
        <v>0</v>
      </c>
      <c r="AW221" s="315">
        <v>0</v>
      </c>
      <c r="AX221" s="315">
        <v>0</v>
      </c>
      <c r="AY221" s="315">
        <v>0</v>
      </c>
      <c r="AZ221" s="315">
        <v>0</v>
      </c>
      <c r="BA221" s="315">
        <v>0</v>
      </c>
      <c r="BB221" s="315">
        <v>0</v>
      </c>
      <c r="BC221" s="315">
        <v>0</v>
      </c>
      <c r="BD221" s="315">
        <v>0</v>
      </c>
      <c r="BE221" s="315">
        <v>0</v>
      </c>
      <c r="BF221" s="315">
        <v>0</v>
      </c>
      <c r="BG221" s="315">
        <v>0</v>
      </c>
      <c r="BH221" s="315">
        <v>0</v>
      </c>
      <c r="BI221" s="315">
        <v>0</v>
      </c>
      <c r="BJ221" s="315">
        <v>0</v>
      </c>
      <c r="BK221" s="315">
        <v>0</v>
      </c>
      <c r="BL221" s="315">
        <v>0</v>
      </c>
      <c r="BM221" s="315">
        <v>0</v>
      </c>
      <c r="BN221" s="315">
        <v>0</v>
      </c>
      <c r="BO221" s="315">
        <v>0</v>
      </c>
      <c r="BU221" s="315">
        <v>0</v>
      </c>
      <c r="BV221" s="315">
        <v>0</v>
      </c>
    </row>
    <row r="222" spans="12:74" hidden="1" x14ac:dyDescent="0.2">
      <c r="L222" s="315">
        <v>0</v>
      </c>
      <c r="M222" s="315">
        <v>0</v>
      </c>
      <c r="N222" s="315">
        <v>0</v>
      </c>
      <c r="O222" s="315">
        <v>0</v>
      </c>
      <c r="P222" s="315">
        <v>0</v>
      </c>
      <c r="Q222" s="315">
        <v>0</v>
      </c>
      <c r="R222" s="315">
        <v>0</v>
      </c>
      <c r="S222" s="315">
        <v>0</v>
      </c>
      <c r="T222" s="315">
        <v>0</v>
      </c>
      <c r="U222" s="315">
        <v>0</v>
      </c>
      <c r="V222" s="315">
        <v>0</v>
      </c>
      <c r="W222" s="315">
        <v>0</v>
      </c>
      <c r="X222" s="315">
        <v>0</v>
      </c>
      <c r="Y222" s="315">
        <v>0</v>
      </c>
      <c r="Z222" s="315">
        <v>0</v>
      </c>
      <c r="AA222" s="315">
        <v>0</v>
      </c>
      <c r="AB222" s="315">
        <v>0</v>
      </c>
      <c r="AC222" s="315">
        <v>0</v>
      </c>
      <c r="AD222" s="315">
        <v>0</v>
      </c>
      <c r="AE222" s="315">
        <v>0</v>
      </c>
      <c r="AF222" s="315">
        <v>0</v>
      </c>
      <c r="AG222" s="315">
        <v>0</v>
      </c>
      <c r="AH222" s="315">
        <v>0</v>
      </c>
      <c r="AI222" s="315">
        <v>0</v>
      </c>
      <c r="AJ222" s="315">
        <v>0</v>
      </c>
      <c r="AK222" s="315">
        <v>0</v>
      </c>
      <c r="AL222" s="315">
        <v>0</v>
      </c>
      <c r="AM222" s="315">
        <v>0</v>
      </c>
      <c r="AN222" s="315">
        <v>0</v>
      </c>
      <c r="AO222" s="315">
        <v>0</v>
      </c>
      <c r="AP222" s="315">
        <v>0</v>
      </c>
      <c r="AQ222" s="315">
        <v>0</v>
      </c>
      <c r="AR222" s="315">
        <v>0</v>
      </c>
      <c r="AS222" s="315">
        <v>0</v>
      </c>
      <c r="AT222" s="315">
        <v>0</v>
      </c>
      <c r="AU222" s="315">
        <v>0</v>
      </c>
      <c r="AV222" s="315">
        <v>0</v>
      </c>
      <c r="AW222" s="315">
        <v>0</v>
      </c>
      <c r="AX222" s="315">
        <v>0</v>
      </c>
      <c r="AY222" s="315">
        <v>0</v>
      </c>
      <c r="AZ222" s="315">
        <v>0</v>
      </c>
      <c r="BA222" s="315">
        <v>0</v>
      </c>
      <c r="BB222" s="315">
        <v>0</v>
      </c>
      <c r="BC222" s="315">
        <v>0</v>
      </c>
      <c r="BD222" s="315">
        <v>0</v>
      </c>
      <c r="BE222" s="315">
        <v>0</v>
      </c>
      <c r="BF222" s="315">
        <v>0</v>
      </c>
      <c r="BG222" s="315">
        <v>0</v>
      </c>
      <c r="BH222" s="315">
        <v>0</v>
      </c>
      <c r="BI222" s="315">
        <v>0</v>
      </c>
      <c r="BJ222" s="315">
        <v>0</v>
      </c>
      <c r="BK222" s="315">
        <v>0</v>
      </c>
      <c r="BL222" s="315">
        <v>0</v>
      </c>
      <c r="BM222" s="315">
        <v>0</v>
      </c>
      <c r="BN222" s="315">
        <v>0</v>
      </c>
      <c r="BO222" s="315">
        <v>0</v>
      </c>
      <c r="BU222" s="315">
        <v>0</v>
      </c>
      <c r="BV222" s="315">
        <v>0</v>
      </c>
    </row>
    <row r="223" spans="12:74" hidden="1" x14ac:dyDescent="0.2">
      <c r="L223" s="315">
        <v>0</v>
      </c>
      <c r="M223" s="315">
        <v>0</v>
      </c>
      <c r="N223" s="315">
        <v>0</v>
      </c>
      <c r="O223" s="315">
        <v>0</v>
      </c>
      <c r="P223" s="315">
        <v>0</v>
      </c>
      <c r="Q223" s="315">
        <v>0</v>
      </c>
      <c r="R223" s="315">
        <v>0</v>
      </c>
      <c r="S223" s="315">
        <v>0</v>
      </c>
      <c r="T223" s="315">
        <v>0</v>
      </c>
      <c r="U223" s="315">
        <v>0</v>
      </c>
      <c r="V223" s="315">
        <v>0</v>
      </c>
      <c r="W223" s="315">
        <v>0</v>
      </c>
      <c r="X223" s="315">
        <v>0</v>
      </c>
      <c r="Y223" s="315">
        <v>0</v>
      </c>
      <c r="Z223" s="315">
        <v>0</v>
      </c>
      <c r="AA223" s="315">
        <v>0</v>
      </c>
      <c r="AB223" s="315">
        <v>0</v>
      </c>
      <c r="AC223" s="315">
        <v>0</v>
      </c>
      <c r="AD223" s="315">
        <v>0</v>
      </c>
      <c r="AE223" s="315">
        <v>0</v>
      </c>
      <c r="AF223" s="315">
        <v>0</v>
      </c>
      <c r="AG223" s="315">
        <v>0</v>
      </c>
      <c r="AH223" s="315">
        <v>0</v>
      </c>
      <c r="AI223" s="315">
        <v>0</v>
      </c>
      <c r="AJ223" s="315">
        <v>0</v>
      </c>
      <c r="AK223" s="315">
        <v>0</v>
      </c>
      <c r="AL223" s="315">
        <v>0</v>
      </c>
      <c r="AM223" s="315">
        <v>0</v>
      </c>
      <c r="AN223" s="315">
        <v>0</v>
      </c>
      <c r="AO223" s="315">
        <v>0</v>
      </c>
      <c r="AP223" s="315">
        <v>0</v>
      </c>
      <c r="AQ223" s="315">
        <v>0</v>
      </c>
      <c r="AR223" s="315">
        <v>0</v>
      </c>
      <c r="AS223" s="315">
        <v>0</v>
      </c>
      <c r="AT223" s="315">
        <v>0</v>
      </c>
      <c r="AU223" s="315">
        <v>0</v>
      </c>
      <c r="AV223" s="315">
        <v>0</v>
      </c>
      <c r="AW223" s="315">
        <v>0</v>
      </c>
      <c r="AX223" s="315">
        <v>0</v>
      </c>
      <c r="AY223" s="315">
        <v>0</v>
      </c>
      <c r="AZ223" s="315">
        <v>0</v>
      </c>
      <c r="BA223" s="315">
        <v>0</v>
      </c>
      <c r="BB223" s="315">
        <v>0</v>
      </c>
      <c r="BC223" s="315">
        <v>0</v>
      </c>
      <c r="BD223" s="315">
        <v>0</v>
      </c>
      <c r="BE223" s="315">
        <v>0</v>
      </c>
      <c r="BF223" s="315">
        <v>0</v>
      </c>
      <c r="BG223" s="315">
        <v>0</v>
      </c>
      <c r="BH223" s="315">
        <v>0</v>
      </c>
      <c r="BI223" s="315">
        <v>0</v>
      </c>
      <c r="BJ223" s="315">
        <v>0</v>
      </c>
      <c r="BK223" s="315">
        <v>0</v>
      </c>
      <c r="BL223" s="315">
        <v>0</v>
      </c>
      <c r="BM223" s="315">
        <v>0</v>
      </c>
      <c r="BN223" s="315">
        <v>0</v>
      </c>
      <c r="BO223" s="315">
        <v>0</v>
      </c>
      <c r="BU223" s="315">
        <v>0</v>
      </c>
      <c r="BV223" s="315">
        <v>0</v>
      </c>
    </row>
    <row r="224" spans="12:74" hidden="1" x14ac:dyDescent="0.2">
      <c r="L224" s="315">
        <v>0</v>
      </c>
      <c r="M224" s="315">
        <v>0</v>
      </c>
      <c r="N224" s="315">
        <v>0</v>
      </c>
      <c r="O224" s="315">
        <v>0</v>
      </c>
      <c r="P224" s="315">
        <v>0</v>
      </c>
      <c r="Q224" s="315">
        <v>0</v>
      </c>
      <c r="R224" s="315">
        <v>0</v>
      </c>
      <c r="S224" s="315">
        <v>0</v>
      </c>
      <c r="T224" s="315">
        <v>0</v>
      </c>
      <c r="U224" s="315">
        <v>0</v>
      </c>
      <c r="V224" s="315">
        <v>0</v>
      </c>
      <c r="W224" s="315">
        <v>0</v>
      </c>
      <c r="X224" s="315">
        <v>0</v>
      </c>
      <c r="Y224" s="315">
        <v>0</v>
      </c>
      <c r="Z224" s="315">
        <v>0</v>
      </c>
      <c r="AA224" s="315">
        <v>0</v>
      </c>
      <c r="AB224" s="315">
        <v>0</v>
      </c>
      <c r="AC224" s="315">
        <v>0</v>
      </c>
      <c r="AD224" s="315">
        <v>0</v>
      </c>
      <c r="AE224" s="315">
        <v>0</v>
      </c>
      <c r="AF224" s="315">
        <v>0</v>
      </c>
      <c r="AG224" s="315">
        <v>0</v>
      </c>
      <c r="AH224" s="315">
        <v>0</v>
      </c>
      <c r="AI224" s="315">
        <v>0</v>
      </c>
      <c r="AJ224" s="315">
        <v>0</v>
      </c>
      <c r="AK224" s="315">
        <v>0</v>
      </c>
      <c r="AL224" s="315">
        <v>0</v>
      </c>
      <c r="AM224" s="315">
        <v>0</v>
      </c>
      <c r="AN224" s="315">
        <v>0</v>
      </c>
      <c r="AO224" s="315">
        <v>0</v>
      </c>
      <c r="AP224" s="315">
        <v>0</v>
      </c>
      <c r="AQ224" s="315">
        <v>0</v>
      </c>
      <c r="AR224" s="315">
        <v>0</v>
      </c>
      <c r="AS224" s="315">
        <v>0</v>
      </c>
      <c r="AT224" s="315">
        <v>0</v>
      </c>
      <c r="AU224" s="315">
        <v>0</v>
      </c>
      <c r="AV224" s="315">
        <v>0</v>
      </c>
      <c r="AW224" s="315">
        <v>0</v>
      </c>
      <c r="AX224" s="315">
        <v>0</v>
      </c>
      <c r="AY224" s="315">
        <v>0</v>
      </c>
      <c r="AZ224" s="315">
        <v>0</v>
      </c>
      <c r="BA224" s="315">
        <v>0</v>
      </c>
      <c r="BB224" s="315">
        <v>0</v>
      </c>
      <c r="BC224" s="315">
        <v>0</v>
      </c>
      <c r="BD224" s="315">
        <v>0</v>
      </c>
      <c r="BE224" s="315">
        <v>0</v>
      </c>
      <c r="BF224" s="315">
        <v>0</v>
      </c>
      <c r="BG224" s="315">
        <v>0</v>
      </c>
      <c r="BH224" s="315">
        <v>0</v>
      </c>
      <c r="BI224" s="315">
        <v>0</v>
      </c>
      <c r="BJ224" s="315">
        <v>0</v>
      </c>
      <c r="BK224" s="315">
        <v>0</v>
      </c>
      <c r="BL224" s="315">
        <v>0</v>
      </c>
      <c r="BM224" s="315">
        <v>0</v>
      </c>
      <c r="BN224" s="315">
        <v>0</v>
      </c>
      <c r="BO224" s="315">
        <v>0</v>
      </c>
      <c r="BU224" s="315">
        <v>0</v>
      </c>
      <c r="BV224" s="315">
        <v>0</v>
      </c>
    </row>
    <row r="225" spans="12:74" hidden="1" x14ac:dyDescent="0.2">
      <c r="L225" s="315">
        <v>0</v>
      </c>
      <c r="M225" s="315">
        <v>0</v>
      </c>
      <c r="N225" s="315">
        <v>0</v>
      </c>
      <c r="O225" s="315">
        <v>0</v>
      </c>
      <c r="P225" s="315">
        <v>0</v>
      </c>
      <c r="Q225" s="315">
        <v>0</v>
      </c>
      <c r="R225" s="315">
        <v>0</v>
      </c>
      <c r="S225" s="315">
        <v>0</v>
      </c>
      <c r="T225" s="315">
        <v>0</v>
      </c>
      <c r="U225" s="315">
        <v>0</v>
      </c>
      <c r="V225" s="315">
        <v>0</v>
      </c>
      <c r="W225" s="315">
        <v>0</v>
      </c>
      <c r="X225" s="315">
        <v>0</v>
      </c>
      <c r="Y225" s="315">
        <v>0</v>
      </c>
      <c r="Z225" s="315">
        <v>0</v>
      </c>
      <c r="AA225" s="315">
        <v>0</v>
      </c>
      <c r="AB225" s="315">
        <v>0</v>
      </c>
      <c r="AC225" s="315">
        <v>0</v>
      </c>
      <c r="AD225" s="315">
        <v>0</v>
      </c>
      <c r="AE225" s="315">
        <v>0</v>
      </c>
      <c r="AF225" s="315">
        <v>0</v>
      </c>
      <c r="AG225" s="315">
        <v>0</v>
      </c>
      <c r="AH225" s="315">
        <v>0</v>
      </c>
      <c r="AI225" s="315">
        <v>0</v>
      </c>
      <c r="AJ225" s="315">
        <v>0</v>
      </c>
      <c r="AK225" s="315">
        <v>0</v>
      </c>
      <c r="AL225" s="315">
        <v>0</v>
      </c>
      <c r="AM225" s="315">
        <v>0</v>
      </c>
      <c r="AN225" s="315">
        <v>0</v>
      </c>
      <c r="AO225" s="315">
        <v>0</v>
      </c>
      <c r="AP225" s="315">
        <v>0</v>
      </c>
      <c r="AQ225" s="315">
        <v>0</v>
      </c>
      <c r="AR225" s="315">
        <v>0</v>
      </c>
      <c r="AS225" s="315">
        <v>0</v>
      </c>
      <c r="AT225" s="315">
        <v>0</v>
      </c>
      <c r="AU225" s="315">
        <v>0</v>
      </c>
      <c r="AV225" s="315">
        <v>0</v>
      </c>
      <c r="AW225" s="315">
        <v>0</v>
      </c>
      <c r="AX225" s="315">
        <v>0</v>
      </c>
      <c r="AY225" s="315">
        <v>0</v>
      </c>
      <c r="AZ225" s="315">
        <v>0</v>
      </c>
      <c r="BA225" s="315">
        <v>0</v>
      </c>
      <c r="BB225" s="315">
        <v>0</v>
      </c>
      <c r="BC225" s="315">
        <v>0</v>
      </c>
      <c r="BD225" s="315">
        <v>0</v>
      </c>
      <c r="BE225" s="315">
        <v>0</v>
      </c>
      <c r="BF225" s="315">
        <v>0</v>
      </c>
      <c r="BG225" s="315">
        <v>0</v>
      </c>
      <c r="BH225" s="315">
        <v>0</v>
      </c>
      <c r="BI225" s="315">
        <v>0</v>
      </c>
      <c r="BJ225" s="315">
        <v>0</v>
      </c>
      <c r="BK225" s="315">
        <v>0</v>
      </c>
      <c r="BL225" s="315">
        <v>0</v>
      </c>
      <c r="BM225" s="315">
        <v>0</v>
      </c>
      <c r="BN225" s="315">
        <v>0</v>
      </c>
      <c r="BO225" s="315">
        <v>0</v>
      </c>
      <c r="BU225" s="315">
        <v>0</v>
      </c>
      <c r="BV225" s="315">
        <v>0</v>
      </c>
    </row>
    <row r="226" spans="12:74" hidden="1" x14ac:dyDescent="0.2">
      <c r="L226" s="315">
        <v>0</v>
      </c>
      <c r="M226" s="315">
        <v>0</v>
      </c>
      <c r="N226" s="315">
        <v>0</v>
      </c>
      <c r="O226" s="315">
        <v>0</v>
      </c>
      <c r="P226" s="315">
        <v>0</v>
      </c>
      <c r="Q226" s="315">
        <v>0</v>
      </c>
      <c r="R226" s="315">
        <v>0</v>
      </c>
      <c r="S226" s="315">
        <v>0</v>
      </c>
      <c r="T226" s="315">
        <v>0</v>
      </c>
      <c r="U226" s="315">
        <v>0</v>
      </c>
      <c r="V226" s="315">
        <v>0</v>
      </c>
      <c r="W226" s="315">
        <v>0</v>
      </c>
      <c r="X226" s="315">
        <v>0</v>
      </c>
      <c r="Y226" s="315">
        <v>0</v>
      </c>
      <c r="Z226" s="315">
        <v>0</v>
      </c>
      <c r="AA226" s="315">
        <v>0</v>
      </c>
      <c r="AB226" s="315">
        <v>0</v>
      </c>
      <c r="AC226" s="315">
        <v>0</v>
      </c>
      <c r="AD226" s="315">
        <v>0</v>
      </c>
      <c r="AE226" s="315">
        <v>0</v>
      </c>
      <c r="AF226" s="315">
        <v>0</v>
      </c>
      <c r="AG226" s="315">
        <v>0</v>
      </c>
      <c r="AH226" s="315">
        <v>0</v>
      </c>
      <c r="AI226" s="315">
        <v>0</v>
      </c>
      <c r="AJ226" s="315">
        <v>0</v>
      </c>
      <c r="AK226" s="315">
        <v>0</v>
      </c>
      <c r="AL226" s="315">
        <v>0</v>
      </c>
      <c r="AM226" s="315">
        <v>0</v>
      </c>
      <c r="AN226" s="315">
        <v>0</v>
      </c>
      <c r="AO226" s="315">
        <v>0</v>
      </c>
      <c r="AP226" s="315">
        <v>0</v>
      </c>
      <c r="AQ226" s="315">
        <v>0</v>
      </c>
      <c r="AR226" s="315">
        <v>0</v>
      </c>
      <c r="AS226" s="315">
        <v>0</v>
      </c>
      <c r="AT226" s="315">
        <v>0</v>
      </c>
      <c r="AU226" s="315">
        <v>0</v>
      </c>
      <c r="AV226" s="315">
        <v>0</v>
      </c>
      <c r="AW226" s="315">
        <v>0</v>
      </c>
      <c r="AX226" s="315">
        <v>0</v>
      </c>
      <c r="AY226" s="315">
        <v>0</v>
      </c>
      <c r="AZ226" s="315">
        <v>0</v>
      </c>
      <c r="BA226" s="315">
        <v>0</v>
      </c>
      <c r="BB226" s="315">
        <v>0</v>
      </c>
      <c r="BC226" s="315">
        <v>0</v>
      </c>
      <c r="BD226" s="315">
        <v>0</v>
      </c>
      <c r="BE226" s="315">
        <v>0</v>
      </c>
      <c r="BF226" s="315">
        <v>0</v>
      </c>
      <c r="BG226" s="315">
        <v>0</v>
      </c>
      <c r="BH226" s="315">
        <v>0</v>
      </c>
      <c r="BI226" s="315">
        <v>0</v>
      </c>
      <c r="BJ226" s="315">
        <v>0</v>
      </c>
      <c r="BK226" s="315">
        <v>0</v>
      </c>
      <c r="BL226" s="315">
        <v>0</v>
      </c>
      <c r="BM226" s="315">
        <v>0</v>
      </c>
      <c r="BN226" s="315">
        <v>0</v>
      </c>
      <c r="BO226" s="315">
        <v>0</v>
      </c>
      <c r="BU226" s="315">
        <v>0</v>
      </c>
      <c r="BV226" s="315">
        <v>0</v>
      </c>
    </row>
    <row r="227" spans="12:74" hidden="1" x14ac:dyDescent="0.2">
      <c r="L227" s="315">
        <v>0</v>
      </c>
      <c r="M227" s="315">
        <v>0</v>
      </c>
      <c r="N227" s="315">
        <v>0</v>
      </c>
      <c r="O227" s="315">
        <v>0</v>
      </c>
      <c r="P227" s="315">
        <v>0</v>
      </c>
      <c r="Q227" s="315">
        <v>0</v>
      </c>
      <c r="R227" s="315">
        <v>0</v>
      </c>
      <c r="S227" s="315">
        <v>0</v>
      </c>
      <c r="T227" s="315">
        <v>0</v>
      </c>
      <c r="U227" s="315">
        <v>0</v>
      </c>
      <c r="V227" s="315">
        <v>0</v>
      </c>
      <c r="W227" s="315">
        <v>0</v>
      </c>
      <c r="X227" s="315">
        <v>0</v>
      </c>
      <c r="Y227" s="315">
        <v>0</v>
      </c>
      <c r="Z227" s="315">
        <v>0</v>
      </c>
      <c r="AA227" s="315">
        <v>0</v>
      </c>
      <c r="AB227" s="315">
        <v>0</v>
      </c>
      <c r="AC227" s="315">
        <v>0</v>
      </c>
      <c r="AD227" s="315">
        <v>0</v>
      </c>
      <c r="AE227" s="315">
        <v>0</v>
      </c>
      <c r="AF227" s="315">
        <v>0</v>
      </c>
      <c r="AG227" s="315">
        <v>0</v>
      </c>
      <c r="AH227" s="315">
        <v>0</v>
      </c>
      <c r="AI227" s="315">
        <v>0</v>
      </c>
      <c r="AJ227" s="315">
        <v>0</v>
      </c>
      <c r="AK227" s="315">
        <v>0</v>
      </c>
      <c r="AL227" s="315">
        <v>0</v>
      </c>
      <c r="AM227" s="315">
        <v>0</v>
      </c>
      <c r="AN227" s="315">
        <v>0</v>
      </c>
      <c r="AO227" s="315">
        <v>0</v>
      </c>
      <c r="AP227" s="315">
        <v>0</v>
      </c>
      <c r="AQ227" s="315">
        <v>0</v>
      </c>
      <c r="AR227" s="315">
        <v>0</v>
      </c>
      <c r="AS227" s="315">
        <v>0</v>
      </c>
      <c r="AT227" s="315">
        <v>0</v>
      </c>
      <c r="AU227" s="315">
        <v>0</v>
      </c>
      <c r="AV227" s="315">
        <v>0</v>
      </c>
      <c r="AW227" s="315">
        <v>0</v>
      </c>
      <c r="AX227" s="315">
        <v>0</v>
      </c>
      <c r="AY227" s="315">
        <v>0</v>
      </c>
      <c r="AZ227" s="315">
        <v>0</v>
      </c>
      <c r="BA227" s="315">
        <v>0</v>
      </c>
      <c r="BB227" s="315">
        <v>0</v>
      </c>
      <c r="BC227" s="315">
        <v>0</v>
      </c>
      <c r="BD227" s="315">
        <v>0</v>
      </c>
      <c r="BE227" s="315">
        <v>0</v>
      </c>
      <c r="BF227" s="315">
        <v>0</v>
      </c>
      <c r="BG227" s="315">
        <v>0</v>
      </c>
      <c r="BH227" s="315">
        <v>0</v>
      </c>
      <c r="BI227" s="315">
        <v>0</v>
      </c>
      <c r="BJ227" s="315">
        <v>0</v>
      </c>
      <c r="BK227" s="315">
        <v>0</v>
      </c>
      <c r="BL227" s="315">
        <v>0</v>
      </c>
      <c r="BM227" s="315">
        <v>0</v>
      </c>
      <c r="BN227" s="315">
        <v>0</v>
      </c>
      <c r="BO227" s="315">
        <v>0</v>
      </c>
      <c r="BU227" s="315">
        <v>0</v>
      </c>
      <c r="BV227" s="315">
        <v>0</v>
      </c>
    </row>
    <row r="228" spans="12:74" hidden="1" x14ac:dyDescent="0.2">
      <c r="L228" s="315">
        <v>0</v>
      </c>
      <c r="M228" s="315">
        <v>0</v>
      </c>
      <c r="N228" s="315">
        <v>0</v>
      </c>
      <c r="O228" s="315">
        <v>0</v>
      </c>
      <c r="P228" s="315">
        <v>0</v>
      </c>
      <c r="Q228" s="315">
        <v>0</v>
      </c>
      <c r="R228" s="315">
        <v>0</v>
      </c>
      <c r="S228" s="315">
        <v>0</v>
      </c>
      <c r="T228" s="315">
        <v>0</v>
      </c>
      <c r="U228" s="315">
        <v>0</v>
      </c>
      <c r="V228" s="315">
        <v>0</v>
      </c>
      <c r="W228" s="315">
        <v>0</v>
      </c>
      <c r="X228" s="315">
        <v>0</v>
      </c>
      <c r="Y228" s="315">
        <v>0</v>
      </c>
      <c r="Z228" s="315">
        <v>0</v>
      </c>
      <c r="AA228" s="315">
        <v>0</v>
      </c>
      <c r="AB228" s="315">
        <v>0</v>
      </c>
      <c r="AC228" s="315">
        <v>0</v>
      </c>
      <c r="AD228" s="315">
        <v>0</v>
      </c>
      <c r="AE228" s="315">
        <v>0</v>
      </c>
      <c r="AF228" s="315">
        <v>0</v>
      </c>
      <c r="AG228" s="315">
        <v>0</v>
      </c>
      <c r="AH228" s="315">
        <v>0</v>
      </c>
      <c r="AI228" s="315">
        <v>0</v>
      </c>
      <c r="AJ228" s="315">
        <v>0</v>
      </c>
      <c r="AK228" s="315">
        <v>0</v>
      </c>
      <c r="AL228" s="315">
        <v>0</v>
      </c>
      <c r="AM228" s="315">
        <v>0</v>
      </c>
      <c r="AN228" s="315">
        <v>0</v>
      </c>
      <c r="AO228" s="315">
        <v>0</v>
      </c>
      <c r="AP228" s="315">
        <v>0</v>
      </c>
      <c r="AQ228" s="315">
        <v>0</v>
      </c>
      <c r="AR228" s="315">
        <v>0</v>
      </c>
      <c r="AS228" s="315">
        <v>0</v>
      </c>
      <c r="AT228" s="315">
        <v>0</v>
      </c>
      <c r="AU228" s="315">
        <v>0</v>
      </c>
      <c r="AV228" s="315">
        <v>0</v>
      </c>
      <c r="AW228" s="315">
        <v>0</v>
      </c>
      <c r="AX228" s="315">
        <v>0</v>
      </c>
      <c r="AY228" s="315">
        <v>0</v>
      </c>
      <c r="AZ228" s="315">
        <v>0</v>
      </c>
      <c r="BA228" s="315">
        <v>0</v>
      </c>
      <c r="BB228" s="315">
        <v>0</v>
      </c>
      <c r="BC228" s="315">
        <v>0</v>
      </c>
      <c r="BD228" s="315">
        <v>0</v>
      </c>
      <c r="BE228" s="315">
        <v>0</v>
      </c>
      <c r="BF228" s="315">
        <v>0</v>
      </c>
      <c r="BG228" s="315">
        <v>0</v>
      </c>
      <c r="BH228" s="315">
        <v>0</v>
      </c>
      <c r="BI228" s="315">
        <v>0</v>
      </c>
      <c r="BJ228" s="315">
        <v>0</v>
      </c>
      <c r="BK228" s="315">
        <v>0</v>
      </c>
      <c r="BL228" s="315">
        <v>0</v>
      </c>
      <c r="BM228" s="315">
        <v>0</v>
      </c>
      <c r="BN228" s="315">
        <v>0</v>
      </c>
      <c r="BO228" s="315">
        <v>0</v>
      </c>
      <c r="BU228" s="315">
        <v>0</v>
      </c>
      <c r="BV228" s="315">
        <v>0</v>
      </c>
    </row>
    <row r="229" spans="12:74" hidden="1" x14ac:dyDescent="0.2">
      <c r="L229" s="315">
        <v>0</v>
      </c>
      <c r="M229" s="315">
        <v>0</v>
      </c>
      <c r="N229" s="315">
        <v>0</v>
      </c>
      <c r="O229" s="315">
        <v>0</v>
      </c>
      <c r="P229" s="315">
        <v>0</v>
      </c>
      <c r="Q229" s="315">
        <v>0</v>
      </c>
      <c r="R229" s="315">
        <v>0</v>
      </c>
      <c r="S229" s="315">
        <v>0</v>
      </c>
      <c r="T229" s="315">
        <v>0</v>
      </c>
      <c r="U229" s="315">
        <v>0</v>
      </c>
      <c r="V229" s="315">
        <v>0</v>
      </c>
      <c r="W229" s="315">
        <v>0</v>
      </c>
      <c r="X229" s="315">
        <v>0</v>
      </c>
      <c r="Y229" s="315">
        <v>0</v>
      </c>
      <c r="Z229" s="315">
        <v>0</v>
      </c>
      <c r="AA229" s="315">
        <v>0</v>
      </c>
      <c r="AB229" s="315">
        <v>0</v>
      </c>
      <c r="AC229" s="315">
        <v>0</v>
      </c>
      <c r="AD229" s="315">
        <v>0</v>
      </c>
      <c r="AE229" s="315">
        <v>0</v>
      </c>
      <c r="AF229" s="315">
        <v>0</v>
      </c>
      <c r="AG229" s="315">
        <v>0</v>
      </c>
      <c r="AH229" s="315">
        <v>0</v>
      </c>
      <c r="AI229" s="315">
        <v>0</v>
      </c>
      <c r="AJ229" s="315">
        <v>0</v>
      </c>
      <c r="AK229" s="315">
        <v>0</v>
      </c>
      <c r="AL229" s="315">
        <v>0</v>
      </c>
      <c r="AM229" s="315">
        <v>0</v>
      </c>
      <c r="AN229" s="315">
        <v>0</v>
      </c>
      <c r="AO229" s="315">
        <v>0</v>
      </c>
      <c r="AP229" s="315">
        <v>0</v>
      </c>
      <c r="AQ229" s="315">
        <v>0</v>
      </c>
      <c r="AR229" s="315">
        <v>0</v>
      </c>
      <c r="AS229" s="315">
        <v>0</v>
      </c>
      <c r="AT229" s="315">
        <v>0</v>
      </c>
      <c r="AU229" s="315">
        <v>0</v>
      </c>
      <c r="AV229" s="315">
        <v>0</v>
      </c>
      <c r="AW229" s="315">
        <v>0</v>
      </c>
      <c r="AX229" s="315">
        <v>0</v>
      </c>
      <c r="AY229" s="315">
        <v>0</v>
      </c>
      <c r="AZ229" s="315">
        <v>0</v>
      </c>
      <c r="BA229" s="315">
        <v>0</v>
      </c>
      <c r="BB229" s="315">
        <v>0</v>
      </c>
      <c r="BC229" s="315">
        <v>0</v>
      </c>
      <c r="BD229" s="315">
        <v>0</v>
      </c>
      <c r="BE229" s="315">
        <v>0</v>
      </c>
      <c r="BF229" s="315">
        <v>0</v>
      </c>
      <c r="BG229" s="315">
        <v>0</v>
      </c>
      <c r="BH229" s="315">
        <v>0</v>
      </c>
      <c r="BI229" s="315">
        <v>0</v>
      </c>
      <c r="BJ229" s="315">
        <v>0</v>
      </c>
      <c r="BK229" s="315">
        <v>0</v>
      </c>
      <c r="BL229" s="315">
        <v>0</v>
      </c>
      <c r="BM229" s="315">
        <v>0</v>
      </c>
      <c r="BN229" s="315">
        <v>0</v>
      </c>
      <c r="BO229" s="315">
        <v>0</v>
      </c>
      <c r="BU229" s="315">
        <v>0</v>
      </c>
      <c r="BV229" s="315">
        <v>0</v>
      </c>
    </row>
    <row r="230" spans="12:74" hidden="1" x14ac:dyDescent="0.2">
      <c r="L230" s="315">
        <v>0</v>
      </c>
      <c r="M230" s="315">
        <v>0</v>
      </c>
      <c r="N230" s="315">
        <v>0</v>
      </c>
      <c r="O230" s="315">
        <v>0</v>
      </c>
      <c r="P230" s="315">
        <v>0</v>
      </c>
      <c r="Q230" s="315">
        <v>0</v>
      </c>
      <c r="R230" s="315">
        <v>0</v>
      </c>
      <c r="S230" s="315">
        <v>0</v>
      </c>
      <c r="T230" s="315">
        <v>0</v>
      </c>
      <c r="U230" s="315">
        <v>0</v>
      </c>
      <c r="V230" s="315">
        <v>0</v>
      </c>
      <c r="W230" s="315">
        <v>0</v>
      </c>
      <c r="X230" s="315">
        <v>0</v>
      </c>
      <c r="Y230" s="315">
        <v>0</v>
      </c>
      <c r="Z230" s="315">
        <v>0</v>
      </c>
      <c r="AA230" s="315">
        <v>0</v>
      </c>
      <c r="AB230" s="315">
        <v>0</v>
      </c>
      <c r="AC230" s="315">
        <v>0</v>
      </c>
      <c r="AD230" s="315">
        <v>0</v>
      </c>
      <c r="AE230" s="315">
        <v>0</v>
      </c>
      <c r="AF230" s="315">
        <v>0</v>
      </c>
      <c r="AG230" s="315">
        <v>0</v>
      </c>
      <c r="AH230" s="315">
        <v>0</v>
      </c>
      <c r="AI230" s="315">
        <v>0</v>
      </c>
      <c r="AJ230" s="315">
        <v>0</v>
      </c>
      <c r="AK230" s="315">
        <v>0</v>
      </c>
      <c r="AL230" s="315">
        <v>0</v>
      </c>
      <c r="AM230" s="315">
        <v>0</v>
      </c>
      <c r="AN230" s="315">
        <v>0</v>
      </c>
      <c r="AO230" s="315">
        <v>0</v>
      </c>
      <c r="AP230" s="315">
        <v>0</v>
      </c>
      <c r="AQ230" s="315">
        <v>0</v>
      </c>
      <c r="AR230" s="315">
        <v>0</v>
      </c>
      <c r="AS230" s="315">
        <v>0</v>
      </c>
      <c r="AT230" s="315">
        <v>0</v>
      </c>
      <c r="AU230" s="315">
        <v>0</v>
      </c>
      <c r="AV230" s="315">
        <v>0</v>
      </c>
      <c r="AW230" s="315">
        <v>0</v>
      </c>
      <c r="AX230" s="315">
        <v>0</v>
      </c>
      <c r="AY230" s="315">
        <v>0</v>
      </c>
      <c r="AZ230" s="315">
        <v>0</v>
      </c>
      <c r="BA230" s="315">
        <v>0</v>
      </c>
      <c r="BB230" s="315">
        <v>0</v>
      </c>
      <c r="BC230" s="315">
        <v>0</v>
      </c>
      <c r="BD230" s="315">
        <v>0</v>
      </c>
      <c r="BE230" s="315">
        <v>0</v>
      </c>
      <c r="BF230" s="315">
        <v>0</v>
      </c>
      <c r="BG230" s="315">
        <v>0</v>
      </c>
      <c r="BH230" s="315">
        <v>0</v>
      </c>
      <c r="BI230" s="315">
        <v>0</v>
      </c>
      <c r="BJ230" s="315">
        <v>0</v>
      </c>
      <c r="BK230" s="315">
        <v>0</v>
      </c>
      <c r="BL230" s="315">
        <v>0</v>
      </c>
      <c r="BM230" s="315">
        <v>0</v>
      </c>
      <c r="BN230" s="315">
        <v>0</v>
      </c>
      <c r="BO230" s="315">
        <v>0</v>
      </c>
      <c r="BU230" s="315">
        <v>0</v>
      </c>
      <c r="BV230" s="315">
        <v>0</v>
      </c>
    </row>
    <row r="231" spans="12:74" hidden="1" x14ac:dyDescent="0.2">
      <c r="L231" s="315">
        <v>0</v>
      </c>
      <c r="M231" s="315">
        <v>0</v>
      </c>
      <c r="N231" s="315">
        <v>0</v>
      </c>
      <c r="O231" s="315">
        <v>0</v>
      </c>
      <c r="P231" s="315">
        <v>0</v>
      </c>
      <c r="Q231" s="315">
        <v>0</v>
      </c>
      <c r="R231" s="315">
        <v>0</v>
      </c>
      <c r="S231" s="315">
        <v>0</v>
      </c>
      <c r="T231" s="315">
        <v>0</v>
      </c>
      <c r="U231" s="315">
        <v>0</v>
      </c>
      <c r="V231" s="315">
        <v>0</v>
      </c>
      <c r="W231" s="315">
        <v>0</v>
      </c>
      <c r="X231" s="315">
        <v>0</v>
      </c>
      <c r="Y231" s="315">
        <v>0</v>
      </c>
      <c r="Z231" s="315">
        <v>0</v>
      </c>
      <c r="AA231" s="315">
        <v>0</v>
      </c>
      <c r="AB231" s="315">
        <v>0</v>
      </c>
      <c r="AC231" s="315">
        <v>0</v>
      </c>
      <c r="AD231" s="315">
        <v>0</v>
      </c>
      <c r="AE231" s="315">
        <v>0</v>
      </c>
      <c r="AF231" s="315">
        <v>0</v>
      </c>
      <c r="AG231" s="315">
        <v>0</v>
      </c>
      <c r="AH231" s="315">
        <v>0</v>
      </c>
      <c r="AI231" s="315">
        <v>0</v>
      </c>
      <c r="AJ231" s="315">
        <v>0</v>
      </c>
      <c r="AK231" s="315">
        <v>0</v>
      </c>
      <c r="AL231" s="315">
        <v>0</v>
      </c>
      <c r="AM231" s="315">
        <v>0</v>
      </c>
      <c r="AN231" s="315">
        <v>0</v>
      </c>
      <c r="AO231" s="315">
        <v>0</v>
      </c>
      <c r="AP231" s="315">
        <v>0</v>
      </c>
      <c r="AQ231" s="315">
        <v>0</v>
      </c>
      <c r="AR231" s="315">
        <v>0</v>
      </c>
      <c r="AS231" s="315">
        <v>0</v>
      </c>
      <c r="AT231" s="315">
        <v>0</v>
      </c>
      <c r="AU231" s="315">
        <v>0</v>
      </c>
      <c r="AV231" s="315">
        <v>0</v>
      </c>
      <c r="AW231" s="315">
        <v>0</v>
      </c>
      <c r="AX231" s="315">
        <v>0</v>
      </c>
      <c r="AY231" s="315">
        <v>0</v>
      </c>
      <c r="AZ231" s="315">
        <v>0</v>
      </c>
      <c r="BA231" s="315">
        <v>0</v>
      </c>
      <c r="BB231" s="315">
        <v>0</v>
      </c>
      <c r="BC231" s="315">
        <v>0</v>
      </c>
      <c r="BD231" s="315">
        <v>0</v>
      </c>
      <c r="BE231" s="315">
        <v>0</v>
      </c>
      <c r="BF231" s="315">
        <v>0</v>
      </c>
      <c r="BG231" s="315">
        <v>0</v>
      </c>
      <c r="BH231" s="315">
        <v>0</v>
      </c>
      <c r="BI231" s="315">
        <v>0</v>
      </c>
      <c r="BJ231" s="315">
        <v>0</v>
      </c>
      <c r="BK231" s="315">
        <v>0</v>
      </c>
      <c r="BL231" s="315">
        <v>0</v>
      </c>
      <c r="BM231" s="315">
        <v>0</v>
      </c>
      <c r="BN231" s="315">
        <v>0</v>
      </c>
      <c r="BO231" s="315">
        <v>0</v>
      </c>
      <c r="BU231" s="315">
        <v>0</v>
      </c>
      <c r="BV231" s="315">
        <v>0</v>
      </c>
    </row>
    <row r="232" spans="12:74" hidden="1" x14ac:dyDescent="0.2">
      <c r="L232" s="315">
        <v>0</v>
      </c>
      <c r="M232" s="315">
        <v>0</v>
      </c>
      <c r="N232" s="315">
        <v>0</v>
      </c>
      <c r="O232" s="315">
        <v>0</v>
      </c>
      <c r="P232" s="315">
        <v>0</v>
      </c>
      <c r="Q232" s="315">
        <v>0</v>
      </c>
      <c r="R232" s="315">
        <v>0</v>
      </c>
      <c r="S232" s="315">
        <v>0</v>
      </c>
      <c r="T232" s="315">
        <v>0</v>
      </c>
      <c r="U232" s="315">
        <v>0</v>
      </c>
      <c r="V232" s="315">
        <v>0</v>
      </c>
      <c r="W232" s="315">
        <v>0</v>
      </c>
      <c r="X232" s="315">
        <v>0</v>
      </c>
      <c r="Y232" s="315">
        <v>0</v>
      </c>
      <c r="Z232" s="315">
        <v>0</v>
      </c>
      <c r="AA232" s="315">
        <v>0</v>
      </c>
      <c r="AB232" s="315">
        <v>0</v>
      </c>
      <c r="AC232" s="315">
        <v>0</v>
      </c>
      <c r="AD232" s="315">
        <v>0</v>
      </c>
      <c r="AE232" s="315">
        <v>0</v>
      </c>
      <c r="AF232" s="315">
        <v>0</v>
      </c>
      <c r="AG232" s="315">
        <v>0</v>
      </c>
      <c r="AH232" s="315">
        <v>0</v>
      </c>
      <c r="AI232" s="315">
        <v>0</v>
      </c>
      <c r="AJ232" s="315">
        <v>0</v>
      </c>
      <c r="AK232" s="315">
        <v>0</v>
      </c>
      <c r="AL232" s="315">
        <v>0</v>
      </c>
      <c r="AM232" s="315">
        <v>0</v>
      </c>
      <c r="AN232" s="315">
        <v>0</v>
      </c>
      <c r="AO232" s="315">
        <v>0</v>
      </c>
      <c r="AP232" s="315">
        <v>0</v>
      </c>
      <c r="AQ232" s="315">
        <v>0</v>
      </c>
      <c r="AR232" s="315">
        <v>0</v>
      </c>
      <c r="AS232" s="315">
        <v>0</v>
      </c>
      <c r="AT232" s="315">
        <v>0</v>
      </c>
      <c r="AU232" s="315">
        <v>0</v>
      </c>
      <c r="AV232" s="315">
        <v>0</v>
      </c>
      <c r="AW232" s="315">
        <v>0</v>
      </c>
      <c r="AX232" s="315">
        <v>0</v>
      </c>
      <c r="AY232" s="315">
        <v>0</v>
      </c>
      <c r="AZ232" s="315">
        <v>0</v>
      </c>
      <c r="BA232" s="315">
        <v>0</v>
      </c>
      <c r="BB232" s="315">
        <v>0</v>
      </c>
      <c r="BC232" s="315">
        <v>0</v>
      </c>
      <c r="BD232" s="315">
        <v>0</v>
      </c>
      <c r="BE232" s="315">
        <v>0</v>
      </c>
      <c r="BF232" s="315">
        <v>0</v>
      </c>
      <c r="BG232" s="315">
        <v>0</v>
      </c>
      <c r="BH232" s="315">
        <v>0</v>
      </c>
      <c r="BI232" s="315">
        <v>0</v>
      </c>
      <c r="BJ232" s="315">
        <v>0</v>
      </c>
      <c r="BK232" s="315">
        <v>0</v>
      </c>
      <c r="BL232" s="315">
        <v>0</v>
      </c>
      <c r="BM232" s="315">
        <v>0</v>
      </c>
      <c r="BN232" s="315">
        <v>0</v>
      </c>
      <c r="BO232" s="315">
        <v>0</v>
      </c>
      <c r="BU232" s="315">
        <v>0</v>
      </c>
      <c r="BV232" s="315">
        <v>0</v>
      </c>
    </row>
    <row r="233" spans="12:74" hidden="1" x14ac:dyDescent="0.2">
      <c r="L233" s="315">
        <v>0</v>
      </c>
      <c r="M233" s="315">
        <v>0</v>
      </c>
      <c r="N233" s="315">
        <v>0</v>
      </c>
      <c r="O233" s="315">
        <v>0</v>
      </c>
      <c r="P233" s="315">
        <v>0</v>
      </c>
      <c r="Q233" s="315">
        <v>0</v>
      </c>
      <c r="R233" s="315">
        <v>0</v>
      </c>
      <c r="S233" s="315">
        <v>0</v>
      </c>
      <c r="T233" s="315">
        <v>0</v>
      </c>
      <c r="U233" s="315">
        <v>0</v>
      </c>
      <c r="V233" s="315">
        <v>0</v>
      </c>
      <c r="W233" s="315">
        <v>0</v>
      </c>
      <c r="X233" s="315">
        <v>0</v>
      </c>
      <c r="Y233" s="315">
        <v>0</v>
      </c>
      <c r="Z233" s="315">
        <v>0</v>
      </c>
      <c r="AA233" s="315">
        <v>0</v>
      </c>
      <c r="AB233" s="315">
        <v>0</v>
      </c>
      <c r="AC233" s="315">
        <v>0</v>
      </c>
      <c r="AD233" s="315">
        <v>0</v>
      </c>
      <c r="AE233" s="315">
        <v>0</v>
      </c>
      <c r="AF233" s="315">
        <v>0</v>
      </c>
      <c r="AG233" s="315">
        <v>0</v>
      </c>
      <c r="AH233" s="315">
        <v>0</v>
      </c>
      <c r="AI233" s="315">
        <v>0</v>
      </c>
      <c r="AJ233" s="315">
        <v>0</v>
      </c>
      <c r="AK233" s="315">
        <v>0</v>
      </c>
      <c r="AL233" s="315">
        <v>0</v>
      </c>
      <c r="AM233" s="315">
        <v>0</v>
      </c>
      <c r="AN233" s="315">
        <v>0</v>
      </c>
      <c r="AO233" s="315">
        <v>0</v>
      </c>
      <c r="AP233" s="315">
        <v>0</v>
      </c>
      <c r="AQ233" s="315">
        <v>0</v>
      </c>
      <c r="AR233" s="315">
        <v>0</v>
      </c>
      <c r="AS233" s="315">
        <v>0</v>
      </c>
      <c r="AT233" s="315">
        <v>0</v>
      </c>
      <c r="AU233" s="315">
        <v>0</v>
      </c>
      <c r="AV233" s="315">
        <v>0</v>
      </c>
      <c r="AW233" s="315">
        <v>0</v>
      </c>
      <c r="AX233" s="315">
        <v>0</v>
      </c>
      <c r="AY233" s="315">
        <v>0</v>
      </c>
      <c r="AZ233" s="315">
        <v>0</v>
      </c>
      <c r="BA233" s="315">
        <v>0</v>
      </c>
      <c r="BB233" s="315">
        <v>0</v>
      </c>
      <c r="BC233" s="315">
        <v>0</v>
      </c>
      <c r="BD233" s="315">
        <v>0</v>
      </c>
      <c r="BE233" s="315">
        <v>0</v>
      </c>
      <c r="BF233" s="315">
        <v>0</v>
      </c>
      <c r="BG233" s="315">
        <v>0</v>
      </c>
      <c r="BH233" s="315">
        <v>0</v>
      </c>
      <c r="BI233" s="315">
        <v>0</v>
      </c>
      <c r="BJ233" s="315">
        <v>0</v>
      </c>
      <c r="BK233" s="315">
        <v>0</v>
      </c>
      <c r="BL233" s="315">
        <v>0</v>
      </c>
      <c r="BM233" s="315">
        <v>0</v>
      </c>
      <c r="BN233" s="315">
        <v>0</v>
      </c>
      <c r="BO233" s="315">
        <v>0</v>
      </c>
      <c r="BU233" s="315">
        <v>0</v>
      </c>
      <c r="BV233" s="315">
        <v>0</v>
      </c>
    </row>
    <row r="234" spans="12:74" hidden="1" x14ac:dyDescent="0.2">
      <c r="L234" s="315">
        <v>0</v>
      </c>
      <c r="M234" s="315">
        <v>0</v>
      </c>
      <c r="N234" s="315">
        <v>0</v>
      </c>
      <c r="O234" s="315">
        <v>0</v>
      </c>
      <c r="P234" s="315">
        <v>0</v>
      </c>
      <c r="Q234" s="315">
        <v>0</v>
      </c>
      <c r="R234" s="315">
        <v>0</v>
      </c>
      <c r="S234" s="315">
        <v>0</v>
      </c>
      <c r="T234" s="315">
        <v>0</v>
      </c>
      <c r="U234" s="315">
        <v>0</v>
      </c>
      <c r="V234" s="315">
        <v>0</v>
      </c>
      <c r="W234" s="315">
        <v>0</v>
      </c>
      <c r="X234" s="315">
        <v>0</v>
      </c>
      <c r="Y234" s="315">
        <v>0</v>
      </c>
      <c r="Z234" s="315">
        <v>0</v>
      </c>
      <c r="AA234" s="315">
        <v>0</v>
      </c>
      <c r="AB234" s="315">
        <v>0</v>
      </c>
      <c r="AC234" s="315">
        <v>0</v>
      </c>
      <c r="AD234" s="315">
        <v>0</v>
      </c>
      <c r="AE234" s="315">
        <v>0</v>
      </c>
      <c r="AF234" s="315">
        <v>0</v>
      </c>
      <c r="AG234" s="315">
        <v>0</v>
      </c>
      <c r="AH234" s="315">
        <v>0</v>
      </c>
      <c r="AI234" s="315">
        <v>0</v>
      </c>
      <c r="AJ234" s="315">
        <v>0</v>
      </c>
      <c r="AK234" s="315">
        <v>0</v>
      </c>
      <c r="AL234" s="315">
        <v>0</v>
      </c>
      <c r="AM234" s="315">
        <v>0</v>
      </c>
      <c r="AN234" s="315">
        <v>0</v>
      </c>
      <c r="AO234" s="315">
        <v>0</v>
      </c>
      <c r="AP234" s="315">
        <v>0</v>
      </c>
      <c r="AQ234" s="315">
        <v>0</v>
      </c>
      <c r="AR234" s="315">
        <v>0</v>
      </c>
      <c r="AS234" s="315">
        <v>0</v>
      </c>
      <c r="AT234" s="315">
        <v>0</v>
      </c>
      <c r="AU234" s="315">
        <v>0</v>
      </c>
      <c r="AV234" s="315">
        <v>0</v>
      </c>
      <c r="AW234" s="315">
        <v>0</v>
      </c>
      <c r="AX234" s="315">
        <v>0</v>
      </c>
      <c r="AY234" s="315">
        <v>0</v>
      </c>
      <c r="AZ234" s="315">
        <v>0</v>
      </c>
      <c r="BA234" s="315">
        <v>0</v>
      </c>
      <c r="BB234" s="315">
        <v>0</v>
      </c>
      <c r="BC234" s="315">
        <v>0</v>
      </c>
      <c r="BD234" s="315">
        <v>0</v>
      </c>
      <c r="BE234" s="315">
        <v>0</v>
      </c>
      <c r="BF234" s="315">
        <v>0</v>
      </c>
      <c r="BG234" s="315">
        <v>0</v>
      </c>
      <c r="BH234" s="315">
        <v>0</v>
      </c>
      <c r="BI234" s="315">
        <v>0</v>
      </c>
      <c r="BJ234" s="315">
        <v>0</v>
      </c>
      <c r="BK234" s="315">
        <v>0</v>
      </c>
      <c r="BL234" s="315">
        <v>0</v>
      </c>
      <c r="BM234" s="315">
        <v>0</v>
      </c>
      <c r="BN234" s="315">
        <v>0</v>
      </c>
      <c r="BO234" s="315">
        <v>0</v>
      </c>
      <c r="BU234" s="315">
        <v>0</v>
      </c>
      <c r="BV234" s="315">
        <v>0</v>
      </c>
    </row>
    <row r="235" spans="12:74" hidden="1" x14ac:dyDescent="0.2">
      <c r="L235" s="315">
        <v>0</v>
      </c>
      <c r="M235" s="315">
        <v>0</v>
      </c>
      <c r="N235" s="315">
        <v>0</v>
      </c>
      <c r="O235" s="315">
        <v>0</v>
      </c>
      <c r="P235" s="315">
        <v>0</v>
      </c>
      <c r="Q235" s="315">
        <v>0</v>
      </c>
      <c r="R235" s="315">
        <v>0</v>
      </c>
      <c r="S235" s="315">
        <v>0</v>
      </c>
      <c r="T235" s="315">
        <v>0</v>
      </c>
      <c r="U235" s="315">
        <v>0</v>
      </c>
      <c r="V235" s="315">
        <v>0</v>
      </c>
      <c r="W235" s="315">
        <v>0</v>
      </c>
      <c r="X235" s="315">
        <v>0</v>
      </c>
      <c r="Y235" s="315">
        <v>0</v>
      </c>
      <c r="Z235" s="315">
        <v>0</v>
      </c>
      <c r="AA235" s="315">
        <v>0</v>
      </c>
      <c r="AB235" s="315">
        <v>0</v>
      </c>
      <c r="AC235" s="315">
        <v>0</v>
      </c>
      <c r="AD235" s="315">
        <v>0</v>
      </c>
      <c r="AE235" s="315">
        <v>0</v>
      </c>
      <c r="AF235" s="315">
        <v>0</v>
      </c>
      <c r="AG235" s="315">
        <v>0</v>
      </c>
      <c r="AH235" s="315">
        <v>0</v>
      </c>
      <c r="AI235" s="315">
        <v>0</v>
      </c>
      <c r="AJ235" s="315">
        <v>0</v>
      </c>
      <c r="AK235" s="315">
        <v>0</v>
      </c>
      <c r="AL235" s="315">
        <v>0</v>
      </c>
      <c r="AM235" s="315">
        <v>0</v>
      </c>
      <c r="AN235" s="315">
        <v>0</v>
      </c>
      <c r="AO235" s="315">
        <v>0</v>
      </c>
      <c r="AP235" s="315">
        <v>0</v>
      </c>
      <c r="AQ235" s="315">
        <v>0</v>
      </c>
      <c r="AR235" s="315">
        <v>0</v>
      </c>
      <c r="AS235" s="315">
        <v>0</v>
      </c>
      <c r="AT235" s="315">
        <v>0</v>
      </c>
      <c r="AU235" s="315">
        <v>0</v>
      </c>
      <c r="AV235" s="315">
        <v>0</v>
      </c>
      <c r="AW235" s="315">
        <v>0</v>
      </c>
      <c r="AX235" s="315">
        <v>0</v>
      </c>
      <c r="AY235" s="315">
        <v>0</v>
      </c>
      <c r="AZ235" s="315">
        <v>0</v>
      </c>
      <c r="BA235" s="315">
        <v>0</v>
      </c>
      <c r="BB235" s="315">
        <v>0</v>
      </c>
      <c r="BC235" s="315">
        <v>0</v>
      </c>
      <c r="BD235" s="315">
        <v>0</v>
      </c>
      <c r="BE235" s="315">
        <v>0</v>
      </c>
      <c r="BF235" s="315">
        <v>0</v>
      </c>
      <c r="BG235" s="315">
        <v>0</v>
      </c>
      <c r="BH235" s="315">
        <v>0</v>
      </c>
      <c r="BI235" s="315">
        <v>0</v>
      </c>
      <c r="BJ235" s="315">
        <v>0</v>
      </c>
      <c r="BK235" s="315">
        <v>0</v>
      </c>
      <c r="BL235" s="315">
        <v>0</v>
      </c>
      <c r="BM235" s="315">
        <v>0</v>
      </c>
      <c r="BN235" s="315">
        <v>0</v>
      </c>
      <c r="BO235" s="315">
        <v>0</v>
      </c>
      <c r="BU235" s="315">
        <v>0</v>
      </c>
      <c r="BV235" s="315">
        <v>0</v>
      </c>
    </row>
    <row r="236" spans="12:74" hidden="1" x14ac:dyDescent="0.2">
      <c r="L236" s="315">
        <v>0</v>
      </c>
      <c r="M236" s="315">
        <v>0</v>
      </c>
      <c r="N236" s="315">
        <v>0</v>
      </c>
      <c r="O236" s="315">
        <v>0</v>
      </c>
      <c r="P236" s="315">
        <v>0</v>
      </c>
      <c r="Q236" s="315">
        <v>0</v>
      </c>
      <c r="R236" s="315">
        <v>0</v>
      </c>
      <c r="S236" s="315">
        <v>0</v>
      </c>
      <c r="T236" s="315">
        <v>0</v>
      </c>
      <c r="U236" s="315">
        <v>0</v>
      </c>
      <c r="V236" s="315">
        <v>0</v>
      </c>
      <c r="W236" s="315">
        <v>0</v>
      </c>
      <c r="X236" s="315">
        <v>0</v>
      </c>
      <c r="Y236" s="315">
        <v>0</v>
      </c>
      <c r="Z236" s="315">
        <v>0</v>
      </c>
      <c r="AA236" s="315">
        <v>0</v>
      </c>
      <c r="AB236" s="315">
        <v>0</v>
      </c>
      <c r="AC236" s="315">
        <v>0</v>
      </c>
      <c r="AD236" s="315">
        <v>0</v>
      </c>
      <c r="AE236" s="315">
        <v>0</v>
      </c>
      <c r="AF236" s="315">
        <v>0</v>
      </c>
      <c r="AG236" s="315">
        <v>0</v>
      </c>
      <c r="AH236" s="315">
        <v>0</v>
      </c>
      <c r="AI236" s="315">
        <v>0</v>
      </c>
      <c r="AJ236" s="315">
        <v>0</v>
      </c>
      <c r="AK236" s="315">
        <v>0</v>
      </c>
      <c r="AL236" s="315">
        <v>0</v>
      </c>
      <c r="AM236" s="315">
        <v>0</v>
      </c>
      <c r="AN236" s="315">
        <v>0</v>
      </c>
      <c r="AO236" s="315">
        <v>0</v>
      </c>
      <c r="AP236" s="315">
        <v>0</v>
      </c>
      <c r="AQ236" s="315">
        <v>0</v>
      </c>
      <c r="AR236" s="315">
        <v>0</v>
      </c>
      <c r="AS236" s="315">
        <v>0</v>
      </c>
      <c r="AT236" s="315">
        <v>0</v>
      </c>
      <c r="AU236" s="315">
        <v>0</v>
      </c>
      <c r="AV236" s="315">
        <v>0</v>
      </c>
      <c r="AW236" s="315">
        <v>0</v>
      </c>
      <c r="AX236" s="315">
        <v>0</v>
      </c>
      <c r="AY236" s="315">
        <v>0</v>
      </c>
      <c r="AZ236" s="315">
        <v>0</v>
      </c>
      <c r="BA236" s="315">
        <v>0</v>
      </c>
      <c r="BB236" s="315">
        <v>0</v>
      </c>
      <c r="BC236" s="315">
        <v>0</v>
      </c>
      <c r="BD236" s="315">
        <v>0</v>
      </c>
      <c r="BE236" s="315">
        <v>0</v>
      </c>
      <c r="BF236" s="315">
        <v>0</v>
      </c>
      <c r="BG236" s="315">
        <v>0</v>
      </c>
      <c r="BH236" s="315">
        <v>0</v>
      </c>
      <c r="BI236" s="315">
        <v>0</v>
      </c>
      <c r="BJ236" s="315">
        <v>0</v>
      </c>
      <c r="BK236" s="315">
        <v>0</v>
      </c>
      <c r="BL236" s="315">
        <v>0</v>
      </c>
      <c r="BM236" s="315">
        <v>0</v>
      </c>
      <c r="BN236" s="315">
        <v>0</v>
      </c>
      <c r="BO236" s="315">
        <v>0</v>
      </c>
      <c r="BU236" s="315">
        <v>0</v>
      </c>
      <c r="BV236" s="315">
        <v>0</v>
      </c>
    </row>
    <row r="237" spans="12:74" hidden="1" x14ac:dyDescent="0.2">
      <c r="L237" s="315">
        <v>0</v>
      </c>
      <c r="M237" s="315">
        <v>0</v>
      </c>
      <c r="N237" s="315">
        <v>0</v>
      </c>
      <c r="O237" s="315">
        <v>0</v>
      </c>
      <c r="P237" s="315">
        <v>0</v>
      </c>
      <c r="Q237" s="315">
        <v>0</v>
      </c>
      <c r="R237" s="315">
        <v>0</v>
      </c>
      <c r="S237" s="315">
        <v>0</v>
      </c>
      <c r="T237" s="315">
        <v>0</v>
      </c>
      <c r="U237" s="315">
        <v>0</v>
      </c>
      <c r="V237" s="315">
        <v>0</v>
      </c>
      <c r="W237" s="315">
        <v>0</v>
      </c>
      <c r="X237" s="315">
        <v>0</v>
      </c>
      <c r="Y237" s="315">
        <v>0</v>
      </c>
      <c r="Z237" s="315">
        <v>0</v>
      </c>
      <c r="AA237" s="315">
        <v>0</v>
      </c>
      <c r="AB237" s="315">
        <v>0</v>
      </c>
      <c r="AC237" s="315">
        <v>0</v>
      </c>
      <c r="AD237" s="315">
        <v>0</v>
      </c>
      <c r="AE237" s="315">
        <v>0</v>
      </c>
      <c r="AF237" s="315">
        <v>0</v>
      </c>
      <c r="AG237" s="315">
        <v>0</v>
      </c>
      <c r="AH237" s="315">
        <v>0</v>
      </c>
      <c r="AI237" s="315">
        <v>0</v>
      </c>
      <c r="AJ237" s="315">
        <v>0</v>
      </c>
      <c r="AK237" s="315">
        <v>0</v>
      </c>
      <c r="AL237" s="315">
        <v>0</v>
      </c>
      <c r="AM237" s="315">
        <v>0</v>
      </c>
      <c r="AN237" s="315">
        <v>0</v>
      </c>
      <c r="AO237" s="315">
        <v>0</v>
      </c>
      <c r="AP237" s="315">
        <v>0</v>
      </c>
      <c r="AQ237" s="315">
        <v>0</v>
      </c>
      <c r="AR237" s="315">
        <v>0</v>
      </c>
      <c r="AS237" s="315">
        <v>0</v>
      </c>
      <c r="AT237" s="315">
        <v>0</v>
      </c>
      <c r="AU237" s="315">
        <v>0</v>
      </c>
      <c r="AV237" s="315">
        <v>0</v>
      </c>
      <c r="AW237" s="315">
        <v>0</v>
      </c>
      <c r="AX237" s="315">
        <v>0</v>
      </c>
      <c r="AY237" s="315">
        <v>0</v>
      </c>
      <c r="AZ237" s="315">
        <v>0</v>
      </c>
      <c r="BA237" s="315">
        <v>0</v>
      </c>
      <c r="BB237" s="315">
        <v>0</v>
      </c>
      <c r="BC237" s="315">
        <v>0</v>
      </c>
      <c r="BD237" s="315">
        <v>0</v>
      </c>
      <c r="BE237" s="315">
        <v>0</v>
      </c>
      <c r="BF237" s="315">
        <v>0</v>
      </c>
      <c r="BG237" s="315">
        <v>0</v>
      </c>
      <c r="BH237" s="315">
        <v>0</v>
      </c>
      <c r="BI237" s="315">
        <v>0</v>
      </c>
      <c r="BJ237" s="315">
        <v>0</v>
      </c>
      <c r="BK237" s="315">
        <v>0</v>
      </c>
      <c r="BL237" s="315">
        <v>0</v>
      </c>
      <c r="BM237" s="315">
        <v>0</v>
      </c>
      <c r="BN237" s="315">
        <v>0</v>
      </c>
      <c r="BO237" s="315">
        <v>0</v>
      </c>
      <c r="BU237" s="315">
        <v>0</v>
      </c>
      <c r="BV237" s="315">
        <v>0</v>
      </c>
    </row>
    <row r="238" spans="12:74" hidden="1" x14ac:dyDescent="0.2">
      <c r="L238" s="315">
        <v>0</v>
      </c>
      <c r="M238" s="315">
        <v>0</v>
      </c>
      <c r="N238" s="315">
        <v>0</v>
      </c>
      <c r="O238" s="315">
        <v>0</v>
      </c>
      <c r="P238" s="315">
        <v>0</v>
      </c>
      <c r="Q238" s="315">
        <v>0</v>
      </c>
      <c r="R238" s="315">
        <v>0</v>
      </c>
      <c r="S238" s="315">
        <v>0</v>
      </c>
      <c r="T238" s="315">
        <v>0</v>
      </c>
      <c r="U238" s="315">
        <v>0</v>
      </c>
      <c r="V238" s="315">
        <v>0</v>
      </c>
      <c r="W238" s="315">
        <v>0</v>
      </c>
      <c r="X238" s="315">
        <v>0</v>
      </c>
      <c r="Y238" s="315">
        <v>0</v>
      </c>
      <c r="Z238" s="315">
        <v>0</v>
      </c>
      <c r="AA238" s="315">
        <v>0</v>
      </c>
      <c r="AB238" s="315">
        <v>0</v>
      </c>
      <c r="AC238" s="315">
        <v>0</v>
      </c>
      <c r="AD238" s="315">
        <v>0</v>
      </c>
      <c r="AE238" s="315">
        <v>0</v>
      </c>
      <c r="AF238" s="315">
        <v>0</v>
      </c>
      <c r="AG238" s="315">
        <v>0</v>
      </c>
      <c r="AH238" s="315">
        <v>0</v>
      </c>
      <c r="AI238" s="315">
        <v>0</v>
      </c>
      <c r="AJ238" s="315">
        <v>0</v>
      </c>
      <c r="AK238" s="315">
        <v>0</v>
      </c>
      <c r="AL238" s="315">
        <v>0</v>
      </c>
      <c r="AM238" s="315">
        <v>0</v>
      </c>
      <c r="AN238" s="315">
        <v>0</v>
      </c>
      <c r="AO238" s="315">
        <v>0</v>
      </c>
      <c r="AP238" s="315">
        <v>0</v>
      </c>
      <c r="AQ238" s="315">
        <v>0</v>
      </c>
      <c r="AR238" s="315">
        <v>0</v>
      </c>
      <c r="AS238" s="315">
        <v>0</v>
      </c>
      <c r="AT238" s="315">
        <v>0</v>
      </c>
      <c r="AU238" s="315">
        <v>0</v>
      </c>
      <c r="AV238" s="315">
        <v>0</v>
      </c>
      <c r="AW238" s="315">
        <v>0</v>
      </c>
      <c r="AX238" s="315">
        <v>0</v>
      </c>
      <c r="AY238" s="315">
        <v>0</v>
      </c>
      <c r="AZ238" s="315">
        <v>0</v>
      </c>
      <c r="BA238" s="315">
        <v>0</v>
      </c>
      <c r="BB238" s="315">
        <v>0</v>
      </c>
      <c r="BC238" s="315">
        <v>0</v>
      </c>
      <c r="BD238" s="315">
        <v>0</v>
      </c>
      <c r="BE238" s="315">
        <v>0</v>
      </c>
      <c r="BF238" s="315">
        <v>0</v>
      </c>
      <c r="BG238" s="315">
        <v>0</v>
      </c>
      <c r="BH238" s="315">
        <v>0</v>
      </c>
      <c r="BI238" s="315">
        <v>0</v>
      </c>
      <c r="BJ238" s="315">
        <v>0</v>
      </c>
      <c r="BK238" s="315">
        <v>0</v>
      </c>
      <c r="BL238" s="315">
        <v>0</v>
      </c>
      <c r="BM238" s="315">
        <v>0</v>
      </c>
      <c r="BN238" s="315">
        <v>0</v>
      </c>
      <c r="BO238" s="315">
        <v>0</v>
      </c>
      <c r="BU238" s="315">
        <v>0</v>
      </c>
      <c r="BV238" s="315">
        <v>0</v>
      </c>
    </row>
    <row r="239" spans="12:74" hidden="1" x14ac:dyDescent="0.2">
      <c r="L239" s="315">
        <v>0</v>
      </c>
      <c r="M239" s="315">
        <v>0</v>
      </c>
      <c r="N239" s="315">
        <v>0</v>
      </c>
      <c r="O239" s="315">
        <v>0</v>
      </c>
      <c r="P239" s="315">
        <v>0</v>
      </c>
      <c r="Q239" s="315">
        <v>0</v>
      </c>
      <c r="R239" s="315">
        <v>0</v>
      </c>
      <c r="S239" s="315">
        <v>0</v>
      </c>
      <c r="T239" s="315">
        <v>0</v>
      </c>
      <c r="U239" s="315">
        <v>0</v>
      </c>
      <c r="V239" s="315">
        <v>0</v>
      </c>
      <c r="W239" s="315">
        <v>0</v>
      </c>
      <c r="X239" s="315">
        <v>0</v>
      </c>
      <c r="Y239" s="315">
        <v>0</v>
      </c>
      <c r="Z239" s="315">
        <v>0</v>
      </c>
      <c r="AA239" s="315">
        <v>0</v>
      </c>
      <c r="AB239" s="315">
        <v>0</v>
      </c>
      <c r="AC239" s="315">
        <v>0</v>
      </c>
      <c r="AD239" s="315">
        <v>0</v>
      </c>
      <c r="AE239" s="315">
        <v>0</v>
      </c>
      <c r="AF239" s="315">
        <v>0</v>
      </c>
      <c r="AG239" s="315">
        <v>0</v>
      </c>
      <c r="AH239" s="315">
        <v>0</v>
      </c>
      <c r="AI239" s="315">
        <v>0</v>
      </c>
      <c r="AJ239" s="315">
        <v>0</v>
      </c>
      <c r="AK239" s="315">
        <v>0</v>
      </c>
      <c r="AL239" s="315">
        <v>0</v>
      </c>
      <c r="AM239" s="315">
        <v>0</v>
      </c>
      <c r="AN239" s="315">
        <v>0</v>
      </c>
      <c r="AO239" s="315">
        <v>0</v>
      </c>
      <c r="AP239" s="315">
        <v>0</v>
      </c>
      <c r="AQ239" s="315">
        <v>0</v>
      </c>
      <c r="AR239" s="315">
        <v>0</v>
      </c>
      <c r="AS239" s="315">
        <v>0</v>
      </c>
      <c r="AT239" s="315">
        <v>0</v>
      </c>
      <c r="AU239" s="315">
        <v>0</v>
      </c>
      <c r="AV239" s="315">
        <v>0</v>
      </c>
      <c r="AW239" s="315">
        <v>0</v>
      </c>
      <c r="AX239" s="315">
        <v>0</v>
      </c>
      <c r="AY239" s="315">
        <v>0</v>
      </c>
      <c r="AZ239" s="315">
        <v>0</v>
      </c>
      <c r="BA239" s="315">
        <v>0</v>
      </c>
      <c r="BB239" s="315">
        <v>0</v>
      </c>
      <c r="BC239" s="315">
        <v>0</v>
      </c>
      <c r="BD239" s="315">
        <v>0</v>
      </c>
      <c r="BE239" s="315">
        <v>0</v>
      </c>
      <c r="BF239" s="315">
        <v>0</v>
      </c>
      <c r="BG239" s="315">
        <v>0</v>
      </c>
      <c r="BH239" s="315">
        <v>0</v>
      </c>
      <c r="BI239" s="315">
        <v>0</v>
      </c>
      <c r="BJ239" s="315">
        <v>0</v>
      </c>
      <c r="BK239" s="315">
        <v>0</v>
      </c>
      <c r="BL239" s="315">
        <v>0</v>
      </c>
      <c r="BM239" s="315">
        <v>0</v>
      </c>
      <c r="BN239" s="315">
        <v>0</v>
      </c>
      <c r="BO239" s="315">
        <v>0</v>
      </c>
      <c r="BU239" s="315">
        <v>0</v>
      </c>
      <c r="BV239" s="315">
        <v>0</v>
      </c>
    </row>
    <row r="240" spans="12:74" hidden="1" x14ac:dyDescent="0.2">
      <c r="L240" s="315">
        <v>0</v>
      </c>
      <c r="M240" s="315">
        <v>0</v>
      </c>
      <c r="N240" s="315">
        <v>0</v>
      </c>
      <c r="O240" s="315">
        <v>0</v>
      </c>
      <c r="P240" s="315">
        <v>0</v>
      </c>
      <c r="Q240" s="315">
        <v>0</v>
      </c>
      <c r="R240" s="315">
        <v>0</v>
      </c>
      <c r="S240" s="315">
        <v>0</v>
      </c>
      <c r="T240" s="315">
        <v>0</v>
      </c>
      <c r="U240" s="315">
        <v>0</v>
      </c>
      <c r="V240" s="315">
        <v>0</v>
      </c>
      <c r="W240" s="315">
        <v>0</v>
      </c>
      <c r="X240" s="315">
        <v>0</v>
      </c>
      <c r="Y240" s="315">
        <v>0</v>
      </c>
      <c r="Z240" s="315">
        <v>0</v>
      </c>
      <c r="AA240" s="315">
        <v>0</v>
      </c>
      <c r="AB240" s="315">
        <v>0</v>
      </c>
      <c r="AC240" s="315">
        <v>0</v>
      </c>
      <c r="AD240" s="315">
        <v>0</v>
      </c>
      <c r="AE240" s="315">
        <v>0</v>
      </c>
      <c r="AF240" s="315">
        <v>0</v>
      </c>
      <c r="AG240" s="315">
        <v>0</v>
      </c>
      <c r="AH240" s="315">
        <v>0</v>
      </c>
      <c r="AI240" s="315">
        <v>0</v>
      </c>
      <c r="AJ240" s="315">
        <v>0</v>
      </c>
      <c r="AK240" s="315">
        <v>0</v>
      </c>
      <c r="AL240" s="315">
        <v>0</v>
      </c>
      <c r="AM240" s="315">
        <v>0</v>
      </c>
      <c r="AN240" s="315">
        <v>0</v>
      </c>
      <c r="AO240" s="315">
        <v>0</v>
      </c>
      <c r="AP240" s="315">
        <v>0</v>
      </c>
      <c r="AQ240" s="315">
        <v>0</v>
      </c>
      <c r="AR240" s="315">
        <v>0</v>
      </c>
      <c r="AS240" s="315">
        <v>0</v>
      </c>
      <c r="AT240" s="315">
        <v>0</v>
      </c>
      <c r="AU240" s="315">
        <v>0</v>
      </c>
      <c r="AV240" s="315">
        <v>0</v>
      </c>
      <c r="AW240" s="315">
        <v>0</v>
      </c>
      <c r="AX240" s="315">
        <v>0</v>
      </c>
      <c r="AY240" s="315">
        <v>0</v>
      </c>
      <c r="AZ240" s="315">
        <v>0</v>
      </c>
      <c r="BA240" s="315">
        <v>0</v>
      </c>
      <c r="BB240" s="315">
        <v>0</v>
      </c>
      <c r="BC240" s="315">
        <v>0</v>
      </c>
      <c r="BD240" s="315">
        <v>0</v>
      </c>
      <c r="BE240" s="315">
        <v>0</v>
      </c>
      <c r="BF240" s="315">
        <v>0</v>
      </c>
      <c r="BG240" s="315">
        <v>0</v>
      </c>
      <c r="BH240" s="315">
        <v>0</v>
      </c>
      <c r="BI240" s="315">
        <v>0</v>
      </c>
      <c r="BJ240" s="315">
        <v>0</v>
      </c>
      <c r="BK240" s="315">
        <v>0</v>
      </c>
      <c r="BL240" s="315">
        <v>0</v>
      </c>
      <c r="BM240" s="315">
        <v>0</v>
      </c>
      <c r="BN240" s="315">
        <v>0</v>
      </c>
      <c r="BO240" s="315">
        <v>0</v>
      </c>
      <c r="BU240" s="315">
        <v>0</v>
      </c>
      <c r="BV240" s="315">
        <v>0</v>
      </c>
    </row>
    <row r="241" spans="12:74" hidden="1" x14ac:dyDescent="0.2">
      <c r="L241" s="315">
        <v>0</v>
      </c>
      <c r="M241" s="315">
        <v>0</v>
      </c>
      <c r="N241" s="315">
        <v>0</v>
      </c>
      <c r="O241" s="315">
        <v>0</v>
      </c>
      <c r="P241" s="315">
        <v>0</v>
      </c>
      <c r="Q241" s="315">
        <v>0</v>
      </c>
      <c r="R241" s="315">
        <v>0</v>
      </c>
      <c r="S241" s="315">
        <v>0</v>
      </c>
      <c r="T241" s="315">
        <v>0</v>
      </c>
      <c r="U241" s="315">
        <v>0</v>
      </c>
      <c r="V241" s="315">
        <v>0</v>
      </c>
      <c r="W241" s="315">
        <v>0</v>
      </c>
      <c r="X241" s="315">
        <v>0</v>
      </c>
      <c r="Y241" s="315">
        <v>0</v>
      </c>
      <c r="Z241" s="315">
        <v>0</v>
      </c>
      <c r="AA241" s="315">
        <v>0</v>
      </c>
      <c r="AB241" s="315">
        <v>0</v>
      </c>
      <c r="AC241" s="315">
        <v>0</v>
      </c>
      <c r="AD241" s="315">
        <v>0</v>
      </c>
      <c r="AE241" s="315">
        <v>0</v>
      </c>
      <c r="AF241" s="315">
        <v>0</v>
      </c>
      <c r="AG241" s="315">
        <v>0</v>
      </c>
      <c r="AH241" s="315">
        <v>0</v>
      </c>
      <c r="AI241" s="315">
        <v>0</v>
      </c>
      <c r="AJ241" s="315">
        <v>0</v>
      </c>
      <c r="AK241" s="315">
        <v>0</v>
      </c>
      <c r="AL241" s="315">
        <v>0</v>
      </c>
      <c r="AM241" s="315">
        <v>0</v>
      </c>
      <c r="AN241" s="315">
        <v>0</v>
      </c>
      <c r="AO241" s="315">
        <v>0</v>
      </c>
      <c r="AP241" s="315">
        <v>0</v>
      </c>
      <c r="AQ241" s="315">
        <v>0</v>
      </c>
      <c r="AR241" s="315">
        <v>0</v>
      </c>
      <c r="AS241" s="315">
        <v>0</v>
      </c>
      <c r="AT241" s="315">
        <v>0</v>
      </c>
      <c r="AU241" s="315">
        <v>0</v>
      </c>
      <c r="AV241" s="315">
        <v>0</v>
      </c>
      <c r="AW241" s="315">
        <v>0</v>
      </c>
      <c r="AX241" s="315">
        <v>0</v>
      </c>
      <c r="AY241" s="315">
        <v>0</v>
      </c>
      <c r="AZ241" s="315">
        <v>0</v>
      </c>
      <c r="BA241" s="315">
        <v>0</v>
      </c>
      <c r="BB241" s="315">
        <v>0</v>
      </c>
      <c r="BC241" s="315">
        <v>0</v>
      </c>
      <c r="BD241" s="315">
        <v>0</v>
      </c>
      <c r="BE241" s="315">
        <v>0</v>
      </c>
      <c r="BF241" s="315">
        <v>0</v>
      </c>
      <c r="BG241" s="315">
        <v>0</v>
      </c>
      <c r="BH241" s="315">
        <v>0</v>
      </c>
      <c r="BI241" s="315">
        <v>0</v>
      </c>
      <c r="BJ241" s="315">
        <v>0</v>
      </c>
      <c r="BK241" s="315">
        <v>0</v>
      </c>
      <c r="BL241" s="315">
        <v>0</v>
      </c>
      <c r="BM241" s="315">
        <v>0</v>
      </c>
      <c r="BN241" s="315">
        <v>0</v>
      </c>
      <c r="BO241" s="315">
        <v>0</v>
      </c>
      <c r="BU241" s="315">
        <v>0</v>
      </c>
      <c r="BV241" s="315">
        <v>0</v>
      </c>
    </row>
    <row r="242" spans="12:74" hidden="1" x14ac:dyDescent="0.2">
      <c r="L242" s="315">
        <v>0</v>
      </c>
      <c r="M242" s="315">
        <v>0</v>
      </c>
      <c r="N242" s="315">
        <v>0</v>
      </c>
      <c r="O242" s="315">
        <v>0</v>
      </c>
      <c r="P242" s="315">
        <v>0</v>
      </c>
      <c r="Q242" s="315">
        <v>0</v>
      </c>
      <c r="R242" s="315">
        <v>0</v>
      </c>
      <c r="S242" s="315">
        <v>0</v>
      </c>
      <c r="T242" s="315">
        <v>0</v>
      </c>
      <c r="U242" s="315">
        <v>0</v>
      </c>
      <c r="V242" s="315">
        <v>0</v>
      </c>
      <c r="W242" s="315">
        <v>0</v>
      </c>
      <c r="X242" s="315">
        <v>0</v>
      </c>
      <c r="Y242" s="315">
        <v>0</v>
      </c>
      <c r="Z242" s="315">
        <v>0</v>
      </c>
      <c r="AA242" s="315">
        <v>0</v>
      </c>
      <c r="AB242" s="315">
        <v>0</v>
      </c>
      <c r="AC242" s="315">
        <v>0</v>
      </c>
      <c r="AD242" s="315">
        <v>0</v>
      </c>
      <c r="AE242" s="315">
        <v>0</v>
      </c>
      <c r="AF242" s="315">
        <v>0</v>
      </c>
      <c r="AG242" s="315">
        <v>0</v>
      </c>
      <c r="AH242" s="315">
        <v>0</v>
      </c>
      <c r="AI242" s="315">
        <v>0</v>
      </c>
      <c r="AJ242" s="315">
        <v>0</v>
      </c>
      <c r="AK242" s="315">
        <v>0</v>
      </c>
      <c r="AL242" s="315">
        <v>0</v>
      </c>
      <c r="AM242" s="315">
        <v>0</v>
      </c>
      <c r="AN242" s="315">
        <v>0</v>
      </c>
      <c r="AO242" s="315">
        <v>0</v>
      </c>
      <c r="AP242" s="315">
        <v>0</v>
      </c>
      <c r="AQ242" s="315">
        <v>0</v>
      </c>
      <c r="AR242" s="315">
        <v>0</v>
      </c>
      <c r="AS242" s="315">
        <v>0</v>
      </c>
      <c r="AT242" s="315">
        <v>0</v>
      </c>
      <c r="AU242" s="315">
        <v>0</v>
      </c>
      <c r="AV242" s="315">
        <v>0</v>
      </c>
      <c r="AW242" s="315">
        <v>0</v>
      </c>
      <c r="AX242" s="315">
        <v>0</v>
      </c>
      <c r="AY242" s="315">
        <v>0</v>
      </c>
      <c r="AZ242" s="315">
        <v>0</v>
      </c>
      <c r="BA242" s="315">
        <v>0</v>
      </c>
      <c r="BB242" s="315">
        <v>0</v>
      </c>
      <c r="BC242" s="315">
        <v>0</v>
      </c>
      <c r="BD242" s="315">
        <v>0</v>
      </c>
      <c r="BE242" s="315">
        <v>0</v>
      </c>
      <c r="BF242" s="315">
        <v>0</v>
      </c>
      <c r="BG242" s="315">
        <v>0</v>
      </c>
      <c r="BH242" s="315">
        <v>0</v>
      </c>
      <c r="BI242" s="315">
        <v>0</v>
      </c>
      <c r="BJ242" s="315">
        <v>0</v>
      </c>
      <c r="BK242" s="315">
        <v>0</v>
      </c>
      <c r="BL242" s="315">
        <v>0</v>
      </c>
      <c r="BM242" s="315">
        <v>0</v>
      </c>
      <c r="BN242" s="315">
        <v>0</v>
      </c>
      <c r="BO242" s="315">
        <v>0</v>
      </c>
      <c r="BU242" s="315">
        <v>0</v>
      </c>
      <c r="BV242" s="315">
        <v>0</v>
      </c>
    </row>
    <row r="243" spans="12:74" hidden="1" x14ac:dyDescent="0.2">
      <c r="L243" s="315">
        <v>0</v>
      </c>
      <c r="M243" s="315">
        <v>0</v>
      </c>
      <c r="N243" s="315">
        <v>0</v>
      </c>
      <c r="O243" s="315">
        <v>0</v>
      </c>
      <c r="P243" s="315">
        <v>0</v>
      </c>
      <c r="Q243" s="315">
        <v>0</v>
      </c>
      <c r="R243" s="315">
        <v>0</v>
      </c>
      <c r="S243" s="315">
        <v>0</v>
      </c>
      <c r="T243" s="315">
        <v>0</v>
      </c>
      <c r="U243" s="315">
        <v>0</v>
      </c>
      <c r="V243" s="315">
        <v>0</v>
      </c>
      <c r="W243" s="315">
        <v>0</v>
      </c>
      <c r="X243" s="315">
        <v>0</v>
      </c>
      <c r="Y243" s="315">
        <v>0</v>
      </c>
      <c r="Z243" s="315">
        <v>0</v>
      </c>
      <c r="AA243" s="315">
        <v>0</v>
      </c>
      <c r="AB243" s="315">
        <v>0</v>
      </c>
      <c r="AC243" s="315">
        <v>0</v>
      </c>
      <c r="AD243" s="315">
        <v>0</v>
      </c>
      <c r="AE243" s="315">
        <v>0</v>
      </c>
      <c r="AF243" s="315">
        <v>0</v>
      </c>
      <c r="AG243" s="315">
        <v>0</v>
      </c>
      <c r="AH243" s="315">
        <v>0</v>
      </c>
      <c r="AI243" s="315">
        <v>0</v>
      </c>
      <c r="AJ243" s="315">
        <v>0</v>
      </c>
      <c r="AK243" s="315">
        <v>0</v>
      </c>
      <c r="AL243" s="315">
        <v>0</v>
      </c>
      <c r="AM243" s="315">
        <v>0</v>
      </c>
      <c r="AN243" s="315">
        <v>0</v>
      </c>
      <c r="AO243" s="315">
        <v>0</v>
      </c>
      <c r="AP243" s="315">
        <v>0</v>
      </c>
      <c r="AQ243" s="315">
        <v>0</v>
      </c>
      <c r="AR243" s="315">
        <v>0</v>
      </c>
      <c r="AS243" s="315">
        <v>0</v>
      </c>
      <c r="AT243" s="315">
        <v>0</v>
      </c>
      <c r="AU243" s="315">
        <v>0</v>
      </c>
      <c r="AV243" s="315">
        <v>0</v>
      </c>
      <c r="AW243" s="315">
        <v>0</v>
      </c>
      <c r="AX243" s="315">
        <v>0</v>
      </c>
      <c r="AY243" s="315">
        <v>0</v>
      </c>
      <c r="AZ243" s="315">
        <v>0</v>
      </c>
      <c r="BA243" s="315">
        <v>0</v>
      </c>
      <c r="BB243" s="315">
        <v>0</v>
      </c>
      <c r="BC243" s="315">
        <v>0</v>
      </c>
      <c r="BD243" s="315">
        <v>0</v>
      </c>
      <c r="BE243" s="315">
        <v>0</v>
      </c>
      <c r="BF243" s="315">
        <v>0</v>
      </c>
      <c r="BG243" s="315">
        <v>0</v>
      </c>
      <c r="BH243" s="315">
        <v>0</v>
      </c>
      <c r="BI243" s="315">
        <v>0</v>
      </c>
      <c r="BJ243" s="315">
        <v>0</v>
      </c>
      <c r="BK243" s="315">
        <v>0</v>
      </c>
      <c r="BL243" s="315">
        <v>0</v>
      </c>
      <c r="BM243" s="315">
        <v>0</v>
      </c>
      <c r="BN243" s="315">
        <v>0</v>
      </c>
      <c r="BO243" s="315">
        <v>0</v>
      </c>
      <c r="BU243" s="315">
        <v>0</v>
      </c>
      <c r="BV243" s="315">
        <v>0</v>
      </c>
    </row>
    <row r="244" spans="12:74" hidden="1" x14ac:dyDescent="0.2">
      <c r="L244" s="315">
        <v>0</v>
      </c>
      <c r="M244" s="315">
        <v>0</v>
      </c>
      <c r="N244" s="315">
        <v>0</v>
      </c>
      <c r="O244" s="315">
        <v>0</v>
      </c>
      <c r="P244" s="315">
        <v>0</v>
      </c>
      <c r="Q244" s="315">
        <v>0</v>
      </c>
      <c r="R244" s="315">
        <v>0</v>
      </c>
      <c r="S244" s="315">
        <v>0</v>
      </c>
      <c r="T244" s="315">
        <v>0</v>
      </c>
      <c r="U244" s="315">
        <v>0</v>
      </c>
      <c r="V244" s="315">
        <v>0</v>
      </c>
      <c r="W244" s="315">
        <v>0</v>
      </c>
      <c r="X244" s="315">
        <v>0</v>
      </c>
      <c r="Y244" s="315">
        <v>0</v>
      </c>
      <c r="Z244" s="315">
        <v>0</v>
      </c>
      <c r="AA244" s="315">
        <v>0</v>
      </c>
      <c r="AB244" s="315">
        <v>0</v>
      </c>
      <c r="AC244" s="315">
        <v>0</v>
      </c>
      <c r="AD244" s="315">
        <v>0</v>
      </c>
      <c r="AE244" s="315">
        <v>0</v>
      </c>
      <c r="AF244" s="315">
        <v>0</v>
      </c>
      <c r="AG244" s="315">
        <v>0</v>
      </c>
      <c r="AH244" s="315">
        <v>0</v>
      </c>
      <c r="AI244" s="315">
        <v>0</v>
      </c>
      <c r="AJ244" s="315">
        <v>0</v>
      </c>
      <c r="AK244" s="315">
        <v>0</v>
      </c>
      <c r="AL244" s="315">
        <v>0</v>
      </c>
      <c r="AM244" s="315">
        <v>0</v>
      </c>
      <c r="AN244" s="315">
        <v>0</v>
      </c>
      <c r="AO244" s="315">
        <v>0</v>
      </c>
      <c r="AP244" s="315">
        <v>0</v>
      </c>
      <c r="AQ244" s="315">
        <v>0</v>
      </c>
      <c r="AR244" s="315">
        <v>0</v>
      </c>
      <c r="AS244" s="315">
        <v>0</v>
      </c>
      <c r="AT244" s="315">
        <v>0</v>
      </c>
      <c r="AU244" s="315">
        <v>0</v>
      </c>
      <c r="AV244" s="315">
        <v>0</v>
      </c>
      <c r="AW244" s="315">
        <v>0</v>
      </c>
      <c r="AX244" s="315">
        <v>0</v>
      </c>
      <c r="AY244" s="315">
        <v>0</v>
      </c>
      <c r="AZ244" s="315">
        <v>0</v>
      </c>
      <c r="BA244" s="315">
        <v>0</v>
      </c>
      <c r="BB244" s="315">
        <v>0</v>
      </c>
      <c r="BC244" s="315">
        <v>0</v>
      </c>
      <c r="BD244" s="315">
        <v>0</v>
      </c>
      <c r="BE244" s="315">
        <v>0</v>
      </c>
      <c r="BF244" s="315">
        <v>0</v>
      </c>
      <c r="BG244" s="315">
        <v>0</v>
      </c>
      <c r="BH244" s="315">
        <v>0</v>
      </c>
      <c r="BI244" s="315">
        <v>0</v>
      </c>
      <c r="BJ244" s="315">
        <v>0</v>
      </c>
      <c r="BK244" s="315">
        <v>0</v>
      </c>
      <c r="BL244" s="315">
        <v>0</v>
      </c>
      <c r="BM244" s="315">
        <v>0</v>
      </c>
      <c r="BN244" s="315">
        <v>0</v>
      </c>
      <c r="BO244" s="315">
        <v>0</v>
      </c>
      <c r="BU244" s="315">
        <v>0</v>
      </c>
      <c r="BV244" s="315">
        <v>0</v>
      </c>
    </row>
    <row r="245" spans="12:74" hidden="1" x14ac:dyDescent="0.2">
      <c r="L245" s="315">
        <v>0</v>
      </c>
      <c r="M245" s="315">
        <v>0</v>
      </c>
      <c r="N245" s="315">
        <v>0</v>
      </c>
      <c r="O245" s="315">
        <v>0</v>
      </c>
      <c r="P245" s="315">
        <v>0</v>
      </c>
      <c r="Q245" s="315">
        <v>0</v>
      </c>
      <c r="R245" s="315">
        <v>0</v>
      </c>
      <c r="S245" s="315">
        <v>0</v>
      </c>
      <c r="T245" s="315">
        <v>0</v>
      </c>
      <c r="U245" s="315">
        <v>0</v>
      </c>
      <c r="V245" s="315">
        <v>0</v>
      </c>
      <c r="W245" s="315">
        <v>0</v>
      </c>
      <c r="X245" s="315">
        <v>0</v>
      </c>
      <c r="Y245" s="315">
        <v>0</v>
      </c>
      <c r="Z245" s="315">
        <v>0</v>
      </c>
      <c r="AA245" s="315">
        <v>0</v>
      </c>
      <c r="AB245" s="315">
        <v>0</v>
      </c>
      <c r="AC245" s="315">
        <v>0</v>
      </c>
      <c r="AD245" s="315">
        <v>0</v>
      </c>
      <c r="AE245" s="315">
        <v>0</v>
      </c>
      <c r="AF245" s="315">
        <v>0</v>
      </c>
      <c r="AG245" s="315">
        <v>0</v>
      </c>
      <c r="AH245" s="315">
        <v>0</v>
      </c>
      <c r="AI245" s="315">
        <v>0</v>
      </c>
      <c r="AJ245" s="315">
        <v>0</v>
      </c>
      <c r="AK245" s="315">
        <v>0</v>
      </c>
      <c r="AL245" s="315">
        <v>0</v>
      </c>
      <c r="AM245" s="315">
        <v>0</v>
      </c>
      <c r="AN245" s="315">
        <v>0</v>
      </c>
      <c r="AO245" s="315">
        <v>0</v>
      </c>
      <c r="AP245" s="315">
        <v>0</v>
      </c>
      <c r="AQ245" s="315">
        <v>0</v>
      </c>
      <c r="AR245" s="315">
        <v>0</v>
      </c>
      <c r="AS245" s="315">
        <v>0</v>
      </c>
      <c r="AT245" s="315">
        <v>0</v>
      </c>
      <c r="AU245" s="315">
        <v>0</v>
      </c>
      <c r="AV245" s="315">
        <v>0</v>
      </c>
      <c r="AW245" s="315">
        <v>0</v>
      </c>
      <c r="AX245" s="315">
        <v>0</v>
      </c>
      <c r="AY245" s="315">
        <v>0</v>
      </c>
      <c r="AZ245" s="315">
        <v>0</v>
      </c>
      <c r="BA245" s="315">
        <v>0</v>
      </c>
      <c r="BB245" s="315">
        <v>0</v>
      </c>
      <c r="BC245" s="315">
        <v>0</v>
      </c>
      <c r="BD245" s="315">
        <v>0</v>
      </c>
      <c r="BE245" s="315">
        <v>0</v>
      </c>
      <c r="BF245" s="315">
        <v>0</v>
      </c>
      <c r="BG245" s="315">
        <v>0</v>
      </c>
      <c r="BH245" s="315">
        <v>0</v>
      </c>
      <c r="BI245" s="315">
        <v>0</v>
      </c>
      <c r="BJ245" s="315">
        <v>0</v>
      </c>
      <c r="BK245" s="315">
        <v>0</v>
      </c>
      <c r="BL245" s="315">
        <v>0</v>
      </c>
      <c r="BM245" s="315">
        <v>0</v>
      </c>
      <c r="BN245" s="315">
        <v>0</v>
      </c>
      <c r="BO245" s="315">
        <v>0</v>
      </c>
      <c r="BU245" s="315">
        <v>0</v>
      </c>
      <c r="BV245" s="315">
        <v>0</v>
      </c>
    </row>
    <row r="246" spans="12:74" hidden="1" x14ac:dyDescent="0.2">
      <c r="L246" s="315">
        <v>0</v>
      </c>
      <c r="M246" s="315">
        <v>0</v>
      </c>
      <c r="N246" s="315">
        <v>0</v>
      </c>
      <c r="O246" s="315">
        <v>0</v>
      </c>
      <c r="P246" s="315">
        <v>0</v>
      </c>
      <c r="Q246" s="315">
        <v>0</v>
      </c>
      <c r="R246" s="315">
        <v>0</v>
      </c>
      <c r="S246" s="315">
        <v>0</v>
      </c>
      <c r="T246" s="315">
        <v>0</v>
      </c>
      <c r="U246" s="315">
        <v>0</v>
      </c>
      <c r="V246" s="315">
        <v>0</v>
      </c>
      <c r="W246" s="315">
        <v>0</v>
      </c>
      <c r="X246" s="315">
        <v>0</v>
      </c>
      <c r="Y246" s="315">
        <v>0</v>
      </c>
      <c r="Z246" s="315">
        <v>0</v>
      </c>
      <c r="AA246" s="315">
        <v>0</v>
      </c>
      <c r="AB246" s="315">
        <v>0</v>
      </c>
      <c r="AC246" s="315">
        <v>0</v>
      </c>
      <c r="AD246" s="315">
        <v>0</v>
      </c>
      <c r="AE246" s="315">
        <v>0</v>
      </c>
      <c r="AF246" s="315">
        <v>0</v>
      </c>
      <c r="AG246" s="315">
        <v>0</v>
      </c>
      <c r="AH246" s="315">
        <v>0</v>
      </c>
      <c r="AI246" s="315">
        <v>0</v>
      </c>
      <c r="AJ246" s="315">
        <v>0</v>
      </c>
      <c r="AK246" s="315">
        <v>0</v>
      </c>
      <c r="AL246" s="315">
        <v>0</v>
      </c>
      <c r="AM246" s="315">
        <v>0</v>
      </c>
      <c r="AN246" s="315">
        <v>0</v>
      </c>
      <c r="AO246" s="315">
        <v>0</v>
      </c>
      <c r="AP246" s="315">
        <v>0</v>
      </c>
      <c r="AQ246" s="315">
        <v>0</v>
      </c>
      <c r="AR246" s="315">
        <v>0</v>
      </c>
      <c r="AS246" s="315">
        <v>0</v>
      </c>
      <c r="AT246" s="315">
        <v>0</v>
      </c>
      <c r="AU246" s="315">
        <v>0</v>
      </c>
      <c r="AV246" s="315">
        <v>0</v>
      </c>
      <c r="AW246" s="315">
        <v>0</v>
      </c>
      <c r="AX246" s="315">
        <v>0</v>
      </c>
      <c r="AY246" s="315">
        <v>0</v>
      </c>
      <c r="AZ246" s="315">
        <v>0</v>
      </c>
      <c r="BA246" s="315">
        <v>0</v>
      </c>
      <c r="BB246" s="315">
        <v>0</v>
      </c>
      <c r="BC246" s="315">
        <v>0</v>
      </c>
      <c r="BD246" s="315">
        <v>0</v>
      </c>
      <c r="BE246" s="315">
        <v>0</v>
      </c>
      <c r="BF246" s="315">
        <v>0</v>
      </c>
      <c r="BG246" s="315">
        <v>0</v>
      </c>
      <c r="BH246" s="315">
        <v>0</v>
      </c>
      <c r="BI246" s="315">
        <v>0</v>
      </c>
      <c r="BJ246" s="315">
        <v>0</v>
      </c>
      <c r="BK246" s="315">
        <v>0</v>
      </c>
      <c r="BL246" s="315">
        <v>0</v>
      </c>
      <c r="BM246" s="315">
        <v>0</v>
      </c>
      <c r="BN246" s="315">
        <v>0</v>
      </c>
      <c r="BO246" s="315">
        <v>0</v>
      </c>
      <c r="BU246" s="315">
        <v>0</v>
      </c>
      <c r="BV246" s="315">
        <v>0</v>
      </c>
    </row>
    <row r="247" spans="12:74" hidden="1" x14ac:dyDescent="0.2">
      <c r="L247" s="315">
        <v>0</v>
      </c>
      <c r="M247" s="315">
        <v>0</v>
      </c>
      <c r="N247" s="315">
        <v>0</v>
      </c>
      <c r="O247" s="315">
        <v>0</v>
      </c>
      <c r="P247" s="315">
        <v>0</v>
      </c>
      <c r="Q247" s="315">
        <v>0</v>
      </c>
      <c r="R247" s="315">
        <v>0</v>
      </c>
      <c r="S247" s="315">
        <v>0</v>
      </c>
      <c r="T247" s="315">
        <v>0</v>
      </c>
      <c r="U247" s="315">
        <v>0</v>
      </c>
      <c r="V247" s="315">
        <v>0</v>
      </c>
      <c r="W247" s="315">
        <v>0</v>
      </c>
      <c r="X247" s="315">
        <v>0</v>
      </c>
      <c r="Y247" s="315">
        <v>0</v>
      </c>
      <c r="Z247" s="315">
        <v>0</v>
      </c>
      <c r="AA247" s="315">
        <v>0</v>
      </c>
      <c r="AB247" s="315">
        <v>0</v>
      </c>
      <c r="AC247" s="315">
        <v>0</v>
      </c>
      <c r="AD247" s="315">
        <v>0</v>
      </c>
      <c r="AE247" s="315">
        <v>0</v>
      </c>
      <c r="AF247" s="315">
        <v>0</v>
      </c>
      <c r="AG247" s="315">
        <v>0</v>
      </c>
      <c r="AH247" s="315">
        <v>0</v>
      </c>
      <c r="AI247" s="315">
        <v>0</v>
      </c>
      <c r="AJ247" s="315">
        <v>0</v>
      </c>
      <c r="AK247" s="315">
        <v>0</v>
      </c>
      <c r="AL247" s="315">
        <v>0</v>
      </c>
      <c r="AM247" s="315">
        <v>0</v>
      </c>
      <c r="AN247" s="315">
        <v>0</v>
      </c>
      <c r="AO247" s="315">
        <v>0</v>
      </c>
      <c r="AP247" s="315">
        <v>0</v>
      </c>
      <c r="AQ247" s="315">
        <v>0</v>
      </c>
      <c r="AR247" s="315">
        <v>0</v>
      </c>
      <c r="AS247" s="315">
        <v>0</v>
      </c>
      <c r="AT247" s="315">
        <v>0</v>
      </c>
      <c r="AU247" s="315">
        <v>0</v>
      </c>
      <c r="AV247" s="315">
        <v>0</v>
      </c>
      <c r="AW247" s="315">
        <v>0</v>
      </c>
      <c r="AX247" s="315">
        <v>0</v>
      </c>
      <c r="AY247" s="315">
        <v>0</v>
      </c>
      <c r="AZ247" s="315">
        <v>0</v>
      </c>
      <c r="BA247" s="315">
        <v>0</v>
      </c>
      <c r="BB247" s="315">
        <v>0</v>
      </c>
      <c r="BC247" s="315">
        <v>0</v>
      </c>
      <c r="BD247" s="315">
        <v>0</v>
      </c>
      <c r="BE247" s="315">
        <v>0</v>
      </c>
      <c r="BF247" s="315">
        <v>0</v>
      </c>
      <c r="BG247" s="315">
        <v>0</v>
      </c>
      <c r="BH247" s="315">
        <v>0</v>
      </c>
      <c r="BI247" s="315">
        <v>0</v>
      </c>
      <c r="BJ247" s="315">
        <v>0</v>
      </c>
      <c r="BK247" s="315">
        <v>0</v>
      </c>
      <c r="BL247" s="315">
        <v>0</v>
      </c>
      <c r="BM247" s="315">
        <v>0</v>
      </c>
      <c r="BN247" s="315">
        <v>0</v>
      </c>
      <c r="BO247" s="315">
        <v>0</v>
      </c>
      <c r="BU247" s="315">
        <v>0</v>
      </c>
      <c r="BV247" s="315">
        <v>0</v>
      </c>
    </row>
    <row r="248" spans="12:74" hidden="1" x14ac:dyDescent="0.2">
      <c r="L248" s="315">
        <v>0</v>
      </c>
      <c r="M248" s="315">
        <v>0</v>
      </c>
      <c r="N248" s="315">
        <v>0</v>
      </c>
      <c r="O248" s="315">
        <v>0</v>
      </c>
      <c r="P248" s="315">
        <v>0</v>
      </c>
      <c r="Q248" s="315">
        <v>0</v>
      </c>
      <c r="R248" s="315">
        <v>0</v>
      </c>
      <c r="S248" s="315">
        <v>0</v>
      </c>
      <c r="T248" s="315">
        <v>0</v>
      </c>
      <c r="U248" s="315">
        <v>0</v>
      </c>
      <c r="V248" s="315">
        <v>0</v>
      </c>
      <c r="W248" s="315">
        <v>0</v>
      </c>
      <c r="X248" s="315">
        <v>0</v>
      </c>
      <c r="Y248" s="315">
        <v>0</v>
      </c>
      <c r="Z248" s="315">
        <v>0</v>
      </c>
      <c r="AA248" s="315">
        <v>0</v>
      </c>
      <c r="AB248" s="315">
        <v>0</v>
      </c>
      <c r="AC248" s="315">
        <v>0</v>
      </c>
      <c r="AD248" s="315">
        <v>0</v>
      </c>
      <c r="AE248" s="315">
        <v>0</v>
      </c>
      <c r="AF248" s="315">
        <v>0</v>
      </c>
      <c r="AG248" s="315">
        <v>0</v>
      </c>
      <c r="AH248" s="315">
        <v>0</v>
      </c>
      <c r="AI248" s="315">
        <v>0</v>
      </c>
      <c r="AJ248" s="315">
        <v>0</v>
      </c>
      <c r="AK248" s="315">
        <v>0</v>
      </c>
      <c r="AL248" s="315">
        <v>0</v>
      </c>
      <c r="AM248" s="315">
        <v>0</v>
      </c>
      <c r="AN248" s="315">
        <v>0</v>
      </c>
      <c r="AO248" s="315">
        <v>0</v>
      </c>
      <c r="AP248" s="315">
        <v>0</v>
      </c>
      <c r="AQ248" s="315">
        <v>0</v>
      </c>
      <c r="AR248" s="315">
        <v>0</v>
      </c>
      <c r="AS248" s="315">
        <v>0</v>
      </c>
      <c r="AT248" s="315">
        <v>0</v>
      </c>
      <c r="AU248" s="315">
        <v>0</v>
      </c>
      <c r="AV248" s="315">
        <v>0</v>
      </c>
      <c r="AW248" s="315">
        <v>0</v>
      </c>
      <c r="AX248" s="315">
        <v>0</v>
      </c>
      <c r="AY248" s="315">
        <v>0</v>
      </c>
      <c r="AZ248" s="315">
        <v>0</v>
      </c>
      <c r="BA248" s="315">
        <v>0</v>
      </c>
      <c r="BB248" s="315">
        <v>0</v>
      </c>
      <c r="BC248" s="315">
        <v>0</v>
      </c>
      <c r="BD248" s="315">
        <v>0</v>
      </c>
      <c r="BE248" s="315">
        <v>0</v>
      </c>
      <c r="BF248" s="315">
        <v>0</v>
      </c>
      <c r="BG248" s="315">
        <v>0</v>
      </c>
      <c r="BH248" s="315">
        <v>0</v>
      </c>
      <c r="BI248" s="315">
        <v>0</v>
      </c>
      <c r="BJ248" s="315">
        <v>0</v>
      </c>
      <c r="BK248" s="315">
        <v>0</v>
      </c>
      <c r="BL248" s="315">
        <v>0</v>
      </c>
      <c r="BM248" s="315">
        <v>0</v>
      </c>
      <c r="BN248" s="315">
        <v>0</v>
      </c>
      <c r="BO248" s="315">
        <v>0</v>
      </c>
      <c r="BU248" s="315">
        <v>0</v>
      </c>
      <c r="BV248" s="315">
        <v>0</v>
      </c>
    </row>
    <row r="249" spans="12:74" hidden="1" x14ac:dyDescent="0.2">
      <c r="L249" s="315">
        <v>0</v>
      </c>
      <c r="M249" s="315">
        <v>0</v>
      </c>
      <c r="N249" s="315">
        <v>0</v>
      </c>
      <c r="O249" s="315">
        <v>0</v>
      </c>
      <c r="P249" s="315">
        <v>0</v>
      </c>
      <c r="Q249" s="315">
        <v>0</v>
      </c>
      <c r="R249" s="315">
        <v>0</v>
      </c>
      <c r="S249" s="315">
        <v>0</v>
      </c>
      <c r="T249" s="315">
        <v>0</v>
      </c>
      <c r="U249" s="315">
        <v>0</v>
      </c>
      <c r="V249" s="315">
        <v>0</v>
      </c>
      <c r="W249" s="315">
        <v>0</v>
      </c>
      <c r="X249" s="315">
        <v>0</v>
      </c>
      <c r="Y249" s="315">
        <v>0</v>
      </c>
      <c r="Z249" s="315">
        <v>0</v>
      </c>
      <c r="AA249" s="315">
        <v>0</v>
      </c>
      <c r="AB249" s="315">
        <v>0</v>
      </c>
      <c r="AC249" s="315">
        <v>0</v>
      </c>
      <c r="AD249" s="315">
        <v>0</v>
      </c>
      <c r="AE249" s="315">
        <v>0</v>
      </c>
      <c r="AF249" s="315">
        <v>0</v>
      </c>
      <c r="AG249" s="315">
        <v>0</v>
      </c>
      <c r="AH249" s="315">
        <v>0</v>
      </c>
      <c r="AI249" s="315">
        <v>0</v>
      </c>
      <c r="AJ249" s="315">
        <v>0</v>
      </c>
      <c r="AK249" s="315">
        <v>0</v>
      </c>
      <c r="AL249" s="315">
        <v>0</v>
      </c>
      <c r="AM249" s="315">
        <v>0</v>
      </c>
      <c r="AN249" s="315">
        <v>0</v>
      </c>
      <c r="AO249" s="315">
        <v>0</v>
      </c>
      <c r="AP249" s="315">
        <v>0</v>
      </c>
      <c r="AQ249" s="315">
        <v>0</v>
      </c>
      <c r="AR249" s="315">
        <v>0</v>
      </c>
      <c r="AS249" s="315">
        <v>0</v>
      </c>
      <c r="AT249" s="315">
        <v>0</v>
      </c>
      <c r="AU249" s="315">
        <v>0</v>
      </c>
      <c r="AV249" s="315">
        <v>0</v>
      </c>
      <c r="AW249" s="315">
        <v>0</v>
      </c>
      <c r="AX249" s="315">
        <v>0</v>
      </c>
      <c r="AY249" s="315">
        <v>0</v>
      </c>
      <c r="AZ249" s="315">
        <v>0</v>
      </c>
      <c r="BA249" s="315">
        <v>0</v>
      </c>
      <c r="BB249" s="315">
        <v>0</v>
      </c>
      <c r="BC249" s="315">
        <v>0</v>
      </c>
      <c r="BD249" s="315">
        <v>0</v>
      </c>
      <c r="BE249" s="315">
        <v>0</v>
      </c>
      <c r="BF249" s="315">
        <v>0</v>
      </c>
      <c r="BG249" s="315">
        <v>0</v>
      </c>
      <c r="BH249" s="315">
        <v>0</v>
      </c>
      <c r="BI249" s="315">
        <v>0</v>
      </c>
      <c r="BJ249" s="315">
        <v>0</v>
      </c>
      <c r="BK249" s="315">
        <v>0</v>
      </c>
      <c r="BL249" s="315">
        <v>0</v>
      </c>
      <c r="BM249" s="315">
        <v>0</v>
      </c>
      <c r="BN249" s="315">
        <v>0</v>
      </c>
      <c r="BO249" s="315">
        <v>0</v>
      </c>
      <c r="BU249" s="315">
        <v>0</v>
      </c>
      <c r="BV249" s="315">
        <v>0</v>
      </c>
    </row>
    <row r="250" spans="12:74" hidden="1" x14ac:dyDescent="0.2">
      <c r="L250" s="315">
        <v>0</v>
      </c>
      <c r="M250" s="315">
        <v>0</v>
      </c>
      <c r="N250" s="315">
        <v>0</v>
      </c>
      <c r="O250" s="315">
        <v>0</v>
      </c>
      <c r="P250" s="315">
        <v>0</v>
      </c>
      <c r="Q250" s="315">
        <v>0</v>
      </c>
      <c r="R250" s="315">
        <v>0</v>
      </c>
      <c r="S250" s="315">
        <v>0</v>
      </c>
      <c r="T250" s="315">
        <v>0</v>
      </c>
      <c r="U250" s="315">
        <v>0</v>
      </c>
      <c r="V250" s="315">
        <v>0</v>
      </c>
      <c r="W250" s="315">
        <v>0</v>
      </c>
      <c r="X250" s="315">
        <v>0</v>
      </c>
      <c r="Y250" s="315">
        <v>0</v>
      </c>
      <c r="Z250" s="315">
        <v>0</v>
      </c>
      <c r="AA250" s="315">
        <v>0</v>
      </c>
      <c r="AB250" s="315">
        <v>0</v>
      </c>
      <c r="AC250" s="315">
        <v>0</v>
      </c>
      <c r="AD250" s="315">
        <v>0</v>
      </c>
      <c r="AE250" s="315">
        <v>0</v>
      </c>
      <c r="AF250" s="315">
        <v>0</v>
      </c>
      <c r="AG250" s="315">
        <v>0</v>
      </c>
      <c r="AH250" s="315">
        <v>0</v>
      </c>
      <c r="AI250" s="315">
        <v>0</v>
      </c>
      <c r="AJ250" s="315">
        <v>0</v>
      </c>
      <c r="AK250" s="315">
        <v>0</v>
      </c>
      <c r="AL250" s="315">
        <v>0</v>
      </c>
      <c r="AM250" s="315">
        <v>0</v>
      </c>
      <c r="AN250" s="315">
        <v>0</v>
      </c>
      <c r="AO250" s="315">
        <v>0</v>
      </c>
      <c r="AP250" s="315">
        <v>0</v>
      </c>
      <c r="AQ250" s="315">
        <v>0</v>
      </c>
      <c r="AR250" s="315">
        <v>0</v>
      </c>
      <c r="AS250" s="315">
        <v>0</v>
      </c>
      <c r="AT250" s="315">
        <v>0</v>
      </c>
      <c r="AU250" s="315">
        <v>0</v>
      </c>
      <c r="AV250" s="315">
        <v>0</v>
      </c>
      <c r="AW250" s="315">
        <v>0</v>
      </c>
      <c r="AX250" s="315">
        <v>0</v>
      </c>
      <c r="AY250" s="315">
        <v>0</v>
      </c>
      <c r="AZ250" s="315">
        <v>0</v>
      </c>
      <c r="BA250" s="315">
        <v>0</v>
      </c>
      <c r="BB250" s="315">
        <v>0</v>
      </c>
      <c r="BC250" s="315">
        <v>0</v>
      </c>
      <c r="BD250" s="315">
        <v>0</v>
      </c>
      <c r="BE250" s="315">
        <v>0</v>
      </c>
      <c r="BF250" s="315">
        <v>0</v>
      </c>
      <c r="BG250" s="315">
        <v>0</v>
      </c>
      <c r="BH250" s="315">
        <v>0</v>
      </c>
      <c r="BI250" s="315">
        <v>0</v>
      </c>
      <c r="BJ250" s="315">
        <v>0</v>
      </c>
      <c r="BK250" s="315">
        <v>0</v>
      </c>
      <c r="BL250" s="315">
        <v>0</v>
      </c>
      <c r="BM250" s="315">
        <v>0</v>
      </c>
      <c r="BN250" s="315">
        <v>0</v>
      </c>
      <c r="BO250" s="315">
        <v>0</v>
      </c>
      <c r="BU250" s="315">
        <v>0</v>
      </c>
      <c r="BV250" s="315">
        <v>0</v>
      </c>
    </row>
    <row r="251" spans="12:74" hidden="1" x14ac:dyDescent="0.2">
      <c r="L251" s="315">
        <v>0</v>
      </c>
      <c r="M251" s="315">
        <v>0</v>
      </c>
      <c r="N251" s="315">
        <v>0</v>
      </c>
      <c r="O251" s="315">
        <v>0</v>
      </c>
      <c r="P251" s="315">
        <v>0</v>
      </c>
      <c r="Q251" s="315">
        <v>0</v>
      </c>
      <c r="R251" s="315">
        <v>0</v>
      </c>
      <c r="S251" s="315">
        <v>0</v>
      </c>
      <c r="T251" s="315">
        <v>0</v>
      </c>
      <c r="U251" s="315">
        <v>0</v>
      </c>
      <c r="V251" s="315">
        <v>0</v>
      </c>
      <c r="W251" s="315">
        <v>0</v>
      </c>
      <c r="X251" s="315">
        <v>0</v>
      </c>
      <c r="Y251" s="315">
        <v>0</v>
      </c>
      <c r="Z251" s="315">
        <v>0</v>
      </c>
      <c r="AA251" s="315">
        <v>0</v>
      </c>
      <c r="AB251" s="315">
        <v>0</v>
      </c>
      <c r="AC251" s="315">
        <v>0</v>
      </c>
      <c r="AD251" s="315">
        <v>0</v>
      </c>
      <c r="AE251" s="315">
        <v>0</v>
      </c>
      <c r="AF251" s="315">
        <v>0</v>
      </c>
      <c r="AG251" s="315">
        <v>0</v>
      </c>
      <c r="AH251" s="315">
        <v>0</v>
      </c>
      <c r="AI251" s="315">
        <v>0</v>
      </c>
      <c r="AJ251" s="315">
        <v>0</v>
      </c>
      <c r="AK251" s="315">
        <v>0</v>
      </c>
      <c r="AL251" s="315">
        <v>0</v>
      </c>
      <c r="AM251" s="315">
        <v>0</v>
      </c>
      <c r="AN251" s="315">
        <v>0</v>
      </c>
      <c r="AO251" s="315">
        <v>0</v>
      </c>
      <c r="AP251" s="315">
        <v>0</v>
      </c>
      <c r="AQ251" s="315">
        <v>0</v>
      </c>
      <c r="AR251" s="315">
        <v>0</v>
      </c>
      <c r="AS251" s="315">
        <v>0</v>
      </c>
      <c r="AT251" s="315">
        <v>0</v>
      </c>
      <c r="AU251" s="315">
        <v>0</v>
      </c>
      <c r="AV251" s="315">
        <v>0</v>
      </c>
      <c r="AW251" s="315">
        <v>0</v>
      </c>
      <c r="AX251" s="315">
        <v>0</v>
      </c>
      <c r="AY251" s="315">
        <v>0</v>
      </c>
      <c r="AZ251" s="315">
        <v>0</v>
      </c>
      <c r="BA251" s="315">
        <v>0</v>
      </c>
      <c r="BB251" s="315">
        <v>0</v>
      </c>
      <c r="BC251" s="315">
        <v>0</v>
      </c>
      <c r="BD251" s="315">
        <v>0</v>
      </c>
      <c r="BE251" s="315">
        <v>0</v>
      </c>
      <c r="BF251" s="315">
        <v>0</v>
      </c>
      <c r="BG251" s="315">
        <v>0</v>
      </c>
      <c r="BH251" s="315">
        <v>0</v>
      </c>
      <c r="BI251" s="315">
        <v>0</v>
      </c>
      <c r="BJ251" s="315">
        <v>0</v>
      </c>
      <c r="BK251" s="315">
        <v>0</v>
      </c>
      <c r="BL251" s="315">
        <v>0</v>
      </c>
      <c r="BM251" s="315">
        <v>0</v>
      </c>
      <c r="BN251" s="315">
        <v>0</v>
      </c>
      <c r="BO251" s="315">
        <v>0</v>
      </c>
      <c r="BU251" s="315">
        <v>0</v>
      </c>
      <c r="BV251" s="315">
        <v>0</v>
      </c>
    </row>
    <row r="252" spans="12:74" hidden="1" x14ac:dyDescent="0.2">
      <c r="L252" s="315">
        <v>0</v>
      </c>
      <c r="M252" s="315">
        <v>0</v>
      </c>
      <c r="N252" s="315">
        <v>0</v>
      </c>
      <c r="O252" s="315">
        <v>0</v>
      </c>
      <c r="P252" s="315">
        <v>0</v>
      </c>
      <c r="Q252" s="315">
        <v>0</v>
      </c>
      <c r="R252" s="315">
        <v>0</v>
      </c>
      <c r="S252" s="315">
        <v>0</v>
      </c>
      <c r="T252" s="315">
        <v>0</v>
      </c>
      <c r="U252" s="315">
        <v>0</v>
      </c>
      <c r="V252" s="315">
        <v>0</v>
      </c>
      <c r="W252" s="315">
        <v>0</v>
      </c>
      <c r="X252" s="315">
        <v>0</v>
      </c>
      <c r="Y252" s="315">
        <v>0</v>
      </c>
      <c r="Z252" s="315">
        <v>0</v>
      </c>
      <c r="AA252" s="315">
        <v>0</v>
      </c>
      <c r="AB252" s="315">
        <v>0</v>
      </c>
      <c r="AC252" s="315">
        <v>0</v>
      </c>
      <c r="AD252" s="315">
        <v>0</v>
      </c>
      <c r="AE252" s="315">
        <v>0</v>
      </c>
      <c r="AF252" s="315">
        <v>0</v>
      </c>
      <c r="AG252" s="315">
        <v>0</v>
      </c>
      <c r="AH252" s="315">
        <v>0</v>
      </c>
      <c r="AI252" s="315">
        <v>0</v>
      </c>
      <c r="AJ252" s="315">
        <v>0</v>
      </c>
      <c r="AK252" s="315">
        <v>0</v>
      </c>
      <c r="AL252" s="315">
        <v>0</v>
      </c>
      <c r="AM252" s="315">
        <v>0</v>
      </c>
      <c r="AN252" s="315">
        <v>0</v>
      </c>
      <c r="AO252" s="315">
        <v>0</v>
      </c>
      <c r="AP252" s="315">
        <v>0</v>
      </c>
      <c r="AQ252" s="315">
        <v>0</v>
      </c>
      <c r="AR252" s="315">
        <v>0</v>
      </c>
      <c r="AS252" s="315">
        <v>0</v>
      </c>
      <c r="AT252" s="315">
        <v>0</v>
      </c>
      <c r="AU252" s="315">
        <v>0</v>
      </c>
      <c r="AV252" s="315">
        <v>0</v>
      </c>
      <c r="AW252" s="315">
        <v>0</v>
      </c>
      <c r="AX252" s="315">
        <v>0</v>
      </c>
      <c r="AY252" s="315">
        <v>0</v>
      </c>
      <c r="AZ252" s="315">
        <v>0</v>
      </c>
      <c r="BA252" s="315">
        <v>0</v>
      </c>
      <c r="BB252" s="315">
        <v>0</v>
      </c>
      <c r="BC252" s="315">
        <v>0</v>
      </c>
      <c r="BD252" s="315">
        <v>0</v>
      </c>
      <c r="BE252" s="315">
        <v>0</v>
      </c>
      <c r="BF252" s="315">
        <v>0</v>
      </c>
      <c r="BG252" s="315">
        <v>0</v>
      </c>
      <c r="BH252" s="315">
        <v>0</v>
      </c>
      <c r="BI252" s="315">
        <v>0</v>
      </c>
      <c r="BJ252" s="315">
        <v>0</v>
      </c>
      <c r="BK252" s="315">
        <v>0</v>
      </c>
      <c r="BL252" s="315">
        <v>0</v>
      </c>
      <c r="BM252" s="315">
        <v>0</v>
      </c>
      <c r="BN252" s="315">
        <v>0</v>
      </c>
      <c r="BO252" s="315">
        <v>0</v>
      </c>
      <c r="BU252" s="315">
        <v>0</v>
      </c>
      <c r="BV252" s="315">
        <v>0</v>
      </c>
    </row>
    <row r="253" spans="12:74" hidden="1" x14ac:dyDescent="0.2">
      <c r="L253" s="315">
        <v>0</v>
      </c>
      <c r="M253" s="315">
        <v>0</v>
      </c>
      <c r="N253" s="315">
        <v>0</v>
      </c>
      <c r="O253" s="315">
        <v>0</v>
      </c>
      <c r="P253" s="315">
        <v>0</v>
      </c>
      <c r="Q253" s="315">
        <v>0</v>
      </c>
      <c r="R253" s="315">
        <v>0</v>
      </c>
      <c r="S253" s="315">
        <v>0</v>
      </c>
      <c r="T253" s="315">
        <v>0</v>
      </c>
      <c r="U253" s="315">
        <v>0</v>
      </c>
      <c r="V253" s="315">
        <v>0</v>
      </c>
      <c r="W253" s="315">
        <v>0</v>
      </c>
      <c r="X253" s="315">
        <v>0</v>
      </c>
      <c r="Y253" s="315">
        <v>0</v>
      </c>
      <c r="Z253" s="315">
        <v>0</v>
      </c>
      <c r="AA253" s="315">
        <v>0</v>
      </c>
      <c r="AB253" s="315">
        <v>0</v>
      </c>
      <c r="AC253" s="315">
        <v>0</v>
      </c>
      <c r="AD253" s="315">
        <v>0</v>
      </c>
      <c r="AE253" s="315">
        <v>0</v>
      </c>
      <c r="AF253" s="315">
        <v>0</v>
      </c>
      <c r="AG253" s="315">
        <v>0</v>
      </c>
      <c r="AH253" s="315">
        <v>0</v>
      </c>
      <c r="AI253" s="315">
        <v>0</v>
      </c>
      <c r="AJ253" s="315">
        <v>0</v>
      </c>
      <c r="AK253" s="315">
        <v>0</v>
      </c>
      <c r="AL253" s="315">
        <v>0</v>
      </c>
      <c r="AM253" s="315">
        <v>0</v>
      </c>
      <c r="AN253" s="315">
        <v>0</v>
      </c>
      <c r="AO253" s="315">
        <v>0</v>
      </c>
      <c r="AP253" s="315">
        <v>0</v>
      </c>
      <c r="AQ253" s="315">
        <v>0</v>
      </c>
      <c r="AR253" s="315">
        <v>0</v>
      </c>
      <c r="AS253" s="315">
        <v>0</v>
      </c>
      <c r="AT253" s="315">
        <v>0</v>
      </c>
      <c r="AU253" s="315">
        <v>0</v>
      </c>
      <c r="AV253" s="315">
        <v>0</v>
      </c>
      <c r="AW253" s="315">
        <v>0</v>
      </c>
      <c r="AX253" s="315">
        <v>0</v>
      </c>
      <c r="AY253" s="315">
        <v>0</v>
      </c>
      <c r="AZ253" s="315">
        <v>0</v>
      </c>
      <c r="BA253" s="315">
        <v>0</v>
      </c>
      <c r="BB253" s="315">
        <v>0</v>
      </c>
      <c r="BC253" s="315">
        <v>0</v>
      </c>
      <c r="BD253" s="315">
        <v>0</v>
      </c>
      <c r="BE253" s="315">
        <v>0</v>
      </c>
      <c r="BF253" s="315">
        <v>0</v>
      </c>
      <c r="BG253" s="315">
        <v>0</v>
      </c>
      <c r="BH253" s="315">
        <v>0</v>
      </c>
      <c r="BI253" s="315">
        <v>0</v>
      </c>
      <c r="BJ253" s="315">
        <v>0</v>
      </c>
      <c r="BK253" s="315">
        <v>0</v>
      </c>
      <c r="BL253" s="315">
        <v>0</v>
      </c>
      <c r="BM253" s="315">
        <v>0</v>
      </c>
      <c r="BN253" s="315">
        <v>0</v>
      </c>
      <c r="BO253" s="315">
        <v>0</v>
      </c>
      <c r="BU253" s="315">
        <v>0</v>
      </c>
      <c r="BV253" s="315">
        <v>0</v>
      </c>
    </row>
    <row r="254" spans="12:74" hidden="1" x14ac:dyDescent="0.2">
      <c r="L254" s="315">
        <v>0</v>
      </c>
      <c r="M254" s="315">
        <v>0</v>
      </c>
      <c r="N254" s="315">
        <v>0</v>
      </c>
      <c r="O254" s="315">
        <v>0</v>
      </c>
      <c r="P254" s="315">
        <v>0</v>
      </c>
      <c r="Q254" s="315">
        <v>0</v>
      </c>
      <c r="R254" s="315">
        <v>0</v>
      </c>
      <c r="S254" s="315">
        <v>0</v>
      </c>
      <c r="T254" s="315">
        <v>0</v>
      </c>
      <c r="U254" s="315">
        <v>0</v>
      </c>
      <c r="V254" s="315">
        <v>0</v>
      </c>
      <c r="W254" s="315">
        <v>0</v>
      </c>
      <c r="X254" s="315">
        <v>0</v>
      </c>
      <c r="Y254" s="315">
        <v>0</v>
      </c>
      <c r="Z254" s="315">
        <v>0</v>
      </c>
      <c r="AA254" s="315">
        <v>0</v>
      </c>
      <c r="AB254" s="315">
        <v>0</v>
      </c>
      <c r="AC254" s="315">
        <v>0</v>
      </c>
      <c r="AD254" s="315">
        <v>0</v>
      </c>
      <c r="AE254" s="315">
        <v>0</v>
      </c>
      <c r="AF254" s="315">
        <v>0</v>
      </c>
      <c r="AG254" s="315">
        <v>0</v>
      </c>
      <c r="AH254" s="315">
        <v>0</v>
      </c>
      <c r="AI254" s="315">
        <v>0</v>
      </c>
      <c r="AJ254" s="315">
        <v>0</v>
      </c>
      <c r="AK254" s="315">
        <v>0</v>
      </c>
      <c r="AL254" s="315">
        <v>0</v>
      </c>
      <c r="AM254" s="315">
        <v>0</v>
      </c>
      <c r="AN254" s="315">
        <v>0</v>
      </c>
      <c r="AO254" s="315">
        <v>0</v>
      </c>
      <c r="AP254" s="315">
        <v>0</v>
      </c>
      <c r="AQ254" s="315">
        <v>0</v>
      </c>
      <c r="AR254" s="315">
        <v>0</v>
      </c>
      <c r="AS254" s="315">
        <v>0</v>
      </c>
      <c r="AT254" s="315">
        <v>0</v>
      </c>
      <c r="AU254" s="315">
        <v>0</v>
      </c>
      <c r="AV254" s="315">
        <v>0</v>
      </c>
      <c r="AW254" s="315">
        <v>0</v>
      </c>
      <c r="AX254" s="315">
        <v>0</v>
      </c>
      <c r="AY254" s="315">
        <v>0</v>
      </c>
      <c r="AZ254" s="315">
        <v>0</v>
      </c>
      <c r="BA254" s="315">
        <v>0</v>
      </c>
      <c r="BB254" s="315">
        <v>0</v>
      </c>
      <c r="BC254" s="315">
        <v>0</v>
      </c>
      <c r="BD254" s="315">
        <v>0</v>
      </c>
      <c r="BE254" s="315">
        <v>0</v>
      </c>
      <c r="BF254" s="315">
        <v>0</v>
      </c>
      <c r="BG254" s="315">
        <v>0</v>
      </c>
      <c r="BH254" s="315">
        <v>0</v>
      </c>
      <c r="BI254" s="315">
        <v>0</v>
      </c>
      <c r="BJ254" s="315">
        <v>0</v>
      </c>
      <c r="BK254" s="315">
        <v>0</v>
      </c>
      <c r="BL254" s="315">
        <v>0</v>
      </c>
      <c r="BM254" s="315">
        <v>0</v>
      </c>
      <c r="BN254" s="315">
        <v>0</v>
      </c>
      <c r="BO254" s="315">
        <v>0</v>
      </c>
      <c r="BU254" s="315">
        <v>0</v>
      </c>
      <c r="BV254" s="315">
        <v>0</v>
      </c>
    </row>
    <row r="255" spans="12:74" hidden="1" x14ac:dyDescent="0.2">
      <c r="L255" s="315">
        <v>0</v>
      </c>
      <c r="M255" s="315">
        <v>0</v>
      </c>
      <c r="N255" s="315">
        <v>0</v>
      </c>
      <c r="O255" s="315">
        <v>0</v>
      </c>
      <c r="P255" s="315">
        <v>0</v>
      </c>
      <c r="Q255" s="315">
        <v>0</v>
      </c>
      <c r="R255" s="315">
        <v>0</v>
      </c>
      <c r="S255" s="315">
        <v>0</v>
      </c>
      <c r="T255" s="315">
        <v>0</v>
      </c>
      <c r="U255" s="315">
        <v>0</v>
      </c>
      <c r="V255" s="315">
        <v>0</v>
      </c>
      <c r="W255" s="315">
        <v>0</v>
      </c>
      <c r="X255" s="315">
        <v>0</v>
      </c>
      <c r="Y255" s="315">
        <v>0</v>
      </c>
      <c r="Z255" s="315">
        <v>0</v>
      </c>
      <c r="AA255" s="315">
        <v>0</v>
      </c>
      <c r="AB255" s="315">
        <v>0</v>
      </c>
      <c r="AC255" s="315">
        <v>0</v>
      </c>
      <c r="AD255" s="315">
        <v>0</v>
      </c>
      <c r="AE255" s="315">
        <v>0</v>
      </c>
      <c r="AF255" s="315">
        <v>0</v>
      </c>
      <c r="AG255" s="315">
        <v>0</v>
      </c>
      <c r="AH255" s="315">
        <v>0</v>
      </c>
      <c r="AI255" s="315">
        <v>0</v>
      </c>
      <c r="AJ255" s="315">
        <v>0</v>
      </c>
      <c r="AK255" s="315">
        <v>0</v>
      </c>
      <c r="AL255" s="315">
        <v>0</v>
      </c>
      <c r="AM255" s="315">
        <v>0</v>
      </c>
      <c r="AN255" s="315">
        <v>0</v>
      </c>
      <c r="AO255" s="315">
        <v>0</v>
      </c>
      <c r="AP255" s="315">
        <v>0</v>
      </c>
      <c r="AQ255" s="315">
        <v>0</v>
      </c>
      <c r="AR255" s="315">
        <v>0</v>
      </c>
      <c r="AS255" s="315">
        <v>0</v>
      </c>
      <c r="AT255" s="315">
        <v>0</v>
      </c>
      <c r="AU255" s="315">
        <v>0</v>
      </c>
      <c r="AV255" s="315">
        <v>0</v>
      </c>
      <c r="AW255" s="315">
        <v>0</v>
      </c>
      <c r="AX255" s="315">
        <v>0</v>
      </c>
      <c r="AY255" s="315">
        <v>0</v>
      </c>
      <c r="AZ255" s="315">
        <v>0</v>
      </c>
      <c r="BA255" s="315">
        <v>0</v>
      </c>
      <c r="BB255" s="315">
        <v>0</v>
      </c>
      <c r="BC255" s="315">
        <v>0</v>
      </c>
      <c r="BD255" s="315">
        <v>0</v>
      </c>
      <c r="BE255" s="315">
        <v>0</v>
      </c>
      <c r="BF255" s="315">
        <v>0</v>
      </c>
      <c r="BG255" s="315">
        <v>0</v>
      </c>
      <c r="BH255" s="315">
        <v>0</v>
      </c>
      <c r="BI255" s="315">
        <v>0</v>
      </c>
      <c r="BJ255" s="315">
        <v>0</v>
      </c>
      <c r="BK255" s="315">
        <v>0</v>
      </c>
      <c r="BL255" s="315">
        <v>0</v>
      </c>
      <c r="BM255" s="315">
        <v>0</v>
      </c>
      <c r="BN255" s="315">
        <v>0</v>
      </c>
      <c r="BO255" s="315">
        <v>0</v>
      </c>
      <c r="BU255" s="315">
        <v>0</v>
      </c>
      <c r="BV255" s="315">
        <v>0</v>
      </c>
    </row>
    <row r="256" spans="12:74" hidden="1" x14ac:dyDescent="0.2">
      <c r="L256" s="315">
        <v>0</v>
      </c>
      <c r="M256" s="315">
        <v>0</v>
      </c>
      <c r="N256" s="315">
        <v>0</v>
      </c>
      <c r="O256" s="315">
        <v>0</v>
      </c>
      <c r="P256" s="315">
        <v>0</v>
      </c>
      <c r="Q256" s="315">
        <v>0</v>
      </c>
      <c r="R256" s="315">
        <v>0</v>
      </c>
      <c r="S256" s="315">
        <v>0</v>
      </c>
      <c r="T256" s="315">
        <v>0</v>
      </c>
      <c r="U256" s="315">
        <v>0</v>
      </c>
      <c r="V256" s="315">
        <v>0</v>
      </c>
      <c r="W256" s="315">
        <v>0</v>
      </c>
      <c r="X256" s="315">
        <v>0</v>
      </c>
      <c r="Y256" s="315">
        <v>0</v>
      </c>
      <c r="Z256" s="315">
        <v>0</v>
      </c>
      <c r="AA256" s="315">
        <v>0</v>
      </c>
      <c r="AB256" s="315">
        <v>0</v>
      </c>
      <c r="AC256" s="315">
        <v>0</v>
      </c>
      <c r="AD256" s="315">
        <v>0</v>
      </c>
      <c r="AE256" s="315">
        <v>0</v>
      </c>
      <c r="AF256" s="315">
        <v>0</v>
      </c>
      <c r="AG256" s="315">
        <v>0</v>
      </c>
      <c r="AH256" s="315">
        <v>0</v>
      </c>
      <c r="AI256" s="315">
        <v>0</v>
      </c>
      <c r="AJ256" s="315">
        <v>0</v>
      </c>
      <c r="AK256" s="315">
        <v>0</v>
      </c>
      <c r="AL256" s="315">
        <v>0</v>
      </c>
      <c r="AM256" s="315">
        <v>0</v>
      </c>
      <c r="AN256" s="315">
        <v>0</v>
      </c>
      <c r="AO256" s="315">
        <v>0</v>
      </c>
      <c r="AP256" s="315">
        <v>0</v>
      </c>
      <c r="AQ256" s="315">
        <v>0</v>
      </c>
      <c r="AR256" s="315">
        <v>0</v>
      </c>
      <c r="AS256" s="315">
        <v>0</v>
      </c>
      <c r="AT256" s="315">
        <v>0</v>
      </c>
      <c r="AU256" s="315">
        <v>0</v>
      </c>
      <c r="AV256" s="315">
        <v>0</v>
      </c>
      <c r="AW256" s="315">
        <v>0</v>
      </c>
      <c r="AX256" s="315">
        <v>0</v>
      </c>
      <c r="AY256" s="315">
        <v>0</v>
      </c>
      <c r="AZ256" s="315">
        <v>0</v>
      </c>
      <c r="BA256" s="315">
        <v>0</v>
      </c>
      <c r="BB256" s="315">
        <v>0</v>
      </c>
      <c r="BC256" s="315">
        <v>0</v>
      </c>
      <c r="BD256" s="315">
        <v>0</v>
      </c>
      <c r="BE256" s="315">
        <v>0</v>
      </c>
      <c r="BF256" s="315">
        <v>0</v>
      </c>
      <c r="BG256" s="315">
        <v>0</v>
      </c>
      <c r="BH256" s="315">
        <v>0</v>
      </c>
      <c r="BI256" s="315">
        <v>0</v>
      </c>
      <c r="BJ256" s="315">
        <v>0</v>
      </c>
      <c r="BK256" s="315">
        <v>0</v>
      </c>
      <c r="BL256" s="315">
        <v>0</v>
      </c>
      <c r="BM256" s="315">
        <v>0</v>
      </c>
      <c r="BN256" s="315">
        <v>0</v>
      </c>
      <c r="BO256" s="315">
        <v>0</v>
      </c>
      <c r="BU256" s="315">
        <v>0</v>
      </c>
      <c r="BV256" s="315">
        <v>0</v>
      </c>
    </row>
    <row r="257" spans="12:74" hidden="1" x14ac:dyDescent="0.2">
      <c r="L257" s="315">
        <v>0</v>
      </c>
      <c r="M257" s="315">
        <v>0</v>
      </c>
      <c r="N257" s="315">
        <v>0</v>
      </c>
      <c r="O257" s="315">
        <v>0</v>
      </c>
      <c r="P257" s="315">
        <v>0</v>
      </c>
      <c r="Q257" s="315">
        <v>0</v>
      </c>
      <c r="R257" s="315">
        <v>0</v>
      </c>
      <c r="S257" s="315">
        <v>0</v>
      </c>
      <c r="T257" s="315">
        <v>0</v>
      </c>
      <c r="U257" s="315">
        <v>0</v>
      </c>
      <c r="V257" s="315">
        <v>0</v>
      </c>
      <c r="W257" s="315">
        <v>0</v>
      </c>
      <c r="X257" s="315">
        <v>0</v>
      </c>
      <c r="Y257" s="315">
        <v>0</v>
      </c>
      <c r="Z257" s="315">
        <v>0</v>
      </c>
      <c r="AA257" s="315">
        <v>0</v>
      </c>
      <c r="AB257" s="315">
        <v>0</v>
      </c>
      <c r="AC257" s="315">
        <v>0</v>
      </c>
      <c r="AD257" s="315">
        <v>0</v>
      </c>
      <c r="AE257" s="315">
        <v>0</v>
      </c>
      <c r="AF257" s="315">
        <v>0</v>
      </c>
      <c r="AG257" s="315">
        <v>0</v>
      </c>
      <c r="AH257" s="315">
        <v>0</v>
      </c>
      <c r="AI257" s="315">
        <v>0</v>
      </c>
      <c r="AJ257" s="315">
        <v>0</v>
      </c>
      <c r="AK257" s="315">
        <v>0</v>
      </c>
      <c r="AL257" s="315">
        <v>0</v>
      </c>
      <c r="AM257" s="315">
        <v>0</v>
      </c>
      <c r="AN257" s="315">
        <v>0</v>
      </c>
      <c r="AO257" s="315">
        <v>0</v>
      </c>
      <c r="AP257" s="315">
        <v>0</v>
      </c>
      <c r="AQ257" s="315">
        <v>0</v>
      </c>
      <c r="AR257" s="315">
        <v>0</v>
      </c>
      <c r="AS257" s="315">
        <v>0</v>
      </c>
      <c r="AT257" s="315">
        <v>0</v>
      </c>
      <c r="AU257" s="315">
        <v>0</v>
      </c>
      <c r="AV257" s="315">
        <v>0</v>
      </c>
      <c r="AW257" s="315">
        <v>0</v>
      </c>
      <c r="AX257" s="315">
        <v>0</v>
      </c>
      <c r="AY257" s="315">
        <v>0</v>
      </c>
      <c r="AZ257" s="315">
        <v>0</v>
      </c>
      <c r="BA257" s="315">
        <v>0</v>
      </c>
      <c r="BB257" s="315">
        <v>0</v>
      </c>
      <c r="BC257" s="315">
        <v>0</v>
      </c>
      <c r="BD257" s="315">
        <v>0</v>
      </c>
      <c r="BE257" s="315">
        <v>0</v>
      </c>
      <c r="BF257" s="315">
        <v>0</v>
      </c>
      <c r="BG257" s="315">
        <v>0</v>
      </c>
      <c r="BH257" s="315">
        <v>0</v>
      </c>
      <c r="BI257" s="315">
        <v>0</v>
      </c>
      <c r="BJ257" s="315">
        <v>0</v>
      </c>
      <c r="BK257" s="315">
        <v>0</v>
      </c>
      <c r="BL257" s="315">
        <v>0</v>
      </c>
      <c r="BM257" s="315">
        <v>0</v>
      </c>
      <c r="BN257" s="315">
        <v>0</v>
      </c>
      <c r="BO257" s="315">
        <v>0</v>
      </c>
      <c r="BU257" s="315">
        <v>0</v>
      </c>
      <c r="BV257" s="315">
        <v>0</v>
      </c>
    </row>
    <row r="258" spans="12:74" hidden="1" x14ac:dyDescent="0.2">
      <c r="L258" s="315">
        <v>0</v>
      </c>
      <c r="M258" s="315">
        <v>0</v>
      </c>
      <c r="N258" s="315">
        <v>0</v>
      </c>
      <c r="O258" s="315">
        <v>0</v>
      </c>
      <c r="P258" s="315">
        <v>0</v>
      </c>
      <c r="Q258" s="315">
        <v>0</v>
      </c>
      <c r="R258" s="315">
        <v>0</v>
      </c>
      <c r="S258" s="315">
        <v>0</v>
      </c>
      <c r="T258" s="315">
        <v>0</v>
      </c>
      <c r="U258" s="315">
        <v>0</v>
      </c>
      <c r="V258" s="315">
        <v>0</v>
      </c>
      <c r="W258" s="315">
        <v>0</v>
      </c>
      <c r="X258" s="315">
        <v>0</v>
      </c>
      <c r="Y258" s="315">
        <v>0</v>
      </c>
      <c r="Z258" s="315">
        <v>0</v>
      </c>
      <c r="AA258" s="315">
        <v>0</v>
      </c>
      <c r="AB258" s="315">
        <v>0</v>
      </c>
      <c r="AC258" s="315">
        <v>0</v>
      </c>
      <c r="AD258" s="315">
        <v>0</v>
      </c>
      <c r="AE258" s="315">
        <v>0</v>
      </c>
      <c r="AF258" s="315">
        <v>0</v>
      </c>
      <c r="AG258" s="315">
        <v>0</v>
      </c>
      <c r="AH258" s="315">
        <v>0</v>
      </c>
      <c r="AI258" s="315">
        <v>0</v>
      </c>
      <c r="AJ258" s="315">
        <v>0</v>
      </c>
      <c r="AK258" s="315">
        <v>0</v>
      </c>
      <c r="AL258" s="315">
        <v>0</v>
      </c>
      <c r="AM258" s="315">
        <v>0</v>
      </c>
      <c r="AN258" s="315">
        <v>0</v>
      </c>
      <c r="AO258" s="315">
        <v>0</v>
      </c>
      <c r="AP258" s="315">
        <v>0</v>
      </c>
      <c r="AQ258" s="315">
        <v>0</v>
      </c>
      <c r="AR258" s="315">
        <v>0</v>
      </c>
      <c r="AS258" s="315">
        <v>0</v>
      </c>
      <c r="AT258" s="315">
        <v>0</v>
      </c>
      <c r="AU258" s="315">
        <v>0</v>
      </c>
      <c r="AV258" s="315">
        <v>0</v>
      </c>
      <c r="AW258" s="315">
        <v>0</v>
      </c>
      <c r="AX258" s="315">
        <v>0</v>
      </c>
      <c r="AY258" s="315">
        <v>0</v>
      </c>
      <c r="AZ258" s="315">
        <v>0</v>
      </c>
      <c r="BA258" s="315">
        <v>0</v>
      </c>
      <c r="BB258" s="315">
        <v>0</v>
      </c>
      <c r="BC258" s="315">
        <v>0</v>
      </c>
      <c r="BD258" s="315">
        <v>0</v>
      </c>
      <c r="BE258" s="315">
        <v>0</v>
      </c>
      <c r="BF258" s="315">
        <v>0</v>
      </c>
      <c r="BG258" s="315">
        <v>0</v>
      </c>
      <c r="BH258" s="315">
        <v>0</v>
      </c>
      <c r="BI258" s="315">
        <v>0</v>
      </c>
      <c r="BJ258" s="315">
        <v>0</v>
      </c>
      <c r="BK258" s="315">
        <v>0</v>
      </c>
      <c r="BL258" s="315">
        <v>0</v>
      </c>
      <c r="BM258" s="315">
        <v>0</v>
      </c>
      <c r="BN258" s="315">
        <v>0</v>
      </c>
      <c r="BO258" s="315">
        <v>0</v>
      </c>
      <c r="BU258" s="315">
        <v>0</v>
      </c>
      <c r="BV258" s="315">
        <v>0</v>
      </c>
    </row>
    <row r="259" spans="12:74" hidden="1" x14ac:dyDescent="0.2">
      <c r="L259" s="315">
        <v>0</v>
      </c>
      <c r="M259" s="315">
        <v>0</v>
      </c>
      <c r="N259" s="315">
        <v>0</v>
      </c>
      <c r="O259" s="315">
        <v>0</v>
      </c>
      <c r="P259" s="315">
        <v>0</v>
      </c>
      <c r="Q259" s="315">
        <v>0</v>
      </c>
      <c r="R259" s="315">
        <v>0</v>
      </c>
      <c r="S259" s="315">
        <v>0</v>
      </c>
      <c r="T259" s="315">
        <v>0</v>
      </c>
      <c r="U259" s="315">
        <v>0</v>
      </c>
      <c r="V259" s="315">
        <v>0</v>
      </c>
      <c r="W259" s="315">
        <v>0</v>
      </c>
      <c r="X259" s="315">
        <v>0</v>
      </c>
      <c r="Y259" s="315">
        <v>0</v>
      </c>
      <c r="Z259" s="315">
        <v>0</v>
      </c>
      <c r="AA259" s="315">
        <v>0</v>
      </c>
      <c r="AB259" s="315">
        <v>0</v>
      </c>
      <c r="AC259" s="315">
        <v>0</v>
      </c>
      <c r="AD259" s="315">
        <v>0</v>
      </c>
      <c r="AE259" s="315">
        <v>0</v>
      </c>
      <c r="AF259" s="315">
        <v>0</v>
      </c>
      <c r="AG259" s="315">
        <v>0</v>
      </c>
      <c r="AH259" s="315">
        <v>0</v>
      </c>
      <c r="AI259" s="315">
        <v>0</v>
      </c>
      <c r="AJ259" s="315">
        <v>0</v>
      </c>
      <c r="AK259" s="315">
        <v>0</v>
      </c>
      <c r="AL259" s="315">
        <v>0</v>
      </c>
      <c r="AM259" s="315">
        <v>0</v>
      </c>
      <c r="AN259" s="315">
        <v>0</v>
      </c>
      <c r="AO259" s="315">
        <v>0</v>
      </c>
      <c r="AP259" s="315">
        <v>0</v>
      </c>
      <c r="AQ259" s="315">
        <v>0</v>
      </c>
      <c r="AR259" s="315">
        <v>0</v>
      </c>
      <c r="AS259" s="315">
        <v>0</v>
      </c>
      <c r="AT259" s="315">
        <v>0</v>
      </c>
      <c r="AU259" s="315">
        <v>0</v>
      </c>
      <c r="AV259" s="315">
        <v>0</v>
      </c>
      <c r="AW259" s="315">
        <v>0</v>
      </c>
      <c r="AX259" s="315">
        <v>0</v>
      </c>
      <c r="AY259" s="315">
        <v>0</v>
      </c>
      <c r="AZ259" s="315">
        <v>0</v>
      </c>
      <c r="BA259" s="315">
        <v>0</v>
      </c>
      <c r="BB259" s="315">
        <v>0</v>
      </c>
      <c r="BC259" s="315">
        <v>0</v>
      </c>
      <c r="BD259" s="315">
        <v>0</v>
      </c>
      <c r="BE259" s="315">
        <v>0</v>
      </c>
      <c r="BF259" s="315">
        <v>0</v>
      </c>
      <c r="BG259" s="315">
        <v>0</v>
      </c>
      <c r="BH259" s="315">
        <v>0</v>
      </c>
      <c r="BI259" s="315">
        <v>0</v>
      </c>
      <c r="BJ259" s="315">
        <v>0</v>
      </c>
      <c r="BK259" s="315">
        <v>0</v>
      </c>
      <c r="BL259" s="315">
        <v>0</v>
      </c>
      <c r="BM259" s="315">
        <v>0</v>
      </c>
      <c r="BN259" s="315">
        <v>0</v>
      </c>
      <c r="BO259" s="315">
        <v>0</v>
      </c>
      <c r="BU259" s="315">
        <v>0</v>
      </c>
      <c r="BV259" s="315">
        <v>0</v>
      </c>
    </row>
    <row r="260" spans="12:74" hidden="1" x14ac:dyDescent="0.2">
      <c r="L260" s="315">
        <v>0</v>
      </c>
      <c r="M260" s="315">
        <v>0</v>
      </c>
      <c r="N260" s="315">
        <v>0</v>
      </c>
      <c r="O260" s="315">
        <v>0</v>
      </c>
      <c r="P260" s="315">
        <v>0</v>
      </c>
      <c r="Q260" s="315">
        <v>0</v>
      </c>
      <c r="R260" s="315">
        <v>0</v>
      </c>
      <c r="S260" s="315">
        <v>0</v>
      </c>
      <c r="T260" s="315">
        <v>0</v>
      </c>
      <c r="U260" s="315">
        <v>0</v>
      </c>
      <c r="V260" s="315">
        <v>0</v>
      </c>
      <c r="W260" s="315">
        <v>0</v>
      </c>
      <c r="X260" s="315">
        <v>0</v>
      </c>
      <c r="Y260" s="315">
        <v>0</v>
      </c>
      <c r="Z260" s="315">
        <v>0</v>
      </c>
      <c r="AA260" s="315">
        <v>0</v>
      </c>
      <c r="AB260" s="315">
        <v>0</v>
      </c>
      <c r="AC260" s="315">
        <v>0</v>
      </c>
      <c r="AD260" s="315">
        <v>0</v>
      </c>
      <c r="AE260" s="315">
        <v>0</v>
      </c>
      <c r="AF260" s="315">
        <v>0</v>
      </c>
      <c r="AG260" s="315">
        <v>0</v>
      </c>
      <c r="AH260" s="315">
        <v>0</v>
      </c>
      <c r="AI260" s="315">
        <v>0</v>
      </c>
      <c r="AJ260" s="315">
        <v>0</v>
      </c>
      <c r="AK260" s="315">
        <v>0</v>
      </c>
      <c r="AL260" s="315">
        <v>0</v>
      </c>
      <c r="AM260" s="315">
        <v>0</v>
      </c>
      <c r="AN260" s="315">
        <v>0</v>
      </c>
      <c r="AO260" s="315">
        <v>0</v>
      </c>
      <c r="AP260" s="315">
        <v>0</v>
      </c>
      <c r="AQ260" s="315">
        <v>0</v>
      </c>
      <c r="AR260" s="315">
        <v>0</v>
      </c>
      <c r="AS260" s="315">
        <v>0</v>
      </c>
      <c r="AT260" s="315">
        <v>0</v>
      </c>
      <c r="AU260" s="315">
        <v>0</v>
      </c>
      <c r="AV260" s="315">
        <v>0</v>
      </c>
      <c r="AW260" s="315">
        <v>0</v>
      </c>
      <c r="AX260" s="315">
        <v>0</v>
      </c>
      <c r="AY260" s="315">
        <v>0</v>
      </c>
      <c r="AZ260" s="315">
        <v>0</v>
      </c>
      <c r="BA260" s="315">
        <v>0</v>
      </c>
      <c r="BB260" s="315">
        <v>0</v>
      </c>
      <c r="BC260" s="315">
        <v>0</v>
      </c>
      <c r="BD260" s="315">
        <v>0</v>
      </c>
      <c r="BE260" s="315">
        <v>0</v>
      </c>
      <c r="BF260" s="315">
        <v>0</v>
      </c>
      <c r="BG260" s="315">
        <v>0</v>
      </c>
      <c r="BH260" s="315">
        <v>0</v>
      </c>
      <c r="BI260" s="315">
        <v>0</v>
      </c>
      <c r="BJ260" s="315">
        <v>0</v>
      </c>
      <c r="BK260" s="315">
        <v>0</v>
      </c>
      <c r="BL260" s="315">
        <v>0</v>
      </c>
      <c r="BM260" s="315">
        <v>0</v>
      </c>
      <c r="BN260" s="315">
        <v>0</v>
      </c>
      <c r="BO260" s="315">
        <v>0</v>
      </c>
      <c r="BU260" s="315">
        <v>0</v>
      </c>
      <c r="BV260" s="315">
        <v>0</v>
      </c>
    </row>
    <row r="261" spans="12:74" hidden="1" x14ac:dyDescent="0.2">
      <c r="L261" s="315">
        <v>0</v>
      </c>
      <c r="M261" s="315">
        <v>0</v>
      </c>
      <c r="N261" s="315">
        <v>0</v>
      </c>
      <c r="O261" s="315">
        <v>0</v>
      </c>
      <c r="P261" s="315">
        <v>0</v>
      </c>
      <c r="Q261" s="315">
        <v>0</v>
      </c>
      <c r="R261" s="315">
        <v>0</v>
      </c>
      <c r="S261" s="315">
        <v>0</v>
      </c>
      <c r="T261" s="315">
        <v>0</v>
      </c>
      <c r="U261" s="315">
        <v>0</v>
      </c>
      <c r="V261" s="315">
        <v>0</v>
      </c>
      <c r="W261" s="315">
        <v>0</v>
      </c>
      <c r="X261" s="315">
        <v>0</v>
      </c>
      <c r="Y261" s="315">
        <v>0</v>
      </c>
      <c r="Z261" s="315">
        <v>0</v>
      </c>
      <c r="AA261" s="315">
        <v>0</v>
      </c>
      <c r="AB261" s="315">
        <v>0</v>
      </c>
      <c r="AC261" s="315">
        <v>0</v>
      </c>
      <c r="AD261" s="315">
        <v>0</v>
      </c>
      <c r="AE261" s="315">
        <v>0</v>
      </c>
      <c r="AF261" s="315">
        <v>0</v>
      </c>
      <c r="AG261" s="315">
        <v>0</v>
      </c>
      <c r="AH261" s="315">
        <v>0</v>
      </c>
      <c r="AI261" s="315">
        <v>0</v>
      </c>
      <c r="AJ261" s="315">
        <v>0</v>
      </c>
      <c r="AK261" s="315">
        <v>0</v>
      </c>
      <c r="AL261" s="315">
        <v>0</v>
      </c>
      <c r="AM261" s="315">
        <v>0</v>
      </c>
      <c r="AN261" s="315">
        <v>0</v>
      </c>
      <c r="AO261" s="315">
        <v>0</v>
      </c>
      <c r="AP261" s="315">
        <v>0</v>
      </c>
      <c r="AQ261" s="315">
        <v>0</v>
      </c>
      <c r="AR261" s="315">
        <v>0</v>
      </c>
      <c r="AS261" s="315">
        <v>0</v>
      </c>
      <c r="AT261" s="315">
        <v>0</v>
      </c>
      <c r="AU261" s="315">
        <v>0</v>
      </c>
      <c r="AV261" s="315">
        <v>0</v>
      </c>
      <c r="AW261" s="315">
        <v>0</v>
      </c>
      <c r="AX261" s="315">
        <v>0</v>
      </c>
      <c r="AY261" s="315">
        <v>0</v>
      </c>
      <c r="AZ261" s="315">
        <v>0</v>
      </c>
      <c r="BA261" s="315">
        <v>0</v>
      </c>
      <c r="BB261" s="315">
        <v>0</v>
      </c>
      <c r="BC261" s="315">
        <v>0</v>
      </c>
      <c r="BD261" s="315">
        <v>0</v>
      </c>
      <c r="BE261" s="315">
        <v>0</v>
      </c>
      <c r="BF261" s="315">
        <v>0</v>
      </c>
      <c r="BG261" s="315">
        <v>0</v>
      </c>
      <c r="BH261" s="315">
        <v>0</v>
      </c>
      <c r="BI261" s="315">
        <v>0</v>
      </c>
      <c r="BJ261" s="315">
        <v>0</v>
      </c>
      <c r="BK261" s="315">
        <v>0</v>
      </c>
      <c r="BL261" s="315">
        <v>0</v>
      </c>
      <c r="BM261" s="315">
        <v>0</v>
      </c>
      <c r="BN261" s="315">
        <v>0</v>
      </c>
      <c r="BO261" s="315">
        <v>0</v>
      </c>
      <c r="BU261" s="315">
        <v>0</v>
      </c>
      <c r="BV261" s="315">
        <v>0</v>
      </c>
    </row>
    <row r="262" spans="12:74" hidden="1" x14ac:dyDescent="0.2">
      <c r="L262" s="315">
        <v>0</v>
      </c>
      <c r="M262" s="315">
        <v>0</v>
      </c>
      <c r="N262" s="315">
        <v>0</v>
      </c>
      <c r="O262" s="315">
        <v>0</v>
      </c>
      <c r="P262" s="315">
        <v>0</v>
      </c>
      <c r="Q262" s="315">
        <v>0</v>
      </c>
      <c r="R262" s="315">
        <v>0</v>
      </c>
      <c r="S262" s="315">
        <v>0</v>
      </c>
      <c r="T262" s="315">
        <v>0</v>
      </c>
      <c r="U262" s="315">
        <v>0</v>
      </c>
      <c r="V262" s="315">
        <v>0</v>
      </c>
      <c r="W262" s="315">
        <v>0</v>
      </c>
      <c r="X262" s="315">
        <v>0</v>
      </c>
      <c r="Y262" s="315">
        <v>0</v>
      </c>
      <c r="Z262" s="315">
        <v>0</v>
      </c>
      <c r="AA262" s="315">
        <v>0</v>
      </c>
      <c r="AB262" s="315">
        <v>0</v>
      </c>
      <c r="AC262" s="315">
        <v>0</v>
      </c>
      <c r="AD262" s="315">
        <v>0</v>
      </c>
      <c r="AE262" s="315">
        <v>0</v>
      </c>
      <c r="AF262" s="315">
        <v>0</v>
      </c>
      <c r="AG262" s="315">
        <v>0</v>
      </c>
      <c r="AH262" s="315">
        <v>0</v>
      </c>
      <c r="AI262" s="315">
        <v>0</v>
      </c>
      <c r="AJ262" s="315">
        <v>0</v>
      </c>
      <c r="AK262" s="315">
        <v>0</v>
      </c>
      <c r="AL262" s="315">
        <v>0</v>
      </c>
      <c r="AM262" s="315">
        <v>0</v>
      </c>
      <c r="AN262" s="315">
        <v>0</v>
      </c>
      <c r="AO262" s="315">
        <v>0</v>
      </c>
      <c r="AP262" s="315">
        <v>0</v>
      </c>
      <c r="AQ262" s="315">
        <v>0</v>
      </c>
      <c r="AR262" s="315">
        <v>0</v>
      </c>
      <c r="AS262" s="315">
        <v>0</v>
      </c>
      <c r="AT262" s="315">
        <v>0</v>
      </c>
      <c r="AU262" s="315">
        <v>0</v>
      </c>
      <c r="AV262" s="315">
        <v>0</v>
      </c>
      <c r="AW262" s="315">
        <v>0</v>
      </c>
      <c r="AX262" s="315">
        <v>0</v>
      </c>
      <c r="AY262" s="315">
        <v>0</v>
      </c>
      <c r="AZ262" s="315">
        <v>0</v>
      </c>
      <c r="BA262" s="315">
        <v>0</v>
      </c>
      <c r="BB262" s="315">
        <v>0</v>
      </c>
      <c r="BC262" s="315">
        <v>0</v>
      </c>
      <c r="BD262" s="315">
        <v>0</v>
      </c>
      <c r="BE262" s="315">
        <v>0</v>
      </c>
      <c r="BF262" s="315">
        <v>0</v>
      </c>
      <c r="BG262" s="315">
        <v>0</v>
      </c>
      <c r="BH262" s="315">
        <v>0</v>
      </c>
      <c r="BI262" s="315">
        <v>0</v>
      </c>
      <c r="BJ262" s="315">
        <v>0</v>
      </c>
      <c r="BK262" s="315">
        <v>0</v>
      </c>
      <c r="BL262" s="315">
        <v>0</v>
      </c>
      <c r="BM262" s="315">
        <v>0</v>
      </c>
      <c r="BN262" s="315">
        <v>0</v>
      </c>
      <c r="BO262" s="315">
        <v>0</v>
      </c>
      <c r="BU262" s="315">
        <v>0</v>
      </c>
      <c r="BV262" s="315">
        <v>0</v>
      </c>
    </row>
    <row r="263" spans="12:74" hidden="1" x14ac:dyDescent="0.2">
      <c r="L263" s="315">
        <v>0</v>
      </c>
      <c r="M263" s="315">
        <v>0</v>
      </c>
      <c r="N263" s="315">
        <v>0</v>
      </c>
      <c r="O263" s="315">
        <v>0</v>
      </c>
      <c r="P263" s="315">
        <v>0</v>
      </c>
      <c r="Q263" s="315">
        <v>0</v>
      </c>
      <c r="R263" s="315">
        <v>0</v>
      </c>
      <c r="S263" s="315">
        <v>0</v>
      </c>
      <c r="T263" s="315">
        <v>0</v>
      </c>
      <c r="U263" s="315">
        <v>0</v>
      </c>
      <c r="V263" s="315">
        <v>0</v>
      </c>
      <c r="W263" s="315">
        <v>0</v>
      </c>
      <c r="X263" s="315">
        <v>0</v>
      </c>
      <c r="Y263" s="315">
        <v>0</v>
      </c>
      <c r="Z263" s="315">
        <v>0</v>
      </c>
      <c r="AA263" s="315">
        <v>0</v>
      </c>
      <c r="AB263" s="315">
        <v>0</v>
      </c>
      <c r="AC263" s="315">
        <v>0</v>
      </c>
      <c r="AD263" s="315">
        <v>0</v>
      </c>
      <c r="AE263" s="315">
        <v>0</v>
      </c>
      <c r="AF263" s="315">
        <v>0</v>
      </c>
      <c r="AG263" s="315">
        <v>0</v>
      </c>
      <c r="AH263" s="315">
        <v>0</v>
      </c>
      <c r="AI263" s="315">
        <v>0</v>
      </c>
      <c r="AJ263" s="315">
        <v>0</v>
      </c>
      <c r="AK263" s="315">
        <v>0</v>
      </c>
      <c r="AL263" s="315">
        <v>0</v>
      </c>
      <c r="AM263" s="315">
        <v>0</v>
      </c>
      <c r="AN263" s="315">
        <v>0</v>
      </c>
      <c r="AO263" s="315">
        <v>0</v>
      </c>
      <c r="AP263" s="315">
        <v>0</v>
      </c>
      <c r="AQ263" s="315">
        <v>0</v>
      </c>
      <c r="AR263" s="315">
        <v>0</v>
      </c>
      <c r="AS263" s="315">
        <v>0</v>
      </c>
      <c r="AT263" s="315">
        <v>0</v>
      </c>
      <c r="AU263" s="315">
        <v>0</v>
      </c>
      <c r="AV263" s="315">
        <v>0</v>
      </c>
      <c r="AW263" s="315">
        <v>0</v>
      </c>
      <c r="AX263" s="315">
        <v>0</v>
      </c>
      <c r="AY263" s="315">
        <v>0</v>
      </c>
      <c r="AZ263" s="315">
        <v>0</v>
      </c>
      <c r="BA263" s="315">
        <v>0</v>
      </c>
      <c r="BB263" s="315">
        <v>0</v>
      </c>
      <c r="BC263" s="315">
        <v>0</v>
      </c>
      <c r="BD263" s="315">
        <v>0</v>
      </c>
      <c r="BE263" s="315">
        <v>0</v>
      </c>
      <c r="BF263" s="315">
        <v>0</v>
      </c>
      <c r="BG263" s="315">
        <v>0</v>
      </c>
      <c r="BH263" s="315">
        <v>0</v>
      </c>
      <c r="BI263" s="315">
        <v>0</v>
      </c>
      <c r="BJ263" s="315">
        <v>0</v>
      </c>
      <c r="BK263" s="315">
        <v>0</v>
      </c>
      <c r="BL263" s="315">
        <v>0</v>
      </c>
      <c r="BM263" s="315">
        <v>0</v>
      </c>
      <c r="BN263" s="315">
        <v>0</v>
      </c>
      <c r="BO263" s="315">
        <v>0</v>
      </c>
      <c r="BU263" s="315">
        <v>0</v>
      </c>
      <c r="BV263" s="315">
        <v>0</v>
      </c>
    </row>
    <row r="264" spans="12:74" hidden="1" x14ac:dyDescent="0.2">
      <c r="L264" s="315">
        <v>0</v>
      </c>
      <c r="M264" s="315">
        <v>0</v>
      </c>
      <c r="N264" s="315">
        <v>0</v>
      </c>
      <c r="O264" s="315">
        <v>0</v>
      </c>
      <c r="P264" s="315">
        <v>0</v>
      </c>
      <c r="Q264" s="315">
        <v>0</v>
      </c>
      <c r="R264" s="315">
        <v>0</v>
      </c>
      <c r="S264" s="315">
        <v>0</v>
      </c>
      <c r="T264" s="315">
        <v>0</v>
      </c>
      <c r="U264" s="315">
        <v>0</v>
      </c>
      <c r="V264" s="315">
        <v>0</v>
      </c>
      <c r="W264" s="315">
        <v>0</v>
      </c>
      <c r="X264" s="315">
        <v>0</v>
      </c>
      <c r="Y264" s="315">
        <v>0</v>
      </c>
      <c r="Z264" s="315">
        <v>0</v>
      </c>
      <c r="AA264" s="315">
        <v>0</v>
      </c>
      <c r="AB264" s="315">
        <v>0</v>
      </c>
      <c r="AC264" s="315">
        <v>0</v>
      </c>
      <c r="AD264" s="315">
        <v>0</v>
      </c>
      <c r="AE264" s="315">
        <v>0</v>
      </c>
      <c r="AF264" s="315">
        <v>0</v>
      </c>
      <c r="AG264" s="315">
        <v>0</v>
      </c>
      <c r="AH264" s="315">
        <v>0</v>
      </c>
      <c r="AI264" s="315">
        <v>0</v>
      </c>
      <c r="AJ264" s="315">
        <v>0</v>
      </c>
      <c r="AK264" s="315">
        <v>0</v>
      </c>
      <c r="AL264" s="315">
        <v>0</v>
      </c>
      <c r="AM264" s="315">
        <v>0</v>
      </c>
      <c r="AN264" s="315">
        <v>0</v>
      </c>
      <c r="AO264" s="315">
        <v>0</v>
      </c>
      <c r="AP264" s="315">
        <v>0</v>
      </c>
      <c r="AQ264" s="315">
        <v>0</v>
      </c>
      <c r="AR264" s="315">
        <v>0</v>
      </c>
      <c r="AS264" s="315">
        <v>0</v>
      </c>
      <c r="AT264" s="315">
        <v>0</v>
      </c>
      <c r="AU264" s="315">
        <v>0</v>
      </c>
      <c r="AV264" s="315">
        <v>0</v>
      </c>
      <c r="AW264" s="315">
        <v>0</v>
      </c>
      <c r="AX264" s="315">
        <v>0</v>
      </c>
      <c r="AY264" s="315">
        <v>0</v>
      </c>
      <c r="AZ264" s="315">
        <v>0</v>
      </c>
      <c r="BA264" s="315">
        <v>0</v>
      </c>
      <c r="BB264" s="315">
        <v>0</v>
      </c>
      <c r="BC264" s="315">
        <v>0</v>
      </c>
      <c r="BD264" s="315">
        <v>0</v>
      </c>
      <c r="BE264" s="315">
        <v>0</v>
      </c>
      <c r="BF264" s="315">
        <v>0</v>
      </c>
      <c r="BG264" s="315">
        <v>0</v>
      </c>
      <c r="BH264" s="315">
        <v>0</v>
      </c>
      <c r="BI264" s="315">
        <v>0</v>
      </c>
      <c r="BJ264" s="315">
        <v>0</v>
      </c>
      <c r="BK264" s="315">
        <v>0</v>
      </c>
      <c r="BL264" s="315">
        <v>0</v>
      </c>
      <c r="BM264" s="315">
        <v>0</v>
      </c>
      <c r="BN264" s="315">
        <v>0</v>
      </c>
      <c r="BO264" s="315">
        <v>0</v>
      </c>
      <c r="BU264" s="315">
        <v>0</v>
      </c>
      <c r="BV264" s="315">
        <v>0</v>
      </c>
    </row>
    <row r="265" spans="12:74" hidden="1" x14ac:dyDescent="0.2">
      <c r="L265" s="315">
        <v>0</v>
      </c>
      <c r="M265" s="315">
        <v>0</v>
      </c>
      <c r="N265" s="315">
        <v>0</v>
      </c>
      <c r="O265" s="315">
        <v>0</v>
      </c>
      <c r="P265" s="315">
        <v>0</v>
      </c>
      <c r="Q265" s="315">
        <v>0</v>
      </c>
      <c r="R265" s="315">
        <v>0</v>
      </c>
      <c r="S265" s="315">
        <v>0</v>
      </c>
      <c r="T265" s="315">
        <v>0</v>
      </c>
      <c r="U265" s="315">
        <v>0</v>
      </c>
      <c r="V265" s="315">
        <v>0</v>
      </c>
      <c r="W265" s="315">
        <v>0</v>
      </c>
      <c r="X265" s="315">
        <v>0</v>
      </c>
      <c r="Y265" s="315">
        <v>0</v>
      </c>
      <c r="Z265" s="315">
        <v>0</v>
      </c>
      <c r="AA265" s="315">
        <v>0</v>
      </c>
      <c r="AB265" s="315">
        <v>0</v>
      </c>
      <c r="AC265" s="315">
        <v>0</v>
      </c>
      <c r="AD265" s="315">
        <v>0</v>
      </c>
      <c r="AE265" s="315">
        <v>0</v>
      </c>
      <c r="AF265" s="315">
        <v>0</v>
      </c>
      <c r="AG265" s="315">
        <v>0</v>
      </c>
      <c r="AH265" s="315">
        <v>0</v>
      </c>
      <c r="AI265" s="315">
        <v>0</v>
      </c>
      <c r="AJ265" s="315">
        <v>0</v>
      </c>
      <c r="AK265" s="315">
        <v>0</v>
      </c>
      <c r="AL265" s="315">
        <v>0</v>
      </c>
      <c r="AM265" s="315">
        <v>0</v>
      </c>
      <c r="AN265" s="315">
        <v>0</v>
      </c>
      <c r="AO265" s="315">
        <v>0</v>
      </c>
      <c r="AP265" s="315">
        <v>0</v>
      </c>
      <c r="AQ265" s="315">
        <v>0</v>
      </c>
      <c r="AR265" s="315">
        <v>0</v>
      </c>
      <c r="AS265" s="315">
        <v>0</v>
      </c>
      <c r="AT265" s="315">
        <v>0</v>
      </c>
      <c r="AU265" s="315">
        <v>0</v>
      </c>
      <c r="AV265" s="315">
        <v>0</v>
      </c>
      <c r="AW265" s="315">
        <v>0</v>
      </c>
      <c r="AX265" s="315">
        <v>0</v>
      </c>
      <c r="AY265" s="315">
        <v>0</v>
      </c>
      <c r="AZ265" s="315">
        <v>0</v>
      </c>
      <c r="BA265" s="315">
        <v>0</v>
      </c>
      <c r="BB265" s="315">
        <v>0</v>
      </c>
      <c r="BC265" s="315">
        <v>0</v>
      </c>
      <c r="BD265" s="315">
        <v>0</v>
      </c>
      <c r="BE265" s="315">
        <v>0</v>
      </c>
      <c r="BF265" s="315">
        <v>0</v>
      </c>
      <c r="BG265" s="315">
        <v>0</v>
      </c>
      <c r="BH265" s="315">
        <v>0</v>
      </c>
      <c r="BI265" s="315">
        <v>0</v>
      </c>
      <c r="BJ265" s="315">
        <v>0</v>
      </c>
      <c r="BK265" s="315">
        <v>0</v>
      </c>
      <c r="BL265" s="315">
        <v>0</v>
      </c>
      <c r="BM265" s="315">
        <v>0</v>
      </c>
      <c r="BN265" s="315">
        <v>0</v>
      </c>
      <c r="BO265" s="315">
        <v>0</v>
      </c>
      <c r="BU265" s="315">
        <v>0</v>
      </c>
      <c r="BV265" s="315">
        <v>0</v>
      </c>
    </row>
    <row r="266" spans="12:74" hidden="1" x14ac:dyDescent="0.2">
      <c r="L266" s="315">
        <v>0</v>
      </c>
      <c r="M266" s="315">
        <v>0</v>
      </c>
      <c r="N266" s="315">
        <v>0</v>
      </c>
      <c r="O266" s="315">
        <v>0</v>
      </c>
      <c r="P266" s="315">
        <v>0</v>
      </c>
      <c r="Q266" s="315">
        <v>0</v>
      </c>
      <c r="R266" s="315">
        <v>0</v>
      </c>
      <c r="S266" s="315">
        <v>0</v>
      </c>
      <c r="T266" s="315">
        <v>0</v>
      </c>
      <c r="U266" s="315">
        <v>0</v>
      </c>
      <c r="V266" s="315">
        <v>0</v>
      </c>
      <c r="W266" s="315">
        <v>0</v>
      </c>
      <c r="X266" s="315">
        <v>0</v>
      </c>
      <c r="Y266" s="315">
        <v>0</v>
      </c>
      <c r="Z266" s="315">
        <v>0</v>
      </c>
      <c r="AA266" s="315">
        <v>0</v>
      </c>
      <c r="AB266" s="315">
        <v>0</v>
      </c>
      <c r="AC266" s="315">
        <v>0</v>
      </c>
      <c r="AD266" s="315">
        <v>0</v>
      </c>
      <c r="AE266" s="315">
        <v>0</v>
      </c>
      <c r="AF266" s="315">
        <v>0</v>
      </c>
      <c r="AG266" s="315">
        <v>0</v>
      </c>
      <c r="AH266" s="315">
        <v>0</v>
      </c>
      <c r="AI266" s="315">
        <v>0</v>
      </c>
      <c r="AJ266" s="315">
        <v>0</v>
      </c>
      <c r="AK266" s="315">
        <v>0</v>
      </c>
      <c r="AL266" s="315">
        <v>0</v>
      </c>
      <c r="AM266" s="315">
        <v>0</v>
      </c>
      <c r="AN266" s="315">
        <v>0</v>
      </c>
      <c r="AO266" s="315">
        <v>0</v>
      </c>
      <c r="AP266" s="315">
        <v>0</v>
      </c>
      <c r="AQ266" s="315">
        <v>0</v>
      </c>
      <c r="AR266" s="315">
        <v>0</v>
      </c>
      <c r="AS266" s="315">
        <v>0</v>
      </c>
      <c r="AT266" s="315">
        <v>0</v>
      </c>
      <c r="AU266" s="315">
        <v>0</v>
      </c>
      <c r="AV266" s="315">
        <v>0</v>
      </c>
      <c r="AW266" s="315">
        <v>0</v>
      </c>
      <c r="AX266" s="315">
        <v>0</v>
      </c>
      <c r="AY266" s="315">
        <v>0</v>
      </c>
      <c r="AZ266" s="315">
        <v>0</v>
      </c>
      <c r="BA266" s="315">
        <v>0</v>
      </c>
      <c r="BB266" s="315">
        <v>0</v>
      </c>
      <c r="BC266" s="315">
        <v>0</v>
      </c>
      <c r="BD266" s="315">
        <v>0</v>
      </c>
      <c r="BE266" s="315">
        <v>0</v>
      </c>
      <c r="BF266" s="315">
        <v>0</v>
      </c>
      <c r="BG266" s="315">
        <v>0</v>
      </c>
      <c r="BH266" s="315">
        <v>0</v>
      </c>
      <c r="BI266" s="315">
        <v>0</v>
      </c>
      <c r="BJ266" s="315">
        <v>0</v>
      </c>
      <c r="BK266" s="315">
        <v>0</v>
      </c>
      <c r="BL266" s="315">
        <v>0</v>
      </c>
      <c r="BM266" s="315">
        <v>0</v>
      </c>
      <c r="BN266" s="315">
        <v>0</v>
      </c>
      <c r="BO266" s="315">
        <v>0</v>
      </c>
      <c r="BU266" s="315">
        <v>0</v>
      </c>
      <c r="BV266" s="315">
        <v>0</v>
      </c>
    </row>
    <row r="267" spans="12:74" hidden="1" x14ac:dyDescent="0.2">
      <c r="L267" s="315">
        <v>0</v>
      </c>
      <c r="M267" s="315">
        <v>0</v>
      </c>
      <c r="N267" s="315">
        <v>0</v>
      </c>
      <c r="O267" s="315">
        <v>0</v>
      </c>
      <c r="P267" s="315">
        <v>0</v>
      </c>
      <c r="Q267" s="315">
        <v>0</v>
      </c>
      <c r="R267" s="315">
        <v>0</v>
      </c>
      <c r="S267" s="315">
        <v>0</v>
      </c>
      <c r="T267" s="315">
        <v>0</v>
      </c>
      <c r="U267" s="315">
        <v>0</v>
      </c>
      <c r="V267" s="315">
        <v>0</v>
      </c>
      <c r="W267" s="315">
        <v>0</v>
      </c>
      <c r="X267" s="315">
        <v>0</v>
      </c>
      <c r="Y267" s="315">
        <v>0</v>
      </c>
      <c r="Z267" s="315">
        <v>0</v>
      </c>
      <c r="AA267" s="315">
        <v>0</v>
      </c>
      <c r="AB267" s="315">
        <v>0</v>
      </c>
      <c r="AC267" s="315">
        <v>0</v>
      </c>
      <c r="AD267" s="315">
        <v>0</v>
      </c>
      <c r="AE267" s="315">
        <v>0</v>
      </c>
      <c r="AF267" s="315">
        <v>0</v>
      </c>
      <c r="AG267" s="315">
        <v>0</v>
      </c>
      <c r="AH267" s="315">
        <v>0</v>
      </c>
      <c r="AI267" s="315">
        <v>0</v>
      </c>
      <c r="AJ267" s="315">
        <v>0</v>
      </c>
      <c r="AK267" s="315">
        <v>0</v>
      </c>
      <c r="AL267" s="315">
        <v>0</v>
      </c>
      <c r="AM267" s="315">
        <v>0</v>
      </c>
      <c r="AN267" s="315">
        <v>0</v>
      </c>
      <c r="AO267" s="315">
        <v>0</v>
      </c>
      <c r="AP267" s="315">
        <v>0</v>
      </c>
      <c r="AQ267" s="315">
        <v>0</v>
      </c>
      <c r="AR267" s="315">
        <v>0</v>
      </c>
      <c r="AS267" s="315">
        <v>0</v>
      </c>
      <c r="AT267" s="315">
        <v>0</v>
      </c>
      <c r="AU267" s="315">
        <v>0</v>
      </c>
      <c r="AV267" s="315">
        <v>0</v>
      </c>
      <c r="AW267" s="315">
        <v>0</v>
      </c>
      <c r="AX267" s="315">
        <v>0</v>
      </c>
      <c r="AY267" s="315">
        <v>0</v>
      </c>
      <c r="AZ267" s="315">
        <v>0</v>
      </c>
      <c r="BA267" s="315">
        <v>0</v>
      </c>
      <c r="BB267" s="315">
        <v>0</v>
      </c>
      <c r="BC267" s="315">
        <v>0</v>
      </c>
      <c r="BD267" s="315">
        <v>0</v>
      </c>
      <c r="BE267" s="315">
        <v>0</v>
      </c>
      <c r="BF267" s="315">
        <v>0</v>
      </c>
      <c r="BG267" s="315">
        <v>0</v>
      </c>
      <c r="BH267" s="315">
        <v>0</v>
      </c>
      <c r="BI267" s="315">
        <v>0</v>
      </c>
      <c r="BJ267" s="315">
        <v>0</v>
      </c>
      <c r="BK267" s="315">
        <v>0</v>
      </c>
      <c r="BL267" s="315">
        <v>0</v>
      </c>
      <c r="BM267" s="315">
        <v>0</v>
      </c>
      <c r="BN267" s="315">
        <v>0</v>
      </c>
      <c r="BO267" s="315">
        <v>0</v>
      </c>
      <c r="BU267" s="315">
        <v>0</v>
      </c>
      <c r="BV267" s="315">
        <v>0</v>
      </c>
    </row>
    <row r="268" spans="12:74" hidden="1" x14ac:dyDescent="0.2">
      <c r="L268" s="315">
        <v>0</v>
      </c>
      <c r="M268" s="315">
        <v>0</v>
      </c>
      <c r="N268" s="315">
        <v>0</v>
      </c>
      <c r="O268" s="315">
        <v>0</v>
      </c>
      <c r="P268" s="315">
        <v>0</v>
      </c>
      <c r="Q268" s="315">
        <v>0</v>
      </c>
      <c r="R268" s="315">
        <v>0</v>
      </c>
      <c r="S268" s="315">
        <v>0</v>
      </c>
      <c r="T268" s="315">
        <v>0</v>
      </c>
      <c r="U268" s="315">
        <v>0</v>
      </c>
      <c r="V268" s="315">
        <v>0</v>
      </c>
      <c r="W268" s="315">
        <v>0</v>
      </c>
      <c r="X268" s="315">
        <v>0</v>
      </c>
      <c r="Y268" s="315">
        <v>0</v>
      </c>
      <c r="Z268" s="315">
        <v>0</v>
      </c>
      <c r="AA268" s="315">
        <v>0</v>
      </c>
      <c r="AB268" s="315">
        <v>0</v>
      </c>
      <c r="AC268" s="315">
        <v>0</v>
      </c>
      <c r="AD268" s="315">
        <v>0</v>
      </c>
      <c r="AE268" s="315">
        <v>0</v>
      </c>
      <c r="AF268" s="315">
        <v>0</v>
      </c>
      <c r="AG268" s="315">
        <v>0</v>
      </c>
      <c r="AH268" s="315">
        <v>0</v>
      </c>
      <c r="AI268" s="315">
        <v>0</v>
      </c>
      <c r="AJ268" s="315">
        <v>0</v>
      </c>
      <c r="AK268" s="315">
        <v>0</v>
      </c>
      <c r="AL268" s="315">
        <v>0</v>
      </c>
      <c r="AM268" s="315">
        <v>0</v>
      </c>
      <c r="AN268" s="315">
        <v>0</v>
      </c>
      <c r="AO268" s="315">
        <v>0</v>
      </c>
      <c r="AP268" s="315">
        <v>0</v>
      </c>
      <c r="AQ268" s="315">
        <v>0</v>
      </c>
      <c r="AR268" s="315">
        <v>0</v>
      </c>
      <c r="AS268" s="315">
        <v>0</v>
      </c>
      <c r="AT268" s="315">
        <v>0</v>
      </c>
      <c r="AU268" s="315">
        <v>0</v>
      </c>
      <c r="AV268" s="315">
        <v>0</v>
      </c>
      <c r="AW268" s="315">
        <v>0</v>
      </c>
      <c r="AX268" s="315">
        <v>0</v>
      </c>
      <c r="AY268" s="315">
        <v>0</v>
      </c>
      <c r="AZ268" s="315">
        <v>0</v>
      </c>
      <c r="BA268" s="315">
        <v>0</v>
      </c>
      <c r="BB268" s="315">
        <v>0</v>
      </c>
      <c r="BC268" s="315">
        <v>0</v>
      </c>
      <c r="BD268" s="315">
        <v>0</v>
      </c>
      <c r="BE268" s="315">
        <v>0</v>
      </c>
      <c r="BF268" s="315">
        <v>0</v>
      </c>
      <c r="BG268" s="315">
        <v>0</v>
      </c>
      <c r="BH268" s="315">
        <v>0</v>
      </c>
      <c r="BI268" s="315">
        <v>0</v>
      </c>
      <c r="BJ268" s="315">
        <v>0</v>
      </c>
      <c r="BK268" s="315">
        <v>0</v>
      </c>
      <c r="BL268" s="315">
        <v>0</v>
      </c>
      <c r="BM268" s="315">
        <v>0</v>
      </c>
      <c r="BN268" s="315">
        <v>0</v>
      </c>
      <c r="BO268" s="315">
        <v>0</v>
      </c>
      <c r="BU268" s="315">
        <v>0</v>
      </c>
      <c r="BV268" s="315">
        <v>0</v>
      </c>
    </row>
    <row r="269" spans="12:74" hidden="1" x14ac:dyDescent="0.2">
      <c r="L269" s="315">
        <v>0</v>
      </c>
      <c r="M269" s="315">
        <v>0</v>
      </c>
      <c r="N269" s="315">
        <v>0</v>
      </c>
      <c r="O269" s="315">
        <v>0</v>
      </c>
      <c r="P269" s="315">
        <v>0</v>
      </c>
      <c r="Q269" s="315">
        <v>0</v>
      </c>
      <c r="R269" s="315">
        <v>0</v>
      </c>
      <c r="S269" s="315">
        <v>0</v>
      </c>
      <c r="T269" s="315">
        <v>0</v>
      </c>
      <c r="U269" s="315">
        <v>0</v>
      </c>
      <c r="V269" s="315">
        <v>0</v>
      </c>
      <c r="W269" s="315">
        <v>0</v>
      </c>
      <c r="X269" s="315">
        <v>0</v>
      </c>
      <c r="Y269" s="315">
        <v>0</v>
      </c>
      <c r="Z269" s="315">
        <v>0</v>
      </c>
      <c r="AA269" s="315">
        <v>0</v>
      </c>
      <c r="AB269" s="315">
        <v>0</v>
      </c>
      <c r="AC269" s="315">
        <v>0</v>
      </c>
      <c r="AD269" s="315">
        <v>0</v>
      </c>
      <c r="AE269" s="315">
        <v>0</v>
      </c>
      <c r="AF269" s="315">
        <v>0</v>
      </c>
      <c r="AG269" s="315">
        <v>0</v>
      </c>
      <c r="AH269" s="315">
        <v>0</v>
      </c>
      <c r="AI269" s="315">
        <v>0</v>
      </c>
      <c r="AJ269" s="315">
        <v>0</v>
      </c>
      <c r="AK269" s="315">
        <v>0</v>
      </c>
      <c r="AL269" s="315">
        <v>0</v>
      </c>
      <c r="AM269" s="315">
        <v>0</v>
      </c>
      <c r="AN269" s="315">
        <v>0</v>
      </c>
      <c r="AO269" s="315">
        <v>0</v>
      </c>
      <c r="AP269" s="315">
        <v>0</v>
      </c>
      <c r="AQ269" s="315">
        <v>0</v>
      </c>
      <c r="AR269" s="315">
        <v>0</v>
      </c>
      <c r="AS269" s="315">
        <v>0</v>
      </c>
      <c r="AT269" s="315">
        <v>0</v>
      </c>
      <c r="AU269" s="315">
        <v>0</v>
      </c>
      <c r="AV269" s="315">
        <v>0</v>
      </c>
      <c r="AW269" s="315">
        <v>0</v>
      </c>
      <c r="AX269" s="315">
        <v>0</v>
      </c>
      <c r="AY269" s="315">
        <v>0</v>
      </c>
      <c r="AZ269" s="315">
        <v>0</v>
      </c>
      <c r="BA269" s="315">
        <v>0</v>
      </c>
      <c r="BB269" s="315">
        <v>0</v>
      </c>
      <c r="BC269" s="315">
        <v>0</v>
      </c>
      <c r="BD269" s="315">
        <v>0</v>
      </c>
      <c r="BE269" s="315">
        <v>0</v>
      </c>
      <c r="BF269" s="315">
        <v>0</v>
      </c>
      <c r="BG269" s="315">
        <v>0</v>
      </c>
      <c r="BH269" s="315">
        <v>0</v>
      </c>
      <c r="BI269" s="315">
        <v>0</v>
      </c>
      <c r="BJ269" s="315">
        <v>0</v>
      </c>
      <c r="BK269" s="315">
        <v>0</v>
      </c>
      <c r="BL269" s="315">
        <v>0</v>
      </c>
      <c r="BM269" s="315">
        <v>0</v>
      </c>
      <c r="BN269" s="315">
        <v>0</v>
      </c>
      <c r="BO269" s="315">
        <v>0</v>
      </c>
    </row>
    <row r="270" spans="12:74" hidden="1" x14ac:dyDescent="0.2">
      <c r="L270" s="315">
        <v>0</v>
      </c>
      <c r="M270" s="315">
        <v>0</v>
      </c>
      <c r="N270" s="315">
        <v>0</v>
      </c>
      <c r="O270" s="315">
        <v>0</v>
      </c>
      <c r="P270" s="315">
        <v>0</v>
      </c>
      <c r="Q270" s="315">
        <v>0</v>
      </c>
      <c r="R270" s="315">
        <v>0</v>
      </c>
      <c r="S270" s="315">
        <v>0</v>
      </c>
      <c r="T270" s="315">
        <v>0</v>
      </c>
      <c r="U270" s="315">
        <v>0</v>
      </c>
      <c r="V270" s="315">
        <v>0</v>
      </c>
      <c r="W270" s="315">
        <v>0</v>
      </c>
      <c r="X270" s="315">
        <v>0</v>
      </c>
      <c r="Y270" s="315">
        <v>0</v>
      </c>
      <c r="Z270" s="315">
        <v>0</v>
      </c>
      <c r="AA270" s="315">
        <v>0</v>
      </c>
      <c r="AB270" s="315">
        <v>0</v>
      </c>
      <c r="AC270" s="315">
        <v>0</v>
      </c>
      <c r="AD270" s="315">
        <v>0</v>
      </c>
      <c r="AE270" s="315">
        <v>0</v>
      </c>
      <c r="AF270" s="315">
        <v>0</v>
      </c>
      <c r="AG270" s="315">
        <v>0</v>
      </c>
      <c r="AH270" s="315">
        <v>0</v>
      </c>
      <c r="AI270" s="315">
        <v>0</v>
      </c>
      <c r="AJ270" s="315">
        <v>0</v>
      </c>
      <c r="AK270" s="315">
        <v>0</v>
      </c>
      <c r="AL270" s="315">
        <v>0</v>
      </c>
      <c r="AM270" s="315">
        <v>0</v>
      </c>
      <c r="AN270" s="315">
        <v>0</v>
      </c>
      <c r="AO270" s="315">
        <v>0</v>
      </c>
      <c r="AP270" s="315">
        <v>0</v>
      </c>
      <c r="AQ270" s="315">
        <v>0</v>
      </c>
      <c r="AR270" s="315">
        <v>0</v>
      </c>
      <c r="AS270" s="315">
        <v>0</v>
      </c>
      <c r="AT270" s="315">
        <v>0</v>
      </c>
      <c r="AU270" s="315">
        <v>0</v>
      </c>
      <c r="AV270" s="315">
        <v>0</v>
      </c>
      <c r="AW270" s="315">
        <v>0</v>
      </c>
      <c r="AX270" s="315">
        <v>0</v>
      </c>
      <c r="AY270" s="315">
        <v>0</v>
      </c>
      <c r="AZ270" s="315">
        <v>0</v>
      </c>
      <c r="BA270" s="315">
        <v>0</v>
      </c>
      <c r="BB270" s="315">
        <v>0</v>
      </c>
      <c r="BC270" s="315">
        <v>0</v>
      </c>
      <c r="BD270" s="315">
        <v>0</v>
      </c>
      <c r="BE270" s="315">
        <v>0</v>
      </c>
      <c r="BF270" s="315">
        <v>0</v>
      </c>
      <c r="BG270" s="315">
        <v>0</v>
      </c>
      <c r="BH270" s="315">
        <v>0</v>
      </c>
      <c r="BI270" s="315">
        <v>0</v>
      </c>
      <c r="BJ270" s="315">
        <v>0</v>
      </c>
      <c r="BK270" s="315">
        <v>0</v>
      </c>
      <c r="BL270" s="315">
        <v>0</v>
      </c>
      <c r="BM270" s="315">
        <v>0</v>
      </c>
      <c r="BN270" s="315">
        <v>0</v>
      </c>
      <c r="BO270" s="315">
        <v>0</v>
      </c>
    </row>
    <row r="271" spans="12:74" hidden="1" x14ac:dyDescent="0.2">
      <c r="L271" s="315">
        <v>0</v>
      </c>
      <c r="M271" s="315">
        <v>0</v>
      </c>
      <c r="N271" s="315">
        <v>0</v>
      </c>
      <c r="O271" s="315">
        <v>0</v>
      </c>
      <c r="P271" s="315">
        <v>0</v>
      </c>
      <c r="Q271" s="315">
        <v>0</v>
      </c>
      <c r="R271" s="315">
        <v>0</v>
      </c>
      <c r="S271" s="315">
        <v>0</v>
      </c>
      <c r="T271" s="315">
        <v>0</v>
      </c>
      <c r="U271" s="315">
        <v>0</v>
      </c>
      <c r="V271" s="315">
        <v>0</v>
      </c>
      <c r="W271" s="315">
        <v>0</v>
      </c>
      <c r="X271" s="315">
        <v>0</v>
      </c>
      <c r="Y271" s="315">
        <v>0</v>
      </c>
      <c r="Z271" s="315">
        <v>0</v>
      </c>
      <c r="AA271" s="315">
        <v>0</v>
      </c>
      <c r="AB271" s="315">
        <v>0</v>
      </c>
      <c r="AC271" s="315">
        <v>0</v>
      </c>
      <c r="AD271" s="315">
        <v>0</v>
      </c>
      <c r="AE271" s="315">
        <v>0</v>
      </c>
      <c r="AF271" s="315">
        <v>0</v>
      </c>
      <c r="AG271" s="315">
        <v>0</v>
      </c>
      <c r="AH271" s="315">
        <v>0</v>
      </c>
      <c r="AI271" s="315">
        <v>0</v>
      </c>
      <c r="AJ271" s="315">
        <v>0</v>
      </c>
      <c r="AK271" s="315">
        <v>0</v>
      </c>
      <c r="AL271" s="315">
        <v>0</v>
      </c>
      <c r="AM271" s="315">
        <v>0</v>
      </c>
      <c r="AN271" s="315">
        <v>0</v>
      </c>
      <c r="AO271" s="315">
        <v>0</v>
      </c>
      <c r="AP271" s="315">
        <v>0</v>
      </c>
      <c r="AQ271" s="315">
        <v>0</v>
      </c>
      <c r="AR271" s="315">
        <v>0</v>
      </c>
      <c r="AS271" s="315">
        <v>0</v>
      </c>
      <c r="AT271" s="315">
        <v>0</v>
      </c>
      <c r="AU271" s="315">
        <v>0</v>
      </c>
      <c r="AV271" s="315">
        <v>0</v>
      </c>
      <c r="AW271" s="315">
        <v>0</v>
      </c>
      <c r="AX271" s="315">
        <v>0</v>
      </c>
      <c r="AY271" s="315">
        <v>0</v>
      </c>
      <c r="AZ271" s="315">
        <v>0</v>
      </c>
      <c r="BA271" s="315">
        <v>0</v>
      </c>
      <c r="BB271" s="315">
        <v>0</v>
      </c>
      <c r="BC271" s="315">
        <v>0</v>
      </c>
      <c r="BD271" s="315">
        <v>0</v>
      </c>
      <c r="BE271" s="315">
        <v>0</v>
      </c>
      <c r="BF271" s="315">
        <v>0</v>
      </c>
      <c r="BG271" s="315">
        <v>0</v>
      </c>
      <c r="BH271" s="315">
        <v>0</v>
      </c>
      <c r="BI271" s="315">
        <v>0</v>
      </c>
      <c r="BJ271" s="315">
        <v>0</v>
      </c>
      <c r="BK271" s="315">
        <v>0</v>
      </c>
      <c r="BL271" s="315">
        <v>0</v>
      </c>
      <c r="BM271" s="315">
        <v>0</v>
      </c>
      <c r="BN271" s="315">
        <v>0</v>
      </c>
      <c r="BO271" s="315">
        <v>0</v>
      </c>
    </row>
    <row r="272" spans="12:74" hidden="1" x14ac:dyDescent="0.2">
      <c r="L272" s="315">
        <v>0</v>
      </c>
      <c r="M272" s="315">
        <v>0</v>
      </c>
      <c r="N272" s="315">
        <v>0</v>
      </c>
      <c r="O272" s="315">
        <v>0</v>
      </c>
      <c r="P272" s="315">
        <v>0</v>
      </c>
      <c r="Q272" s="315">
        <v>0</v>
      </c>
      <c r="R272" s="315">
        <v>0</v>
      </c>
      <c r="S272" s="315">
        <v>0</v>
      </c>
      <c r="T272" s="315">
        <v>0</v>
      </c>
      <c r="U272" s="315">
        <v>0</v>
      </c>
      <c r="V272" s="315">
        <v>0</v>
      </c>
      <c r="W272" s="315">
        <v>0</v>
      </c>
      <c r="X272" s="315">
        <v>0</v>
      </c>
      <c r="Y272" s="315">
        <v>0</v>
      </c>
      <c r="Z272" s="315">
        <v>0</v>
      </c>
      <c r="AA272" s="315">
        <v>0</v>
      </c>
      <c r="AB272" s="315">
        <v>0</v>
      </c>
      <c r="AC272" s="315">
        <v>0</v>
      </c>
      <c r="AD272" s="315">
        <v>0</v>
      </c>
      <c r="AE272" s="315">
        <v>0</v>
      </c>
      <c r="AF272" s="315">
        <v>0</v>
      </c>
      <c r="AG272" s="315">
        <v>0</v>
      </c>
      <c r="AH272" s="315">
        <v>0</v>
      </c>
      <c r="AI272" s="315">
        <v>0</v>
      </c>
      <c r="AJ272" s="315">
        <v>0</v>
      </c>
      <c r="AK272" s="315">
        <v>0</v>
      </c>
      <c r="AL272" s="315">
        <v>0</v>
      </c>
      <c r="AM272" s="315">
        <v>0</v>
      </c>
      <c r="AN272" s="315">
        <v>0</v>
      </c>
      <c r="AO272" s="315">
        <v>0</v>
      </c>
      <c r="AP272" s="315">
        <v>0</v>
      </c>
      <c r="AQ272" s="315">
        <v>0</v>
      </c>
      <c r="AR272" s="315">
        <v>0</v>
      </c>
      <c r="AS272" s="315">
        <v>0</v>
      </c>
      <c r="AT272" s="315">
        <v>0</v>
      </c>
      <c r="AU272" s="315">
        <v>0</v>
      </c>
      <c r="AV272" s="315">
        <v>0</v>
      </c>
      <c r="AW272" s="315">
        <v>0</v>
      </c>
      <c r="AX272" s="315">
        <v>0</v>
      </c>
      <c r="AY272" s="315">
        <v>0</v>
      </c>
      <c r="AZ272" s="315">
        <v>0</v>
      </c>
      <c r="BA272" s="315">
        <v>0</v>
      </c>
      <c r="BB272" s="315">
        <v>0</v>
      </c>
      <c r="BC272" s="315">
        <v>0</v>
      </c>
      <c r="BD272" s="315">
        <v>0</v>
      </c>
      <c r="BE272" s="315">
        <v>0</v>
      </c>
      <c r="BF272" s="315">
        <v>0</v>
      </c>
      <c r="BG272" s="315">
        <v>0</v>
      </c>
      <c r="BH272" s="315">
        <v>0</v>
      </c>
      <c r="BI272" s="315">
        <v>0</v>
      </c>
      <c r="BJ272" s="315">
        <v>0</v>
      </c>
      <c r="BK272" s="315">
        <v>0</v>
      </c>
      <c r="BL272" s="315">
        <v>0</v>
      </c>
      <c r="BM272" s="315">
        <v>0</v>
      </c>
      <c r="BN272" s="315">
        <v>0</v>
      </c>
      <c r="BO272" s="315">
        <v>0</v>
      </c>
    </row>
    <row r="273" spans="12:67" hidden="1" x14ac:dyDescent="0.2">
      <c r="L273" s="315">
        <v>0</v>
      </c>
      <c r="M273" s="315">
        <v>0</v>
      </c>
      <c r="N273" s="315">
        <v>0</v>
      </c>
      <c r="O273" s="315">
        <v>0</v>
      </c>
      <c r="P273" s="315">
        <v>0</v>
      </c>
      <c r="Q273" s="315">
        <v>0</v>
      </c>
      <c r="R273" s="315">
        <v>0</v>
      </c>
      <c r="S273" s="315">
        <v>0</v>
      </c>
      <c r="T273" s="315">
        <v>0</v>
      </c>
      <c r="U273" s="315">
        <v>0</v>
      </c>
      <c r="V273" s="315">
        <v>0</v>
      </c>
      <c r="W273" s="315">
        <v>0</v>
      </c>
      <c r="X273" s="315">
        <v>0</v>
      </c>
      <c r="Y273" s="315">
        <v>0</v>
      </c>
      <c r="Z273" s="315">
        <v>0</v>
      </c>
      <c r="AA273" s="315">
        <v>0</v>
      </c>
      <c r="AB273" s="315">
        <v>0</v>
      </c>
      <c r="AC273" s="315">
        <v>0</v>
      </c>
      <c r="AD273" s="315">
        <v>0</v>
      </c>
      <c r="AE273" s="315">
        <v>0</v>
      </c>
      <c r="AF273" s="315">
        <v>0</v>
      </c>
      <c r="AG273" s="315">
        <v>0</v>
      </c>
      <c r="AH273" s="315">
        <v>0</v>
      </c>
      <c r="AI273" s="315">
        <v>0</v>
      </c>
      <c r="AJ273" s="315">
        <v>0</v>
      </c>
      <c r="AK273" s="315">
        <v>0</v>
      </c>
      <c r="AL273" s="315">
        <v>0</v>
      </c>
      <c r="AM273" s="315">
        <v>0</v>
      </c>
      <c r="AN273" s="315">
        <v>0</v>
      </c>
      <c r="AO273" s="315">
        <v>0</v>
      </c>
      <c r="AP273" s="315">
        <v>0</v>
      </c>
      <c r="AQ273" s="315">
        <v>0</v>
      </c>
      <c r="AR273" s="315">
        <v>0</v>
      </c>
      <c r="AS273" s="315">
        <v>0</v>
      </c>
      <c r="AT273" s="315">
        <v>0</v>
      </c>
      <c r="AU273" s="315">
        <v>0</v>
      </c>
      <c r="AV273" s="315">
        <v>0</v>
      </c>
      <c r="AW273" s="315">
        <v>0</v>
      </c>
      <c r="AX273" s="315">
        <v>0</v>
      </c>
      <c r="AY273" s="315">
        <v>0</v>
      </c>
      <c r="AZ273" s="315">
        <v>0</v>
      </c>
      <c r="BA273" s="315">
        <v>0</v>
      </c>
      <c r="BB273" s="315">
        <v>0</v>
      </c>
      <c r="BC273" s="315">
        <v>0</v>
      </c>
      <c r="BD273" s="315">
        <v>0</v>
      </c>
      <c r="BE273" s="315">
        <v>0</v>
      </c>
      <c r="BF273" s="315">
        <v>0</v>
      </c>
      <c r="BG273" s="315">
        <v>0</v>
      </c>
      <c r="BH273" s="315">
        <v>0</v>
      </c>
      <c r="BI273" s="315">
        <v>0</v>
      </c>
      <c r="BJ273" s="315">
        <v>0</v>
      </c>
      <c r="BK273" s="315">
        <v>0</v>
      </c>
      <c r="BL273" s="315">
        <v>0</v>
      </c>
      <c r="BM273" s="315">
        <v>0</v>
      </c>
      <c r="BN273" s="315">
        <v>0</v>
      </c>
      <c r="BO273" s="315">
        <v>0</v>
      </c>
    </row>
    <row r="274" spans="12:67" hidden="1" x14ac:dyDescent="0.2"/>
    <row r="275" spans="12:67" hidden="1" x14ac:dyDescent="0.2"/>
    <row r="276" spans="12:67" hidden="1" x14ac:dyDescent="0.2"/>
    <row r="277" spans="12:67" hidden="1" x14ac:dyDescent="0.2"/>
    <row r="278" spans="12:67" hidden="1" x14ac:dyDescent="0.2"/>
    <row r="279" spans="12:67" hidden="1" x14ac:dyDescent="0.2"/>
    <row r="280" spans="12:67" hidden="1" x14ac:dyDescent="0.2"/>
  </sheetData>
  <mergeCells count="1">
    <mergeCell ref="G8:BV8"/>
  </mergeCells>
  <pageMargins left="0.7" right="0.7" top="0.75" bottom="0.75" header="0.3" footer="0.3"/>
  <pageSetup paperSize="9" scale="2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I99"/>
  <sheetViews>
    <sheetView view="pageBreakPreview" topLeftCell="D4" zoomScale="110" zoomScaleNormal="100" zoomScaleSheetLayoutView="110" workbookViewId="0">
      <selection activeCell="G351" sqref="G351"/>
    </sheetView>
  </sheetViews>
  <sheetFormatPr defaultColWidth="10" defaultRowHeight="12.75" x14ac:dyDescent="0.2"/>
  <cols>
    <col min="1" max="1" width="1.85546875" style="315" hidden="1" customWidth="1"/>
    <col min="2" max="3" width="0.85546875" style="315" hidden="1" customWidth="1"/>
    <col min="4" max="4" width="64.85546875" style="315" customWidth="1"/>
    <col min="5" max="5" width="7" style="483" customWidth="1"/>
    <col min="6" max="7" width="1" style="315" customWidth="1"/>
    <col min="8" max="8" width="17.85546875" style="315" customWidth="1"/>
    <col min="9" max="9" width="1" style="315" customWidth="1"/>
    <col min="10" max="11" width="0.85546875" style="315" customWidth="1"/>
    <col min="12" max="12" width="1" style="315" customWidth="1"/>
    <col min="13" max="13" width="17.28515625" style="315" customWidth="1"/>
    <col min="14" max="17" width="1" style="315" customWidth="1"/>
    <col min="18" max="18" width="17.85546875" style="315" customWidth="1"/>
    <col min="19" max="22" width="1" style="315" customWidth="1"/>
    <col min="23" max="23" width="17.85546875" style="315" customWidth="1"/>
    <col min="24" max="27" width="1" style="315" customWidth="1"/>
    <col min="28" max="28" width="17.85546875" style="315" customWidth="1"/>
    <col min="29" max="32" width="1" style="315" customWidth="1"/>
    <col min="33" max="33" width="17.85546875" style="315" customWidth="1"/>
    <col min="34" max="37" width="1" style="315" customWidth="1"/>
    <col min="38" max="38" width="17.85546875" style="315" customWidth="1"/>
    <col min="39" max="40" width="1" style="315" customWidth="1"/>
    <col min="41" max="41" width="1.28515625" style="315" customWidth="1"/>
    <col min="42" max="42" width="1" style="315" customWidth="1"/>
    <col min="43" max="43" width="17.85546875" style="315" customWidth="1"/>
    <col min="44" max="45" width="1" style="315" customWidth="1"/>
    <col min="46" max="47" width="1" style="315" hidden="1" customWidth="1"/>
    <col min="48" max="48" width="14.7109375" style="315" hidden="1" customWidth="1"/>
    <col min="49" max="52" width="1" style="315" hidden="1" customWidth="1"/>
    <col min="53" max="53" width="17.85546875" style="315" hidden="1" customWidth="1"/>
    <col min="54" max="57" width="1" style="315" hidden="1" customWidth="1"/>
    <col min="58" max="58" width="17.85546875" style="315" hidden="1" customWidth="1"/>
    <col min="59" max="62" width="1" style="315" hidden="1" customWidth="1"/>
    <col min="63" max="63" width="17.85546875" style="315" hidden="1" customWidth="1"/>
    <col min="64" max="67" width="1" style="315" hidden="1" customWidth="1"/>
    <col min="68" max="68" width="17.85546875" style="315" hidden="1" customWidth="1"/>
    <col min="69" max="70" width="1" style="315" hidden="1" customWidth="1"/>
    <col min="71" max="71" width="1.5703125" style="315" customWidth="1"/>
    <col min="72" max="72" width="1" style="315" customWidth="1"/>
    <col min="73" max="73" width="17.85546875" style="315" customWidth="1"/>
    <col min="74" max="75" width="1" style="315" customWidth="1"/>
    <col min="76" max="76" width="1.85546875" style="315" customWidth="1"/>
    <col min="77" max="77" width="11.7109375" style="315" customWidth="1"/>
    <col min="78" max="78" width="11.28515625" style="315" customWidth="1"/>
    <col min="79" max="79" width="10.42578125" style="315" bestFit="1" customWidth="1"/>
    <col min="80" max="82" width="10" style="315"/>
    <col min="83" max="83" width="13.42578125" style="315" bestFit="1" customWidth="1"/>
    <col min="84" max="16384" width="10" style="315"/>
  </cols>
  <sheetData>
    <row r="1" spans="1:78" x14ac:dyDescent="0.2">
      <c r="B1" s="317"/>
      <c r="C1" s="317"/>
      <c r="D1" s="317"/>
      <c r="E1" s="482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</row>
    <row r="2" spans="1:78" ht="3" customHeight="1" x14ac:dyDescent="0.2">
      <c r="A2" s="317"/>
      <c r="B2" s="317"/>
      <c r="C2" s="317"/>
      <c r="D2" s="317"/>
      <c r="E2" s="482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</row>
    <row r="3" spans="1:78" x14ac:dyDescent="0.2">
      <c r="A3" s="317"/>
      <c r="B3" s="317"/>
      <c r="D3" s="317"/>
    </row>
    <row r="4" spans="1:78" x14ac:dyDescent="0.2">
      <c r="A4" s="317"/>
      <c r="B4" s="317"/>
      <c r="D4" s="329"/>
      <c r="E4" s="484"/>
      <c r="F4" s="39"/>
      <c r="G4" s="39"/>
    </row>
    <row r="5" spans="1:78" x14ac:dyDescent="0.2">
      <c r="A5" s="317"/>
      <c r="B5" s="317"/>
      <c r="D5" s="317"/>
      <c r="E5" s="485"/>
      <c r="F5" s="329"/>
      <c r="G5" s="329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7"/>
      <c r="AN5" s="317"/>
      <c r="AO5" s="317"/>
      <c r="AP5" s="317"/>
      <c r="AQ5" s="317"/>
      <c r="AR5" s="317"/>
      <c r="AS5" s="317"/>
      <c r="AT5" s="317"/>
      <c r="AU5" s="317"/>
      <c r="AV5" s="317"/>
      <c r="AW5" s="317"/>
      <c r="AX5" s="317"/>
      <c r="AY5" s="317"/>
      <c r="AZ5" s="317"/>
      <c r="BA5" s="317"/>
      <c r="BB5" s="317"/>
      <c r="BC5" s="317"/>
      <c r="BD5" s="317"/>
      <c r="BE5" s="317"/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7"/>
      <c r="BS5" s="317"/>
      <c r="BT5" s="317"/>
      <c r="BU5" s="317"/>
      <c r="BV5" s="317"/>
    </row>
    <row r="6" spans="1:78" x14ac:dyDescent="0.2">
      <c r="A6" s="317"/>
      <c r="B6" s="317"/>
      <c r="D6" s="317"/>
      <c r="E6" s="482"/>
      <c r="F6" s="317"/>
      <c r="G6" s="317"/>
      <c r="H6" s="317"/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317"/>
      <c r="W6" s="317"/>
      <c r="X6" s="317"/>
      <c r="Y6" s="317"/>
      <c r="Z6" s="317"/>
      <c r="AA6" s="317"/>
      <c r="AB6" s="317"/>
      <c r="AC6" s="317"/>
      <c r="AD6" s="317"/>
      <c r="AE6" s="317"/>
      <c r="AF6" s="317"/>
      <c r="AG6" s="317"/>
      <c r="AH6" s="317"/>
      <c r="AI6" s="317"/>
      <c r="AJ6" s="317"/>
      <c r="AK6" s="317"/>
      <c r="AL6" s="317"/>
      <c r="AM6" s="317"/>
      <c r="AN6" s="317"/>
      <c r="AO6" s="317"/>
      <c r="AP6" s="317"/>
      <c r="AQ6" s="317"/>
      <c r="AR6" s="317"/>
      <c r="AS6" s="317"/>
      <c r="AT6" s="317"/>
      <c r="AU6" s="317"/>
      <c r="AV6" s="317"/>
      <c r="AW6" s="317"/>
      <c r="AX6" s="317"/>
      <c r="AY6" s="317"/>
      <c r="AZ6" s="317"/>
      <c r="BA6" s="317"/>
      <c r="BB6" s="317"/>
      <c r="BC6" s="317"/>
      <c r="BD6" s="317"/>
      <c r="BE6" s="317"/>
      <c r="BF6" s="317"/>
      <c r="BG6" s="317"/>
      <c r="BH6" s="317"/>
      <c r="BI6" s="317"/>
      <c r="BJ6" s="317"/>
      <c r="BK6" s="317"/>
      <c r="BL6" s="317"/>
      <c r="BM6" s="317"/>
      <c r="BN6" s="317"/>
      <c r="BO6" s="317"/>
      <c r="BP6" s="317"/>
      <c r="BQ6" s="317"/>
      <c r="BR6" s="317"/>
      <c r="BS6" s="317"/>
      <c r="BT6" s="317"/>
      <c r="BU6" s="317"/>
      <c r="BV6" s="317"/>
    </row>
    <row r="7" spans="1:78" ht="15.75" customHeight="1" x14ac:dyDescent="0.25">
      <c r="A7" s="317"/>
      <c r="B7" s="317"/>
      <c r="D7" s="410" t="s">
        <v>284</v>
      </c>
      <c r="E7" s="485"/>
      <c r="F7" s="329"/>
      <c r="G7" s="329"/>
      <c r="H7" s="317"/>
      <c r="I7" s="317"/>
      <c r="J7" s="317"/>
      <c r="K7" s="317"/>
      <c r="L7" s="317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1"/>
      <c r="Y7" s="331"/>
      <c r="Z7" s="331"/>
      <c r="AA7" s="331"/>
      <c r="AB7" s="331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1"/>
      <c r="AN7" s="331"/>
      <c r="AO7" s="331"/>
      <c r="AP7" s="331"/>
      <c r="AQ7" s="331"/>
      <c r="AR7" s="331"/>
      <c r="AS7" s="331"/>
      <c r="AT7" s="331"/>
      <c r="AU7" s="331"/>
      <c r="AV7" s="331"/>
      <c r="AW7" s="331"/>
      <c r="AX7" s="331"/>
      <c r="AY7" s="331"/>
      <c r="AZ7" s="331"/>
      <c r="BA7" s="331"/>
      <c r="BB7" s="331"/>
      <c r="BC7" s="331"/>
      <c r="BD7" s="331"/>
      <c r="BE7" s="331"/>
      <c r="BF7" s="331"/>
      <c r="BG7" s="331"/>
      <c r="BH7" s="331"/>
      <c r="BI7" s="331"/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</row>
    <row r="8" spans="1:78" ht="12.75" customHeight="1" x14ac:dyDescent="0.2">
      <c r="A8" s="317"/>
      <c r="B8" s="317"/>
      <c r="D8" s="486"/>
      <c r="E8" s="487"/>
      <c r="F8" s="488"/>
      <c r="G8" s="489"/>
      <c r="H8" s="710" t="s">
        <v>1</v>
      </c>
      <c r="I8" s="711"/>
      <c r="J8" s="711"/>
      <c r="K8" s="711"/>
      <c r="L8" s="711"/>
      <c r="M8" s="711"/>
      <c r="N8" s="711"/>
      <c r="O8" s="711"/>
      <c r="P8" s="711"/>
      <c r="Q8" s="711"/>
      <c r="R8" s="711"/>
      <c r="S8" s="711"/>
      <c r="T8" s="711"/>
      <c r="U8" s="711"/>
      <c r="V8" s="711"/>
      <c r="W8" s="711"/>
      <c r="X8" s="711"/>
      <c r="Y8" s="711"/>
      <c r="Z8" s="711"/>
      <c r="AA8" s="711"/>
      <c r="AB8" s="711"/>
      <c r="AC8" s="711"/>
      <c r="AD8" s="711"/>
      <c r="AE8" s="711"/>
      <c r="AF8" s="711"/>
      <c r="AG8" s="711"/>
      <c r="AH8" s="711"/>
      <c r="AI8" s="711"/>
      <c r="AJ8" s="711"/>
      <c r="AK8" s="711"/>
      <c r="AL8" s="711"/>
      <c r="AM8" s="711"/>
      <c r="AN8" s="711"/>
      <c r="AO8" s="711"/>
      <c r="AP8" s="711"/>
      <c r="AQ8" s="711"/>
      <c r="AR8" s="711"/>
      <c r="AS8" s="711"/>
      <c r="AT8" s="711"/>
      <c r="AU8" s="711"/>
      <c r="AV8" s="711"/>
      <c r="AW8" s="711"/>
      <c r="AX8" s="711"/>
      <c r="AY8" s="711"/>
      <c r="AZ8" s="711"/>
      <c r="BA8" s="711"/>
      <c r="BB8" s="711"/>
      <c r="BC8" s="711"/>
      <c r="BD8" s="711"/>
      <c r="BE8" s="711"/>
      <c r="BF8" s="711"/>
      <c r="BG8" s="711"/>
      <c r="BH8" s="711"/>
      <c r="BI8" s="711"/>
      <c r="BJ8" s="711"/>
      <c r="BK8" s="711"/>
      <c r="BL8" s="711"/>
      <c r="BM8" s="711"/>
      <c r="BN8" s="711"/>
      <c r="BO8" s="711"/>
      <c r="BP8" s="711"/>
      <c r="BQ8" s="711"/>
      <c r="BR8" s="711"/>
      <c r="BS8" s="711"/>
      <c r="BT8" s="711"/>
      <c r="BU8" s="711"/>
      <c r="BV8" s="490"/>
      <c r="BW8" s="442"/>
      <c r="BX8" s="317"/>
    </row>
    <row r="9" spans="1:78" ht="12.75" customHeight="1" x14ac:dyDescent="0.2">
      <c r="A9" s="317"/>
      <c r="B9" s="317"/>
      <c r="D9" s="348"/>
      <c r="E9" s="485"/>
      <c r="F9" s="399"/>
      <c r="G9" s="398"/>
      <c r="H9" s="269" t="s">
        <v>3</v>
      </c>
      <c r="I9" s="269"/>
      <c r="J9" s="269"/>
      <c r="K9" s="396"/>
      <c r="L9" s="269"/>
      <c r="M9" s="269" t="s">
        <v>4</v>
      </c>
      <c r="N9" s="269"/>
      <c r="O9" s="269"/>
      <c r="P9" s="268"/>
      <c r="Q9" s="269"/>
      <c r="R9" s="269" t="s">
        <v>5</v>
      </c>
      <c r="S9" s="269"/>
      <c r="T9" s="269"/>
      <c r="U9" s="268"/>
      <c r="V9" s="269"/>
      <c r="W9" s="269" t="s">
        <v>6</v>
      </c>
      <c r="X9" s="269"/>
      <c r="Y9" s="269"/>
      <c r="Z9" s="268"/>
      <c r="AA9" s="269"/>
      <c r="AB9" s="269" t="s">
        <v>7</v>
      </c>
      <c r="AC9" s="269"/>
      <c r="AD9" s="269"/>
      <c r="AE9" s="268"/>
      <c r="AF9" s="269"/>
      <c r="AG9" s="269" t="s">
        <v>8</v>
      </c>
      <c r="AH9" s="269"/>
      <c r="AI9" s="269"/>
      <c r="AJ9" s="268"/>
      <c r="AK9" s="269"/>
      <c r="AL9" s="269" t="s">
        <v>9</v>
      </c>
      <c r="AM9" s="269"/>
      <c r="AN9" s="269"/>
      <c r="AO9" s="268"/>
      <c r="AP9" s="269"/>
      <c r="AQ9" s="269" t="s">
        <v>10</v>
      </c>
      <c r="AR9" s="269"/>
      <c r="AS9" s="269"/>
      <c r="AT9" s="268"/>
      <c r="AU9" s="269"/>
      <c r="AV9" s="269" t="s">
        <v>11</v>
      </c>
      <c r="AW9" s="269"/>
      <c r="AX9" s="269"/>
      <c r="AY9" s="268"/>
      <c r="AZ9" s="269"/>
      <c r="BA9" s="269" t="s">
        <v>12</v>
      </c>
      <c r="BB9" s="269"/>
      <c r="BC9" s="269"/>
      <c r="BD9" s="268"/>
      <c r="BE9" s="269"/>
      <c r="BF9" s="269" t="s">
        <v>13</v>
      </c>
      <c r="BG9" s="269"/>
      <c r="BH9" s="269"/>
      <c r="BI9" s="268"/>
      <c r="BJ9" s="269"/>
      <c r="BK9" s="269" t="s">
        <v>14</v>
      </c>
      <c r="BL9" s="269"/>
      <c r="BM9" s="269"/>
      <c r="BN9" s="268"/>
      <c r="BO9" s="269"/>
      <c r="BP9" s="269" t="s">
        <v>15</v>
      </c>
      <c r="BQ9" s="269"/>
      <c r="BR9" s="269"/>
      <c r="BS9" s="268"/>
      <c r="BT9" s="269"/>
      <c r="BU9" s="269" t="s">
        <v>16</v>
      </c>
      <c r="BV9" s="269"/>
      <c r="BW9" s="492"/>
      <c r="BX9" s="317"/>
    </row>
    <row r="10" spans="1:78" ht="12.75" customHeight="1" x14ac:dyDescent="0.2">
      <c r="A10" s="317"/>
      <c r="B10" s="317"/>
      <c r="D10" s="341" t="s">
        <v>17</v>
      </c>
      <c r="E10" s="493"/>
      <c r="F10" s="419"/>
      <c r="G10" s="374"/>
      <c r="H10" s="344" t="s">
        <v>19</v>
      </c>
      <c r="I10" s="344"/>
      <c r="J10" s="420"/>
      <c r="K10" s="343"/>
      <c r="L10" s="344"/>
      <c r="M10" s="342"/>
      <c r="N10" s="342"/>
      <c r="O10" s="342"/>
      <c r="P10" s="419"/>
      <c r="Q10" s="342"/>
      <c r="R10" s="342"/>
      <c r="S10" s="342"/>
      <c r="T10" s="342"/>
      <c r="U10" s="419"/>
      <c r="V10" s="342"/>
      <c r="W10" s="342"/>
      <c r="X10" s="342"/>
      <c r="Y10" s="342"/>
      <c r="Z10" s="419"/>
      <c r="AA10" s="342"/>
      <c r="AB10" s="342"/>
      <c r="AC10" s="342"/>
      <c r="AD10" s="342"/>
      <c r="AE10" s="419"/>
      <c r="AF10" s="342"/>
      <c r="AG10" s="342"/>
      <c r="AH10" s="342"/>
      <c r="AI10" s="342"/>
      <c r="AJ10" s="419"/>
      <c r="AK10" s="342"/>
      <c r="AL10" s="342"/>
      <c r="AM10" s="342"/>
      <c r="AN10" s="342"/>
      <c r="AO10" s="419"/>
      <c r="AP10" s="342"/>
      <c r="AQ10" s="342"/>
      <c r="AR10" s="342"/>
      <c r="AS10" s="342"/>
      <c r="AT10" s="419"/>
      <c r="AU10" s="342"/>
      <c r="AV10" s="342"/>
      <c r="AW10" s="342"/>
      <c r="AX10" s="342"/>
      <c r="AY10" s="419"/>
      <c r="AZ10" s="342"/>
      <c r="BA10" s="342"/>
      <c r="BB10" s="342"/>
      <c r="BC10" s="342"/>
      <c r="BD10" s="419"/>
      <c r="BE10" s="342"/>
      <c r="BF10" s="342"/>
      <c r="BG10" s="342"/>
      <c r="BH10" s="342"/>
      <c r="BI10" s="419"/>
      <c r="BJ10" s="342"/>
      <c r="BK10" s="342"/>
      <c r="BL10" s="342"/>
      <c r="BM10" s="342"/>
      <c r="BN10" s="419"/>
      <c r="BO10" s="342"/>
      <c r="BP10" s="342"/>
      <c r="BQ10" s="342"/>
      <c r="BR10" s="342"/>
      <c r="BS10" s="419"/>
      <c r="BT10" s="342"/>
      <c r="BU10" s="342"/>
      <c r="BV10" s="342"/>
      <c r="BW10" s="442"/>
      <c r="BX10" s="317"/>
    </row>
    <row r="11" spans="1:78" x14ac:dyDescent="0.2">
      <c r="A11" s="317"/>
      <c r="B11" s="317"/>
      <c r="D11" s="340"/>
      <c r="E11" s="482"/>
      <c r="F11" s="347"/>
      <c r="G11" s="317"/>
      <c r="H11" s="317"/>
      <c r="I11" s="317"/>
      <c r="J11" s="317"/>
      <c r="K11" s="347"/>
      <c r="L11" s="317"/>
      <c r="M11" s="317"/>
      <c r="N11" s="317"/>
      <c r="O11" s="317"/>
      <c r="P11" s="347"/>
      <c r="Q11" s="317"/>
      <c r="R11" s="317"/>
      <c r="S11" s="317"/>
      <c r="T11" s="317"/>
      <c r="U11" s="347"/>
      <c r="V11" s="317"/>
      <c r="W11" s="317"/>
      <c r="X11" s="317"/>
      <c r="Y11" s="317"/>
      <c r="Z11" s="347"/>
      <c r="AA11" s="317"/>
      <c r="AB11" s="317"/>
      <c r="AC11" s="317"/>
      <c r="AD11" s="317"/>
      <c r="AE11" s="347"/>
      <c r="AF11" s="317"/>
      <c r="AG11" s="317"/>
      <c r="AH11" s="317"/>
      <c r="AI11" s="317"/>
      <c r="AJ11" s="347"/>
      <c r="AK11" s="317"/>
      <c r="AL11" s="317"/>
      <c r="AM11" s="317"/>
      <c r="AN11" s="317"/>
      <c r="AO11" s="347"/>
      <c r="AP11" s="317"/>
      <c r="AQ11" s="317"/>
      <c r="AR11" s="317"/>
      <c r="AS11" s="317"/>
      <c r="AT11" s="347"/>
      <c r="AU11" s="317"/>
      <c r="AV11" s="317"/>
      <c r="AW11" s="317"/>
      <c r="AX11" s="317"/>
      <c r="AY11" s="347"/>
      <c r="AZ11" s="317"/>
      <c r="BA11" s="317"/>
      <c r="BB11" s="317"/>
      <c r="BC11" s="317"/>
      <c r="BD11" s="347"/>
      <c r="BE11" s="317"/>
      <c r="BF11" s="317"/>
      <c r="BG11" s="317"/>
      <c r="BH11" s="317"/>
      <c r="BI11" s="347"/>
      <c r="BJ11" s="317"/>
      <c r="BK11" s="317"/>
      <c r="BL11" s="317"/>
      <c r="BM11" s="317"/>
      <c r="BN11" s="347"/>
      <c r="BO11" s="317"/>
      <c r="BP11" s="317"/>
      <c r="BQ11" s="317"/>
      <c r="BR11" s="317"/>
      <c r="BS11" s="347"/>
      <c r="BT11" s="317"/>
      <c r="BU11" s="317"/>
      <c r="BV11" s="317"/>
      <c r="BW11" s="340"/>
      <c r="BX11" s="317"/>
    </row>
    <row r="12" spans="1:78" s="39" customFormat="1" x14ac:dyDescent="0.2">
      <c r="A12" s="329"/>
      <c r="B12" s="329"/>
      <c r="C12" s="329"/>
      <c r="D12" s="348" t="s">
        <v>285</v>
      </c>
      <c r="E12" s="482" t="s">
        <v>45</v>
      </c>
      <c r="F12" s="347"/>
      <c r="G12" s="317"/>
      <c r="H12" s="56">
        <v>42077879</v>
      </c>
      <c r="I12" s="56"/>
      <c r="J12" s="56"/>
      <c r="K12" s="205"/>
      <c r="L12" s="56"/>
      <c r="M12" s="56">
        <v>-23712019</v>
      </c>
      <c r="N12" s="56"/>
      <c r="O12" s="56"/>
      <c r="P12" s="205"/>
      <c r="Q12" s="56"/>
      <c r="R12" s="56">
        <v>9974227</v>
      </c>
      <c r="S12" s="56"/>
      <c r="T12" s="56"/>
      <c r="U12" s="205"/>
      <c r="V12" s="56"/>
      <c r="W12" s="56">
        <v>-108076143</v>
      </c>
      <c r="X12" s="56"/>
      <c r="Y12" s="56"/>
      <c r="Z12" s="205"/>
      <c r="AA12" s="56"/>
      <c r="AB12" s="56">
        <v>35166890</v>
      </c>
      <c r="AC12" s="56"/>
      <c r="AD12" s="56"/>
      <c r="AE12" s="205"/>
      <c r="AF12" s="56"/>
      <c r="AG12" s="56">
        <v>62591281</v>
      </c>
      <c r="AH12" s="56"/>
      <c r="AI12" s="56"/>
      <c r="AJ12" s="205"/>
      <c r="AK12" s="56"/>
      <c r="AL12" s="56">
        <v>-29962642</v>
      </c>
      <c r="AM12" s="56"/>
      <c r="AN12" s="56"/>
      <c r="AO12" s="205"/>
      <c r="AP12" s="56"/>
      <c r="AQ12" s="56">
        <v>16575160</v>
      </c>
      <c r="AR12" s="56"/>
      <c r="AS12" s="56"/>
      <c r="AT12" s="205"/>
      <c r="AU12" s="56"/>
      <c r="AV12" s="56">
        <v>311428125</v>
      </c>
      <c r="AW12" s="56"/>
      <c r="AX12" s="56"/>
      <c r="AY12" s="205"/>
      <c r="AZ12" s="56"/>
      <c r="BA12" s="56">
        <v>0</v>
      </c>
      <c r="BB12" s="56"/>
      <c r="BC12" s="56"/>
      <c r="BD12" s="205"/>
      <c r="BE12" s="56"/>
      <c r="BF12" s="56">
        <v>0</v>
      </c>
      <c r="BG12" s="56"/>
      <c r="BH12" s="56"/>
      <c r="BI12" s="205"/>
      <c r="BJ12" s="56"/>
      <c r="BK12" s="56">
        <v>0</v>
      </c>
      <c r="BL12" s="56"/>
      <c r="BM12" s="56"/>
      <c r="BN12" s="205"/>
      <c r="BO12" s="56"/>
      <c r="BP12" s="56">
        <v>0</v>
      </c>
      <c r="BQ12" s="56"/>
      <c r="BR12" s="56"/>
      <c r="BS12" s="205"/>
      <c r="BT12" s="56"/>
      <c r="BU12" s="56">
        <v>-37443246</v>
      </c>
      <c r="BV12" s="56"/>
      <c r="BW12" s="494"/>
      <c r="BX12" s="329"/>
    </row>
    <row r="13" spans="1:78" x14ac:dyDescent="0.2">
      <c r="A13" s="317"/>
      <c r="B13" s="317"/>
      <c r="C13" s="317"/>
      <c r="D13" s="340" t="s">
        <v>286</v>
      </c>
      <c r="E13" s="482"/>
      <c r="F13" s="347"/>
      <c r="G13" s="354"/>
      <c r="H13" s="495">
        <v>273984879</v>
      </c>
      <c r="I13" s="496"/>
      <c r="J13" s="80"/>
      <c r="K13" s="208"/>
      <c r="L13" s="497"/>
      <c r="M13" s="495">
        <v>273984879</v>
      </c>
      <c r="N13" s="496"/>
      <c r="O13" s="80"/>
      <c r="P13" s="208"/>
      <c r="Q13" s="497"/>
      <c r="R13" s="495">
        <v>297696898</v>
      </c>
      <c r="S13" s="496"/>
      <c r="T13" s="80"/>
      <c r="U13" s="208"/>
      <c r="V13" s="497"/>
      <c r="W13" s="495">
        <v>287722671</v>
      </c>
      <c r="X13" s="496"/>
      <c r="Y13" s="80"/>
      <c r="Z13" s="208"/>
      <c r="AA13" s="497"/>
      <c r="AB13" s="495">
        <v>395798814</v>
      </c>
      <c r="AC13" s="496"/>
      <c r="AD13" s="80"/>
      <c r="AE13" s="208"/>
      <c r="AF13" s="497"/>
      <c r="AG13" s="495">
        <v>360631924</v>
      </c>
      <c r="AH13" s="496"/>
      <c r="AI13" s="80"/>
      <c r="AJ13" s="208"/>
      <c r="AK13" s="497"/>
      <c r="AL13" s="495">
        <v>298040643</v>
      </c>
      <c r="AM13" s="496"/>
      <c r="AN13" s="80"/>
      <c r="AO13" s="208"/>
      <c r="AP13" s="497"/>
      <c r="AQ13" s="495">
        <v>328003285</v>
      </c>
      <c r="AR13" s="496"/>
      <c r="AS13" s="80"/>
      <c r="AT13" s="208"/>
      <c r="AU13" s="497"/>
      <c r="AV13" s="495">
        <v>311428125</v>
      </c>
      <c r="AW13" s="496"/>
      <c r="AX13" s="80"/>
      <c r="AY13" s="208"/>
      <c r="AZ13" s="497"/>
      <c r="BA13" s="495">
        <v>0</v>
      </c>
      <c r="BB13" s="496"/>
      <c r="BC13" s="80"/>
      <c r="BD13" s="208"/>
      <c r="BE13" s="497"/>
      <c r="BF13" s="495">
        <v>0</v>
      </c>
      <c r="BG13" s="496"/>
      <c r="BH13" s="80"/>
      <c r="BI13" s="208"/>
      <c r="BJ13" s="497"/>
      <c r="BK13" s="495">
        <v>0</v>
      </c>
      <c r="BL13" s="496"/>
      <c r="BM13" s="80"/>
      <c r="BN13" s="208"/>
      <c r="BO13" s="497"/>
      <c r="BP13" s="495">
        <v>0</v>
      </c>
      <c r="BQ13" s="496"/>
      <c r="BR13" s="80"/>
      <c r="BS13" s="208"/>
      <c r="BT13" s="497"/>
      <c r="BU13" s="495">
        <v>273984879</v>
      </c>
      <c r="BV13" s="495"/>
      <c r="BW13" s="498"/>
      <c r="BX13" s="317"/>
      <c r="BY13" s="39"/>
      <c r="BZ13" s="39"/>
    </row>
    <row r="14" spans="1:78" x14ac:dyDescent="0.2">
      <c r="A14" s="317"/>
      <c r="B14" s="317"/>
      <c r="C14" s="317"/>
      <c r="D14" s="340" t="s">
        <v>287</v>
      </c>
      <c r="E14" s="482"/>
      <c r="F14" s="347"/>
      <c r="G14" s="347"/>
      <c r="H14" s="499">
        <v>145289346</v>
      </c>
      <c r="I14" s="79"/>
      <c r="J14" s="80"/>
      <c r="K14" s="208"/>
      <c r="L14" s="208"/>
      <c r="M14" s="499">
        <v>145289346</v>
      </c>
      <c r="N14" s="79"/>
      <c r="O14" s="80"/>
      <c r="P14" s="208"/>
      <c r="Q14" s="208"/>
      <c r="R14" s="499">
        <v>189293723</v>
      </c>
      <c r="S14" s="79"/>
      <c r="T14" s="80"/>
      <c r="U14" s="208"/>
      <c r="V14" s="208"/>
      <c r="W14" s="499">
        <v>172981345</v>
      </c>
      <c r="X14" s="79"/>
      <c r="Y14" s="80"/>
      <c r="Z14" s="208"/>
      <c r="AA14" s="208"/>
      <c r="AB14" s="499">
        <v>170907699</v>
      </c>
      <c r="AC14" s="79"/>
      <c r="AD14" s="80"/>
      <c r="AE14" s="208"/>
      <c r="AF14" s="208"/>
      <c r="AG14" s="499">
        <v>169083708</v>
      </c>
      <c r="AH14" s="79"/>
      <c r="AI14" s="80"/>
      <c r="AJ14" s="208"/>
      <c r="AK14" s="208"/>
      <c r="AL14" s="499">
        <v>168176276</v>
      </c>
      <c r="AM14" s="79"/>
      <c r="AN14" s="80"/>
      <c r="AO14" s="208"/>
      <c r="AP14" s="208"/>
      <c r="AQ14" s="499">
        <v>169665345</v>
      </c>
      <c r="AR14" s="79"/>
      <c r="AS14" s="80"/>
      <c r="AT14" s="208"/>
      <c r="AU14" s="208"/>
      <c r="AV14" s="499">
        <v>166304630</v>
      </c>
      <c r="AW14" s="79"/>
      <c r="AX14" s="80"/>
      <c r="AY14" s="208"/>
      <c r="AZ14" s="208"/>
      <c r="BA14" s="499">
        <v>0</v>
      </c>
      <c r="BB14" s="79"/>
      <c r="BC14" s="80"/>
      <c r="BD14" s="208"/>
      <c r="BE14" s="208"/>
      <c r="BF14" s="499">
        <v>0</v>
      </c>
      <c r="BG14" s="79"/>
      <c r="BH14" s="80"/>
      <c r="BI14" s="208"/>
      <c r="BJ14" s="208"/>
      <c r="BK14" s="499">
        <v>0</v>
      </c>
      <c r="BL14" s="79"/>
      <c r="BM14" s="80"/>
      <c r="BN14" s="208"/>
      <c r="BO14" s="208"/>
      <c r="BP14" s="499">
        <v>0</v>
      </c>
      <c r="BQ14" s="79"/>
      <c r="BR14" s="80"/>
      <c r="BS14" s="208"/>
      <c r="BT14" s="208"/>
      <c r="BU14" s="500">
        <v>145289346</v>
      </c>
      <c r="BV14" s="80"/>
      <c r="BW14" s="498"/>
      <c r="BX14" s="317"/>
      <c r="BZ14" s="39"/>
    </row>
    <row r="15" spans="1:78" x14ac:dyDescent="0.2">
      <c r="A15" s="317"/>
      <c r="B15" s="317"/>
      <c r="C15" s="317"/>
      <c r="D15" s="340" t="s">
        <v>288</v>
      </c>
      <c r="E15" s="482"/>
      <c r="F15" s="347"/>
      <c r="G15" s="347"/>
      <c r="H15" s="501">
        <v>128695533</v>
      </c>
      <c r="I15" s="79"/>
      <c r="J15" s="80"/>
      <c r="K15" s="208"/>
      <c r="L15" s="208"/>
      <c r="M15" s="501">
        <v>128695533</v>
      </c>
      <c r="N15" s="79"/>
      <c r="O15" s="80"/>
      <c r="P15" s="208"/>
      <c r="Q15" s="208"/>
      <c r="R15" s="501">
        <v>108403175</v>
      </c>
      <c r="S15" s="79"/>
      <c r="T15" s="80"/>
      <c r="U15" s="208"/>
      <c r="V15" s="208"/>
      <c r="W15" s="501">
        <v>114741326</v>
      </c>
      <c r="X15" s="79"/>
      <c r="Y15" s="80"/>
      <c r="Z15" s="208"/>
      <c r="AA15" s="208"/>
      <c r="AB15" s="501">
        <v>224891115</v>
      </c>
      <c r="AC15" s="79"/>
      <c r="AD15" s="80"/>
      <c r="AE15" s="208"/>
      <c r="AF15" s="208"/>
      <c r="AG15" s="501">
        <v>191548216</v>
      </c>
      <c r="AH15" s="79"/>
      <c r="AI15" s="80"/>
      <c r="AJ15" s="208"/>
      <c r="AK15" s="208"/>
      <c r="AL15" s="501">
        <v>129864367</v>
      </c>
      <c r="AM15" s="79"/>
      <c r="AN15" s="80"/>
      <c r="AO15" s="208"/>
      <c r="AP15" s="208"/>
      <c r="AQ15" s="501">
        <v>158337940</v>
      </c>
      <c r="AR15" s="79"/>
      <c r="AS15" s="80"/>
      <c r="AT15" s="208"/>
      <c r="AU15" s="208"/>
      <c r="AV15" s="501">
        <v>145123495</v>
      </c>
      <c r="AW15" s="79"/>
      <c r="AX15" s="80"/>
      <c r="AY15" s="208"/>
      <c r="AZ15" s="208"/>
      <c r="BA15" s="501">
        <v>0</v>
      </c>
      <c r="BB15" s="79"/>
      <c r="BC15" s="80"/>
      <c r="BD15" s="208"/>
      <c r="BE15" s="208"/>
      <c r="BF15" s="501">
        <v>0</v>
      </c>
      <c r="BG15" s="79"/>
      <c r="BH15" s="80"/>
      <c r="BI15" s="208"/>
      <c r="BJ15" s="208"/>
      <c r="BK15" s="501">
        <v>0</v>
      </c>
      <c r="BL15" s="79"/>
      <c r="BM15" s="80"/>
      <c r="BN15" s="208"/>
      <c r="BO15" s="208"/>
      <c r="BP15" s="501">
        <v>0</v>
      </c>
      <c r="BQ15" s="79"/>
      <c r="BR15" s="80"/>
      <c r="BS15" s="208"/>
      <c r="BT15" s="208"/>
      <c r="BU15" s="93">
        <v>128695533</v>
      </c>
      <c r="BV15" s="80"/>
      <c r="BW15" s="498"/>
      <c r="BX15" s="317"/>
      <c r="BZ15" s="39"/>
    </row>
    <row r="16" spans="1:78" x14ac:dyDescent="0.2">
      <c r="A16" s="317"/>
      <c r="B16" s="317"/>
      <c r="C16" s="317"/>
      <c r="D16" s="340"/>
      <c r="E16" s="482"/>
      <c r="F16" s="347"/>
      <c r="G16" s="347"/>
      <c r="H16" s="80"/>
      <c r="I16" s="79"/>
      <c r="J16" s="80"/>
      <c r="K16" s="208"/>
      <c r="L16" s="208"/>
      <c r="M16" s="80"/>
      <c r="N16" s="79"/>
      <c r="O16" s="80"/>
      <c r="P16" s="208"/>
      <c r="Q16" s="208"/>
      <c r="R16" s="80"/>
      <c r="S16" s="79"/>
      <c r="T16" s="80"/>
      <c r="U16" s="208"/>
      <c r="V16" s="208"/>
      <c r="W16" s="80"/>
      <c r="X16" s="79"/>
      <c r="Y16" s="80"/>
      <c r="Z16" s="208"/>
      <c r="AA16" s="208"/>
      <c r="AB16" s="80"/>
      <c r="AC16" s="79"/>
      <c r="AD16" s="80"/>
      <c r="AE16" s="208"/>
      <c r="AF16" s="208"/>
      <c r="AG16" s="80"/>
      <c r="AH16" s="79"/>
      <c r="AI16" s="80"/>
      <c r="AJ16" s="208"/>
      <c r="AK16" s="208"/>
      <c r="AL16" s="80"/>
      <c r="AM16" s="79"/>
      <c r="AN16" s="80"/>
      <c r="AO16" s="208"/>
      <c r="AP16" s="208"/>
      <c r="AQ16" s="80"/>
      <c r="AR16" s="79"/>
      <c r="AS16" s="80"/>
      <c r="AT16" s="208"/>
      <c r="AU16" s="208"/>
      <c r="AV16" s="80"/>
      <c r="AW16" s="79"/>
      <c r="AX16" s="80"/>
      <c r="AY16" s="208"/>
      <c r="AZ16" s="208"/>
      <c r="BA16" s="80"/>
      <c r="BB16" s="79"/>
      <c r="BC16" s="80"/>
      <c r="BD16" s="208"/>
      <c r="BE16" s="208"/>
      <c r="BF16" s="80"/>
      <c r="BG16" s="79"/>
      <c r="BH16" s="80"/>
      <c r="BI16" s="208"/>
      <c r="BJ16" s="208"/>
      <c r="BK16" s="80"/>
      <c r="BL16" s="79"/>
      <c r="BM16" s="80"/>
      <c r="BN16" s="208"/>
      <c r="BO16" s="208"/>
      <c r="BP16" s="80"/>
      <c r="BQ16" s="79"/>
      <c r="BR16" s="80"/>
      <c r="BS16" s="208"/>
      <c r="BT16" s="208"/>
      <c r="BU16" s="80"/>
      <c r="BV16" s="80"/>
      <c r="BW16" s="498"/>
      <c r="BX16" s="317"/>
      <c r="BY16" s="39"/>
      <c r="BZ16" s="39"/>
    </row>
    <row r="17" spans="1:83" x14ac:dyDescent="0.2">
      <c r="A17" s="317"/>
      <c r="B17" s="317"/>
      <c r="C17" s="317"/>
      <c r="D17" s="340" t="s">
        <v>289</v>
      </c>
      <c r="E17" s="482"/>
      <c r="F17" s="347"/>
      <c r="G17" s="347"/>
      <c r="H17" s="80">
        <v>231907000</v>
      </c>
      <c r="I17" s="79"/>
      <c r="J17" s="80"/>
      <c r="K17" s="208"/>
      <c r="L17" s="208"/>
      <c r="M17" s="80">
        <v>297696898</v>
      </c>
      <c r="N17" s="79"/>
      <c r="O17" s="80"/>
      <c r="P17" s="208"/>
      <c r="Q17" s="208"/>
      <c r="R17" s="80">
        <v>287722671</v>
      </c>
      <c r="S17" s="79"/>
      <c r="T17" s="80"/>
      <c r="U17" s="208"/>
      <c r="V17" s="208"/>
      <c r="W17" s="80">
        <v>395798814</v>
      </c>
      <c r="X17" s="79"/>
      <c r="Y17" s="80"/>
      <c r="Z17" s="208"/>
      <c r="AA17" s="208"/>
      <c r="AB17" s="80">
        <v>360631924</v>
      </c>
      <c r="AC17" s="79"/>
      <c r="AD17" s="80"/>
      <c r="AE17" s="208"/>
      <c r="AF17" s="208"/>
      <c r="AG17" s="80">
        <v>298040643</v>
      </c>
      <c r="AH17" s="79"/>
      <c r="AI17" s="80"/>
      <c r="AJ17" s="208"/>
      <c r="AK17" s="208"/>
      <c r="AL17" s="80">
        <v>328003285</v>
      </c>
      <c r="AM17" s="79"/>
      <c r="AN17" s="80"/>
      <c r="AO17" s="208"/>
      <c r="AP17" s="208"/>
      <c r="AQ17" s="80">
        <v>311428125</v>
      </c>
      <c r="AR17" s="79"/>
      <c r="AS17" s="80"/>
      <c r="AT17" s="208"/>
      <c r="AU17" s="208"/>
      <c r="AV17" s="80">
        <v>0</v>
      </c>
      <c r="AW17" s="79"/>
      <c r="AX17" s="80"/>
      <c r="AY17" s="208"/>
      <c r="AZ17" s="208"/>
      <c r="BA17" s="80">
        <v>0</v>
      </c>
      <c r="BB17" s="79"/>
      <c r="BC17" s="80"/>
      <c r="BD17" s="208"/>
      <c r="BE17" s="208"/>
      <c r="BF17" s="80">
        <v>0</v>
      </c>
      <c r="BG17" s="79"/>
      <c r="BH17" s="80"/>
      <c r="BI17" s="208"/>
      <c r="BJ17" s="208"/>
      <c r="BK17" s="80">
        <v>0</v>
      </c>
      <c r="BL17" s="79"/>
      <c r="BM17" s="80"/>
      <c r="BN17" s="208"/>
      <c r="BO17" s="208"/>
      <c r="BP17" s="80">
        <v>0</v>
      </c>
      <c r="BQ17" s="79"/>
      <c r="BR17" s="80"/>
      <c r="BS17" s="208"/>
      <c r="BT17" s="208"/>
      <c r="BU17" s="80">
        <v>311428125</v>
      </c>
      <c r="BV17" s="80"/>
      <c r="BW17" s="498"/>
      <c r="BX17" s="317"/>
      <c r="BY17" s="39"/>
      <c r="BZ17" s="39"/>
    </row>
    <row r="18" spans="1:83" x14ac:dyDescent="0.2">
      <c r="A18" s="317"/>
      <c r="B18" s="317"/>
      <c r="C18" s="317"/>
      <c r="D18" s="340" t="s">
        <v>287</v>
      </c>
      <c r="E18" s="482"/>
      <c r="F18" s="347"/>
      <c r="G18" s="347"/>
      <c r="H18" s="499">
        <v>124462000</v>
      </c>
      <c r="I18" s="79"/>
      <c r="J18" s="80"/>
      <c r="K18" s="208"/>
      <c r="L18" s="208"/>
      <c r="M18" s="499">
        <v>189293723</v>
      </c>
      <c r="N18" s="79"/>
      <c r="O18" s="80"/>
      <c r="P18" s="208"/>
      <c r="Q18" s="208"/>
      <c r="R18" s="499">
        <v>172981345</v>
      </c>
      <c r="S18" s="79"/>
      <c r="T18" s="80"/>
      <c r="U18" s="208"/>
      <c r="V18" s="208"/>
      <c r="W18" s="499">
        <v>170907699</v>
      </c>
      <c r="X18" s="79"/>
      <c r="Y18" s="80"/>
      <c r="Z18" s="208"/>
      <c r="AA18" s="208"/>
      <c r="AB18" s="499">
        <v>169083708</v>
      </c>
      <c r="AC18" s="79"/>
      <c r="AD18" s="80"/>
      <c r="AE18" s="208"/>
      <c r="AF18" s="208"/>
      <c r="AG18" s="499">
        <v>168176276</v>
      </c>
      <c r="AH18" s="79"/>
      <c r="AI18" s="80"/>
      <c r="AJ18" s="208"/>
      <c r="AK18" s="208"/>
      <c r="AL18" s="499">
        <v>169665345</v>
      </c>
      <c r="AM18" s="79"/>
      <c r="AN18" s="80"/>
      <c r="AO18" s="208"/>
      <c r="AP18" s="208"/>
      <c r="AQ18" s="499">
        <v>166304630</v>
      </c>
      <c r="AR18" s="79"/>
      <c r="AS18" s="80"/>
      <c r="AT18" s="208"/>
      <c r="AU18" s="208"/>
      <c r="AV18" s="499">
        <v>0</v>
      </c>
      <c r="AW18" s="79"/>
      <c r="AX18" s="80"/>
      <c r="AY18" s="208"/>
      <c r="AZ18" s="208"/>
      <c r="BA18" s="499">
        <v>0</v>
      </c>
      <c r="BB18" s="79"/>
      <c r="BC18" s="80"/>
      <c r="BD18" s="208"/>
      <c r="BE18" s="208"/>
      <c r="BF18" s="499">
        <v>0</v>
      </c>
      <c r="BG18" s="79"/>
      <c r="BH18" s="80"/>
      <c r="BI18" s="208"/>
      <c r="BJ18" s="208"/>
      <c r="BK18" s="499">
        <v>0</v>
      </c>
      <c r="BL18" s="79"/>
      <c r="BM18" s="80"/>
      <c r="BN18" s="208"/>
      <c r="BO18" s="208"/>
      <c r="BP18" s="499">
        <v>0</v>
      </c>
      <c r="BQ18" s="79"/>
      <c r="BR18" s="80"/>
      <c r="BS18" s="208"/>
      <c r="BT18" s="208"/>
      <c r="BU18" s="499">
        <v>166304630</v>
      </c>
      <c r="BV18" s="80"/>
      <c r="BW18" s="498"/>
      <c r="BX18" s="317"/>
      <c r="BY18" s="39"/>
      <c r="BZ18" s="39"/>
    </row>
    <row r="19" spans="1:83" x14ac:dyDescent="0.2">
      <c r="A19" s="317"/>
      <c r="B19" s="317"/>
      <c r="C19" s="317"/>
      <c r="D19" s="340" t="s">
        <v>288</v>
      </c>
      <c r="E19" s="482"/>
      <c r="F19" s="347"/>
      <c r="G19" s="347"/>
      <c r="H19" s="501">
        <v>107445000</v>
      </c>
      <c r="I19" s="79"/>
      <c r="J19" s="80"/>
      <c r="K19" s="208"/>
      <c r="L19" s="208"/>
      <c r="M19" s="501">
        <v>108403175</v>
      </c>
      <c r="N19" s="79"/>
      <c r="O19" s="80"/>
      <c r="P19" s="208"/>
      <c r="Q19" s="208"/>
      <c r="R19" s="501">
        <v>114741326</v>
      </c>
      <c r="S19" s="79"/>
      <c r="T19" s="80"/>
      <c r="U19" s="208"/>
      <c r="V19" s="208"/>
      <c r="W19" s="501">
        <v>224891115</v>
      </c>
      <c r="X19" s="79"/>
      <c r="Y19" s="80"/>
      <c r="Z19" s="208"/>
      <c r="AA19" s="208"/>
      <c r="AB19" s="501">
        <v>191548216</v>
      </c>
      <c r="AC19" s="79"/>
      <c r="AD19" s="80"/>
      <c r="AE19" s="208"/>
      <c r="AF19" s="208"/>
      <c r="AG19" s="501">
        <v>129864367</v>
      </c>
      <c r="AH19" s="79"/>
      <c r="AI19" s="80"/>
      <c r="AJ19" s="208"/>
      <c r="AK19" s="208"/>
      <c r="AL19" s="501">
        <v>158337940</v>
      </c>
      <c r="AM19" s="79"/>
      <c r="AN19" s="80"/>
      <c r="AO19" s="208"/>
      <c r="AP19" s="208"/>
      <c r="AQ19" s="501">
        <v>145123495</v>
      </c>
      <c r="AR19" s="79"/>
      <c r="AS19" s="80"/>
      <c r="AT19" s="208"/>
      <c r="AU19" s="208"/>
      <c r="AV19" s="501">
        <v>0</v>
      </c>
      <c r="AW19" s="79"/>
      <c r="AX19" s="80"/>
      <c r="AY19" s="208"/>
      <c r="AZ19" s="208"/>
      <c r="BA19" s="501">
        <v>0</v>
      </c>
      <c r="BB19" s="79"/>
      <c r="BC19" s="80"/>
      <c r="BD19" s="208"/>
      <c r="BE19" s="208"/>
      <c r="BF19" s="501">
        <v>0</v>
      </c>
      <c r="BG19" s="79"/>
      <c r="BH19" s="80"/>
      <c r="BI19" s="208"/>
      <c r="BJ19" s="208"/>
      <c r="BK19" s="501">
        <v>0</v>
      </c>
      <c r="BL19" s="79"/>
      <c r="BM19" s="80"/>
      <c r="BN19" s="208"/>
      <c r="BO19" s="208"/>
      <c r="BP19" s="501">
        <v>0</v>
      </c>
      <c r="BQ19" s="79"/>
      <c r="BR19" s="80"/>
      <c r="BS19" s="208"/>
      <c r="BT19" s="208"/>
      <c r="BU19" s="501">
        <v>145123495</v>
      </c>
      <c r="BV19" s="80"/>
      <c r="BW19" s="498"/>
      <c r="BX19" s="317"/>
      <c r="BY19" s="39"/>
      <c r="BZ19" s="39"/>
    </row>
    <row r="20" spans="1:83" x14ac:dyDescent="0.2">
      <c r="A20" s="317"/>
      <c r="B20" s="317"/>
      <c r="C20" s="317"/>
      <c r="D20" s="340"/>
      <c r="E20" s="482"/>
      <c r="F20" s="347"/>
      <c r="G20" s="371"/>
      <c r="H20" s="502"/>
      <c r="I20" s="503"/>
      <c r="J20" s="80"/>
      <c r="K20" s="208"/>
      <c r="L20" s="504"/>
      <c r="M20" s="502"/>
      <c r="N20" s="503"/>
      <c r="O20" s="80"/>
      <c r="P20" s="208"/>
      <c r="Q20" s="504"/>
      <c r="R20" s="502"/>
      <c r="S20" s="503"/>
      <c r="T20" s="80"/>
      <c r="U20" s="208"/>
      <c r="V20" s="504"/>
      <c r="W20" s="502"/>
      <c r="X20" s="503"/>
      <c r="Y20" s="80"/>
      <c r="Z20" s="208"/>
      <c r="AA20" s="504"/>
      <c r="AB20" s="502"/>
      <c r="AC20" s="503"/>
      <c r="AD20" s="80"/>
      <c r="AE20" s="208"/>
      <c r="AF20" s="504"/>
      <c r="AG20" s="502"/>
      <c r="AH20" s="503"/>
      <c r="AI20" s="80"/>
      <c r="AJ20" s="208"/>
      <c r="AK20" s="504"/>
      <c r="AL20" s="502"/>
      <c r="AM20" s="503"/>
      <c r="AN20" s="80"/>
      <c r="AO20" s="208"/>
      <c r="AP20" s="504"/>
      <c r="AQ20" s="502"/>
      <c r="AR20" s="503"/>
      <c r="AS20" s="80"/>
      <c r="AT20" s="208"/>
      <c r="AU20" s="504"/>
      <c r="AV20" s="502"/>
      <c r="AW20" s="503"/>
      <c r="AX20" s="80"/>
      <c r="AY20" s="208"/>
      <c r="AZ20" s="504"/>
      <c r="BA20" s="502"/>
      <c r="BB20" s="503"/>
      <c r="BC20" s="80"/>
      <c r="BD20" s="208"/>
      <c r="BE20" s="504"/>
      <c r="BF20" s="502"/>
      <c r="BG20" s="503"/>
      <c r="BH20" s="80"/>
      <c r="BI20" s="208"/>
      <c r="BJ20" s="504"/>
      <c r="BK20" s="502"/>
      <c r="BL20" s="503"/>
      <c r="BM20" s="80"/>
      <c r="BN20" s="208"/>
      <c r="BO20" s="504"/>
      <c r="BP20" s="502"/>
      <c r="BQ20" s="503"/>
      <c r="BR20" s="80"/>
      <c r="BS20" s="208"/>
      <c r="BT20" s="504"/>
      <c r="BU20" s="502"/>
      <c r="BV20" s="502"/>
      <c r="BW20" s="498"/>
      <c r="BX20" s="317"/>
      <c r="BY20" s="39"/>
      <c r="BZ20" s="39"/>
    </row>
    <row r="21" spans="1:83" x14ac:dyDescent="0.2">
      <c r="A21" s="317"/>
      <c r="B21" s="317"/>
      <c r="C21" s="317"/>
      <c r="D21" s="340"/>
      <c r="E21" s="482"/>
      <c r="F21" s="347"/>
      <c r="G21" s="317"/>
      <c r="H21" s="376"/>
      <c r="I21" s="376"/>
      <c r="J21" s="376"/>
      <c r="K21" s="375"/>
      <c r="L21" s="376"/>
      <c r="M21" s="376"/>
      <c r="N21" s="376"/>
      <c r="O21" s="376"/>
      <c r="P21" s="375"/>
      <c r="Q21" s="376"/>
      <c r="R21" s="376"/>
      <c r="S21" s="376"/>
      <c r="T21" s="376"/>
      <c r="U21" s="375"/>
      <c r="V21" s="376"/>
      <c r="W21" s="376"/>
      <c r="X21" s="376"/>
      <c r="Y21" s="376"/>
      <c r="Z21" s="375"/>
      <c r="AA21" s="376"/>
      <c r="AB21" s="376"/>
      <c r="AC21" s="376"/>
      <c r="AD21" s="376"/>
      <c r="AE21" s="375"/>
      <c r="AF21" s="376"/>
      <c r="AG21" s="376"/>
      <c r="AH21" s="376"/>
      <c r="AI21" s="376"/>
      <c r="AJ21" s="375"/>
      <c r="AK21" s="376"/>
      <c r="AL21" s="376"/>
      <c r="AM21" s="376"/>
      <c r="AN21" s="376"/>
      <c r="AO21" s="375"/>
      <c r="AP21" s="376"/>
      <c r="AQ21" s="376"/>
      <c r="AR21" s="376"/>
      <c r="AS21" s="376"/>
      <c r="AT21" s="375"/>
      <c r="AU21" s="376"/>
      <c r="AV21" s="376"/>
      <c r="AW21" s="376"/>
      <c r="AX21" s="376"/>
      <c r="AY21" s="375"/>
      <c r="AZ21" s="376"/>
      <c r="BA21" s="376"/>
      <c r="BB21" s="376"/>
      <c r="BC21" s="376"/>
      <c r="BD21" s="375"/>
      <c r="BE21" s="376"/>
      <c r="BF21" s="376"/>
      <c r="BG21" s="376"/>
      <c r="BH21" s="376"/>
      <c r="BI21" s="375"/>
      <c r="BJ21" s="376"/>
      <c r="BK21" s="376"/>
      <c r="BL21" s="376"/>
      <c r="BM21" s="376"/>
      <c r="BN21" s="375"/>
      <c r="BO21" s="376"/>
      <c r="BP21" s="376"/>
      <c r="BQ21" s="376"/>
      <c r="BR21" s="376"/>
      <c r="BS21" s="375"/>
      <c r="BT21" s="376"/>
      <c r="BU21" s="376"/>
      <c r="BV21" s="376"/>
      <c r="BW21" s="421"/>
      <c r="BX21" s="317"/>
      <c r="BY21" s="39"/>
      <c r="BZ21" s="39"/>
    </row>
    <row r="22" spans="1:83" s="39" customFormat="1" x14ac:dyDescent="0.2">
      <c r="A22" s="329"/>
      <c r="B22" s="329"/>
      <c r="C22" s="329"/>
      <c r="D22" s="348"/>
      <c r="E22" s="485"/>
      <c r="F22" s="350"/>
      <c r="G22" s="329"/>
      <c r="H22" s="378"/>
      <c r="I22" s="378"/>
      <c r="J22" s="378"/>
      <c r="K22" s="377"/>
      <c r="L22" s="378"/>
      <c r="M22" s="378"/>
      <c r="N22" s="378"/>
      <c r="O22" s="378"/>
      <c r="P22" s="377"/>
      <c r="Q22" s="378"/>
      <c r="R22" s="378"/>
      <c r="S22" s="378"/>
      <c r="T22" s="378"/>
      <c r="U22" s="377"/>
      <c r="V22" s="378"/>
      <c r="W22" s="378"/>
      <c r="X22" s="378"/>
      <c r="Y22" s="378"/>
      <c r="Z22" s="377"/>
      <c r="AA22" s="378"/>
      <c r="AB22" s="378"/>
      <c r="AC22" s="378"/>
      <c r="AD22" s="378"/>
      <c r="AE22" s="377"/>
      <c r="AF22" s="378"/>
      <c r="AG22" s="378"/>
      <c r="AH22" s="378"/>
      <c r="AI22" s="378"/>
      <c r="AJ22" s="377"/>
      <c r="AK22" s="378"/>
      <c r="AL22" s="378"/>
      <c r="AM22" s="378"/>
      <c r="AN22" s="378"/>
      <c r="AO22" s="377"/>
      <c r="AP22" s="378"/>
      <c r="AQ22" s="378"/>
      <c r="AR22" s="378"/>
      <c r="AS22" s="378"/>
      <c r="AT22" s="377"/>
      <c r="AU22" s="378"/>
      <c r="AV22" s="378"/>
      <c r="AW22" s="378"/>
      <c r="AX22" s="378"/>
      <c r="AY22" s="377"/>
      <c r="AZ22" s="378"/>
      <c r="BA22" s="378"/>
      <c r="BB22" s="378"/>
      <c r="BC22" s="378"/>
      <c r="BD22" s="377"/>
      <c r="BE22" s="378"/>
      <c r="BF22" s="378"/>
      <c r="BG22" s="378"/>
      <c r="BH22" s="378"/>
      <c r="BI22" s="377"/>
      <c r="BJ22" s="378"/>
      <c r="BK22" s="378"/>
      <c r="BL22" s="378"/>
      <c r="BM22" s="378"/>
      <c r="BN22" s="377"/>
      <c r="BO22" s="378"/>
      <c r="BP22" s="378"/>
      <c r="BQ22" s="378"/>
      <c r="BR22" s="378"/>
      <c r="BS22" s="377"/>
      <c r="BT22" s="378"/>
      <c r="BU22" s="378"/>
      <c r="BV22" s="378"/>
      <c r="BW22" s="442"/>
      <c r="BX22" s="329"/>
    </row>
    <row r="23" spans="1:83" s="39" customFormat="1" x14ac:dyDescent="0.2">
      <c r="A23" s="329"/>
      <c r="B23" s="329"/>
      <c r="C23" s="329"/>
      <c r="D23" s="458" t="s">
        <v>290</v>
      </c>
      <c r="E23" s="485"/>
      <c r="F23" s="350"/>
      <c r="G23" s="329"/>
      <c r="H23" s="56">
        <v>0</v>
      </c>
      <c r="I23" s="56"/>
      <c r="J23" s="56"/>
      <c r="K23" s="205"/>
      <c r="L23" s="56"/>
      <c r="M23" s="56">
        <v>32499994</v>
      </c>
      <c r="N23" s="56"/>
      <c r="O23" s="56"/>
      <c r="P23" s="205"/>
      <c r="Q23" s="56"/>
      <c r="R23" s="56">
        <v>1683425</v>
      </c>
      <c r="S23" s="56"/>
      <c r="T23" s="56"/>
      <c r="U23" s="205"/>
      <c r="V23" s="56"/>
      <c r="W23" s="56">
        <v>3575832</v>
      </c>
      <c r="X23" s="56"/>
      <c r="Y23" s="56"/>
      <c r="Z23" s="205"/>
      <c r="AA23" s="56"/>
      <c r="AB23" s="56">
        <v>53727650</v>
      </c>
      <c r="AC23" s="56"/>
      <c r="AD23" s="56"/>
      <c r="AE23" s="205"/>
      <c r="AF23" s="56"/>
      <c r="AG23" s="56">
        <v>-54202159</v>
      </c>
      <c r="AH23" s="56"/>
      <c r="AI23" s="56"/>
      <c r="AJ23" s="205"/>
      <c r="AK23" s="56"/>
      <c r="AL23" s="56">
        <v>-3465898</v>
      </c>
      <c r="AM23" s="56"/>
      <c r="AN23" s="56"/>
      <c r="AO23" s="205"/>
      <c r="AP23" s="56"/>
      <c r="AQ23" s="56">
        <v>8772236</v>
      </c>
      <c r="AR23" s="56"/>
      <c r="AS23" s="56"/>
      <c r="AT23" s="205"/>
      <c r="AU23" s="56"/>
      <c r="AV23" s="56">
        <v>0</v>
      </c>
      <c r="AW23" s="56"/>
      <c r="AX23" s="56"/>
      <c r="AY23" s="205"/>
      <c r="AZ23" s="56"/>
      <c r="BA23" s="56">
        <v>0</v>
      </c>
      <c r="BB23" s="56"/>
      <c r="BC23" s="56"/>
      <c r="BD23" s="205"/>
      <c r="BE23" s="56"/>
      <c r="BF23" s="56">
        <v>0</v>
      </c>
      <c r="BG23" s="56"/>
      <c r="BH23" s="56"/>
      <c r="BI23" s="205"/>
      <c r="BJ23" s="56"/>
      <c r="BK23" s="56">
        <v>0</v>
      </c>
      <c r="BL23" s="56"/>
      <c r="BM23" s="56"/>
      <c r="BN23" s="205"/>
      <c r="BO23" s="56"/>
      <c r="BP23" s="56">
        <v>0</v>
      </c>
      <c r="BQ23" s="56"/>
      <c r="BR23" s="56"/>
      <c r="BS23" s="205"/>
      <c r="BT23" s="56"/>
      <c r="BU23" s="56">
        <v>42591080</v>
      </c>
      <c r="BV23" s="56"/>
      <c r="BW23" s="494"/>
      <c r="BX23" s="329"/>
    </row>
    <row r="24" spans="1:83" x14ac:dyDescent="0.2">
      <c r="A24" s="317"/>
      <c r="B24" s="317"/>
      <c r="C24" s="317"/>
      <c r="D24" s="340"/>
      <c r="E24" s="482"/>
      <c r="F24" s="347"/>
      <c r="G24" s="317"/>
      <c r="H24" s="376"/>
      <c r="I24" s="376"/>
      <c r="J24" s="376"/>
      <c r="K24" s="375"/>
      <c r="L24" s="376"/>
      <c r="M24" s="376"/>
      <c r="N24" s="376"/>
      <c r="O24" s="376"/>
      <c r="P24" s="375"/>
      <c r="Q24" s="376"/>
      <c r="R24" s="376"/>
      <c r="S24" s="376"/>
      <c r="T24" s="376"/>
      <c r="U24" s="375"/>
      <c r="V24" s="376"/>
      <c r="W24" s="376"/>
      <c r="X24" s="376"/>
      <c r="Y24" s="376"/>
      <c r="Z24" s="375"/>
      <c r="AA24" s="376"/>
      <c r="AB24" s="376"/>
      <c r="AC24" s="376"/>
      <c r="AD24" s="376"/>
      <c r="AE24" s="375"/>
      <c r="AF24" s="376"/>
      <c r="AG24" s="376"/>
      <c r="AH24" s="376"/>
      <c r="AI24" s="376"/>
      <c r="AJ24" s="375"/>
      <c r="AK24" s="376"/>
      <c r="AL24" s="376"/>
      <c r="AM24" s="376"/>
      <c r="AN24" s="376"/>
      <c r="AO24" s="375"/>
      <c r="AP24" s="376"/>
      <c r="AQ24" s="376"/>
      <c r="AR24" s="376"/>
      <c r="AS24" s="376"/>
      <c r="AT24" s="375"/>
      <c r="AU24" s="376"/>
      <c r="AV24" s="376"/>
      <c r="AW24" s="376"/>
      <c r="AX24" s="376"/>
      <c r="AY24" s="375"/>
      <c r="AZ24" s="376"/>
      <c r="BA24" s="376"/>
      <c r="BB24" s="376"/>
      <c r="BC24" s="376"/>
      <c r="BD24" s="375"/>
      <c r="BE24" s="376"/>
      <c r="BF24" s="376"/>
      <c r="BG24" s="376"/>
      <c r="BH24" s="376"/>
      <c r="BI24" s="375"/>
      <c r="BJ24" s="376"/>
      <c r="BK24" s="376"/>
      <c r="BL24" s="376"/>
      <c r="BM24" s="376"/>
      <c r="BN24" s="375"/>
      <c r="BO24" s="376"/>
      <c r="BP24" s="376"/>
      <c r="BQ24" s="376"/>
      <c r="BR24" s="376"/>
      <c r="BS24" s="375"/>
      <c r="BT24" s="376"/>
      <c r="BU24" s="317"/>
      <c r="BV24" s="317"/>
      <c r="BW24" s="340"/>
      <c r="BX24" s="317"/>
      <c r="BY24" s="39"/>
      <c r="BZ24" s="39"/>
    </row>
    <row r="25" spans="1:83" s="39" customFormat="1" x14ac:dyDescent="0.2">
      <c r="A25" s="329"/>
      <c r="B25" s="329"/>
      <c r="C25" s="329"/>
      <c r="D25" s="348" t="s">
        <v>291</v>
      </c>
      <c r="E25" s="485"/>
      <c r="F25" s="350"/>
      <c r="G25" s="329"/>
      <c r="H25" s="378">
        <v>0</v>
      </c>
      <c r="I25" s="378"/>
      <c r="J25" s="378"/>
      <c r="K25" s="377"/>
      <c r="L25" s="378"/>
      <c r="M25" s="378">
        <v>0</v>
      </c>
      <c r="N25" s="378"/>
      <c r="O25" s="378"/>
      <c r="P25" s="377"/>
      <c r="Q25" s="378"/>
      <c r="R25" s="378">
        <v>0</v>
      </c>
      <c r="S25" s="378"/>
      <c r="T25" s="378"/>
      <c r="U25" s="377"/>
      <c r="V25" s="378"/>
      <c r="W25" s="378">
        <v>0</v>
      </c>
      <c r="X25" s="378"/>
      <c r="Y25" s="378"/>
      <c r="Z25" s="377"/>
      <c r="AA25" s="378"/>
      <c r="AB25" s="378">
        <v>0</v>
      </c>
      <c r="AC25" s="378"/>
      <c r="AD25" s="378"/>
      <c r="AE25" s="377"/>
      <c r="AF25" s="378"/>
      <c r="AG25" s="378">
        <v>0</v>
      </c>
      <c r="AH25" s="378"/>
      <c r="AI25" s="378"/>
      <c r="AJ25" s="377"/>
      <c r="AK25" s="378"/>
      <c r="AL25" s="378">
        <v>0</v>
      </c>
      <c r="AM25" s="378"/>
      <c r="AN25" s="378"/>
      <c r="AO25" s="377"/>
      <c r="AP25" s="378"/>
      <c r="AQ25" s="378">
        <v>0</v>
      </c>
      <c r="AR25" s="378"/>
      <c r="AS25" s="378"/>
      <c r="AT25" s="377"/>
      <c r="AU25" s="378"/>
      <c r="AV25" s="378">
        <v>0</v>
      </c>
      <c r="AW25" s="378"/>
      <c r="AX25" s="378"/>
      <c r="AY25" s="377"/>
      <c r="AZ25" s="378"/>
      <c r="BA25" s="378">
        <v>0</v>
      </c>
      <c r="BB25" s="378"/>
      <c r="BC25" s="378"/>
      <c r="BD25" s="377"/>
      <c r="BE25" s="378"/>
      <c r="BF25" s="378">
        <v>0</v>
      </c>
      <c r="BG25" s="378"/>
      <c r="BH25" s="378"/>
      <c r="BI25" s="377"/>
      <c r="BJ25" s="378"/>
      <c r="BK25" s="378">
        <v>0</v>
      </c>
      <c r="BL25" s="378"/>
      <c r="BM25" s="378"/>
      <c r="BN25" s="377"/>
      <c r="BO25" s="378"/>
      <c r="BP25" s="378">
        <v>0</v>
      </c>
      <c r="BQ25" s="378"/>
      <c r="BR25" s="378"/>
      <c r="BS25" s="377"/>
      <c r="BT25" s="378"/>
      <c r="BU25" s="56">
        <v>0</v>
      </c>
      <c r="BV25" s="329"/>
      <c r="BW25" s="348"/>
      <c r="BX25" s="329"/>
      <c r="CE25" s="505"/>
    </row>
    <row r="26" spans="1:83" x14ac:dyDescent="0.2">
      <c r="A26" s="317"/>
      <c r="B26" s="317"/>
      <c r="C26" s="317"/>
      <c r="D26" s="340"/>
      <c r="E26" s="482"/>
      <c r="F26" s="347"/>
      <c r="G26" s="317"/>
      <c r="H26" s="506"/>
      <c r="I26" s="376"/>
      <c r="J26" s="376"/>
      <c r="K26" s="375"/>
      <c r="L26" s="376"/>
      <c r="M26" s="376"/>
      <c r="N26" s="376"/>
      <c r="O26" s="376"/>
      <c r="P26" s="375"/>
      <c r="Q26" s="376"/>
      <c r="R26" s="376"/>
      <c r="S26" s="376"/>
      <c r="T26" s="376"/>
      <c r="U26" s="375"/>
      <c r="V26" s="376"/>
      <c r="W26" s="376"/>
      <c r="X26" s="376"/>
      <c r="Y26" s="376"/>
      <c r="Z26" s="375"/>
      <c r="AA26" s="376"/>
      <c r="AB26" s="376"/>
      <c r="AC26" s="376"/>
      <c r="AD26" s="376"/>
      <c r="AE26" s="375"/>
      <c r="AF26" s="376"/>
      <c r="AG26" s="376"/>
      <c r="AH26" s="376"/>
      <c r="AI26" s="376"/>
      <c r="AJ26" s="375"/>
      <c r="AK26" s="376"/>
      <c r="AL26" s="376"/>
      <c r="AM26" s="376"/>
      <c r="AN26" s="376"/>
      <c r="AO26" s="375"/>
      <c r="AP26" s="376"/>
      <c r="AQ26" s="376"/>
      <c r="AR26" s="376"/>
      <c r="AS26" s="376"/>
      <c r="AT26" s="375"/>
      <c r="AU26" s="376"/>
      <c r="AV26" s="376"/>
      <c r="AW26" s="376"/>
      <c r="AX26" s="376"/>
      <c r="AY26" s="375"/>
      <c r="AZ26" s="376"/>
      <c r="BA26" s="376"/>
      <c r="BB26" s="376"/>
      <c r="BC26" s="376"/>
      <c r="BD26" s="375"/>
      <c r="BE26" s="376"/>
      <c r="BF26" s="376"/>
      <c r="BG26" s="376"/>
      <c r="BH26" s="376"/>
      <c r="BI26" s="375"/>
      <c r="BJ26" s="376"/>
      <c r="BK26" s="376"/>
      <c r="BL26" s="376"/>
      <c r="BM26" s="376"/>
      <c r="BN26" s="375"/>
      <c r="BO26" s="376"/>
      <c r="BP26" s="376"/>
      <c r="BQ26" s="376"/>
      <c r="BR26" s="376"/>
      <c r="BS26" s="375"/>
      <c r="BT26" s="376"/>
      <c r="BU26" s="376"/>
      <c r="BV26" s="376"/>
      <c r="BW26" s="421"/>
      <c r="BX26" s="317"/>
      <c r="BY26" s="39"/>
      <c r="BZ26" s="39"/>
    </row>
    <row r="27" spans="1:83" s="39" customFormat="1" x14ac:dyDescent="0.2">
      <c r="A27" s="329"/>
      <c r="B27" s="329"/>
      <c r="C27" s="329"/>
      <c r="D27" s="348" t="s">
        <v>292</v>
      </c>
      <c r="E27" s="482" t="s">
        <v>46</v>
      </c>
      <c r="F27" s="347"/>
      <c r="G27" s="317"/>
      <c r="H27" s="56">
        <v>-776091.86601304996</v>
      </c>
      <c r="I27" s="56"/>
      <c r="J27" s="56"/>
      <c r="K27" s="205"/>
      <c r="L27" s="56"/>
      <c r="M27" s="56">
        <v>1585476</v>
      </c>
      <c r="N27" s="56"/>
      <c r="O27" s="56"/>
      <c r="P27" s="205"/>
      <c r="Q27" s="56"/>
      <c r="R27" s="56">
        <v>1883939</v>
      </c>
      <c r="S27" s="56"/>
      <c r="T27" s="56"/>
      <c r="U27" s="205"/>
      <c r="V27" s="56"/>
      <c r="W27" s="56">
        <v>1345</v>
      </c>
      <c r="X27" s="56"/>
      <c r="Y27" s="56"/>
      <c r="Z27" s="205"/>
      <c r="AA27" s="56"/>
      <c r="AB27" s="56">
        <v>7623</v>
      </c>
      <c r="AC27" s="56"/>
      <c r="AD27" s="56"/>
      <c r="AE27" s="205"/>
      <c r="AF27" s="56"/>
      <c r="AG27" s="56">
        <v>2785125</v>
      </c>
      <c r="AH27" s="56"/>
      <c r="AI27" s="56"/>
      <c r="AJ27" s="205"/>
      <c r="AK27" s="56"/>
      <c r="AL27" s="56">
        <v>4713582</v>
      </c>
      <c r="AM27" s="56"/>
      <c r="AN27" s="56"/>
      <c r="AO27" s="205"/>
      <c r="AP27" s="56"/>
      <c r="AQ27" s="56">
        <v>1340721</v>
      </c>
      <c r="AR27" s="56"/>
      <c r="AS27" s="56"/>
      <c r="AT27" s="205"/>
      <c r="AU27" s="56"/>
      <c r="AV27" s="56">
        <v>0</v>
      </c>
      <c r="AW27" s="56"/>
      <c r="AX27" s="56"/>
      <c r="AY27" s="205"/>
      <c r="AZ27" s="56"/>
      <c r="BA27" s="56">
        <v>0</v>
      </c>
      <c r="BB27" s="56"/>
      <c r="BC27" s="56"/>
      <c r="BD27" s="205"/>
      <c r="BE27" s="56"/>
      <c r="BF27" s="56">
        <v>0</v>
      </c>
      <c r="BG27" s="56"/>
      <c r="BH27" s="56"/>
      <c r="BI27" s="205"/>
      <c r="BJ27" s="56"/>
      <c r="BK27" s="56">
        <v>0</v>
      </c>
      <c r="BL27" s="56"/>
      <c r="BM27" s="56"/>
      <c r="BN27" s="205"/>
      <c r="BO27" s="56"/>
      <c r="BP27" s="56">
        <v>0</v>
      </c>
      <c r="BQ27" s="56"/>
      <c r="BR27" s="56"/>
      <c r="BS27" s="205"/>
      <c r="BT27" s="56"/>
      <c r="BU27" s="56">
        <v>12317811</v>
      </c>
      <c r="BV27" s="56"/>
      <c r="BW27" s="494"/>
      <c r="BX27" s="329"/>
    </row>
    <row r="28" spans="1:83" s="39" customFormat="1" x14ac:dyDescent="0.2">
      <c r="A28" s="329"/>
      <c r="B28" s="329"/>
      <c r="C28" s="329"/>
      <c r="D28" s="507" t="s">
        <v>293</v>
      </c>
      <c r="E28" s="485"/>
      <c r="F28" s="508"/>
      <c r="G28" s="509"/>
      <c r="H28" s="510">
        <v>-776091.86601304996</v>
      </c>
      <c r="I28" s="510"/>
      <c r="J28" s="76"/>
      <c r="K28" s="76"/>
      <c r="L28" s="510"/>
      <c r="M28" s="510">
        <v>1585476</v>
      </c>
      <c r="N28" s="510"/>
      <c r="O28" s="76"/>
      <c r="P28" s="76"/>
      <c r="Q28" s="510"/>
      <c r="R28" s="510">
        <v>1883939</v>
      </c>
      <c r="S28" s="510"/>
      <c r="T28" s="76"/>
      <c r="U28" s="76"/>
      <c r="V28" s="510"/>
      <c r="W28" s="510">
        <v>1345</v>
      </c>
      <c r="X28" s="510"/>
      <c r="Y28" s="76"/>
      <c r="Z28" s="76"/>
      <c r="AA28" s="510"/>
      <c r="AB28" s="510">
        <v>7623</v>
      </c>
      <c r="AC28" s="510"/>
      <c r="AD28" s="76"/>
      <c r="AE28" s="76"/>
      <c r="AF28" s="510"/>
      <c r="AG28" s="510">
        <v>2785125</v>
      </c>
      <c r="AH28" s="510"/>
      <c r="AI28" s="76"/>
      <c r="AJ28" s="76"/>
      <c r="AK28" s="510"/>
      <c r="AL28" s="510">
        <v>4713582</v>
      </c>
      <c r="AM28" s="510"/>
      <c r="AN28" s="76"/>
      <c r="AO28" s="76"/>
      <c r="AP28" s="510"/>
      <c r="AQ28" s="510">
        <v>1340721</v>
      </c>
      <c r="AR28" s="510"/>
      <c r="AS28" s="76"/>
      <c r="AT28" s="76"/>
      <c r="AU28" s="510"/>
      <c r="AV28" s="510">
        <v>0</v>
      </c>
      <c r="AW28" s="510"/>
      <c r="AX28" s="76"/>
      <c r="AY28" s="76"/>
      <c r="AZ28" s="510"/>
      <c r="BA28" s="510">
        <v>0</v>
      </c>
      <c r="BB28" s="438"/>
      <c r="BC28" s="76"/>
      <c r="BD28" s="76"/>
      <c r="BE28" s="438"/>
      <c r="BF28" s="510">
        <v>0</v>
      </c>
      <c r="BG28" s="510"/>
      <c r="BH28" s="76"/>
      <c r="BI28" s="76"/>
      <c r="BJ28" s="510"/>
      <c r="BK28" s="510">
        <v>0</v>
      </c>
      <c r="BL28" s="510"/>
      <c r="BM28" s="76"/>
      <c r="BN28" s="76"/>
      <c r="BO28" s="510"/>
      <c r="BP28" s="510">
        <v>0</v>
      </c>
      <c r="BQ28" s="510"/>
      <c r="BR28" s="76"/>
      <c r="BS28" s="76"/>
      <c r="BT28" s="510"/>
      <c r="BU28" s="510">
        <v>12317811</v>
      </c>
      <c r="BV28" s="510"/>
      <c r="BW28" s="494"/>
      <c r="BX28" s="329"/>
    </row>
    <row r="29" spans="1:83" x14ac:dyDescent="0.2">
      <c r="A29" s="317"/>
      <c r="B29" s="317"/>
      <c r="C29" s="317"/>
      <c r="D29" s="340"/>
      <c r="E29" s="482"/>
      <c r="F29" s="347"/>
      <c r="G29" s="317"/>
      <c r="H29" s="317"/>
      <c r="I29" s="317"/>
      <c r="J29" s="317"/>
      <c r="K29" s="347"/>
      <c r="L29" s="317"/>
      <c r="M29" s="317"/>
      <c r="N29" s="317"/>
      <c r="O29" s="317"/>
      <c r="P29" s="347"/>
      <c r="Q29" s="317"/>
      <c r="R29" s="317"/>
      <c r="S29" s="317"/>
      <c r="T29" s="317"/>
      <c r="U29" s="347"/>
      <c r="V29" s="317"/>
      <c r="W29" s="317"/>
      <c r="X29" s="317"/>
      <c r="Y29" s="317"/>
      <c r="Z29" s="347"/>
      <c r="AA29" s="317"/>
      <c r="AB29" s="317"/>
      <c r="AC29" s="317"/>
      <c r="AD29" s="317"/>
      <c r="AE29" s="347"/>
      <c r="AF29" s="317"/>
      <c r="AG29" s="317"/>
      <c r="AH29" s="317"/>
      <c r="AI29" s="317"/>
      <c r="AJ29" s="347"/>
      <c r="AK29" s="317"/>
      <c r="AL29" s="317"/>
      <c r="AM29" s="317"/>
      <c r="AN29" s="317"/>
      <c r="AO29" s="347"/>
      <c r="AP29" s="317"/>
      <c r="AQ29" s="317"/>
      <c r="AR29" s="317"/>
      <c r="AS29" s="317"/>
      <c r="AT29" s="347"/>
      <c r="AU29" s="317"/>
      <c r="AV29" s="317"/>
      <c r="AW29" s="317"/>
      <c r="AX29" s="317"/>
      <c r="AY29" s="347"/>
      <c r="AZ29" s="317"/>
      <c r="BA29" s="317"/>
      <c r="BB29" s="317"/>
      <c r="BC29" s="317"/>
      <c r="BD29" s="347"/>
      <c r="BE29" s="317"/>
      <c r="BF29" s="317"/>
      <c r="BG29" s="317"/>
      <c r="BH29" s="317"/>
      <c r="BI29" s="347"/>
      <c r="BJ29" s="317"/>
      <c r="BK29" s="317"/>
      <c r="BL29" s="317"/>
      <c r="BM29" s="317"/>
      <c r="BN29" s="347"/>
      <c r="BO29" s="317"/>
      <c r="BP29" s="317"/>
      <c r="BQ29" s="317"/>
      <c r="BR29" s="317"/>
      <c r="BS29" s="347"/>
      <c r="BT29" s="317"/>
      <c r="BU29" s="317"/>
      <c r="BV29" s="317"/>
      <c r="BW29" s="498"/>
      <c r="BX29" s="317"/>
      <c r="BY29" s="39"/>
      <c r="BZ29" s="39"/>
    </row>
    <row r="30" spans="1:83" s="39" customFormat="1" x14ac:dyDescent="0.2">
      <c r="A30" s="329"/>
      <c r="B30" s="329"/>
      <c r="C30" s="329"/>
      <c r="D30" s="348" t="s">
        <v>294</v>
      </c>
      <c r="E30" s="482" t="s">
        <v>47</v>
      </c>
      <c r="F30" s="347"/>
      <c r="G30" s="56"/>
      <c r="H30" s="378">
        <v>0</v>
      </c>
      <c r="I30" s="56"/>
      <c r="J30" s="56"/>
      <c r="K30" s="205"/>
      <c r="L30" s="56"/>
      <c r="M30" s="56">
        <v>0</v>
      </c>
      <c r="N30" s="56"/>
      <c r="O30" s="56"/>
      <c r="P30" s="205"/>
      <c r="Q30" s="56"/>
      <c r="R30" s="56">
        <v>0</v>
      </c>
      <c r="S30" s="56"/>
      <c r="T30" s="56"/>
      <c r="U30" s="205"/>
      <c r="V30" s="56"/>
      <c r="W30" s="56">
        <v>-28311</v>
      </c>
      <c r="X30" s="56"/>
      <c r="Y30" s="56"/>
      <c r="Z30" s="205"/>
      <c r="AA30" s="56"/>
      <c r="AB30" s="56">
        <v>28311</v>
      </c>
      <c r="AC30" s="56"/>
      <c r="AD30" s="56"/>
      <c r="AE30" s="205"/>
      <c r="AF30" s="56"/>
      <c r="AG30" s="56">
        <v>-30170</v>
      </c>
      <c r="AH30" s="56"/>
      <c r="AI30" s="56"/>
      <c r="AJ30" s="205"/>
      <c r="AK30" s="56"/>
      <c r="AL30" s="56">
        <v>-107886</v>
      </c>
      <c r="AM30" s="56"/>
      <c r="AN30" s="56"/>
      <c r="AO30" s="205"/>
      <c r="AP30" s="56"/>
      <c r="AQ30" s="56">
        <v>-962616</v>
      </c>
      <c r="AR30" s="56"/>
      <c r="AS30" s="56"/>
      <c r="AT30" s="205"/>
      <c r="AU30" s="56"/>
      <c r="AV30" s="56">
        <v>0</v>
      </c>
      <c r="AW30" s="56"/>
      <c r="AX30" s="56"/>
      <c r="AY30" s="205"/>
      <c r="AZ30" s="56"/>
      <c r="BA30" s="56">
        <v>0</v>
      </c>
      <c r="BB30" s="56"/>
      <c r="BC30" s="56"/>
      <c r="BD30" s="205"/>
      <c r="BE30" s="56"/>
      <c r="BF30" s="56">
        <v>0</v>
      </c>
      <c r="BG30" s="56"/>
      <c r="BH30" s="56"/>
      <c r="BI30" s="205"/>
      <c r="BJ30" s="56"/>
      <c r="BK30" s="56">
        <v>0</v>
      </c>
      <c r="BL30" s="56"/>
      <c r="BM30" s="56"/>
      <c r="BN30" s="205"/>
      <c r="BO30" s="56"/>
      <c r="BP30" s="56">
        <v>0</v>
      </c>
      <c r="BQ30" s="378"/>
      <c r="BR30" s="378"/>
      <c r="BS30" s="377"/>
      <c r="BT30" s="56"/>
      <c r="BU30" s="378">
        <v>-1100672</v>
      </c>
      <c r="BV30" s="56"/>
      <c r="BW30" s="442"/>
      <c r="BX30" s="329"/>
    </row>
    <row r="31" spans="1:83" s="39" customFormat="1" x14ac:dyDescent="0.2">
      <c r="A31" s="329"/>
      <c r="B31" s="329"/>
      <c r="C31" s="329"/>
      <c r="D31" s="507" t="s">
        <v>295</v>
      </c>
      <c r="E31" s="485"/>
      <c r="F31" s="508"/>
      <c r="G31" s="509"/>
      <c r="H31" s="510">
        <v>0</v>
      </c>
      <c r="I31" s="510"/>
      <c r="J31" s="76"/>
      <c r="K31" s="76"/>
      <c r="L31" s="510"/>
      <c r="M31" s="510">
        <v>0</v>
      </c>
      <c r="N31" s="510"/>
      <c r="O31" s="76"/>
      <c r="P31" s="76"/>
      <c r="Q31" s="510"/>
      <c r="R31" s="510">
        <v>0</v>
      </c>
      <c r="S31" s="510"/>
      <c r="T31" s="76"/>
      <c r="U31" s="76"/>
      <c r="V31" s="510"/>
      <c r="W31" s="510">
        <v>-28311</v>
      </c>
      <c r="X31" s="510"/>
      <c r="Y31" s="76"/>
      <c r="Z31" s="76"/>
      <c r="AA31" s="510"/>
      <c r="AB31" s="510">
        <v>28311</v>
      </c>
      <c r="AC31" s="510"/>
      <c r="AD31" s="76"/>
      <c r="AE31" s="76"/>
      <c r="AF31" s="510"/>
      <c r="AG31" s="510">
        <v>-30170</v>
      </c>
      <c r="AH31" s="510"/>
      <c r="AI31" s="76"/>
      <c r="AJ31" s="76"/>
      <c r="AK31" s="510"/>
      <c r="AL31" s="510">
        <v>-107886</v>
      </c>
      <c r="AM31" s="510"/>
      <c r="AN31" s="76"/>
      <c r="AO31" s="76"/>
      <c r="AP31" s="510"/>
      <c r="AQ31" s="510">
        <v>-962616</v>
      </c>
      <c r="AR31" s="510"/>
      <c r="AS31" s="76"/>
      <c r="AT31" s="76"/>
      <c r="AU31" s="510"/>
      <c r="AV31" s="510">
        <v>0</v>
      </c>
      <c r="AW31" s="510"/>
      <c r="AX31" s="76"/>
      <c r="AY31" s="76"/>
      <c r="AZ31" s="510"/>
      <c r="BA31" s="510">
        <v>0</v>
      </c>
      <c r="BB31" s="438"/>
      <c r="BC31" s="76"/>
      <c r="BD31" s="76"/>
      <c r="BE31" s="438"/>
      <c r="BF31" s="510">
        <v>0</v>
      </c>
      <c r="BG31" s="510"/>
      <c r="BH31" s="76"/>
      <c r="BI31" s="76"/>
      <c r="BJ31" s="510"/>
      <c r="BK31" s="510">
        <v>0</v>
      </c>
      <c r="BL31" s="510"/>
      <c r="BM31" s="76"/>
      <c r="BN31" s="76"/>
      <c r="BO31" s="510"/>
      <c r="BP31" s="510">
        <v>0</v>
      </c>
      <c r="BQ31" s="510"/>
      <c r="BR31" s="76"/>
      <c r="BS31" s="76"/>
      <c r="BT31" s="510"/>
      <c r="BU31" s="510">
        <v>-1100672</v>
      </c>
      <c r="BV31" s="510"/>
      <c r="BW31" s="494"/>
      <c r="BX31" s="329"/>
    </row>
    <row r="32" spans="1:83" x14ac:dyDescent="0.2">
      <c r="A32" s="317"/>
      <c r="B32" s="317"/>
      <c r="C32" s="317"/>
      <c r="D32" s="340"/>
      <c r="E32" s="482"/>
      <c r="F32" s="347"/>
      <c r="G32" s="317"/>
      <c r="H32" s="80"/>
      <c r="I32" s="80"/>
      <c r="J32" s="80"/>
      <c r="K32" s="208"/>
      <c r="L32" s="80"/>
      <c r="M32" s="80"/>
      <c r="N32" s="80"/>
      <c r="O32" s="80"/>
      <c r="P32" s="208"/>
      <c r="Q32" s="80"/>
      <c r="R32" s="80"/>
      <c r="S32" s="80"/>
      <c r="T32" s="80"/>
      <c r="U32" s="208"/>
      <c r="V32" s="80"/>
      <c r="W32" s="80"/>
      <c r="X32" s="80"/>
      <c r="Y32" s="80"/>
      <c r="Z32" s="208"/>
      <c r="AA32" s="80"/>
      <c r="AB32" s="80"/>
      <c r="AC32" s="80"/>
      <c r="AD32" s="80"/>
      <c r="AE32" s="208"/>
      <c r="AF32" s="80"/>
      <c r="AG32" s="80"/>
      <c r="AH32" s="80"/>
      <c r="AI32" s="80"/>
      <c r="AJ32" s="208"/>
      <c r="AK32" s="80"/>
      <c r="AL32" s="80"/>
      <c r="AM32" s="80"/>
      <c r="AN32" s="80"/>
      <c r="AO32" s="208"/>
      <c r="AP32" s="80"/>
      <c r="AQ32" s="80"/>
      <c r="AR32" s="80"/>
      <c r="AS32" s="80"/>
      <c r="AT32" s="208"/>
      <c r="AU32" s="80"/>
      <c r="AV32" s="80"/>
      <c r="AW32" s="495"/>
      <c r="AX32" s="80"/>
      <c r="AY32" s="208"/>
      <c r="AZ32" s="80"/>
      <c r="BA32" s="80"/>
      <c r="BB32" s="80"/>
      <c r="BC32" s="80"/>
      <c r="BD32" s="208"/>
      <c r="BE32" s="80"/>
      <c r="BF32" s="80"/>
      <c r="BG32" s="80"/>
      <c r="BH32" s="80"/>
      <c r="BI32" s="208"/>
      <c r="BJ32" s="80"/>
      <c r="BK32" s="80"/>
      <c r="BL32" s="80"/>
      <c r="BM32" s="80"/>
      <c r="BN32" s="208"/>
      <c r="BO32" s="495"/>
      <c r="BP32" s="80"/>
      <c r="BQ32" s="495"/>
      <c r="BR32" s="80"/>
      <c r="BS32" s="208"/>
      <c r="BT32" s="80"/>
      <c r="BU32" s="80"/>
      <c r="BV32" s="80"/>
      <c r="BW32" s="498"/>
      <c r="BX32" s="317"/>
      <c r="BY32" s="39"/>
      <c r="BZ32" s="39"/>
    </row>
    <row r="33" spans="1:78" s="39" customFormat="1" x14ac:dyDescent="0.2">
      <c r="A33" s="329"/>
      <c r="B33" s="329"/>
      <c r="C33" s="329"/>
      <c r="D33" s="348" t="s">
        <v>296</v>
      </c>
      <c r="E33" s="485"/>
      <c r="F33" s="508"/>
      <c r="G33" s="509"/>
      <c r="H33" s="511">
        <v>0</v>
      </c>
      <c r="I33" s="511"/>
      <c r="J33" s="55"/>
      <c r="K33" s="55"/>
      <c r="L33" s="511"/>
      <c r="M33" s="511">
        <v>-32836320.771990001</v>
      </c>
      <c r="N33" s="511"/>
      <c r="O33" s="55"/>
      <c r="P33" s="55"/>
      <c r="Q33" s="511"/>
      <c r="R33" s="511">
        <v>-5512617.4648199826</v>
      </c>
      <c r="S33" s="511"/>
      <c r="T33" s="55"/>
      <c r="U33" s="55"/>
      <c r="V33" s="511"/>
      <c r="W33" s="511">
        <v>3578503.2416499853</v>
      </c>
      <c r="X33" s="511"/>
      <c r="Y33" s="55"/>
      <c r="Z33" s="55"/>
      <c r="AA33" s="511"/>
      <c r="AB33" s="511">
        <v>-7197008.0788299739</v>
      </c>
      <c r="AC33" s="511"/>
      <c r="AD33" s="55"/>
      <c r="AE33" s="55"/>
      <c r="AF33" s="511"/>
      <c r="AG33" s="511">
        <v>5587438.3340399861</v>
      </c>
      <c r="AH33" s="511"/>
      <c r="AI33" s="55"/>
      <c r="AJ33" s="55"/>
      <c r="AK33" s="511"/>
      <c r="AL33" s="511">
        <v>-1570242.0785700083</v>
      </c>
      <c r="AM33" s="511"/>
      <c r="AN33" s="55"/>
      <c r="AO33" s="55"/>
      <c r="AP33" s="511"/>
      <c r="AQ33" s="511">
        <v>-6134755.2017400116</v>
      </c>
      <c r="AR33" s="511"/>
      <c r="AS33" s="55"/>
      <c r="AT33" s="55"/>
      <c r="AU33" s="511"/>
      <c r="AV33" s="511">
        <v>0</v>
      </c>
      <c r="AW33" s="511"/>
      <c r="AX33" s="55"/>
      <c r="AY33" s="55"/>
      <c r="AZ33" s="511"/>
      <c r="BA33" s="511">
        <v>0</v>
      </c>
      <c r="BB33" s="512"/>
      <c r="BC33" s="55"/>
      <c r="BD33" s="55"/>
      <c r="BE33" s="512"/>
      <c r="BF33" s="511">
        <v>0</v>
      </c>
      <c r="BG33" s="511"/>
      <c r="BH33" s="55"/>
      <c r="BI33" s="55"/>
      <c r="BJ33" s="511"/>
      <c r="BK33" s="511">
        <v>0</v>
      </c>
      <c r="BL33" s="511"/>
      <c r="BM33" s="55"/>
      <c r="BN33" s="55"/>
      <c r="BO33" s="511"/>
      <c r="BP33" s="511">
        <v>0</v>
      </c>
      <c r="BQ33" s="511"/>
      <c r="BR33" s="55"/>
      <c r="BS33" s="55"/>
      <c r="BT33" s="511"/>
      <c r="BU33" s="511">
        <v>-44085002.020260006</v>
      </c>
      <c r="BV33" s="511"/>
      <c r="BW33" s="494"/>
      <c r="BX33" s="329"/>
      <c r="BY33" s="24"/>
    </row>
    <row r="34" spans="1:78" x14ac:dyDescent="0.2">
      <c r="A34" s="317"/>
      <c r="B34" s="317"/>
      <c r="C34" s="317"/>
      <c r="D34" s="340"/>
      <c r="E34" s="513"/>
      <c r="F34" s="347"/>
      <c r="G34" s="317"/>
      <c r="H34" s="80"/>
      <c r="I34" s="80"/>
      <c r="J34" s="80"/>
      <c r="K34" s="208"/>
      <c r="L34" s="80"/>
      <c r="M34" s="80"/>
      <c r="N34" s="80"/>
      <c r="O34" s="80"/>
      <c r="P34" s="208"/>
      <c r="Q34" s="80"/>
      <c r="R34" s="80"/>
      <c r="S34" s="80"/>
      <c r="T34" s="80"/>
      <c r="U34" s="208"/>
      <c r="V34" s="80"/>
      <c r="W34" s="80"/>
      <c r="X34" s="80"/>
      <c r="Y34" s="80"/>
      <c r="Z34" s="208"/>
      <c r="AA34" s="80"/>
      <c r="AB34" s="80"/>
      <c r="AC34" s="80"/>
      <c r="AD34" s="80"/>
      <c r="AE34" s="208"/>
      <c r="AF34" s="80"/>
      <c r="AG34" s="80"/>
      <c r="AH34" s="80"/>
      <c r="AI34" s="80"/>
      <c r="AJ34" s="208"/>
      <c r="AK34" s="80"/>
      <c r="AL34" s="80"/>
      <c r="AM34" s="80"/>
      <c r="AN34" s="80"/>
      <c r="AO34" s="208"/>
      <c r="AP34" s="80"/>
      <c r="AQ34" s="80"/>
      <c r="AR34" s="80"/>
      <c r="AS34" s="80"/>
      <c r="AT34" s="208"/>
      <c r="AU34" s="80"/>
      <c r="AV34" s="80"/>
      <c r="AW34" s="80"/>
      <c r="AX34" s="80"/>
      <c r="AY34" s="208"/>
      <c r="AZ34" s="80"/>
      <c r="BA34" s="80"/>
      <c r="BB34" s="80"/>
      <c r="BC34" s="80"/>
      <c r="BD34" s="208"/>
      <c r="BE34" s="80"/>
      <c r="BF34" s="80"/>
      <c r="BG34" s="80"/>
      <c r="BH34" s="80"/>
      <c r="BI34" s="208"/>
      <c r="BJ34" s="80"/>
      <c r="BK34" s="80"/>
      <c r="BL34" s="80"/>
      <c r="BM34" s="80"/>
      <c r="BN34" s="208"/>
      <c r="BO34" s="80"/>
      <c r="BP34" s="80"/>
      <c r="BQ34" s="80"/>
      <c r="BR34" s="80"/>
      <c r="BS34" s="208"/>
      <c r="BT34" s="80"/>
      <c r="BU34" s="80"/>
      <c r="BV34" s="80"/>
      <c r="BW34" s="498"/>
      <c r="BX34" s="317"/>
      <c r="BY34" s="514"/>
      <c r="BZ34" s="39"/>
    </row>
    <row r="35" spans="1:78" s="39" customFormat="1" x14ac:dyDescent="0.2">
      <c r="A35" s="329"/>
      <c r="B35" s="329"/>
      <c r="C35" s="329"/>
      <c r="D35" s="515" t="s">
        <v>297</v>
      </c>
      <c r="E35" s="516" t="s">
        <v>45</v>
      </c>
      <c r="F35" s="517"/>
      <c r="G35" s="518"/>
      <c r="H35" s="519">
        <v>41301787.13398695</v>
      </c>
      <c r="I35" s="519"/>
      <c r="J35" s="519"/>
      <c r="K35" s="520"/>
      <c r="L35" s="519"/>
      <c r="M35" s="519">
        <v>-22462869.771990001</v>
      </c>
      <c r="N35" s="519"/>
      <c r="O35" s="519"/>
      <c r="P35" s="520"/>
      <c r="Q35" s="519"/>
      <c r="R35" s="519">
        <v>8028973.5351800174</v>
      </c>
      <c r="S35" s="519"/>
      <c r="T35" s="519"/>
      <c r="U35" s="520"/>
      <c r="V35" s="519"/>
      <c r="W35" s="519">
        <v>-100948773.75835001</v>
      </c>
      <c r="X35" s="519"/>
      <c r="Y35" s="519"/>
      <c r="Z35" s="520"/>
      <c r="AA35" s="519"/>
      <c r="AB35" s="519">
        <v>81733465.921170026</v>
      </c>
      <c r="AC35" s="519"/>
      <c r="AD35" s="519"/>
      <c r="AE35" s="520"/>
      <c r="AF35" s="519"/>
      <c r="AG35" s="519">
        <v>16731515.334039986</v>
      </c>
      <c r="AH35" s="519"/>
      <c r="AI35" s="519"/>
      <c r="AJ35" s="520"/>
      <c r="AK35" s="519"/>
      <c r="AL35" s="519">
        <v>-30393086.078570008</v>
      </c>
      <c r="AM35" s="519"/>
      <c r="AN35" s="519"/>
      <c r="AO35" s="520"/>
      <c r="AP35" s="519"/>
      <c r="AQ35" s="519">
        <v>19590745.798259988</v>
      </c>
      <c r="AR35" s="519"/>
      <c r="AS35" s="519"/>
      <c r="AT35" s="520"/>
      <c r="AU35" s="519"/>
      <c r="AV35" s="519">
        <v>311428125</v>
      </c>
      <c r="AW35" s="519"/>
      <c r="AX35" s="519"/>
      <c r="AY35" s="520"/>
      <c r="AZ35" s="519"/>
      <c r="BA35" s="519">
        <v>0</v>
      </c>
      <c r="BB35" s="519"/>
      <c r="BC35" s="519"/>
      <c r="BD35" s="520"/>
      <c r="BE35" s="519"/>
      <c r="BF35" s="519">
        <v>0</v>
      </c>
      <c r="BG35" s="519"/>
      <c r="BH35" s="519"/>
      <c r="BI35" s="520"/>
      <c r="BJ35" s="519"/>
      <c r="BK35" s="519">
        <v>0</v>
      </c>
      <c r="BL35" s="519"/>
      <c r="BM35" s="519"/>
      <c r="BN35" s="520"/>
      <c r="BO35" s="519"/>
      <c r="BP35" s="519">
        <v>0</v>
      </c>
      <c r="BQ35" s="519"/>
      <c r="BR35" s="519"/>
      <c r="BS35" s="520"/>
      <c r="BT35" s="519"/>
      <c r="BU35" s="519">
        <v>-27720029.020260006</v>
      </c>
      <c r="BV35" s="519"/>
      <c r="BW35" s="494"/>
      <c r="BX35" s="329"/>
      <c r="BY35" s="24"/>
    </row>
    <row r="36" spans="1:78" x14ac:dyDescent="0.2">
      <c r="A36" s="317"/>
      <c r="B36" s="317"/>
      <c r="C36" s="317"/>
      <c r="D36" s="712" t="s">
        <v>41</v>
      </c>
      <c r="E36" s="712"/>
      <c r="F36" s="712"/>
      <c r="G36" s="712"/>
      <c r="H36" s="712"/>
      <c r="I36" s="712"/>
      <c r="J36" s="712"/>
      <c r="K36" s="712"/>
      <c r="L36" s="712"/>
      <c r="M36" s="712"/>
      <c r="N36" s="712"/>
      <c r="O36" s="712"/>
      <c r="P36" s="712"/>
      <c r="Q36" s="712"/>
      <c r="R36" s="712"/>
      <c r="S36" s="712"/>
      <c r="T36" s="712"/>
      <c r="U36" s="712"/>
      <c r="V36" s="712"/>
      <c r="W36" s="712"/>
      <c r="X36" s="712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  <c r="BC36" s="712"/>
      <c r="BD36" s="712"/>
      <c r="BE36" s="712"/>
      <c r="BF36" s="712"/>
      <c r="BG36" s="712"/>
      <c r="BH36" s="712"/>
      <c r="BI36" s="712"/>
      <c r="BJ36" s="712"/>
      <c r="BK36" s="712"/>
      <c r="BL36" s="712"/>
      <c r="BM36" s="712"/>
      <c r="BN36" s="712"/>
      <c r="BO36" s="712"/>
      <c r="BP36" s="712"/>
      <c r="BQ36" s="712"/>
      <c r="BR36" s="712"/>
      <c r="BS36" s="712"/>
      <c r="BT36" s="712"/>
      <c r="BU36" s="712"/>
      <c r="BV36" s="403"/>
      <c r="BW36" s="317"/>
    </row>
    <row r="37" spans="1:78" hidden="1" x14ac:dyDescent="0.2">
      <c r="A37" s="317"/>
      <c r="B37" s="317"/>
      <c r="C37" s="317"/>
      <c r="D37" s="521" t="s">
        <v>298</v>
      </c>
      <c r="E37" s="482"/>
      <c r="F37" s="317"/>
      <c r="G37" s="317"/>
      <c r="H37" s="317"/>
      <c r="I37" s="317"/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317"/>
      <c r="AF37" s="317"/>
      <c r="AG37" s="317"/>
      <c r="AH37" s="317"/>
      <c r="AI37" s="317"/>
      <c r="AJ37" s="317"/>
      <c r="AK37" s="317"/>
      <c r="AL37" s="317"/>
      <c r="AM37" s="317"/>
      <c r="AN37" s="317"/>
      <c r="AO37" s="317"/>
      <c r="AP37" s="317"/>
      <c r="AQ37" s="317"/>
      <c r="AR37" s="317"/>
      <c r="AS37" s="317"/>
      <c r="AT37" s="317"/>
      <c r="AU37" s="317"/>
      <c r="AV37" s="317"/>
      <c r="AW37" s="317"/>
      <c r="AX37" s="317"/>
      <c r="AY37" s="317"/>
      <c r="AZ37" s="317"/>
      <c r="BA37" s="317"/>
      <c r="BB37" s="317"/>
      <c r="BC37" s="317"/>
      <c r="BD37" s="317"/>
      <c r="BE37" s="317"/>
      <c r="BF37" s="317"/>
      <c r="BG37" s="317"/>
      <c r="BH37" s="317"/>
      <c r="BI37" s="317"/>
      <c r="BJ37" s="317"/>
      <c r="BK37" s="317"/>
      <c r="BL37" s="317"/>
      <c r="BM37" s="317"/>
      <c r="BN37" s="317"/>
      <c r="BO37" s="317"/>
      <c r="BP37" s="317"/>
      <c r="BQ37" s="317"/>
      <c r="BR37" s="317"/>
      <c r="BS37" s="317"/>
      <c r="BT37" s="317"/>
      <c r="BU37" s="317"/>
      <c r="BV37" s="317"/>
      <c r="BW37" s="317"/>
    </row>
    <row r="38" spans="1:78" hidden="1" x14ac:dyDescent="0.2">
      <c r="A38" s="317"/>
      <c r="B38" s="317"/>
      <c r="C38" s="317"/>
      <c r="D38" s="521" t="s">
        <v>299</v>
      </c>
      <c r="E38" s="482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7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317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</row>
    <row r="39" spans="1:78" hidden="1" x14ac:dyDescent="0.2">
      <c r="A39" s="317"/>
      <c r="B39" s="317"/>
      <c r="C39" s="317"/>
      <c r="D39" s="521" t="s">
        <v>300</v>
      </c>
      <c r="E39" s="482"/>
      <c r="F39" s="317"/>
      <c r="G39" s="317"/>
      <c r="H39" s="317"/>
      <c r="I39" s="317"/>
      <c r="J39" s="317"/>
      <c r="K39" s="317"/>
      <c r="L39" s="317"/>
      <c r="M39" s="317"/>
      <c r="N39" s="317"/>
      <c r="O39" s="317"/>
      <c r="P39" s="317"/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  <c r="AB39" s="317"/>
      <c r="AC39" s="317"/>
      <c r="AD39" s="317"/>
      <c r="AE39" s="317"/>
      <c r="AF39" s="317"/>
      <c r="AG39" s="317"/>
      <c r="AH39" s="317"/>
      <c r="AI39" s="317"/>
      <c r="AJ39" s="317"/>
      <c r="AK39" s="317"/>
      <c r="AL39" s="317"/>
      <c r="AM39" s="317"/>
      <c r="AN39" s="317"/>
      <c r="AO39" s="317"/>
      <c r="AP39" s="317"/>
      <c r="AQ39" s="317"/>
      <c r="AR39" s="317"/>
      <c r="AS39" s="317"/>
      <c r="AT39" s="317"/>
      <c r="AU39" s="317"/>
      <c r="AV39" s="317"/>
      <c r="AW39" s="317"/>
      <c r="AX39" s="317"/>
      <c r="AY39" s="317"/>
      <c r="AZ39" s="317"/>
      <c r="BA39" s="317"/>
      <c r="BB39" s="317"/>
      <c r="BC39" s="317"/>
      <c r="BD39" s="317"/>
      <c r="BE39" s="317"/>
      <c r="BF39" s="317"/>
      <c r="BG39" s="317"/>
      <c r="BH39" s="317"/>
      <c r="BI39" s="317"/>
      <c r="BJ39" s="317"/>
      <c r="BK39" s="317"/>
      <c r="BL39" s="317"/>
      <c r="BM39" s="317"/>
      <c r="BN39" s="317"/>
      <c r="BO39" s="317"/>
      <c r="BP39" s="317"/>
      <c r="BQ39" s="317"/>
      <c r="BR39" s="317"/>
      <c r="BS39" s="317"/>
      <c r="BT39" s="317"/>
      <c r="BU39" s="317"/>
      <c r="BV39" s="317"/>
      <c r="BW39" s="317"/>
    </row>
    <row r="40" spans="1:78" hidden="1" x14ac:dyDescent="0.2">
      <c r="A40" s="317"/>
      <c r="B40" s="317"/>
      <c r="C40" s="317"/>
      <c r="D40" s="521" t="s">
        <v>301</v>
      </c>
      <c r="E40" s="482"/>
      <c r="F40" s="317"/>
      <c r="G40" s="317"/>
      <c r="H40" s="317"/>
      <c r="I40" s="317"/>
      <c r="J40" s="317"/>
      <c r="K40" s="317"/>
      <c r="L40" s="317"/>
      <c r="M40" s="317"/>
      <c r="N40" s="317"/>
      <c r="O40" s="317"/>
      <c r="P40" s="317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  <c r="AB40" s="317"/>
      <c r="AC40" s="317"/>
      <c r="AD40" s="317"/>
      <c r="AE40" s="317"/>
      <c r="AF40" s="317"/>
      <c r="AG40" s="317"/>
      <c r="AH40" s="317"/>
      <c r="AI40" s="317"/>
      <c r="AJ40" s="317"/>
      <c r="AK40" s="317"/>
      <c r="AL40" s="317"/>
      <c r="AM40" s="317"/>
      <c r="AN40" s="317"/>
      <c r="AO40" s="317"/>
      <c r="AP40" s="317"/>
      <c r="AQ40" s="317"/>
      <c r="AR40" s="317"/>
      <c r="AS40" s="317"/>
      <c r="AT40" s="317"/>
      <c r="AU40" s="317"/>
      <c r="AV40" s="317"/>
      <c r="AW40" s="317"/>
      <c r="AX40" s="317"/>
      <c r="AY40" s="317"/>
      <c r="AZ40" s="317"/>
      <c r="BA40" s="317"/>
      <c r="BB40" s="317"/>
      <c r="BC40" s="317"/>
      <c r="BD40" s="317"/>
      <c r="BE40" s="317"/>
      <c r="BF40" s="317"/>
      <c r="BG40" s="317"/>
      <c r="BH40" s="317"/>
      <c r="BI40" s="317"/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/>
      <c r="BV40" s="317"/>
      <c r="BW40" s="317"/>
    </row>
    <row r="41" spans="1:78" x14ac:dyDescent="0.2">
      <c r="D41" s="521" t="s">
        <v>302</v>
      </c>
      <c r="BW41" s="317"/>
    </row>
    <row r="42" spans="1:78" x14ac:dyDescent="0.2">
      <c r="D42" s="521" t="s">
        <v>303</v>
      </c>
      <c r="E42" s="522"/>
      <c r="F42" s="521"/>
      <c r="G42" s="521"/>
      <c r="BW42" s="317"/>
    </row>
    <row r="43" spans="1:78" x14ac:dyDescent="0.2">
      <c r="E43" s="522"/>
      <c r="F43" s="521"/>
      <c r="G43" s="521"/>
      <c r="M43" s="523"/>
      <c r="BW43" s="317"/>
    </row>
    <row r="44" spans="1:78" x14ac:dyDescent="0.2">
      <c r="E44" s="522"/>
      <c r="F44" s="521"/>
      <c r="G44" s="521"/>
      <c r="BW44" s="317"/>
    </row>
    <row r="45" spans="1:78" hidden="1" x14ac:dyDescent="0.2"/>
    <row r="46" spans="1:78" hidden="1" x14ac:dyDescent="0.2"/>
    <row r="47" spans="1:78" hidden="1" x14ac:dyDescent="0.2"/>
    <row r="48" spans="1:78" hidden="1" x14ac:dyDescent="0.2">
      <c r="D48" s="524"/>
      <c r="M48" s="315">
        <v>-69794239</v>
      </c>
      <c r="N48" s="315">
        <v>0</v>
      </c>
      <c r="O48" s="315">
        <v>0</v>
      </c>
      <c r="P48" s="315">
        <v>0</v>
      </c>
      <c r="Q48" s="315">
        <v>0</v>
      </c>
      <c r="R48" s="315">
        <v>23299172</v>
      </c>
      <c r="S48" s="315">
        <v>0</v>
      </c>
      <c r="T48" s="315">
        <v>0</v>
      </c>
      <c r="U48" s="315">
        <v>0</v>
      </c>
      <c r="V48" s="315">
        <v>0</v>
      </c>
      <c r="W48" s="315">
        <v>-58868</v>
      </c>
      <c r="X48" s="315">
        <v>0</v>
      </c>
      <c r="Y48" s="315">
        <v>0</v>
      </c>
      <c r="Z48" s="315">
        <v>0</v>
      </c>
      <c r="AA48" s="315">
        <v>0</v>
      </c>
      <c r="AB48" s="315">
        <v>-76963673</v>
      </c>
      <c r="AC48" s="315">
        <v>0</v>
      </c>
      <c r="AD48" s="315">
        <v>0</v>
      </c>
      <c r="AE48" s="315">
        <v>0</v>
      </c>
      <c r="AF48" s="315">
        <v>0</v>
      </c>
      <c r="AG48" s="315">
        <v>43212411</v>
      </c>
      <c r="AH48" s="315">
        <v>0</v>
      </c>
      <c r="AI48" s="315">
        <v>0</v>
      </c>
      <c r="AJ48" s="315">
        <v>0</v>
      </c>
      <c r="AK48" s="315">
        <v>0</v>
      </c>
      <c r="AL48" s="315">
        <v>-20873508</v>
      </c>
      <c r="AM48" s="315">
        <v>0</v>
      </c>
      <c r="AN48" s="315">
        <v>0</v>
      </c>
      <c r="AO48" s="315">
        <v>0</v>
      </c>
      <c r="AP48" s="315">
        <v>0</v>
      </c>
      <c r="AQ48" s="315">
        <v>7918747</v>
      </c>
      <c r="AR48" s="315">
        <v>0</v>
      </c>
      <c r="AS48" s="315">
        <v>0</v>
      </c>
      <c r="AT48" s="315">
        <v>0</v>
      </c>
      <c r="AU48" s="315">
        <v>0</v>
      </c>
      <c r="AV48" s="315">
        <v>323186742</v>
      </c>
      <c r="AW48" s="315">
        <v>0</v>
      </c>
      <c r="AX48" s="315">
        <v>0</v>
      </c>
      <c r="AY48" s="315">
        <v>0</v>
      </c>
      <c r="AZ48" s="315">
        <v>0</v>
      </c>
      <c r="BA48" s="315">
        <v>63824067</v>
      </c>
      <c r="BB48" s="315">
        <v>0</v>
      </c>
      <c r="BC48" s="315">
        <v>0</v>
      </c>
      <c r="BD48" s="315">
        <v>0</v>
      </c>
      <c r="BE48" s="315">
        <v>0</v>
      </c>
      <c r="BF48" s="315">
        <v>-109696169</v>
      </c>
      <c r="BG48" s="315">
        <v>0</v>
      </c>
      <c r="BH48" s="315">
        <v>0</v>
      </c>
      <c r="BI48" s="315">
        <v>0</v>
      </c>
      <c r="BJ48" s="315">
        <v>0</v>
      </c>
      <c r="BK48" s="315">
        <v>26342016</v>
      </c>
      <c r="BL48" s="315">
        <v>0</v>
      </c>
      <c r="BM48" s="315">
        <v>0</v>
      </c>
      <c r="BN48" s="315">
        <v>0</v>
      </c>
      <c r="BO48" s="315">
        <v>0</v>
      </c>
      <c r="BP48" s="315">
        <v>-30620</v>
      </c>
      <c r="BQ48" s="315">
        <v>0</v>
      </c>
      <c r="BR48" s="315">
        <v>0</v>
      </c>
      <c r="BS48" s="315">
        <v>0</v>
      </c>
      <c r="BT48" s="315">
        <v>0</v>
      </c>
      <c r="BU48" s="315">
        <v>-93259958</v>
      </c>
    </row>
    <row r="49" spans="4:73" hidden="1" x14ac:dyDescent="0.2">
      <c r="M49" s="315">
        <v>-63618801</v>
      </c>
      <c r="N49" s="315">
        <v>0</v>
      </c>
      <c r="O49" s="315">
        <v>0</v>
      </c>
      <c r="P49" s="315">
        <v>0</v>
      </c>
      <c r="Q49" s="315">
        <v>0</v>
      </c>
      <c r="R49" s="315">
        <v>6175438</v>
      </c>
      <c r="S49" s="315">
        <v>0</v>
      </c>
      <c r="T49" s="315">
        <v>0</v>
      </c>
      <c r="U49" s="315">
        <v>0</v>
      </c>
      <c r="V49" s="315">
        <v>0</v>
      </c>
      <c r="W49" s="315">
        <v>-17123734</v>
      </c>
      <c r="X49" s="315">
        <v>0</v>
      </c>
      <c r="Y49" s="315">
        <v>0</v>
      </c>
      <c r="Z49" s="315">
        <v>0</v>
      </c>
      <c r="AA49" s="315">
        <v>0</v>
      </c>
      <c r="AB49" s="315">
        <v>-17064866</v>
      </c>
      <c r="AC49" s="315">
        <v>0</v>
      </c>
      <c r="AD49" s="315">
        <v>0</v>
      </c>
      <c r="AE49" s="315">
        <v>0</v>
      </c>
      <c r="AF49" s="315">
        <v>0</v>
      </c>
      <c r="AG49" s="315">
        <v>59898807</v>
      </c>
      <c r="AH49" s="315">
        <v>0</v>
      </c>
      <c r="AI49" s="315">
        <v>0</v>
      </c>
      <c r="AJ49" s="315">
        <v>0</v>
      </c>
      <c r="AK49" s="315">
        <v>0</v>
      </c>
      <c r="AL49" s="315">
        <v>16686396</v>
      </c>
      <c r="AM49" s="315">
        <v>0</v>
      </c>
      <c r="AN49" s="315">
        <v>0</v>
      </c>
      <c r="AO49" s="315">
        <v>0</v>
      </c>
      <c r="AP49" s="315">
        <v>0</v>
      </c>
      <c r="AQ49" s="315">
        <v>37559904</v>
      </c>
      <c r="AR49" s="315">
        <v>0</v>
      </c>
      <c r="AS49" s="315">
        <v>0</v>
      </c>
      <c r="AT49" s="315">
        <v>0</v>
      </c>
      <c r="AU49" s="315">
        <v>0</v>
      </c>
      <c r="AV49" s="315">
        <v>29641157</v>
      </c>
      <c r="AW49" s="315">
        <v>0</v>
      </c>
      <c r="AX49" s="315">
        <v>0</v>
      </c>
      <c r="AY49" s="315">
        <v>0</v>
      </c>
      <c r="AZ49" s="315">
        <v>0</v>
      </c>
      <c r="BA49" s="315">
        <v>-293545585</v>
      </c>
      <c r="BB49" s="315">
        <v>0</v>
      </c>
      <c r="BC49" s="315">
        <v>0</v>
      </c>
      <c r="BD49" s="315">
        <v>0</v>
      </c>
      <c r="BE49" s="315">
        <v>0</v>
      </c>
      <c r="BF49" s="315">
        <v>-357369652</v>
      </c>
      <c r="BG49" s="315">
        <v>0</v>
      </c>
      <c r="BH49" s="315">
        <v>0</v>
      </c>
      <c r="BI49" s="315">
        <v>0</v>
      </c>
      <c r="BJ49" s="315">
        <v>0</v>
      </c>
      <c r="BK49" s="315">
        <v>-247673483</v>
      </c>
      <c r="BL49" s="315">
        <v>0</v>
      </c>
      <c r="BM49" s="315">
        <v>0</v>
      </c>
      <c r="BN49" s="315">
        <v>0</v>
      </c>
      <c r="BO49" s="315">
        <v>0</v>
      </c>
      <c r="BP49" s="315">
        <v>-274015499</v>
      </c>
      <c r="BQ49" s="315">
        <v>0</v>
      </c>
      <c r="BR49" s="315">
        <v>0</v>
      </c>
      <c r="BS49" s="315">
        <v>0</v>
      </c>
      <c r="BT49" s="315">
        <v>0</v>
      </c>
      <c r="BU49" s="315">
        <v>-63618801</v>
      </c>
    </row>
    <row r="50" spans="4:73" hidden="1" x14ac:dyDescent="0.2">
      <c r="D50" s="525"/>
      <c r="M50" s="315">
        <v>6239716</v>
      </c>
      <c r="N50" s="315">
        <v>0</v>
      </c>
      <c r="O50" s="315">
        <v>0</v>
      </c>
      <c r="P50" s="315">
        <v>0</v>
      </c>
      <c r="Q50" s="315">
        <v>0</v>
      </c>
      <c r="R50" s="315">
        <v>52239452</v>
      </c>
      <c r="S50" s="315">
        <v>0</v>
      </c>
      <c r="T50" s="315">
        <v>0</v>
      </c>
      <c r="U50" s="315">
        <v>0</v>
      </c>
      <c r="V50" s="315">
        <v>0</v>
      </c>
      <c r="W50" s="315">
        <v>36373636</v>
      </c>
      <c r="X50" s="315">
        <v>0</v>
      </c>
      <c r="Y50" s="315">
        <v>0</v>
      </c>
      <c r="Z50" s="315">
        <v>0</v>
      </c>
      <c r="AA50" s="315">
        <v>0</v>
      </c>
      <c r="AB50" s="315">
        <v>22729495</v>
      </c>
      <c r="AC50" s="315">
        <v>0</v>
      </c>
      <c r="AD50" s="315">
        <v>0</v>
      </c>
      <c r="AE50" s="315">
        <v>0</v>
      </c>
      <c r="AF50" s="315">
        <v>0</v>
      </c>
      <c r="AG50" s="315">
        <v>22850502</v>
      </c>
      <c r="AH50" s="315">
        <v>0</v>
      </c>
      <c r="AI50" s="315">
        <v>0</v>
      </c>
      <c r="AJ50" s="315">
        <v>0</v>
      </c>
      <c r="AK50" s="315">
        <v>0</v>
      </c>
      <c r="AL50" s="315">
        <v>23637177</v>
      </c>
      <c r="AM50" s="315">
        <v>0</v>
      </c>
      <c r="AN50" s="315">
        <v>0</v>
      </c>
      <c r="AO50" s="315">
        <v>0</v>
      </c>
      <c r="AP50" s="315">
        <v>0</v>
      </c>
      <c r="AQ50" s="315">
        <v>32942882</v>
      </c>
      <c r="AR50" s="315">
        <v>0</v>
      </c>
      <c r="AS50" s="315">
        <v>0</v>
      </c>
      <c r="AT50" s="315">
        <v>0</v>
      </c>
      <c r="AU50" s="315">
        <v>0</v>
      </c>
      <c r="AV50" s="315">
        <v>31838347</v>
      </c>
      <c r="AW50" s="315">
        <v>0</v>
      </c>
      <c r="AX50" s="315">
        <v>0</v>
      </c>
      <c r="AY50" s="315">
        <v>0</v>
      </c>
      <c r="AZ50" s="315">
        <v>0</v>
      </c>
      <c r="BA50" s="315">
        <v>-148540639</v>
      </c>
      <c r="BB50" s="315">
        <v>0</v>
      </c>
      <c r="BC50" s="315">
        <v>0</v>
      </c>
      <c r="BD50" s="315">
        <v>0</v>
      </c>
      <c r="BE50" s="315">
        <v>0</v>
      </c>
      <c r="BF50" s="315">
        <v>-142485704</v>
      </c>
      <c r="BG50" s="315">
        <v>0</v>
      </c>
      <c r="BH50" s="315">
        <v>0</v>
      </c>
      <c r="BI50" s="315">
        <v>0</v>
      </c>
      <c r="BJ50" s="315">
        <v>0</v>
      </c>
      <c r="BK50" s="315">
        <v>-141049011</v>
      </c>
      <c r="BL50" s="315">
        <v>0</v>
      </c>
      <c r="BM50" s="315">
        <v>0</v>
      </c>
      <c r="BN50" s="315">
        <v>0</v>
      </c>
      <c r="BO50" s="315">
        <v>0</v>
      </c>
      <c r="BP50" s="315">
        <v>-140242471</v>
      </c>
      <c r="BQ50" s="315">
        <v>0</v>
      </c>
      <c r="BR50" s="315">
        <v>0</v>
      </c>
      <c r="BS50" s="315">
        <v>0</v>
      </c>
      <c r="BT50" s="315">
        <v>0</v>
      </c>
      <c r="BU50" s="315">
        <v>6239716</v>
      </c>
    </row>
    <row r="51" spans="4:73" hidden="1" x14ac:dyDescent="0.2">
      <c r="D51" s="526"/>
      <c r="M51" s="315">
        <v>-69858517</v>
      </c>
      <c r="N51" s="315">
        <v>0</v>
      </c>
      <c r="O51" s="315">
        <v>0</v>
      </c>
      <c r="P51" s="315">
        <v>0</v>
      </c>
      <c r="Q51" s="315">
        <v>0</v>
      </c>
      <c r="R51" s="315">
        <v>-46064014</v>
      </c>
      <c r="S51" s="315">
        <v>0</v>
      </c>
      <c r="T51" s="315">
        <v>0</v>
      </c>
      <c r="U51" s="315">
        <v>0</v>
      </c>
      <c r="V51" s="315">
        <v>0</v>
      </c>
      <c r="W51" s="315">
        <v>-53497370</v>
      </c>
      <c r="X51" s="315">
        <v>0</v>
      </c>
      <c r="Y51" s="315">
        <v>0</v>
      </c>
      <c r="Z51" s="315">
        <v>0</v>
      </c>
      <c r="AA51" s="315">
        <v>0</v>
      </c>
      <c r="AB51" s="315">
        <v>-39794361</v>
      </c>
      <c r="AC51" s="315">
        <v>0</v>
      </c>
      <c r="AD51" s="315">
        <v>0</v>
      </c>
      <c r="AE51" s="315">
        <v>0</v>
      </c>
      <c r="AF51" s="315">
        <v>0</v>
      </c>
      <c r="AG51" s="315">
        <v>37048305</v>
      </c>
      <c r="AH51" s="315">
        <v>0</v>
      </c>
      <c r="AI51" s="315">
        <v>0</v>
      </c>
      <c r="AJ51" s="315">
        <v>0</v>
      </c>
      <c r="AK51" s="315">
        <v>0</v>
      </c>
      <c r="AL51" s="315">
        <v>-6950781</v>
      </c>
      <c r="AM51" s="315">
        <v>0</v>
      </c>
      <c r="AN51" s="315">
        <v>0</v>
      </c>
      <c r="AO51" s="315">
        <v>0</v>
      </c>
      <c r="AP51" s="315">
        <v>0</v>
      </c>
      <c r="AQ51" s="315">
        <v>4617022</v>
      </c>
      <c r="AR51" s="315">
        <v>0</v>
      </c>
      <c r="AS51" s="315">
        <v>0</v>
      </c>
      <c r="AT51" s="315">
        <v>0</v>
      </c>
      <c r="AU51" s="315">
        <v>0</v>
      </c>
      <c r="AV51" s="315">
        <v>-2197190</v>
      </c>
      <c r="AW51" s="315">
        <v>0</v>
      </c>
      <c r="AX51" s="315">
        <v>0</v>
      </c>
      <c r="AY51" s="315">
        <v>0</v>
      </c>
      <c r="AZ51" s="315">
        <v>0</v>
      </c>
      <c r="BA51" s="315">
        <v>-145004946</v>
      </c>
      <c r="BB51" s="315">
        <v>0</v>
      </c>
      <c r="BC51" s="315">
        <v>0</v>
      </c>
      <c r="BD51" s="315">
        <v>0</v>
      </c>
      <c r="BE51" s="315">
        <v>0</v>
      </c>
      <c r="BF51" s="315">
        <v>-214883948</v>
      </c>
      <c r="BG51" s="315">
        <v>0</v>
      </c>
      <c r="BH51" s="315">
        <v>0</v>
      </c>
      <c r="BI51" s="315">
        <v>0</v>
      </c>
      <c r="BJ51" s="315">
        <v>0</v>
      </c>
      <c r="BK51" s="315">
        <v>-106624472</v>
      </c>
      <c r="BL51" s="315">
        <v>0</v>
      </c>
      <c r="BM51" s="315">
        <v>0</v>
      </c>
      <c r="BN51" s="315">
        <v>0</v>
      </c>
      <c r="BO51" s="315">
        <v>0</v>
      </c>
      <c r="BP51" s="315">
        <v>-133773028</v>
      </c>
      <c r="BQ51" s="315">
        <v>0</v>
      </c>
      <c r="BR51" s="315">
        <v>0</v>
      </c>
      <c r="BS51" s="315">
        <v>0</v>
      </c>
      <c r="BT51" s="315">
        <v>0</v>
      </c>
      <c r="BU51" s="315">
        <v>-69858517</v>
      </c>
    </row>
    <row r="52" spans="4:73" hidden="1" x14ac:dyDescent="0.2">
      <c r="D52" s="527"/>
      <c r="M52" s="315">
        <v>0</v>
      </c>
      <c r="N52" s="315">
        <v>0</v>
      </c>
      <c r="O52" s="315">
        <v>0</v>
      </c>
      <c r="P52" s="315">
        <v>0</v>
      </c>
      <c r="Q52" s="315">
        <v>0</v>
      </c>
      <c r="R52" s="315">
        <v>0</v>
      </c>
      <c r="S52" s="315">
        <v>0</v>
      </c>
      <c r="T52" s="315">
        <v>0</v>
      </c>
      <c r="U52" s="315">
        <v>0</v>
      </c>
      <c r="V52" s="315">
        <v>0</v>
      </c>
      <c r="W52" s="315">
        <v>0</v>
      </c>
      <c r="X52" s="315">
        <v>0</v>
      </c>
      <c r="Y52" s="315">
        <v>0</v>
      </c>
      <c r="Z52" s="315">
        <v>0</v>
      </c>
      <c r="AA52" s="315">
        <v>0</v>
      </c>
      <c r="AB52" s="315">
        <v>0</v>
      </c>
      <c r="AC52" s="315">
        <v>0</v>
      </c>
      <c r="AD52" s="315">
        <v>0</v>
      </c>
      <c r="AE52" s="315">
        <v>0</v>
      </c>
      <c r="AF52" s="315">
        <v>0</v>
      </c>
      <c r="AG52" s="315">
        <v>0</v>
      </c>
      <c r="AH52" s="315">
        <v>0</v>
      </c>
      <c r="AI52" s="315">
        <v>0</v>
      </c>
      <c r="AJ52" s="315">
        <v>0</v>
      </c>
      <c r="AK52" s="315">
        <v>0</v>
      </c>
      <c r="AL52" s="315">
        <v>0</v>
      </c>
      <c r="AM52" s="315">
        <v>0</v>
      </c>
      <c r="AN52" s="315">
        <v>0</v>
      </c>
      <c r="AO52" s="315">
        <v>0</v>
      </c>
      <c r="AP52" s="315">
        <v>0</v>
      </c>
      <c r="AQ52" s="315">
        <v>0</v>
      </c>
      <c r="AR52" s="315">
        <v>0</v>
      </c>
      <c r="AS52" s="315">
        <v>0</v>
      </c>
      <c r="AT52" s="315">
        <v>0</v>
      </c>
      <c r="AU52" s="315">
        <v>0</v>
      </c>
      <c r="AV52" s="315">
        <v>0</v>
      </c>
      <c r="AW52" s="315">
        <v>0</v>
      </c>
      <c r="AX52" s="315">
        <v>0</v>
      </c>
      <c r="AY52" s="315">
        <v>0</v>
      </c>
      <c r="AZ52" s="315">
        <v>0</v>
      </c>
      <c r="BA52" s="315">
        <v>0</v>
      </c>
      <c r="BB52" s="315">
        <v>0</v>
      </c>
      <c r="BC52" s="315">
        <v>0</v>
      </c>
      <c r="BD52" s="315">
        <v>0</v>
      </c>
      <c r="BE52" s="315">
        <v>0</v>
      </c>
      <c r="BF52" s="315">
        <v>0</v>
      </c>
      <c r="BG52" s="315">
        <v>0</v>
      </c>
      <c r="BH52" s="315">
        <v>0</v>
      </c>
      <c r="BI52" s="315">
        <v>0</v>
      </c>
      <c r="BJ52" s="315">
        <v>0</v>
      </c>
      <c r="BK52" s="315">
        <v>0</v>
      </c>
      <c r="BL52" s="315">
        <v>0</v>
      </c>
      <c r="BM52" s="315">
        <v>0</v>
      </c>
      <c r="BN52" s="315">
        <v>0</v>
      </c>
      <c r="BO52" s="315">
        <v>0</v>
      </c>
      <c r="BP52" s="315">
        <v>0</v>
      </c>
      <c r="BQ52" s="315">
        <v>0</v>
      </c>
      <c r="BR52" s="315">
        <v>0</v>
      </c>
      <c r="BS52" s="315">
        <v>0</v>
      </c>
      <c r="BT52" s="315">
        <v>0</v>
      </c>
      <c r="BU52" s="315">
        <v>0</v>
      </c>
    </row>
    <row r="53" spans="4:73" hidden="1" x14ac:dyDescent="0.2">
      <c r="M53" s="315">
        <v>6175438</v>
      </c>
      <c r="N53" s="315">
        <v>0</v>
      </c>
      <c r="O53" s="315">
        <v>0</v>
      </c>
      <c r="P53" s="315">
        <v>0</v>
      </c>
      <c r="Q53" s="315">
        <v>0</v>
      </c>
      <c r="R53" s="315">
        <v>-17123734</v>
      </c>
      <c r="S53" s="315">
        <v>0</v>
      </c>
      <c r="T53" s="315">
        <v>0</v>
      </c>
      <c r="U53" s="315">
        <v>0</v>
      </c>
      <c r="V53" s="315">
        <v>0</v>
      </c>
      <c r="W53" s="315">
        <v>-17064866</v>
      </c>
      <c r="X53" s="315">
        <v>0</v>
      </c>
      <c r="Y53" s="315">
        <v>0</v>
      </c>
      <c r="Z53" s="315">
        <v>0</v>
      </c>
      <c r="AA53" s="315">
        <v>0</v>
      </c>
      <c r="AB53" s="315">
        <v>59898807</v>
      </c>
      <c r="AC53" s="315">
        <v>0</v>
      </c>
      <c r="AD53" s="315">
        <v>0</v>
      </c>
      <c r="AE53" s="315">
        <v>0</v>
      </c>
      <c r="AF53" s="315">
        <v>0</v>
      </c>
      <c r="AG53" s="315">
        <v>16686396</v>
      </c>
      <c r="AH53" s="315">
        <v>0</v>
      </c>
      <c r="AI53" s="315">
        <v>0</v>
      </c>
      <c r="AJ53" s="315">
        <v>0</v>
      </c>
      <c r="AK53" s="315">
        <v>0</v>
      </c>
      <c r="AL53" s="315">
        <v>37559904</v>
      </c>
      <c r="AM53" s="315">
        <v>0</v>
      </c>
      <c r="AN53" s="315">
        <v>0</v>
      </c>
      <c r="AO53" s="315">
        <v>0</v>
      </c>
      <c r="AP53" s="315">
        <v>0</v>
      </c>
      <c r="AQ53" s="315">
        <v>29641157</v>
      </c>
      <c r="AR53" s="315">
        <v>0</v>
      </c>
      <c r="AS53" s="315">
        <v>0</v>
      </c>
      <c r="AT53" s="315">
        <v>0</v>
      </c>
      <c r="AU53" s="315">
        <v>0</v>
      </c>
      <c r="AV53" s="315">
        <v>-293545585</v>
      </c>
      <c r="AW53" s="315">
        <v>0</v>
      </c>
      <c r="AX53" s="315">
        <v>0</v>
      </c>
      <c r="AY53" s="315">
        <v>0</v>
      </c>
      <c r="AZ53" s="315">
        <v>0</v>
      </c>
      <c r="BA53" s="315">
        <v>-357369652</v>
      </c>
      <c r="BB53" s="315">
        <v>0</v>
      </c>
      <c r="BC53" s="315">
        <v>0</v>
      </c>
      <c r="BD53" s="315">
        <v>0</v>
      </c>
      <c r="BE53" s="315">
        <v>0</v>
      </c>
      <c r="BF53" s="315">
        <v>-247673483</v>
      </c>
      <c r="BG53" s="315">
        <v>0</v>
      </c>
      <c r="BH53" s="315">
        <v>0</v>
      </c>
      <c r="BI53" s="315">
        <v>0</v>
      </c>
      <c r="BJ53" s="315">
        <v>0</v>
      </c>
      <c r="BK53" s="315">
        <v>-274015499</v>
      </c>
      <c r="BL53" s="315">
        <v>0</v>
      </c>
      <c r="BM53" s="315">
        <v>0</v>
      </c>
      <c r="BN53" s="315">
        <v>0</v>
      </c>
      <c r="BO53" s="315">
        <v>0</v>
      </c>
      <c r="BP53" s="315">
        <v>-273984879</v>
      </c>
      <c r="BQ53" s="315">
        <v>0</v>
      </c>
      <c r="BR53" s="315">
        <v>0</v>
      </c>
      <c r="BS53" s="315">
        <v>0</v>
      </c>
      <c r="BT53" s="315">
        <v>0</v>
      </c>
      <c r="BU53" s="315">
        <v>29641157</v>
      </c>
    </row>
    <row r="54" spans="4:73" hidden="1" x14ac:dyDescent="0.2">
      <c r="E54" s="482"/>
      <c r="F54" s="317"/>
      <c r="G54" s="317"/>
      <c r="M54" s="315">
        <v>52239452</v>
      </c>
      <c r="N54" s="315">
        <v>0</v>
      </c>
      <c r="O54" s="315">
        <v>0</v>
      </c>
      <c r="P54" s="315">
        <v>0</v>
      </c>
      <c r="Q54" s="315">
        <v>0</v>
      </c>
      <c r="R54" s="315">
        <v>36373636</v>
      </c>
      <c r="S54" s="315">
        <v>0</v>
      </c>
      <c r="T54" s="315">
        <v>0</v>
      </c>
      <c r="U54" s="315">
        <v>0</v>
      </c>
      <c r="V54" s="315">
        <v>0</v>
      </c>
      <c r="W54" s="315">
        <v>22729495</v>
      </c>
      <c r="X54" s="315">
        <v>0</v>
      </c>
      <c r="Y54" s="315">
        <v>0</v>
      </c>
      <c r="Z54" s="315">
        <v>0</v>
      </c>
      <c r="AA54" s="315">
        <v>0</v>
      </c>
      <c r="AB54" s="315">
        <v>22850502</v>
      </c>
      <c r="AC54" s="315">
        <v>0</v>
      </c>
      <c r="AD54" s="315">
        <v>0</v>
      </c>
      <c r="AE54" s="315">
        <v>0</v>
      </c>
      <c r="AF54" s="315">
        <v>0</v>
      </c>
      <c r="AG54" s="315">
        <v>23637177</v>
      </c>
      <c r="AH54" s="315">
        <v>0</v>
      </c>
      <c r="AI54" s="315">
        <v>0</v>
      </c>
      <c r="AJ54" s="315">
        <v>0</v>
      </c>
      <c r="AK54" s="315">
        <v>0</v>
      </c>
      <c r="AL54" s="315">
        <v>32942882</v>
      </c>
      <c r="AM54" s="315">
        <v>0</v>
      </c>
      <c r="AN54" s="315">
        <v>0</v>
      </c>
      <c r="AO54" s="315">
        <v>0</v>
      </c>
      <c r="AP54" s="315">
        <v>0</v>
      </c>
      <c r="AQ54" s="315">
        <v>31838347</v>
      </c>
      <c r="AR54" s="315">
        <v>0</v>
      </c>
      <c r="AS54" s="315">
        <v>0</v>
      </c>
      <c r="AT54" s="315">
        <v>0</v>
      </c>
      <c r="AU54" s="315">
        <v>0</v>
      </c>
      <c r="AV54" s="315">
        <v>-148540639</v>
      </c>
      <c r="AW54" s="315">
        <v>0</v>
      </c>
      <c r="AX54" s="315">
        <v>0</v>
      </c>
      <c r="AY54" s="315">
        <v>0</v>
      </c>
      <c r="AZ54" s="315">
        <v>0</v>
      </c>
      <c r="BA54" s="315">
        <v>-142485704</v>
      </c>
      <c r="BB54" s="315">
        <v>0</v>
      </c>
      <c r="BC54" s="315">
        <v>0</v>
      </c>
      <c r="BD54" s="315">
        <v>0</v>
      </c>
      <c r="BE54" s="315">
        <v>0</v>
      </c>
      <c r="BF54" s="315">
        <v>-141049011</v>
      </c>
      <c r="BG54" s="315">
        <v>0</v>
      </c>
      <c r="BH54" s="315">
        <v>0</v>
      </c>
      <c r="BI54" s="315">
        <v>0</v>
      </c>
      <c r="BJ54" s="315">
        <v>0</v>
      </c>
      <c r="BK54" s="315">
        <v>-140242471</v>
      </c>
      <c r="BL54" s="315">
        <v>0</v>
      </c>
      <c r="BM54" s="315">
        <v>0</v>
      </c>
      <c r="BN54" s="315">
        <v>0</v>
      </c>
      <c r="BO54" s="315">
        <v>0</v>
      </c>
      <c r="BP54" s="315">
        <v>-145289346</v>
      </c>
      <c r="BQ54" s="315">
        <v>0</v>
      </c>
      <c r="BR54" s="315">
        <v>0</v>
      </c>
      <c r="BS54" s="315">
        <v>0</v>
      </c>
      <c r="BT54" s="315">
        <v>0</v>
      </c>
      <c r="BU54" s="315">
        <v>31838347</v>
      </c>
    </row>
    <row r="55" spans="4:73" hidden="1" x14ac:dyDescent="0.2">
      <c r="M55" s="315">
        <v>-46064014</v>
      </c>
      <c r="N55" s="315">
        <v>0</v>
      </c>
      <c r="O55" s="315">
        <v>0</v>
      </c>
      <c r="P55" s="315">
        <v>0</v>
      </c>
      <c r="Q55" s="315">
        <v>0</v>
      </c>
      <c r="R55" s="315">
        <v>-53497370</v>
      </c>
      <c r="S55" s="315">
        <v>0</v>
      </c>
      <c r="T55" s="315">
        <v>0</v>
      </c>
      <c r="U55" s="315">
        <v>0</v>
      </c>
      <c r="V55" s="315">
        <v>0</v>
      </c>
      <c r="W55" s="315">
        <v>-39794361</v>
      </c>
      <c r="X55" s="315">
        <v>0</v>
      </c>
      <c r="Y55" s="315">
        <v>0</v>
      </c>
      <c r="Z55" s="315">
        <v>0</v>
      </c>
      <c r="AA55" s="315">
        <v>0</v>
      </c>
      <c r="AB55" s="315">
        <v>37048305</v>
      </c>
      <c r="AC55" s="315">
        <v>0</v>
      </c>
      <c r="AD55" s="315">
        <v>0</v>
      </c>
      <c r="AE55" s="315">
        <v>0</v>
      </c>
      <c r="AF55" s="315">
        <v>0</v>
      </c>
      <c r="AG55" s="315">
        <v>-6950781</v>
      </c>
      <c r="AH55" s="315">
        <v>0</v>
      </c>
      <c r="AI55" s="315">
        <v>0</v>
      </c>
      <c r="AJ55" s="315">
        <v>0</v>
      </c>
      <c r="AK55" s="315">
        <v>0</v>
      </c>
      <c r="AL55" s="315">
        <v>4617022</v>
      </c>
      <c r="AM55" s="315">
        <v>0</v>
      </c>
      <c r="AN55" s="315">
        <v>0</v>
      </c>
      <c r="AO55" s="315">
        <v>0</v>
      </c>
      <c r="AP55" s="315">
        <v>0</v>
      </c>
      <c r="AQ55" s="315">
        <v>-2197190</v>
      </c>
      <c r="AR55" s="315">
        <v>0</v>
      </c>
      <c r="AS55" s="315">
        <v>0</v>
      </c>
      <c r="AT55" s="315">
        <v>0</v>
      </c>
      <c r="AU55" s="315">
        <v>0</v>
      </c>
      <c r="AV55" s="315">
        <v>-145004946</v>
      </c>
      <c r="AW55" s="315">
        <v>0</v>
      </c>
      <c r="AX55" s="315">
        <v>0</v>
      </c>
      <c r="AY55" s="315">
        <v>0</v>
      </c>
      <c r="AZ55" s="315">
        <v>0</v>
      </c>
      <c r="BA55" s="315">
        <v>-214883948</v>
      </c>
      <c r="BB55" s="315">
        <v>0</v>
      </c>
      <c r="BC55" s="315">
        <v>0</v>
      </c>
      <c r="BD55" s="315">
        <v>0</v>
      </c>
      <c r="BE55" s="315">
        <v>0</v>
      </c>
      <c r="BF55" s="315">
        <v>-106624472</v>
      </c>
      <c r="BG55" s="315">
        <v>0</v>
      </c>
      <c r="BH55" s="315">
        <v>0</v>
      </c>
      <c r="BI55" s="315">
        <v>0</v>
      </c>
      <c r="BJ55" s="315">
        <v>0</v>
      </c>
      <c r="BK55" s="315">
        <v>-133773028</v>
      </c>
      <c r="BL55" s="315">
        <v>0</v>
      </c>
      <c r="BM55" s="315">
        <v>0</v>
      </c>
      <c r="BN55" s="315">
        <v>0</v>
      </c>
      <c r="BO55" s="315">
        <v>0</v>
      </c>
      <c r="BP55" s="315">
        <v>-128695533</v>
      </c>
      <c r="BQ55" s="315">
        <v>0</v>
      </c>
      <c r="BR55" s="315">
        <v>0</v>
      </c>
      <c r="BS55" s="315">
        <v>0</v>
      </c>
      <c r="BT55" s="315">
        <v>0</v>
      </c>
      <c r="BU55" s="315">
        <v>-2197190</v>
      </c>
    </row>
    <row r="56" spans="4:73" hidden="1" x14ac:dyDescent="0.2">
      <c r="M56" s="315">
        <v>0</v>
      </c>
      <c r="N56" s="315">
        <v>0</v>
      </c>
      <c r="O56" s="315">
        <v>0</v>
      </c>
      <c r="P56" s="315">
        <v>0</v>
      </c>
      <c r="Q56" s="315">
        <v>0</v>
      </c>
      <c r="R56" s="315">
        <v>0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0</v>
      </c>
      <c r="AA56" s="315">
        <v>0</v>
      </c>
      <c r="AB56" s="315">
        <v>0</v>
      </c>
      <c r="AC56" s="315">
        <v>0</v>
      </c>
      <c r="AD56" s="315">
        <v>0</v>
      </c>
      <c r="AE56" s="315">
        <v>0</v>
      </c>
      <c r="AF56" s="315">
        <v>0</v>
      </c>
      <c r="AG56" s="315">
        <v>0</v>
      </c>
      <c r="AH56" s="315">
        <v>0</v>
      </c>
      <c r="AI56" s="315">
        <v>0</v>
      </c>
      <c r="AJ56" s="315">
        <v>0</v>
      </c>
      <c r="AK56" s="315">
        <v>0</v>
      </c>
      <c r="AL56" s="315">
        <v>0</v>
      </c>
      <c r="AM56" s="315">
        <v>0</v>
      </c>
      <c r="AN56" s="315">
        <v>0</v>
      </c>
      <c r="AO56" s="315">
        <v>0</v>
      </c>
      <c r="AP56" s="315">
        <v>0</v>
      </c>
      <c r="AQ56" s="315">
        <v>0</v>
      </c>
      <c r="AR56" s="315">
        <v>0</v>
      </c>
      <c r="AS56" s="315">
        <v>0</v>
      </c>
      <c r="AT56" s="315">
        <v>0</v>
      </c>
      <c r="AU56" s="315">
        <v>0</v>
      </c>
      <c r="AV56" s="315">
        <v>0</v>
      </c>
      <c r="AW56" s="315">
        <v>0</v>
      </c>
      <c r="AX56" s="315">
        <v>0</v>
      </c>
      <c r="AY56" s="315">
        <v>0</v>
      </c>
      <c r="AZ56" s="315">
        <v>0</v>
      </c>
      <c r="BA56" s="315">
        <v>0</v>
      </c>
      <c r="BB56" s="315">
        <v>0</v>
      </c>
      <c r="BC56" s="315">
        <v>0</v>
      </c>
      <c r="BD56" s="315">
        <v>0</v>
      </c>
      <c r="BE56" s="315">
        <v>0</v>
      </c>
      <c r="BF56" s="315">
        <v>0</v>
      </c>
      <c r="BG56" s="315">
        <v>0</v>
      </c>
      <c r="BH56" s="315">
        <v>0</v>
      </c>
      <c r="BI56" s="315">
        <v>0</v>
      </c>
      <c r="BJ56" s="315">
        <v>0</v>
      </c>
      <c r="BK56" s="315">
        <v>0</v>
      </c>
      <c r="BL56" s="315">
        <v>0</v>
      </c>
      <c r="BM56" s="315">
        <v>0</v>
      </c>
      <c r="BN56" s="315">
        <v>0</v>
      </c>
      <c r="BO56" s="315">
        <v>0</v>
      </c>
      <c r="BP56" s="315">
        <v>0</v>
      </c>
      <c r="BQ56" s="315">
        <v>0</v>
      </c>
      <c r="BR56" s="315">
        <v>0</v>
      </c>
      <c r="BS56" s="315">
        <v>0</v>
      </c>
      <c r="BT56" s="315">
        <v>0</v>
      </c>
      <c r="BU56" s="315">
        <v>0</v>
      </c>
    </row>
    <row r="57" spans="4:73" hidden="1" x14ac:dyDescent="0.2">
      <c r="M57" s="315">
        <v>0</v>
      </c>
      <c r="N57" s="315">
        <v>0</v>
      </c>
      <c r="O57" s="315">
        <v>0</v>
      </c>
      <c r="P57" s="315">
        <v>0</v>
      </c>
      <c r="Q57" s="315">
        <v>0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0</v>
      </c>
      <c r="AA57" s="315">
        <v>0</v>
      </c>
      <c r="AB57" s="315">
        <v>0</v>
      </c>
      <c r="AC57" s="315">
        <v>0</v>
      </c>
      <c r="AD57" s="315">
        <v>0</v>
      </c>
      <c r="AE57" s="315">
        <v>0</v>
      </c>
      <c r="AF57" s="315">
        <v>0</v>
      </c>
      <c r="AG57" s="315">
        <v>0</v>
      </c>
      <c r="AH57" s="315">
        <v>0</v>
      </c>
      <c r="AI57" s="315">
        <v>0</v>
      </c>
      <c r="AJ57" s="315">
        <v>0</v>
      </c>
      <c r="AK57" s="315">
        <v>0</v>
      </c>
      <c r="AL57" s="315">
        <v>0</v>
      </c>
      <c r="AM57" s="315">
        <v>0</v>
      </c>
      <c r="AN57" s="315">
        <v>0</v>
      </c>
      <c r="AO57" s="315">
        <v>0</v>
      </c>
      <c r="AP57" s="315">
        <v>0</v>
      </c>
      <c r="AQ57" s="315">
        <v>0</v>
      </c>
      <c r="AR57" s="315">
        <v>0</v>
      </c>
      <c r="AS57" s="315">
        <v>0</v>
      </c>
      <c r="AT57" s="315">
        <v>0</v>
      </c>
      <c r="AU57" s="315">
        <v>0</v>
      </c>
      <c r="AV57" s="315">
        <v>0</v>
      </c>
      <c r="AW57" s="315">
        <v>0</v>
      </c>
      <c r="AX57" s="315">
        <v>0</v>
      </c>
      <c r="AY57" s="315">
        <v>0</v>
      </c>
      <c r="AZ57" s="315">
        <v>0</v>
      </c>
      <c r="BA57" s="315">
        <v>0</v>
      </c>
      <c r="BB57" s="315">
        <v>0</v>
      </c>
      <c r="BC57" s="315">
        <v>0</v>
      </c>
      <c r="BD57" s="315">
        <v>0</v>
      </c>
      <c r="BE57" s="315">
        <v>0</v>
      </c>
      <c r="BF57" s="315">
        <v>0</v>
      </c>
      <c r="BG57" s="315">
        <v>0</v>
      </c>
      <c r="BH57" s="315">
        <v>0</v>
      </c>
      <c r="BI57" s="315">
        <v>0</v>
      </c>
      <c r="BJ57" s="315">
        <v>0</v>
      </c>
      <c r="BK57" s="315">
        <v>0</v>
      </c>
      <c r="BL57" s="315">
        <v>0</v>
      </c>
      <c r="BM57" s="315">
        <v>0</v>
      </c>
      <c r="BN57" s="315">
        <v>0</v>
      </c>
      <c r="BO57" s="315">
        <v>0</v>
      </c>
      <c r="BP57" s="315">
        <v>0</v>
      </c>
      <c r="BQ57" s="315">
        <v>0</v>
      </c>
      <c r="BR57" s="315">
        <v>0</v>
      </c>
      <c r="BS57" s="315">
        <v>0</v>
      </c>
      <c r="BT57" s="315">
        <v>0</v>
      </c>
      <c r="BU57" s="315">
        <v>0</v>
      </c>
    </row>
    <row r="58" spans="4:73" hidden="1" x14ac:dyDescent="0.2"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315">
        <v>0</v>
      </c>
      <c r="AC58" s="315">
        <v>0</v>
      </c>
      <c r="AD58" s="315">
        <v>0</v>
      </c>
      <c r="AE58" s="315">
        <v>0</v>
      </c>
      <c r="AF58" s="315">
        <v>0</v>
      </c>
      <c r="AG58" s="315">
        <v>0</v>
      </c>
      <c r="AH58" s="315">
        <v>0</v>
      </c>
      <c r="AI58" s="315">
        <v>0</v>
      </c>
      <c r="AJ58" s="315">
        <v>0</v>
      </c>
      <c r="AK58" s="315">
        <v>0</v>
      </c>
      <c r="AL58" s="315">
        <v>0</v>
      </c>
      <c r="AM58" s="315">
        <v>0</v>
      </c>
      <c r="AN58" s="315">
        <v>0</v>
      </c>
      <c r="AO58" s="315">
        <v>0</v>
      </c>
      <c r="AP58" s="315">
        <v>0</v>
      </c>
      <c r="AQ58" s="315">
        <v>0</v>
      </c>
      <c r="AR58" s="315">
        <v>0</v>
      </c>
      <c r="AS58" s="315">
        <v>0</v>
      </c>
      <c r="AT58" s="315">
        <v>0</v>
      </c>
      <c r="AU58" s="315">
        <v>0</v>
      </c>
      <c r="AV58" s="315">
        <v>0</v>
      </c>
      <c r="AW58" s="315">
        <v>0</v>
      </c>
      <c r="AX58" s="315">
        <v>0</v>
      </c>
      <c r="AY58" s="315">
        <v>0</v>
      </c>
      <c r="AZ58" s="315">
        <v>0</v>
      </c>
      <c r="BA58" s="315">
        <v>0</v>
      </c>
      <c r="BB58" s="315">
        <v>0</v>
      </c>
      <c r="BC58" s="315">
        <v>0</v>
      </c>
      <c r="BD58" s="315">
        <v>0</v>
      </c>
      <c r="BE58" s="315">
        <v>0</v>
      </c>
      <c r="BF58" s="315">
        <v>0</v>
      </c>
      <c r="BG58" s="315">
        <v>0</v>
      </c>
      <c r="BH58" s="315">
        <v>0</v>
      </c>
      <c r="BI58" s="315">
        <v>0</v>
      </c>
      <c r="BJ58" s="315">
        <v>0</v>
      </c>
      <c r="BK58" s="315">
        <v>0</v>
      </c>
      <c r="BL58" s="315">
        <v>0</v>
      </c>
      <c r="BM58" s="315">
        <v>0</v>
      </c>
      <c r="BN58" s="315">
        <v>0</v>
      </c>
      <c r="BO58" s="315">
        <v>0</v>
      </c>
      <c r="BP58" s="315">
        <v>0</v>
      </c>
      <c r="BQ58" s="315">
        <v>0</v>
      </c>
      <c r="BR58" s="315">
        <v>0</v>
      </c>
      <c r="BS58" s="315">
        <v>0</v>
      </c>
      <c r="BT58" s="315">
        <v>0</v>
      </c>
      <c r="BU58" s="315">
        <v>0</v>
      </c>
    </row>
    <row r="59" spans="4:73" hidden="1" x14ac:dyDescent="0.2">
      <c r="M59" s="315">
        <v>41286310</v>
      </c>
      <c r="N59" s="315">
        <v>0</v>
      </c>
      <c r="O59" s="315">
        <v>0</v>
      </c>
      <c r="P59" s="315">
        <v>0</v>
      </c>
      <c r="Q59" s="315">
        <v>0</v>
      </c>
      <c r="R59" s="315">
        <v>-8420160</v>
      </c>
      <c r="S59" s="315">
        <v>0</v>
      </c>
      <c r="T59" s="315">
        <v>0</v>
      </c>
      <c r="U59" s="315">
        <v>0</v>
      </c>
      <c r="V59" s="315">
        <v>0</v>
      </c>
      <c r="W59" s="315">
        <v>5097678</v>
      </c>
      <c r="X59" s="315">
        <v>0</v>
      </c>
      <c r="Y59" s="315">
        <v>0</v>
      </c>
      <c r="Z59" s="315">
        <v>0</v>
      </c>
      <c r="AA59" s="315">
        <v>0</v>
      </c>
      <c r="AB59" s="315">
        <v>47653189</v>
      </c>
      <c r="AC59" s="315">
        <v>0</v>
      </c>
      <c r="AD59" s="315">
        <v>0</v>
      </c>
      <c r="AE59" s="315">
        <v>0</v>
      </c>
      <c r="AF59" s="315">
        <v>0</v>
      </c>
      <c r="AG59" s="315">
        <v>-54718297</v>
      </c>
      <c r="AH59" s="315">
        <v>0</v>
      </c>
      <c r="AI59" s="315">
        <v>0</v>
      </c>
      <c r="AJ59" s="315">
        <v>0</v>
      </c>
      <c r="AK59" s="315">
        <v>0</v>
      </c>
      <c r="AL59" s="315">
        <v>9334049</v>
      </c>
      <c r="AM59" s="315">
        <v>0</v>
      </c>
      <c r="AN59" s="315">
        <v>0</v>
      </c>
      <c r="AO59" s="315">
        <v>0</v>
      </c>
      <c r="AP59" s="315">
        <v>0</v>
      </c>
      <c r="AQ59" s="315">
        <v>3837405</v>
      </c>
      <c r="AR59" s="315">
        <v>0</v>
      </c>
      <c r="AS59" s="315">
        <v>0</v>
      </c>
      <c r="AT59" s="315">
        <v>0</v>
      </c>
      <c r="AU59" s="315">
        <v>0</v>
      </c>
      <c r="AV59" s="315">
        <v>5282423</v>
      </c>
      <c r="AW59" s="315">
        <v>0</v>
      </c>
      <c r="AX59" s="315">
        <v>0</v>
      </c>
      <c r="AY59" s="315">
        <v>0</v>
      </c>
      <c r="AZ59" s="315">
        <v>0</v>
      </c>
      <c r="BA59" s="315">
        <v>-2079416</v>
      </c>
      <c r="BB59" s="315">
        <v>0</v>
      </c>
      <c r="BC59" s="315">
        <v>0</v>
      </c>
      <c r="BD59" s="315">
        <v>0</v>
      </c>
      <c r="BE59" s="315">
        <v>0</v>
      </c>
      <c r="BF59" s="315">
        <v>12244714</v>
      </c>
      <c r="BG59" s="315">
        <v>0</v>
      </c>
      <c r="BH59" s="315">
        <v>0</v>
      </c>
      <c r="BI59" s="315">
        <v>0</v>
      </c>
      <c r="BJ59" s="315">
        <v>0</v>
      </c>
      <c r="BK59" s="315">
        <v>-14186127</v>
      </c>
      <c r="BL59" s="315">
        <v>0</v>
      </c>
      <c r="BM59" s="315">
        <v>0</v>
      </c>
      <c r="BN59" s="315">
        <v>0</v>
      </c>
      <c r="BO59" s="315">
        <v>0</v>
      </c>
      <c r="BP59" s="315">
        <v>14935278</v>
      </c>
      <c r="BQ59" s="315">
        <v>0</v>
      </c>
      <c r="BR59" s="315">
        <v>0</v>
      </c>
      <c r="BS59" s="315">
        <v>0</v>
      </c>
      <c r="BT59" s="315">
        <v>0</v>
      </c>
      <c r="BU59" s="315">
        <v>44070174</v>
      </c>
    </row>
    <row r="60" spans="4:73" hidden="1" x14ac:dyDescent="0.2">
      <c r="M60" s="315">
        <v>0</v>
      </c>
      <c r="N60" s="315">
        <v>0</v>
      </c>
      <c r="O60" s="315">
        <v>0</v>
      </c>
      <c r="P60" s="315">
        <v>0</v>
      </c>
      <c r="Q60" s="315">
        <v>0</v>
      </c>
      <c r="R60" s="315">
        <v>0</v>
      </c>
      <c r="S60" s="315">
        <v>0</v>
      </c>
      <c r="T60" s="315">
        <v>0</v>
      </c>
      <c r="U60" s="315">
        <v>0</v>
      </c>
      <c r="V60" s="315">
        <v>0</v>
      </c>
      <c r="W60" s="315">
        <v>0</v>
      </c>
      <c r="X60" s="315">
        <v>0</v>
      </c>
      <c r="Y60" s="315">
        <v>0</v>
      </c>
      <c r="Z60" s="315">
        <v>0</v>
      </c>
      <c r="AA60" s="315">
        <v>0</v>
      </c>
      <c r="AB60" s="315">
        <v>0</v>
      </c>
      <c r="AC60" s="315">
        <v>0</v>
      </c>
      <c r="AD60" s="315">
        <v>0</v>
      </c>
      <c r="AE60" s="315">
        <v>0</v>
      </c>
      <c r="AF60" s="315">
        <v>0</v>
      </c>
      <c r="AG60" s="315">
        <v>0</v>
      </c>
      <c r="AH60" s="315">
        <v>0</v>
      </c>
      <c r="AI60" s="315">
        <v>0</v>
      </c>
      <c r="AJ60" s="315">
        <v>0</v>
      </c>
      <c r="AK60" s="315">
        <v>0</v>
      </c>
      <c r="AL60" s="315">
        <v>0</v>
      </c>
      <c r="AM60" s="315">
        <v>0</v>
      </c>
      <c r="AN60" s="315">
        <v>0</v>
      </c>
      <c r="AO60" s="315">
        <v>0</v>
      </c>
      <c r="AP60" s="315">
        <v>0</v>
      </c>
      <c r="AQ60" s="315">
        <v>0</v>
      </c>
      <c r="AR60" s="315">
        <v>0</v>
      </c>
      <c r="AS60" s="315">
        <v>0</v>
      </c>
      <c r="AT60" s="315">
        <v>0</v>
      </c>
      <c r="AU60" s="315">
        <v>0</v>
      </c>
      <c r="AV60" s="315">
        <v>0</v>
      </c>
      <c r="AW60" s="315">
        <v>0</v>
      </c>
      <c r="AX60" s="315">
        <v>0</v>
      </c>
      <c r="AY60" s="315">
        <v>0</v>
      </c>
      <c r="AZ60" s="315">
        <v>0</v>
      </c>
      <c r="BA60" s="315">
        <v>0</v>
      </c>
      <c r="BB60" s="315">
        <v>0</v>
      </c>
      <c r="BC60" s="315">
        <v>0</v>
      </c>
      <c r="BD60" s="315">
        <v>0</v>
      </c>
      <c r="BE60" s="315">
        <v>0</v>
      </c>
      <c r="BF60" s="315">
        <v>0</v>
      </c>
      <c r="BG60" s="315">
        <v>0</v>
      </c>
      <c r="BH60" s="315">
        <v>0</v>
      </c>
      <c r="BI60" s="315">
        <v>0</v>
      </c>
      <c r="BJ60" s="315">
        <v>0</v>
      </c>
      <c r="BK60" s="315">
        <v>0</v>
      </c>
      <c r="BL60" s="315">
        <v>0</v>
      </c>
      <c r="BM60" s="315">
        <v>0</v>
      </c>
      <c r="BN60" s="315">
        <v>0</v>
      </c>
      <c r="BO60" s="315">
        <v>0</v>
      </c>
      <c r="BP60" s="315">
        <v>0</v>
      </c>
      <c r="BQ60" s="315">
        <v>0</v>
      </c>
      <c r="BR60" s="315">
        <v>0</v>
      </c>
      <c r="BS60" s="315">
        <v>0</v>
      </c>
      <c r="BT60" s="315">
        <v>0</v>
      </c>
      <c r="BU60" s="315">
        <v>0</v>
      </c>
    </row>
    <row r="61" spans="4:73" hidden="1" x14ac:dyDescent="0.2">
      <c r="M61" s="315">
        <v>0</v>
      </c>
      <c r="N61" s="315">
        <v>0</v>
      </c>
      <c r="O61" s="315">
        <v>0</v>
      </c>
      <c r="P61" s="315">
        <v>0</v>
      </c>
      <c r="Q61" s="315">
        <v>0</v>
      </c>
      <c r="R61" s="315">
        <v>0</v>
      </c>
      <c r="S61" s="315">
        <v>0</v>
      </c>
      <c r="T61" s="315">
        <v>0</v>
      </c>
      <c r="U61" s="315">
        <v>0</v>
      </c>
      <c r="V61" s="315">
        <v>0</v>
      </c>
      <c r="W61" s="315">
        <v>0</v>
      </c>
      <c r="X61" s="315">
        <v>0</v>
      </c>
      <c r="Y61" s="315">
        <v>0</v>
      </c>
      <c r="Z61" s="315">
        <v>0</v>
      </c>
      <c r="AA61" s="315">
        <v>0</v>
      </c>
      <c r="AB61" s="315">
        <v>0</v>
      </c>
      <c r="AC61" s="315">
        <v>0</v>
      </c>
      <c r="AD61" s="315">
        <v>0</v>
      </c>
      <c r="AE61" s="315">
        <v>0</v>
      </c>
      <c r="AF61" s="315">
        <v>0</v>
      </c>
      <c r="AG61" s="315">
        <v>0</v>
      </c>
      <c r="AH61" s="315">
        <v>0</v>
      </c>
      <c r="AI61" s="315">
        <v>0</v>
      </c>
      <c r="AJ61" s="315">
        <v>0</v>
      </c>
      <c r="AK61" s="315">
        <v>0</v>
      </c>
      <c r="AL61" s="315">
        <v>0</v>
      </c>
      <c r="AM61" s="315">
        <v>0</v>
      </c>
      <c r="AN61" s="315">
        <v>0</v>
      </c>
      <c r="AO61" s="315">
        <v>0</v>
      </c>
      <c r="AP61" s="315">
        <v>0</v>
      </c>
      <c r="AQ61" s="315">
        <v>0</v>
      </c>
      <c r="AR61" s="315">
        <v>0</v>
      </c>
      <c r="AS61" s="315">
        <v>0</v>
      </c>
      <c r="AT61" s="315">
        <v>0</v>
      </c>
      <c r="AU61" s="315">
        <v>0</v>
      </c>
      <c r="AV61" s="315">
        <v>0</v>
      </c>
      <c r="AW61" s="315">
        <v>0</v>
      </c>
      <c r="AX61" s="315">
        <v>0</v>
      </c>
      <c r="AY61" s="315">
        <v>0</v>
      </c>
      <c r="AZ61" s="315">
        <v>0</v>
      </c>
      <c r="BA61" s="315">
        <v>0</v>
      </c>
      <c r="BB61" s="315">
        <v>0</v>
      </c>
      <c r="BC61" s="315">
        <v>0</v>
      </c>
      <c r="BD61" s="315">
        <v>0</v>
      </c>
      <c r="BE61" s="315">
        <v>0</v>
      </c>
      <c r="BF61" s="315">
        <v>0</v>
      </c>
      <c r="BG61" s="315">
        <v>0</v>
      </c>
      <c r="BH61" s="315">
        <v>0</v>
      </c>
      <c r="BI61" s="315">
        <v>0</v>
      </c>
      <c r="BJ61" s="315">
        <v>0</v>
      </c>
      <c r="BK61" s="315">
        <v>0</v>
      </c>
      <c r="BL61" s="315">
        <v>0</v>
      </c>
      <c r="BM61" s="315">
        <v>0</v>
      </c>
      <c r="BN61" s="315">
        <v>0</v>
      </c>
      <c r="BO61" s="315">
        <v>0</v>
      </c>
      <c r="BP61" s="315">
        <v>-4402225.7110300008</v>
      </c>
      <c r="BQ61" s="315">
        <v>0</v>
      </c>
      <c r="BR61" s="315">
        <v>0</v>
      </c>
      <c r="BS61" s="315">
        <v>0</v>
      </c>
      <c r="BT61" s="315">
        <v>0</v>
      </c>
      <c r="BU61" s="315">
        <v>0</v>
      </c>
    </row>
    <row r="62" spans="4:73" hidden="1" x14ac:dyDescent="0.2">
      <c r="M62" s="315">
        <v>0</v>
      </c>
      <c r="N62" s="315">
        <v>0</v>
      </c>
      <c r="O62" s="315">
        <v>0</v>
      </c>
      <c r="P62" s="315">
        <v>0</v>
      </c>
      <c r="Q62" s="315">
        <v>0</v>
      </c>
      <c r="R62" s="315">
        <v>0</v>
      </c>
      <c r="S62" s="315">
        <v>0</v>
      </c>
      <c r="T62" s="315">
        <v>0</v>
      </c>
      <c r="U62" s="315">
        <v>0</v>
      </c>
      <c r="V62" s="315">
        <v>0</v>
      </c>
      <c r="W62" s="315">
        <v>0</v>
      </c>
      <c r="X62" s="315">
        <v>0</v>
      </c>
      <c r="Y62" s="315">
        <v>0</v>
      </c>
      <c r="Z62" s="315">
        <v>0</v>
      </c>
      <c r="AA62" s="315">
        <v>0</v>
      </c>
      <c r="AB62" s="315">
        <v>0</v>
      </c>
      <c r="AC62" s="315">
        <v>0</v>
      </c>
      <c r="AD62" s="315">
        <v>0</v>
      </c>
      <c r="AE62" s="315">
        <v>0</v>
      </c>
      <c r="AF62" s="315">
        <v>0</v>
      </c>
      <c r="AG62" s="315">
        <v>0</v>
      </c>
      <c r="AH62" s="315">
        <v>0</v>
      </c>
      <c r="AI62" s="315">
        <v>0</v>
      </c>
      <c r="AJ62" s="315">
        <v>0</v>
      </c>
      <c r="AK62" s="315">
        <v>0</v>
      </c>
      <c r="AL62" s="315">
        <v>0</v>
      </c>
      <c r="AM62" s="315">
        <v>0</v>
      </c>
      <c r="AN62" s="315">
        <v>0</v>
      </c>
      <c r="AO62" s="315">
        <v>0</v>
      </c>
      <c r="AP62" s="315">
        <v>0</v>
      </c>
      <c r="AQ62" s="315">
        <v>0</v>
      </c>
      <c r="AR62" s="315">
        <v>0</v>
      </c>
      <c r="AS62" s="315">
        <v>0</v>
      </c>
      <c r="AT62" s="315">
        <v>0</v>
      </c>
      <c r="AU62" s="315">
        <v>0</v>
      </c>
      <c r="AV62" s="315">
        <v>0</v>
      </c>
      <c r="AW62" s="315">
        <v>0</v>
      </c>
      <c r="AX62" s="315">
        <v>0</v>
      </c>
      <c r="AY62" s="315">
        <v>0</v>
      </c>
      <c r="AZ62" s="315">
        <v>0</v>
      </c>
      <c r="BA62" s="315">
        <v>0</v>
      </c>
      <c r="BB62" s="315">
        <v>0</v>
      </c>
      <c r="BC62" s="315">
        <v>0</v>
      </c>
      <c r="BD62" s="315">
        <v>0</v>
      </c>
      <c r="BE62" s="315">
        <v>0</v>
      </c>
      <c r="BF62" s="315">
        <v>0</v>
      </c>
      <c r="BG62" s="315">
        <v>0</v>
      </c>
      <c r="BH62" s="315">
        <v>0</v>
      </c>
      <c r="BI62" s="315">
        <v>0</v>
      </c>
      <c r="BJ62" s="315">
        <v>0</v>
      </c>
      <c r="BK62" s="315">
        <v>0</v>
      </c>
      <c r="BL62" s="315">
        <v>0</v>
      </c>
      <c r="BM62" s="315">
        <v>0</v>
      </c>
      <c r="BN62" s="315">
        <v>0</v>
      </c>
      <c r="BO62" s="315">
        <v>0</v>
      </c>
      <c r="BP62" s="315">
        <v>0</v>
      </c>
      <c r="BQ62" s="315">
        <v>0</v>
      </c>
      <c r="BR62" s="315">
        <v>0</v>
      </c>
      <c r="BS62" s="315">
        <v>0</v>
      </c>
      <c r="BT62" s="315">
        <v>0</v>
      </c>
      <c r="BU62" s="315">
        <v>0</v>
      </c>
    </row>
    <row r="63" spans="4:73" hidden="1" x14ac:dyDescent="0.2">
      <c r="M63" s="315">
        <v>496989</v>
      </c>
      <c r="N63" s="315">
        <v>0</v>
      </c>
      <c r="O63" s="315">
        <v>0</v>
      </c>
      <c r="P63" s="315">
        <v>0</v>
      </c>
      <c r="Q63" s="315">
        <v>0</v>
      </c>
      <c r="R63" s="315">
        <v>200900</v>
      </c>
      <c r="S63" s="315">
        <v>0</v>
      </c>
      <c r="T63" s="315">
        <v>0</v>
      </c>
      <c r="U63" s="315">
        <v>0</v>
      </c>
      <c r="V63" s="315">
        <v>0</v>
      </c>
      <c r="W63" s="315">
        <v>-237904</v>
      </c>
      <c r="X63" s="315">
        <v>0</v>
      </c>
      <c r="Y63" s="315">
        <v>0</v>
      </c>
      <c r="Z63" s="315">
        <v>0</v>
      </c>
      <c r="AA63" s="315">
        <v>0</v>
      </c>
      <c r="AB63" s="315">
        <v>-10033</v>
      </c>
      <c r="AC63" s="315">
        <v>0</v>
      </c>
      <c r="AD63" s="315">
        <v>0</v>
      </c>
      <c r="AE63" s="315">
        <v>0</v>
      </c>
      <c r="AF63" s="315">
        <v>0</v>
      </c>
      <c r="AG63" s="315">
        <v>1771190</v>
      </c>
      <c r="AH63" s="315">
        <v>0</v>
      </c>
      <c r="AI63" s="315">
        <v>0</v>
      </c>
      <c r="AJ63" s="315">
        <v>0</v>
      </c>
      <c r="AK63" s="315">
        <v>0</v>
      </c>
      <c r="AL63" s="315">
        <v>3601885</v>
      </c>
      <c r="AM63" s="315">
        <v>0</v>
      </c>
      <c r="AN63" s="315">
        <v>0</v>
      </c>
      <c r="AO63" s="315">
        <v>0</v>
      </c>
      <c r="AP63" s="315">
        <v>0</v>
      </c>
      <c r="AQ63" s="315">
        <v>810649</v>
      </c>
      <c r="AR63" s="315">
        <v>0</v>
      </c>
      <c r="AS63" s="315">
        <v>0</v>
      </c>
      <c r="AT63" s="315">
        <v>0</v>
      </c>
      <c r="AU63" s="315">
        <v>0</v>
      </c>
      <c r="AV63" s="315">
        <v>-6511671</v>
      </c>
      <c r="AW63" s="315">
        <v>0</v>
      </c>
      <c r="AX63" s="315">
        <v>0</v>
      </c>
      <c r="AY63" s="315">
        <v>0</v>
      </c>
      <c r="AZ63" s="315">
        <v>0</v>
      </c>
      <c r="BA63" s="315">
        <v>-560492</v>
      </c>
      <c r="BB63" s="315">
        <v>0</v>
      </c>
      <c r="BC63" s="315">
        <v>0</v>
      </c>
      <c r="BD63" s="315">
        <v>0</v>
      </c>
      <c r="BE63" s="315">
        <v>0</v>
      </c>
      <c r="BF63" s="315">
        <v>-2756088</v>
      </c>
      <c r="BG63" s="315">
        <v>0</v>
      </c>
      <c r="BH63" s="315">
        <v>0</v>
      </c>
      <c r="BI63" s="315">
        <v>0</v>
      </c>
      <c r="BJ63" s="315">
        <v>0</v>
      </c>
      <c r="BK63" s="315">
        <v>-8032775</v>
      </c>
      <c r="BL63" s="315">
        <v>0</v>
      </c>
      <c r="BM63" s="315">
        <v>0</v>
      </c>
      <c r="BN63" s="315">
        <v>0</v>
      </c>
      <c r="BO63" s="315">
        <v>0</v>
      </c>
      <c r="BP63" s="315">
        <v>-1796444</v>
      </c>
      <c r="BQ63" s="315">
        <v>0</v>
      </c>
      <c r="BR63" s="315">
        <v>0</v>
      </c>
      <c r="BS63" s="315">
        <v>0</v>
      </c>
      <c r="BT63" s="315">
        <v>0</v>
      </c>
      <c r="BU63" s="315">
        <v>6633676</v>
      </c>
    </row>
    <row r="64" spans="4:73" hidden="1" x14ac:dyDescent="0.2">
      <c r="M64" s="315">
        <v>496989</v>
      </c>
      <c r="N64" s="315">
        <v>0</v>
      </c>
      <c r="O64" s="315">
        <v>0</v>
      </c>
      <c r="P64" s="315">
        <v>0</v>
      </c>
      <c r="Q64" s="315">
        <v>0</v>
      </c>
      <c r="R64" s="315">
        <v>200900</v>
      </c>
      <c r="S64" s="315">
        <v>0</v>
      </c>
      <c r="T64" s="315">
        <v>0</v>
      </c>
      <c r="U64" s="315">
        <v>0</v>
      </c>
      <c r="V64" s="315">
        <v>0</v>
      </c>
      <c r="W64" s="315">
        <v>-237904</v>
      </c>
      <c r="X64" s="315">
        <v>0</v>
      </c>
      <c r="Y64" s="315">
        <v>0</v>
      </c>
      <c r="Z64" s="315">
        <v>0</v>
      </c>
      <c r="AA64" s="315">
        <v>0</v>
      </c>
      <c r="AB64" s="315">
        <v>-10033</v>
      </c>
      <c r="AC64" s="315">
        <v>0</v>
      </c>
      <c r="AD64" s="315">
        <v>0</v>
      </c>
      <c r="AE64" s="315">
        <v>0</v>
      </c>
      <c r="AF64" s="315">
        <v>0</v>
      </c>
      <c r="AG64" s="315">
        <v>1771190</v>
      </c>
      <c r="AH64" s="315">
        <v>0</v>
      </c>
      <c r="AI64" s="315">
        <v>0</v>
      </c>
      <c r="AJ64" s="315">
        <v>0</v>
      </c>
      <c r="AK64" s="315">
        <v>0</v>
      </c>
      <c r="AL64" s="315">
        <v>3601885</v>
      </c>
      <c r="AM64" s="315">
        <v>0</v>
      </c>
      <c r="AN64" s="315">
        <v>0</v>
      </c>
      <c r="AO64" s="315">
        <v>0</v>
      </c>
      <c r="AP64" s="315">
        <v>0</v>
      </c>
      <c r="AQ64" s="315">
        <v>810649</v>
      </c>
      <c r="AR64" s="315">
        <v>0</v>
      </c>
      <c r="AS64" s="315">
        <v>0</v>
      </c>
      <c r="AT64" s="315">
        <v>0</v>
      </c>
      <c r="AU64" s="315">
        <v>0</v>
      </c>
      <c r="AV64" s="315">
        <v>-6511671</v>
      </c>
      <c r="AW64" s="315">
        <v>0</v>
      </c>
      <c r="AX64" s="315">
        <v>0</v>
      </c>
      <c r="AY64" s="315">
        <v>0</v>
      </c>
      <c r="AZ64" s="315">
        <v>0</v>
      </c>
      <c r="BA64" s="315">
        <v>-560492</v>
      </c>
      <c r="BB64" s="315">
        <v>0</v>
      </c>
      <c r="BC64" s="315">
        <v>0</v>
      </c>
      <c r="BD64" s="315">
        <v>0</v>
      </c>
      <c r="BE64" s="315">
        <v>0</v>
      </c>
      <c r="BF64" s="315">
        <v>-2756088</v>
      </c>
      <c r="BG64" s="315">
        <v>0</v>
      </c>
      <c r="BH64" s="315">
        <v>0</v>
      </c>
      <c r="BI64" s="315">
        <v>0</v>
      </c>
      <c r="BJ64" s="315">
        <v>0</v>
      </c>
      <c r="BK64" s="315">
        <v>-8032775</v>
      </c>
      <c r="BL64" s="315">
        <v>0</v>
      </c>
      <c r="BM64" s="315">
        <v>0</v>
      </c>
      <c r="BN64" s="315">
        <v>0</v>
      </c>
      <c r="BO64" s="315">
        <v>0</v>
      </c>
      <c r="BP64" s="315">
        <v>-1796444</v>
      </c>
      <c r="BQ64" s="315">
        <v>0</v>
      </c>
      <c r="BR64" s="315">
        <v>0</v>
      </c>
      <c r="BS64" s="315">
        <v>0</v>
      </c>
      <c r="BT64" s="315">
        <v>0</v>
      </c>
      <c r="BU64" s="315">
        <v>6633676</v>
      </c>
    </row>
    <row r="65" spans="13:73" hidden="1" x14ac:dyDescent="0.2">
      <c r="M65" s="315" t="e">
        <v>#REF!</v>
      </c>
      <c r="N65" s="315" t="e">
        <v>#REF!</v>
      </c>
      <c r="O65" s="315" t="e">
        <v>#REF!</v>
      </c>
      <c r="P65" s="315" t="e">
        <v>#REF!</v>
      </c>
      <c r="Q65" s="315" t="e">
        <v>#REF!</v>
      </c>
      <c r="R65" s="315" t="e">
        <v>#REF!</v>
      </c>
      <c r="S65" s="315" t="e">
        <v>#REF!</v>
      </c>
      <c r="T65" s="315" t="e">
        <v>#REF!</v>
      </c>
      <c r="U65" s="315" t="e">
        <v>#REF!</v>
      </c>
      <c r="V65" s="315" t="e">
        <v>#REF!</v>
      </c>
      <c r="W65" s="315" t="e">
        <v>#REF!</v>
      </c>
      <c r="X65" s="315" t="e">
        <v>#REF!</v>
      </c>
      <c r="Y65" s="315" t="e">
        <v>#REF!</v>
      </c>
      <c r="Z65" s="315" t="e">
        <v>#REF!</v>
      </c>
      <c r="AA65" s="315" t="e">
        <v>#REF!</v>
      </c>
      <c r="AB65" s="315" t="e">
        <v>#REF!</v>
      </c>
      <c r="AC65" s="315" t="e">
        <v>#REF!</v>
      </c>
      <c r="AD65" s="315" t="e">
        <v>#REF!</v>
      </c>
      <c r="AE65" s="315" t="e">
        <v>#REF!</v>
      </c>
      <c r="AF65" s="315" t="e">
        <v>#REF!</v>
      </c>
      <c r="AG65" s="315" t="e">
        <v>#REF!</v>
      </c>
      <c r="AH65" s="315" t="e">
        <v>#REF!</v>
      </c>
      <c r="AI65" s="315" t="e">
        <v>#REF!</v>
      </c>
      <c r="AJ65" s="315" t="e">
        <v>#REF!</v>
      </c>
      <c r="AK65" s="315" t="e">
        <v>#REF!</v>
      </c>
      <c r="AL65" s="315" t="e">
        <v>#REF!</v>
      </c>
      <c r="AM65" s="315" t="e">
        <v>#REF!</v>
      </c>
      <c r="AN65" s="315" t="e">
        <v>#REF!</v>
      </c>
      <c r="AO65" s="315" t="e">
        <v>#REF!</v>
      </c>
      <c r="AP65" s="315" t="e">
        <v>#REF!</v>
      </c>
      <c r="AQ65" s="315" t="e">
        <v>#REF!</v>
      </c>
      <c r="AR65" s="315" t="e">
        <v>#REF!</v>
      </c>
      <c r="AS65" s="315" t="e">
        <v>#REF!</v>
      </c>
      <c r="AT65" s="315" t="e">
        <v>#REF!</v>
      </c>
      <c r="AU65" s="315" t="e">
        <v>#REF!</v>
      </c>
      <c r="AV65" s="315" t="e">
        <v>#REF!</v>
      </c>
      <c r="AW65" s="315" t="e">
        <v>#REF!</v>
      </c>
      <c r="AX65" s="315" t="e">
        <v>#REF!</v>
      </c>
      <c r="AY65" s="315" t="e">
        <v>#REF!</v>
      </c>
      <c r="AZ65" s="315" t="e">
        <v>#REF!</v>
      </c>
      <c r="BA65" s="315" t="e">
        <v>#REF!</v>
      </c>
      <c r="BB65" s="315" t="e">
        <v>#REF!</v>
      </c>
      <c r="BC65" s="315" t="e">
        <v>#REF!</v>
      </c>
      <c r="BD65" s="315" t="e">
        <v>#REF!</v>
      </c>
      <c r="BE65" s="315" t="e">
        <v>#REF!</v>
      </c>
      <c r="BF65" s="315" t="e">
        <v>#REF!</v>
      </c>
      <c r="BG65" s="315" t="e">
        <v>#REF!</v>
      </c>
      <c r="BH65" s="315" t="e">
        <v>#REF!</v>
      </c>
      <c r="BI65" s="315" t="e">
        <v>#REF!</v>
      </c>
      <c r="BJ65" s="315" t="e">
        <v>#REF!</v>
      </c>
      <c r="BK65" s="315" t="e">
        <v>#REF!</v>
      </c>
      <c r="BL65" s="315" t="e">
        <v>#REF!</v>
      </c>
      <c r="BM65" s="315" t="e">
        <v>#REF!</v>
      </c>
      <c r="BN65" s="315" t="e">
        <v>#REF!</v>
      </c>
      <c r="BO65" s="315" t="e">
        <v>#REF!</v>
      </c>
      <c r="BP65" s="315" t="e">
        <v>#REF!</v>
      </c>
      <c r="BQ65" s="315" t="e">
        <v>#REF!</v>
      </c>
      <c r="BR65" s="315" t="e">
        <v>#REF!</v>
      </c>
      <c r="BS65" s="315" t="e">
        <v>#REF!</v>
      </c>
      <c r="BT65" s="315" t="e">
        <v>#REF!</v>
      </c>
      <c r="BU65" s="315" t="e">
        <v>#REF!</v>
      </c>
    </row>
    <row r="66" spans="13:73" hidden="1" x14ac:dyDescent="0.2">
      <c r="M66" s="315">
        <v>0</v>
      </c>
      <c r="N66" s="315">
        <v>0</v>
      </c>
      <c r="O66" s="315">
        <v>0</v>
      </c>
      <c r="P66" s="315">
        <v>0</v>
      </c>
      <c r="Q66" s="315">
        <v>0</v>
      </c>
      <c r="R66" s="315">
        <v>0</v>
      </c>
      <c r="S66" s="315">
        <v>0</v>
      </c>
      <c r="T66" s="315">
        <v>0</v>
      </c>
      <c r="U66" s="315">
        <v>0</v>
      </c>
      <c r="V66" s="315">
        <v>0</v>
      </c>
      <c r="W66" s="315">
        <v>0</v>
      </c>
      <c r="X66" s="315">
        <v>0</v>
      </c>
      <c r="Y66" s="315">
        <v>0</v>
      </c>
      <c r="Z66" s="315">
        <v>0</v>
      </c>
      <c r="AA66" s="315">
        <v>0</v>
      </c>
      <c r="AB66" s="315">
        <v>0</v>
      </c>
      <c r="AC66" s="315">
        <v>0</v>
      </c>
      <c r="AD66" s="315">
        <v>0</v>
      </c>
      <c r="AE66" s="315">
        <v>0</v>
      </c>
      <c r="AF66" s="315">
        <v>0</v>
      </c>
      <c r="AG66" s="315">
        <v>0</v>
      </c>
      <c r="AH66" s="315">
        <v>0</v>
      </c>
      <c r="AI66" s="315">
        <v>0</v>
      </c>
      <c r="AJ66" s="315">
        <v>0</v>
      </c>
      <c r="AK66" s="315">
        <v>0</v>
      </c>
      <c r="AL66" s="315">
        <v>0</v>
      </c>
      <c r="AM66" s="315">
        <v>0</v>
      </c>
      <c r="AN66" s="315">
        <v>0</v>
      </c>
      <c r="AO66" s="315">
        <v>0</v>
      </c>
      <c r="AP66" s="315">
        <v>0</v>
      </c>
      <c r="AQ66" s="315">
        <v>0</v>
      </c>
      <c r="AR66" s="315">
        <v>0</v>
      </c>
      <c r="AS66" s="315">
        <v>0</v>
      </c>
      <c r="AT66" s="315">
        <v>0</v>
      </c>
      <c r="AU66" s="315">
        <v>0</v>
      </c>
      <c r="AV66" s="315">
        <v>0</v>
      </c>
      <c r="AW66" s="315">
        <v>0</v>
      </c>
      <c r="AX66" s="315">
        <v>0</v>
      </c>
      <c r="AY66" s="315">
        <v>0</v>
      </c>
      <c r="AZ66" s="315">
        <v>0</v>
      </c>
      <c r="BA66" s="315">
        <v>0</v>
      </c>
      <c r="BB66" s="315">
        <v>0</v>
      </c>
      <c r="BC66" s="315">
        <v>0</v>
      </c>
      <c r="BD66" s="315">
        <v>0</v>
      </c>
      <c r="BE66" s="315">
        <v>0</v>
      </c>
      <c r="BF66" s="315">
        <v>0</v>
      </c>
      <c r="BG66" s="315">
        <v>0</v>
      </c>
      <c r="BH66" s="315">
        <v>0</v>
      </c>
      <c r="BI66" s="315">
        <v>0</v>
      </c>
      <c r="BJ66" s="315">
        <v>0</v>
      </c>
      <c r="BK66" s="315">
        <v>0</v>
      </c>
      <c r="BL66" s="315">
        <v>0</v>
      </c>
      <c r="BM66" s="315">
        <v>0</v>
      </c>
      <c r="BN66" s="315">
        <v>0</v>
      </c>
      <c r="BO66" s="315">
        <v>0</v>
      </c>
      <c r="BP66" s="315">
        <v>0</v>
      </c>
      <c r="BQ66" s="315">
        <v>0</v>
      </c>
      <c r="BR66" s="315">
        <v>0</v>
      </c>
      <c r="BS66" s="315">
        <v>0</v>
      </c>
      <c r="BT66" s="315">
        <v>0</v>
      </c>
      <c r="BU66" s="315">
        <v>0</v>
      </c>
    </row>
    <row r="67" spans="13:73" hidden="1" x14ac:dyDescent="0.2">
      <c r="M67" s="315" t="e">
        <v>#REF!</v>
      </c>
      <c r="N67" s="315" t="e">
        <v>#REF!</v>
      </c>
      <c r="O67" s="315" t="e">
        <v>#REF!</v>
      </c>
      <c r="P67" s="315" t="e">
        <v>#REF!</v>
      </c>
      <c r="Q67" s="315" t="e">
        <v>#REF!</v>
      </c>
      <c r="R67" s="315" t="e">
        <v>#REF!</v>
      </c>
      <c r="S67" s="315" t="e">
        <v>#REF!</v>
      </c>
      <c r="T67" s="315" t="e">
        <v>#REF!</v>
      </c>
      <c r="U67" s="315" t="e">
        <v>#REF!</v>
      </c>
      <c r="V67" s="315" t="e">
        <v>#REF!</v>
      </c>
      <c r="W67" s="315" t="e">
        <v>#REF!</v>
      </c>
      <c r="X67" s="315" t="e">
        <v>#REF!</v>
      </c>
      <c r="Y67" s="315" t="e">
        <v>#REF!</v>
      </c>
      <c r="Z67" s="315" t="e">
        <v>#REF!</v>
      </c>
      <c r="AA67" s="315" t="e">
        <v>#REF!</v>
      </c>
      <c r="AB67" s="315" t="e">
        <v>#REF!</v>
      </c>
      <c r="AC67" s="315" t="e">
        <v>#REF!</v>
      </c>
      <c r="AD67" s="315" t="e">
        <v>#REF!</v>
      </c>
      <c r="AE67" s="315" t="e">
        <v>#REF!</v>
      </c>
      <c r="AF67" s="315" t="e">
        <v>#REF!</v>
      </c>
      <c r="AG67" s="315" t="e">
        <v>#REF!</v>
      </c>
      <c r="AH67" s="315" t="e">
        <v>#REF!</v>
      </c>
      <c r="AI67" s="315" t="e">
        <v>#REF!</v>
      </c>
      <c r="AJ67" s="315" t="e">
        <v>#REF!</v>
      </c>
      <c r="AK67" s="315" t="e">
        <v>#REF!</v>
      </c>
      <c r="AL67" s="315" t="e">
        <v>#REF!</v>
      </c>
      <c r="AM67" s="315" t="e">
        <v>#REF!</v>
      </c>
      <c r="AN67" s="315" t="e">
        <v>#REF!</v>
      </c>
      <c r="AO67" s="315" t="e">
        <v>#REF!</v>
      </c>
      <c r="AP67" s="315" t="e">
        <v>#REF!</v>
      </c>
      <c r="AQ67" s="315" t="e">
        <v>#REF!</v>
      </c>
      <c r="AR67" s="315" t="e">
        <v>#REF!</v>
      </c>
      <c r="AS67" s="315" t="e">
        <v>#REF!</v>
      </c>
      <c r="AT67" s="315" t="e">
        <v>#REF!</v>
      </c>
      <c r="AU67" s="315" t="e">
        <v>#REF!</v>
      </c>
      <c r="AV67" s="315" t="e">
        <v>#REF!</v>
      </c>
      <c r="AW67" s="315" t="e">
        <v>#REF!</v>
      </c>
      <c r="AX67" s="315" t="e">
        <v>#REF!</v>
      </c>
      <c r="AY67" s="315" t="e">
        <v>#REF!</v>
      </c>
      <c r="AZ67" s="315" t="e">
        <v>#REF!</v>
      </c>
      <c r="BA67" s="315" t="e">
        <v>#REF!</v>
      </c>
      <c r="BB67" s="315" t="e">
        <v>#REF!</v>
      </c>
      <c r="BC67" s="315" t="e">
        <v>#REF!</v>
      </c>
      <c r="BD67" s="315" t="e">
        <v>#REF!</v>
      </c>
      <c r="BE67" s="315" t="e">
        <v>#REF!</v>
      </c>
      <c r="BF67" s="315" t="e">
        <v>#REF!</v>
      </c>
      <c r="BG67" s="315" t="e">
        <v>#REF!</v>
      </c>
      <c r="BH67" s="315" t="e">
        <v>#REF!</v>
      </c>
      <c r="BI67" s="315" t="e">
        <v>#REF!</v>
      </c>
      <c r="BJ67" s="315" t="e">
        <v>#REF!</v>
      </c>
      <c r="BK67" s="315" t="e">
        <v>#REF!</v>
      </c>
      <c r="BL67" s="315" t="e">
        <v>#REF!</v>
      </c>
      <c r="BM67" s="315" t="e">
        <v>#REF!</v>
      </c>
      <c r="BN67" s="315" t="e">
        <v>#REF!</v>
      </c>
      <c r="BO67" s="315" t="e">
        <v>#REF!</v>
      </c>
      <c r="BP67" s="315" t="e">
        <v>#REF!</v>
      </c>
      <c r="BQ67" s="315" t="e">
        <v>#REF!</v>
      </c>
      <c r="BR67" s="315" t="e">
        <v>#REF!</v>
      </c>
      <c r="BS67" s="315" t="e">
        <v>#REF!</v>
      </c>
      <c r="BT67" s="315" t="e">
        <v>#REF!</v>
      </c>
      <c r="BU67" s="315" t="e">
        <v>#REF!</v>
      </c>
    </row>
    <row r="68" spans="13:73" hidden="1" x14ac:dyDescent="0.2">
      <c r="M68" s="315">
        <v>0</v>
      </c>
      <c r="N68" s="315">
        <v>0</v>
      </c>
      <c r="O68" s="315">
        <v>0</v>
      </c>
      <c r="P68" s="315">
        <v>0</v>
      </c>
      <c r="Q68" s="315">
        <v>0</v>
      </c>
      <c r="R68" s="315">
        <v>0</v>
      </c>
      <c r="S68" s="315">
        <v>0</v>
      </c>
      <c r="T68" s="315">
        <v>0</v>
      </c>
      <c r="U68" s="315">
        <v>0</v>
      </c>
      <c r="V68" s="315">
        <v>0</v>
      </c>
      <c r="W68" s="315">
        <v>5828</v>
      </c>
      <c r="X68" s="315">
        <v>0</v>
      </c>
      <c r="Y68" s="315">
        <v>0</v>
      </c>
      <c r="Z68" s="315">
        <v>0</v>
      </c>
      <c r="AA68" s="315">
        <v>0</v>
      </c>
      <c r="AB68" s="315">
        <v>28311</v>
      </c>
      <c r="AC68" s="315">
        <v>0</v>
      </c>
      <c r="AD68" s="315">
        <v>0</v>
      </c>
      <c r="AE68" s="315">
        <v>0</v>
      </c>
      <c r="AF68" s="315">
        <v>0</v>
      </c>
      <c r="AG68" s="315">
        <v>-30170</v>
      </c>
      <c r="AH68" s="315">
        <v>0</v>
      </c>
      <c r="AI68" s="315">
        <v>0</v>
      </c>
      <c r="AJ68" s="315">
        <v>0</v>
      </c>
      <c r="AK68" s="315">
        <v>0</v>
      </c>
      <c r="AL68" s="315">
        <v>470531</v>
      </c>
      <c r="AM68" s="315">
        <v>0</v>
      </c>
      <c r="AN68" s="315">
        <v>0</v>
      </c>
      <c r="AO68" s="315">
        <v>0</v>
      </c>
      <c r="AP68" s="315">
        <v>0</v>
      </c>
      <c r="AQ68" s="315">
        <v>-962616</v>
      </c>
      <c r="AR68" s="315">
        <v>0</v>
      </c>
      <c r="AS68" s="315">
        <v>0</v>
      </c>
      <c r="AT68" s="315">
        <v>0</v>
      </c>
      <c r="AU68" s="315">
        <v>0</v>
      </c>
      <c r="AV68" s="315">
        <v>266903</v>
      </c>
      <c r="AW68" s="315">
        <v>0</v>
      </c>
      <c r="AX68" s="315">
        <v>0</v>
      </c>
      <c r="AY68" s="315">
        <v>0</v>
      </c>
      <c r="AZ68" s="315">
        <v>0</v>
      </c>
      <c r="BA68" s="315">
        <v>0</v>
      </c>
      <c r="BB68" s="315">
        <v>0</v>
      </c>
      <c r="BC68" s="315">
        <v>0</v>
      </c>
      <c r="BD68" s="315">
        <v>0</v>
      </c>
      <c r="BE68" s="315">
        <v>0</v>
      </c>
      <c r="BF68" s="315">
        <v>0</v>
      </c>
      <c r="BG68" s="315">
        <v>0</v>
      </c>
      <c r="BH68" s="315">
        <v>0</v>
      </c>
      <c r="BI68" s="315">
        <v>0</v>
      </c>
      <c r="BJ68" s="315">
        <v>0</v>
      </c>
      <c r="BK68" s="315">
        <v>14320</v>
      </c>
      <c r="BL68" s="315">
        <v>0</v>
      </c>
      <c r="BM68" s="315">
        <v>0</v>
      </c>
      <c r="BN68" s="315">
        <v>0</v>
      </c>
      <c r="BO68" s="315">
        <v>0</v>
      </c>
      <c r="BP68" s="315">
        <v>21718</v>
      </c>
      <c r="BQ68" s="315">
        <v>0</v>
      </c>
      <c r="BR68" s="315">
        <v>0</v>
      </c>
      <c r="BS68" s="315">
        <v>0</v>
      </c>
      <c r="BT68" s="315">
        <v>0</v>
      </c>
      <c r="BU68" s="315">
        <v>-488116</v>
      </c>
    </row>
    <row r="69" spans="13:73" hidden="1" x14ac:dyDescent="0.2">
      <c r="M69" s="315">
        <v>0</v>
      </c>
      <c r="N69" s="315">
        <v>0</v>
      </c>
      <c r="O69" s="315">
        <v>0</v>
      </c>
      <c r="P69" s="315">
        <v>0</v>
      </c>
      <c r="Q69" s="315">
        <v>0</v>
      </c>
      <c r="R69" s="315">
        <v>0</v>
      </c>
      <c r="S69" s="315">
        <v>0</v>
      </c>
      <c r="T69" s="315">
        <v>0</v>
      </c>
      <c r="U69" s="315">
        <v>0</v>
      </c>
      <c r="V69" s="315">
        <v>0</v>
      </c>
      <c r="W69" s="315">
        <v>5828</v>
      </c>
      <c r="X69" s="315">
        <v>0</v>
      </c>
      <c r="Y69" s="315">
        <v>0</v>
      </c>
      <c r="Z69" s="315">
        <v>0</v>
      </c>
      <c r="AA69" s="315">
        <v>0</v>
      </c>
      <c r="AB69" s="315">
        <v>28311</v>
      </c>
      <c r="AC69" s="315">
        <v>0</v>
      </c>
      <c r="AD69" s="315">
        <v>0</v>
      </c>
      <c r="AE69" s="315">
        <v>0</v>
      </c>
      <c r="AF69" s="315">
        <v>0</v>
      </c>
      <c r="AG69" s="315">
        <v>-30170</v>
      </c>
      <c r="AH69" s="315">
        <v>0</v>
      </c>
      <c r="AI69" s="315">
        <v>0</v>
      </c>
      <c r="AJ69" s="315">
        <v>0</v>
      </c>
      <c r="AK69" s="315">
        <v>0</v>
      </c>
      <c r="AL69" s="315">
        <v>470531</v>
      </c>
      <c r="AM69" s="315">
        <v>0</v>
      </c>
      <c r="AN69" s="315">
        <v>0</v>
      </c>
      <c r="AO69" s="315">
        <v>0</v>
      </c>
      <c r="AP69" s="315">
        <v>0</v>
      </c>
      <c r="AQ69" s="315">
        <v>-962616</v>
      </c>
      <c r="AR69" s="315">
        <v>0</v>
      </c>
      <c r="AS69" s="315">
        <v>0</v>
      </c>
      <c r="AT69" s="315">
        <v>0</v>
      </c>
      <c r="AU69" s="315">
        <v>0</v>
      </c>
      <c r="AV69" s="315">
        <v>266903</v>
      </c>
      <c r="AW69" s="315">
        <v>0</v>
      </c>
      <c r="AX69" s="315">
        <v>0</v>
      </c>
      <c r="AY69" s="315">
        <v>0</v>
      </c>
      <c r="AZ69" s="315">
        <v>0</v>
      </c>
      <c r="BA69" s="315">
        <v>0</v>
      </c>
      <c r="BB69" s="315">
        <v>0</v>
      </c>
      <c r="BC69" s="315">
        <v>0</v>
      </c>
      <c r="BD69" s="315">
        <v>0</v>
      </c>
      <c r="BE69" s="315">
        <v>0</v>
      </c>
      <c r="BF69" s="315">
        <v>0</v>
      </c>
      <c r="BG69" s="315">
        <v>0</v>
      </c>
      <c r="BH69" s="315">
        <v>0</v>
      </c>
      <c r="BI69" s="315">
        <v>0</v>
      </c>
      <c r="BJ69" s="315">
        <v>0</v>
      </c>
      <c r="BK69" s="315">
        <v>14320</v>
      </c>
      <c r="BL69" s="315">
        <v>0</v>
      </c>
      <c r="BM69" s="315">
        <v>0</v>
      </c>
      <c r="BN69" s="315">
        <v>0</v>
      </c>
      <c r="BO69" s="315">
        <v>0</v>
      </c>
      <c r="BP69" s="315">
        <v>21718</v>
      </c>
      <c r="BQ69" s="315">
        <v>0</v>
      </c>
      <c r="BR69" s="315">
        <v>0</v>
      </c>
      <c r="BS69" s="315">
        <v>0</v>
      </c>
      <c r="BT69" s="315">
        <v>0</v>
      </c>
      <c r="BU69" s="315">
        <v>-488116</v>
      </c>
    </row>
    <row r="70" spans="13:73" hidden="1" x14ac:dyDescent="0.2">
      <c r="M70" s="315" t="e">
        <v>#REF!</v>
      </c>
      <c r="N70" s="315" t="e">
        <v>#REF!</v>
      </c>
      <c r="O70" s="315" t="e">
        <v>#REF!</v>
      </c>
      <c r="P70" s="315" t="e">
        <v>#REF!</v>
      </c>
      <c r="Q70" s="315" t="e">
        <v>#REF!</v>
      </c>
      <c r="R70" s="315" t="e">
        <v>#REF!</v>
      </c>
      <c r="S70" s="315" t="e">
        <v>#REF!</v>
      </c>
      <c r="T70" s="315" t="e">
        <v>#REF!</v>
      </c>
      <c r="U70" s="315" t="e">
        <v>#REF!</v>
      </c>
      <c r="V70" s="315" t="e">
        <v>#REF!</v>
      </c>
      <c r="W70" s="315" t="e">
        <v>#REF!</v>
      </c>
      <c r="X70" s="315" t="e">
        <v>#REF!</v>
      </c>
      <c r="Y70" s="315" t="e">
        <v>#REF!</v>
      </c>
      <c r="Z70" s="315" t="e">
        <v>#REF!</v>
      </c>
      <c r="AA70" s="315" t="e">
        <v>#REF!</v>
      </c>
      <c r="AB70" s="315" t="e">
        <v>#REF!</v>
      </c>
      <c r="AC70" s="315" t="e">
        <v>#REF!</v>
      </c>
      <c r="AD70" s="315" t="e">
        <v>#REF!</v>
      </c>
      <c r="AE70" s="315" t="e">
        <v>#REF!</v>
      </c>
      <c r="AF70" s="315" t="e">
        <v>#REF!</v>
      </c>
      <c r="AG70" s="315" t="e">
        <v>#REF!</v>
      </c>
      <c r="AH70" s="315" t="e">
        <v>#REF!</v>
      </c>
      <c r="AI70" s="315" t="e">
        <v>#REF!</v>
      </c>
      <c r="AJ70" s="315" t="e">
        <v>#REF!</v>
      </c>
      <c r="AK70" s="315" t="e">
        <v>#REF!</v>
      </c>
      <c r="AL70" s="315" t="e">
        <v>#REF!</v>
      </c>
      <c r="AM70" s="315" t="e">
        <v>#REF!</v>
      </c>
      <c r="AN70" s="315" t="e">
        <v>#REF!</v>
      </c>
      <c r="AO70" s="315" t="e">
        <v>#REF!</v>
      </c>
      <c r="AP70" s="315" t="e">
        <v>#REF!</v>
      </c>
      <c r="AQ70" s="315" t="e">
        <v>#REF!</v>
      </c>
      <c r="AR70" s="315" t="e">
        <v>#REF!</v>
      </c>
      <c r="AS70" s="315" t="e">
        <v>#REF!</v>
      </c>
      <c r="AT70" s="315" t="e">
        <v>#REF!</v>
      </c>
      <c r="AU70" s="315" t="e">
        <v>#REF!</v>
      </c>
      <c r="AV70" s="315" t="e">
        <v>#REF!</v>
      </c>
      <c r="AW70" s="315" t="e">
        <v>#REF!</v>
      </c>
      <c r="AX70" s="315" t="e">
        <v>#REF!</v>
      </c>
      <c r="AY70" s="315" t="e">
        <v>#REF!</v>
      </c>
      <c r="AZ70" s="315" t="e">
        <v>#REF!</v>
      </c>
      <c r="BA70" s="315" t="e">
        <v>#REF!</v>
      </c>
      <c r="BB70" s="315" t="e">
        <v>#REF!</v>
      </c>
      <c r="BC70" s="315" t="e">
        <v>#REF!</v>
      </c>
      <c r="BD70" s="315" t="e">
        <v>#REF!</v>
      </c>
      <c r="BE70" s="315" t="e">
        <v>#REF!</v>
      </c>
      <c r="BF70" s="315" t="e">
        <v>#REF!</v>
      </c>
      <c r="BG70" s="315" t="e">
        <v>#REF!</v>
      </c>
      <c r="BH70" s="315" t="e">
        <v>#REF!</v>
      </c>
      <c r="BI70" s="315" t="e">
        <v>#REF!</v>
      </c>
      <c r="BJ70" s="315" t="e">
        <v>#REF!</v>
      </c>
      <c r="BK70" s="315" t="e">
        <v>#REF!</v>
      </c>
      <c r="BL70" s="315" t="e">
        <v>#REF!</v>
      </c>
      <c r="BM70" s="315" t="e">
        <v>#REF!</v>
      </c>
      <c r="BN70" s="315" t="e">
        <v>#REF!</v>
      </c>
      <c r="BO70" s="315" t="e">
        <v>#REF!</v>
      </c>
      <c r="BP70" s="315" t="e">
        <v>#REF!</v>
      </c>
      <c r="BQ70" s="315" t="e">
        <v>#REF!</v>
      </c>
      <c r="BR70" s="315" t="e">
        <v>#REF!</v>
      </c>
      <c r="BS70" s="315" t="e">
        <v>#REF!</v>
      </c>
      <c r="BT70" s="315" t="e">
        <v>#REF!</v>
      </c>
      <c r="BU70" s="315" t="e">
        <v>#REF!</v>
      </c>
    </row>
    <row r="71" spans="13:73" hidden="1" x14ac:dyDescent="0.2">
      <c r="M71" s="315">
        <v>0</v>
      </c>
      <c r="N71" s="315">
        <v>0</v>
      </c>
      <c r="O71" s="315">
        <v>0</v>
      </c>
      <c r="P71" s="315">
        <v>0</v>
      </c>
      <c r="Q71" s="315">
        <v>0</v>
      </c>
      <c r="R71" s="315">
        <v>0</v>
      </c>
      <c r="S71" s="315">
        <v>0</v>
      </c>
      <c r="T71" s="315">
        <v>0</v>
      </c>
      <c r="U71" s="315">
        <v>0</v>
      </c>
      <c r="V71" s="315">
        <v>0</v>
      </c>
      <c r="W71" s="315">
        <v>0</v>
      </c>
      <c r="X71" s="315">
        <v>0</v>
      </c>
      <c r="Y71" s="315">
        <v>0</v>
      </c>
      <c r="Z71" s="315">
        <v>0</v>
      </c>
      <c r="AA71" s="315">
        <v>0</v>
      </c>
      <c r="AB71" s="315">
        <v>0</v>
      </c>
      <c r="AC71" s="315">
        <v>0</v>
      </c>
      <c r="AD71" s="315">
        <v>0</v>
      </c>
      <c r="AE71" s="315">
        <v>0</v>
      </c>
      <c r="AF71" s="315">
        <v>0</v>
      </c>
      <c r="AG71" s="315">
        <v>0</v>
      </c>
      <c r="AH71" s="315">
        <v>0</v>
      </c>
      <c r="AI71" s="315">
        <v>0</v>
      </c>
      <c r="AJ71" s="315">
        <v>0</v>
      </c>
      <c r="AK71" s="315">
        <v>0</v>
      </c>
      <c r="AL71" s="315">
        <v>0</v>
      </c>
      <c r="AM71" s="315">
        <v>0</v>
      </c>
      <c r="AN71" s="315">
        <v>0</v>
      </c>
      <c r="AO71" s="315">
        <v>0</v>
      </c>
      <c r="AP71" s="315">
        <v>0</v>
      </c>
      <c r="AQ71" s="315">
        <v>0</v>
      </c>
      <c r="AR71" s="315">
        <v>0</v>
      </c>
      <c r="AS71" s="315">
        <v>0</v>
      </c>
      <c r="AT71" s="315">
        <v>0</v>
      </c>
      <c r="AU71" s="315">
        <v>0</v>
      </c>
      <c r="AV71" s="315">
        <v>0</v>
      </c>
      <c r="AW71" s="315">
        <v>0</v>
      </c>
      <c r="AX71" s="315">
        <v>0</v>
      </c>
      <c r="AY71" s="315">
        <v>0</v>
      </c>
      <c r="AZ71" s="315">
        <v>0</v>
      </c>
      <c r="BA71" s="315">
        <v>0</v>
      </c>
      <c r="BB71" s="315">
        <v>0</v>
      </c>
      <c r="BC71" s="315">
        <v>0</v>
      </c>
      <c r="BD71" s="315">
        <v>0</v>
      </c>
      <c r="BE71" s="315">
        <v>0</v>
      </c>
      <c r="BF71" s="315">
        <v>0</v>
      </c>
      <c r="BG71" s="315">
        <v>0</v>
      </c>
      <c r="BH71" s="315">
        <v>0</v>
      </c>
      <c r="BI71" s="315">
        <v>0</v>
      </c>
      <c r="BJ71" s="315">
        <v>0</v>
      </c>
      <c r="BK71" s="315">
        <v>0</v>
      </c>
      <c r="BL71" s="315">
        <v>0</v>
      </c>
      <c r="BM71" s="315">
        <v>0</v>
      </c>
      <c r="BN71" s="315">
        <v>0</v>
      </c>
      <c r="BO71" s="315">
        <v>0</v>
      </c>
      <c r="BP71" s="315">
        <v>0</v>
      </c>
      <c r="BQ71" s="315">
        <v>0</v>
      </c>
      <c r="BR71" s="315">
        <v>0</v>
      </c>
      <c r="BS71" s="315">
        <v>0</v>
      </c>
      <c r="BT71" s="315">
        <v>0</v>
      </c>
      <c r="BU71" s="315">
        <v>0</v>
      </c>
    </row>
    <row r="72" spans="13:73" hidden="1" x14ac:dyDescent="0.2">
      <c r="M72" s="315" t="e">
        <v>#REF!</v>
      </c>
      <c r="N72" s="315" t="e">
        <v>#REF!</v>
      </c>
      <c r="O72" s="315" t="e">
        <v>#REF!</v>
      </c>
      <c r="P72" s="315" t="e">
        <v>#REF!</v>
      </c>
      <c r="Q72" s="315" t="e">
        <v>#REF!</v>
      </c>
      <c r="R72" s="315" t="e">
        <v>#REF!</v>
      </c>
      <c r="S72" s="315" t="e">
        <v>#REF!</v>
      </c>
      <c r="T72" s="315" t="e">
        <v>#REF!</v>
      </c>
      <c r="U72" s="315" t="e">
        <v>#REF!</v>
      </c>
      <c r="V72" s="315" t="e">
        <v>#REF!</v>
      </c>
      <c r="W72" s="315" t="e">
        <v>#REF!</v>
      </c>
      <c r="X72" s="315" t="e">
        <v>#REF!</v>
      </c>
      <c r="Y72" s="315" t="e">
        <v>#REF!</v>
      </c>
      <c r="Z72" s="315" t="e">
        <v>#REF!</v>
      </c>
      <c r="AA72" s="315" t="e">
        <v>#REF!</v>
      </c>
      <c r="AB72" s="315" t="e">
        <v>#REF!</v>
      </c>
      <c r="AC72" s="315" t="e">
        <v>#REF!</v>
      </c>
      <c r="AD72" s="315" t="e">
        <v>#REF!</v>
      </c>
      <c r="AE72" s="315" t="e">
        <v>#REF!</v>
      </c>
      <c r="AF72" s="315" t="e">
        <v>#REF!</v>
      </c>
      <c r="AG72" s="315" t="e">
        <v>#REF!</v>
      </c>
      <c r="AH72" s="315" t="e">
        <v>#REF!</v>
      </c>
      <c r="AI72" s="315" t="e">
        <v>#REF!</v>
      </c>
      <c r="AJ72" s="315" t="e">
        <v>#REF!</v>
      </c>
      <c r="AK72" s="315" t="e">
        <v>#REF!</v>
      </c>
      <c r="AL72" s="315" t="e">
        <v>#REF!</v>
      </c>
      <c r="AM72" s="315" t="e">
        <v>#REF!</v>
      </c>
      <c r="AN72" s="315" t="e">
        <v>#REF!</v>
      </c>
      <c r="AO72" s="315" t="e">
        <v>#REF!</v>
      </c>
      <c r="AP72" s="315" t="e">
        <v>#REF!</v>
      </c>
      <c r="AQ72" s="315" t="e">
        <v>#REF!</v>
      </c>
      <c r="AR72" s="315" t="e">
        <v>#REF!</v>
      </c>
      <c r="AS72" s="315" t="e">
        <v>#REF!</v>
      </c>
      <c r="AT72" s="315" t="e">
        <v>#REF!</v>
      </c>
      <c r="AU72" s="315" t="e">
        <v>#REF!</v>
      </c>
      <c r="AV72" s="315" t="e">
        <v>#REF!</v>
      </c>
      <c r="AW72" s="315" t="e">
        <v>#REF!</v>
      </c>
      <c r="AX72" s="315" t="e">
        <v>#REF!</v>
      </c>
      <c r="AY72" s="315" t="e">
        <v>#REF!</v>
      </c>
      <c r="AZ72" s="315" t="e">
        <v>#REF!</v>
      </c>
      <c r="BA72" s="315" t="e">
        <v>#REF!</v>
      </c>
      <c r="BB72" s="315" t="e">
        <v>#REF!</v>
      </c>
      <c r="BC72" s="315" t="e">
        <v>#REF!</v>
      </c>
      <c r="BD72" s="315" t="e">
        <v>#REF!</v>
      </c>
      <c r="BE72" s="315" t="e">
        <v>#REF!</v>
      </c>
      <c r="BF72" s="315" t="e">
        <v>#REF!</v>
      </c>
      <c r="BG72" s="315" t="e">
        <v>#REF!</v>
      </c>
      <c r="BH72" s="315" t="e">
        <v>#REF!</v>
      </c>
      <c r="BI72" s="315" t="e">
        <v>#REF!</v>
      </c>
      <c r="BJ72" s="315" t="e">
        <v>#REF!</v>
      </c>
      <c r="BK72" s="315" t="e">
        <v>#REF!</v>
      </c>
      <c r="BL72" s="315" t="e">
        <v>#REF!</v>
      </c>
      <c r="BM72" s="315" t="e">
        <v>#REF!</v>
      </c>
      <c r="BN72" s="315" t="e">
        <v>#REF!</v>
      </c>
      <c r="BO72" s="315" t="e">
        <v>#REF!</v>
      </c>
      <c r="BP72" s="315" t="e">
        <v>#REF!</v>
      </c>
      <c r="BQ72" s="315" t="e">
        <v>#REF!</v>
      </c>
      <c r="BR72" s="315" t="e">
        <v>#REF!</v>
      </c>
      <c r="BS72" s="315" t="e">
        <v>#REF!</v>
      </c>
      <c r="BT72" s="315" t="e">
        <v>#REF!</v>
      </c>
      <c r="BU72" s="315" t="e">
        <v>#REF!</v>
      </c>
    </row>
    <row r="73" spans="13:73" hidden="1" x14ac:dyDescent="0.2">
      <c r="M73" s="315" t="e">
        <v>#REF!</v>
      </c>
      <c r="N73" s="315" t="e">
        <v>#REF!</v>
      </c>
      <c r="O73" s="315" t="e">
        <v>#REF!</v>
      </c>
      <c r="P73" s="315" t="e">
        <v>#REF!</v>
      </c>
      <c r="Q73" s="315" t="e">
        <v>#REF!</v>
      </c>
      <c r="R73" s="315" t="e">
        <v>#REF!</v>
      </c>
      <c r="S73" s="315" t="e">
        <v>#REF!</v>
      </c>
      <c r="T73" s="315" t="e">
        <v>#REF!</v>
      </c>
      <c r="U73" s="315" t="e">
        <v>#REF!</v>
      </c>
      <c r="V73" s="315" t="e">
        <v>#REF!</v>
      </c>
      <c r="W73" s="315" t="e">
        <v>#REF!</v>
      </c>
      <c r="X73" s="315" t="e">
        <v>#REF!</v>
      </c>
      <c r="Y73" s="315" t="e">
        <v>#REF!</v>
      </c>
      <c r="Z73" s="315" t="e">
        <v>#REF!</v>
      </c>
      <c r="AA73" s="315" t="e">
        <v>#REF!</v>
      </c>
      <c r="AB73" s="315" t="e">
        <v>#REF!</v>
      </c>
      <c r="AC73" s="315" t="e">
        <v>#REF!</v>
      </c>
      <c r="AD73" s="315" t="e">
        <v>#REF!</v>
      </c>
      <c r="AE73" s="315" t="e">
        <v>#REF!</v>
      </c>
      <c r="AF73" s="315" t="e">
        <v>#REF!</v>
      </c>
      <c r="AG73" s="315" t="e">
        <v>#REF!</v>
      </c>
      <c r="AH73" s="315" t="e">
        <v>#REF!</v>
      </c>
      <c r="AI73" s="315" t="e">
        <v>#REF!</v>
      </c>
      <c r="AJ73" s="315" t="e">
        <v>#REF!</v>
      </c>
      <c r="AK73" s="315" t="e">
        <v>#REF!</v>
      </c>
      <c r="AL73" s="315" t="e">
        <v>#REF!</v>
      </c>
      <c r="AM73" s="315" t="e">
        <v>#REF!</v>
      </c>
      <c r="AN73" s="315" t="e">
        <v>#REF!</v>
      </c>
      <c r="AO73" s="315" t="e">
        <v>#REF!</v>
      </c>
      <c r="AP73" s="315" t="e">
        <v>#REF!</v>
      </c>
      <c r="AQ73" s="315" t="e">
        <v>#REF!</v>
      </c>
      <c r="AR73" s="315" t="e">
        <v>#REF!</v>
      </c>
      <c r="AS73" s="315" t="e">
        <v>#REF!</v>
      </c>
      <c r="AT73" s="315" t="e">
        <v>#REF!</v>
      </c>
      <c r="AU73" s="315" t="e">
        <v>#REF!</v>
      </c>
      <c r="AV73" s="315" t="e">
        <v>#REF!</v>
      </c>
      <c r="AW73" s="315" t="e">
        <v>#REF!</v>
      </c>
      <c r="AX73" s="315" t="e">
        <v>#REF!</v>
      </c>
      <c r="AY73" s="315" t="e">
        <v>#REF!</v>
      </c>
      <c r="AZ73" s="315" t="e">
        <v>#REF!</v>
      </c>
      <c r="BA73" s="315" t="e">
        <v>#REF!</v>
      </c>
      <c r="BB73" s="315" t="e">
        <v>#REF!</v>
      </c>
      <c r="BC73" s="315" t="e">
        <v>#REF!</v>
      </c>
      <c r="BD73" s="315" t="e">
        <v>#REF!</v>
      </c>
      <c r="BE73" s="315" t="e">
        <v>#REF!</v>
      </c>
      <c r="BF73" s="315" t="e">
        <v>#REF!</v>
      </c>
      <c r="BG73" s="315" t="e">
        <v>#REF!</v>
      </c>
      <c r="BH73" s="315" t="e">
        <v>#REF!</v>
      </c>
      <c r="BI73" s="315" t="e">
        <v>#REF!</v>
      </c>
      <c r="BJ73" s="315" t="e">
        <v>#REF!</v>
      </c>
      <c r="BK73" s="315" t="e">
        <v>#REF!</v>
      </c>
      <c r="BL73" s="315" t="e">
        <v>#REF!</v>
      </c>
      <c r="BM73" s="315" t="e">
        <v>#REF!</v>
      </c>
      <c r="BN73" s="315" t="e">
        <v>#REF!</v>
      </c>
      <c r="BO73" s="315" t="e">
        <v>#REF!</v>
      </c>
      <c r="BP73" s="315" t="e">
        <v>#REF!</v>
      </c>
      <c r="BQ73" s="315" t="e">
        <v>#REF!</v>
      </c>
      <c r="BR73" s="315" t="e">
        <v>#REF!</v>
      </c>
      <c r="BS73" s="315" t="e">
        <v>#REF!</v>
      </c>
      <c r="BT73" s="315" t="e">
        <v>#REF!</v>
      </c>
      <c r="BU73" s="315" t="e">
        <v>#REF!</v>
      </c>
    </row>
    <row r="74" spans="13:73" hidden="1" x14ac:dyDescent="0.2">
      <c r="M74" s="315">
        <v>-38742864.991130024</v>
      </c>
      <c r="N74" s="315">
        <v>0</v>
      </c>
      <c r="O74" s="315">
        <v>0</v>
      </c>
      <c r="P74" s="315">
        <v>0</v>
      </c>
      <c r="Q74" s="315">
        <v>0</v>
      </c>
      <c r="R74" s="315">
        <v>6971333.5270099938</v>
      </c>
      <c r="S74" s="315">
        <v>0</v>
      </c>
      <c r="T74" s="315">
        <v>0</v>
      </c>
      <c r="U74" s="315">
        <v>0</v>
      </c>
      <c r="V74" s="315">
        <v>0</v>
      </c>
      <c r="W74" s="315">
        <v>369480.87553995848</v>
      </c>
      <c r="X74" s="315">
        <v>0</v>
      </c>
      <c r="Y74" s="315">
        <v>0</v>
      </c>
      <c r="Z74" s="315">
        <v>0</v>
      </c>
      <c r="AA74" s="315">
        <v>0</v>
      </c>
      <c r="AB74" s="315">
        <v>-643913.17776992917</v>
      </c>
      <c r="AC74" s="315">
        <v>0</v>
      </c>
      <c r="AD74" s="315">
        <v>0</v>
      </c>
      <c r="AE74" s="315">
        <v>0</v>
      </c>
      <c r="AF74" s="315">
        <v>0</v>
      </c>
      <c r="AG74" s="315">
        <v>8370305.3480359912</v>
      </c>
      <c r="AH74" s="315">
        <v>0</v>
      </c>
      <c r="AI74" s="315">
        <v>0</v>
      </c>
      <c r="AJ74" s="315">
        <v>0</v>
      </c>
      <c r="AK74" s="315">
        <v>0</v>
      </c>
      <c r="AL74" s="315">
        <v>-10568059.458700016</v>
      </c>
      <c r="AM74" s="315">
        <v>0</v>
      </c>
      <c r="AN74" s="315">
        <v>0</v>
      </c>
      <c r="AO74" s="315">
        <v>0</v>
      </c>
      <c r="AP74" s="315">
        <v>0</v>
      </c>
      <c r="AQ74" s="315">
        <v>-4684965.7034000158</v>
      </c>
      <c r="AR74" s="315">
        <v>0</v>
      </c>
      <c r="AS74" s="315">
        <v>0</v>
      </c>
      <c r="AT74" s="315">
        <v>0</v>
      </c>
      <c r="AU74" s="315">
        <v>0</v>
      </c>
      <c r="AV74" s="315">
        <v>-10616591.319769949</v>
      </c>
      <c r="AW74" s="315">
        <v>0</v>
      </c>
      <c r="AX74" s="315">
        <v>0</v>
      </c>
      <c r="AY74" s="315">
        <v>0</v>
      </c>
      <c r="AZ74" s="315">
        <v>0</v>
      </c>
      <c r="BA74" s="315">
        <v>-383769.56102001667</v>
      </c>
      <c r="BB74" s="315">
        <v>0</v>
      </c>
      <c r="BC74" s="315">
        <v>0</v>
      </c>
      <c r="BD74" s="315">
        <v>0</v>
      </c>
      <c r="BE74" s="315">
        <v>0</v>
      </c>
      <c r="BF74" s="315">
        <v>-4427766.5460499972</v>
      </c>
      <c r="BG74" s="315">
        <v>0</v>
      </c>
      <c r="BH74" s="315">
        <v>0</v>
      </c>
      <c r="BI74" s="315">
        <v>0</v>
      </c>
      <c r="BJ74" s="315">
        <v>0</v>
      </c>
      <c r="BK74" s="315">
        <v>19891534.173719943</v>
      </c>
      <c r="BL74" s="315">
        <v>0</v>
      </c>
      <c r="BM74" s="315">
        <v>0</v>
      </c>
      <c r="BN74" s="315">
        <v>0</v>
      </c>
      <c r="BO74" s="315">
        <v>0</v>
      </c>
      <c r="BP74" s="315">
        <v>-16555653.150080025</v>
      </c>
      <c r="BQ74" s="315">
        <v>0</v>
      </c>
      <c r="BR74" s="315">
        <v>0</v>
      </c>
      <c r="BS74" s="315">
        <v>0</v>
      </c>
      <c r="BT74" s="315">
        <v>0</v>
      </c>
      <c r="BU74" s="315">
        <v>-38928683.580414042</v>
      </c>
    </row>
    <row r="75" spans="13:73" hidden="1" x14ac:dyDescent="0.2">
      <c r="M75" s="315">
        <v>0</v>
      </c>
      <c r="N75" s="315">
        <v>0</v>
      </c>
      <c r="O75" s="315">
        <v>0</v>
      </c>
      <c r="P75" s="315">
        <v>0</v>
      </c>
      <c r="Q75" s="315">
        <v>0</v>
      </c>
      <c r="R75" s="315">
        <v>0</v>
      </c>
      <c r="S75" s="315">
        <v>0</v>
      </c>
      <c r="T75" s="315">
        <v>0</v>
      </c>
      <c r="U75" s="315">
        <v>0</v>
      </c>
      <c r="V75" s="315">
        <v>0</v>
      </c>
      <c r="W75" s="315">
        <v>0</v>
      </c>
      <c r="X75" s="315">
        <v>0</v>
      </c>
      <c r="Y75" s="315">
        <v>0</v>
      </c>
      <c r="Z75" s="315">
        <v>0</v>
      </c>
      <c r="AA75" s="315">
        <v>0</v>
      </c>
      <c r="AB75" s="315">
        <v>0</v>
      </c>
      <c r="AC75" s="315">
        <v>0</v>
      </c>
      <c r="AD75" s="315">
        <v>0</v>
      </c>
      <c r="AE75" s="315">
        <v>0</v>
      </c>
      <c r="AF75" s="315">
        <v>0</v>
      </c>
      <c r="AG75" s="315">
        <v>0</v>
      </c>
      <c r="AH75" s="315">
        <v>0</v>
      </c>
      <c r="AI75" s="315">
        <v>0</v>
      </c>
      <c r="AJ75" s="315">
        <v>0</v>
      </c>
      <c r="AK75" s="315">
        <v>0</v>
      </c>
      <c r="AL75" s="315">
        <v>0</v>
      </c>
      <c r="AM75" s="315">
        <v>0</v>
      </c>
      <c r="AN75" s="315">
        <v>0</v>
      </c>
      <c r="AO75" s="315">
        <v>0</v>
      </c>
      <c r="AP75" s="315">
        <v>0</v>
      </c>
      <c r="AQ75" s="315">
        <v>0</v>
      </c>
      <c r="AR75" s="315">
        <v>0</v>
      </c>
      <c r="AS75" s="315">
        <v>0</v>
      </c>
      <c r="AT75" s="315">
        <v>0</v>
      </c>
      <c r="AU75" s="315">
        <v>0</v>
      </c>
      <c r="AV75" s="315">
        <v>0</v>
      </c>
      <c r="AW75" s="315">
        <v>0</v>
      </c>
      <c r="AX75" s="315">
        <v>0</v>
      </c>
      <c r="AY75" s="315">
        <v>0</v>
      </c>
      <c r="AZ75" s="315">
        <v>0</v>
      </c>
      <c r="BA75" s="315">
        <v>0</v>
      </c>
      <c r="BB75" s="315">
        <v>0</v>
      </c>
      <c r="BC75" s="315">
        <v>0</v>
      </c>
      <c r="BD75" s="315">
        <v>0</v>
      </c>
      <c r="BE75" s="315">
        <v>0</v>
      </c>
      <c r="BF75" s="315">
        <v>0</v>
      </c>
      <c r="BG75" s="315">
        <v>0</v>
      </c>
      <c r="BH75" s="315">
        <v>0</v>
      </c>
      <c r="BI75" s="315">
        <v>0</v>
      </c>
      <c r="BJ75" s="315">
        <v>0</v>
      </c>
      <c r="BK75" s="315">
        <v>0</v>
      </c>
      <c r="BL75" s="315">
        <v>0</v>
      </c>
      <c r="BM75" s="315">
        <v>0</v>
      </c>
      <c r="BN75" s="315">
        <v>0</v>
      </c>
      <c r="BO75" s="315">
        <v>0</v>
      </c>
      <c r="BP75" s="315">
        <v>0</v>
      </c>
      <c r="BQ75" s="315">
        <v>0</v>
      </c>
      <c r="BR75" s="315">
        <v>0</v>
      </c>
      <c r="BS75" s="315">
        <v>0</v>
      </c>
      <c r="BT75" s="315">
        <v>0</v>
      </c>
      <c r="BU75" s="315">
        <v>0</v>
      </c>
    </row>
    <row r="76" spans="13:73" hidden="1" x14ac:dyDescent="0.2">
      <c r="M76" s="315">
        <v>-66753804.991130024</v>
      </c>
      <c r="N76" s="315">
        <v>0</v>
      </c>
      <c r="O76" s="315">
        <v>0</v>
      </c>
      <c r="P76" s="315">
        <v>0</v>
      </c>
      <c r="Q76" s="315">
        <v>0</v>
      </c>
      <c r="R76" s="315">
        <v>22051245.527009994</v>
      </c>
      <c r="S76" s="315">
        <v>0</v>
      </c>
      <c r="T76" s="315">
        <v>0</v>
      </c>
      <c r="U76" s="315">
        <v>0</v>
      </c>
      <c r="V76" s="315">
        <v>0</v>
      </c>
      <c r="W76" s="315">
        <v>5176214.8755399585</v>
      </c>
      <c r="X76" s="315">
        <v>0</v>
      </c>
      <c r="Y76" s="315">
        <v>0</v>
      </c>
      <c r="Z76" s="315">
        <v>0</v>
      </c>
      <c r="AA76" s="315">
        <v>0</v>
      </c>
      <c r="AB76" s="315">
        <v>-29936119.177769929</v>
      </c>
      <c r="AC76" s="315">
        <v>0</v>
      </c>
      <c r="AD76" s="315">
        <v>0</v>
      </c>
      <c r="AE76" s="315">
        <v>0</v>
      </c>
      <c r="AF76" s="315">
        <v>0</v>
      </c>
      <c r="AG76" s="315">
        <v>-1394560.6519640088</v>
      </c>
      <c r="AH76" s="315">
        <v>0</v>
      </c>
      <c r="AI76" s="315">
        <v>0</v>
      </c>
      <c r="AJ76" s="315">
        <v>0</v>
      </c>
      <c r="AK76" s="315">
        <v>0</v>
      </c>
      <c r="AL76" s="315">
        <v>-18035102.458700016</v>
      </c>
      <c r="AM76" s="315">
        <v>0</v>
      </c>
      <c r="AN76" s="315">
        <v>0</v>
      </c>
      <c r="AO76" s="315">
        <v>0</v>
      </c>
      <c r="AP76" s="315">
        <v>0</v>
      </c>
      <c r="AQ76" s="315">
        <v>6919219.2965999842</v>
      </c>
      <c r="AR76" s="315">
        <v>0</v>
      </c>
      <c r="AS76" s="315">
        <v>0</v>
      </c>
      <c r="AT76" s="315">
        <v>0</v>
      </c>
      <c r="AU76" s="315">
        <v>0</v>
      </c>
      <c r="AV76" s="315">
        <v>311607805.68023002</v>
      </c>
      <c r="AW76" s="315">
        <v>0</v>
      </c>
      <c r="AX76" s="315">
        <v>0</v>
      </c>
      <c r="AY76" s="315">
        <v>0</v>
      </c>
      <c r="AZ76" s="315">
        <v>0</v>
      </c>
      <c r="BA76" s="315">
        <v>60800389.438979983</v>
      </c>
      <c r="BB76" s="315">
        <v>0</v>
      </c>
      <c r="BC76" s="315">
        <v>0</v>
      </c>
      <c r="BD76" s="315">
        <v>0</v>
      </c>
      <c r="BE76" s="315">
        <v>0</v>
      </c>
      <c r="BF76" s="315">
        <v>-104635309.54605</v>
      </c>
      <c r="BG76" s="315">
        <v>0</v>
      </c>
      <c r="BH76" s="315">
        <v>0</v>
      </c>
      <c r="BI76" s="315">
        <v>0</v>
      </c>
      <c r="BJ76" s="315">
        <v>0</v>
      </c>
      <c r="BK76" s="315">
        <v>24028968.173719943</v>
      </c>
      <c r="BL76" s="315">
        <v>0</v>
      </c>
      <c r="BM76" s="315">
        <v>0</v>
      </c>
      <c r="BN76" s="315">
        <v>0</v>
      </c>
      <c r="BO76" s="315">
        <v>0</v>
      </c>
      <c r="BP76" s="315">
        <v>-7827946.861110026</v>
      </c>
      <c r="BQ76" s="315">
        <v>0</v>
      </c>
      <c r="BR76" s="315">
        <v>0</v>
      </c>
      <c r="BS76" s="315">
        <v>0</v>
      </c>
      <c r="BT76" s="315">
        <v>0</v>
      </c>
      <c r="BU76" s="315">
        <v>-81972907.580414042</v>
      </c>
    </row>
    <row r="77" spans="13:73" hidden="1" x14ac:dyDescent="0.2"/>
    <row r="78" spans="13:73" hidden="1" x14ac:dyDescent="0.2"/>
    <row r="79" spans="13:73" hidden="1" x14ac:dyDescent="0.2"/>
    <row r="80" spans="13:73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</sheetData>
  <mergeCells count="2">
    <mergeCell ref="H8:BU8"/>
    <mergeCell ref="D36:BU36"/>
  </mergeCells>
  <pageMargins left="0.70866141732283472" right="0.70866141732283472" top="0.74803149606299213" bottom="0.74803149606299213" header="0.31496062992125984" footer="0.31496062992125984"/>
  <pageSetup paperSize="9" scale="4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M306"/>
  <sheetViews>
    <sheetView view="pageBreakPreview" topLeftCell="A55" zoomScaleNormal="100" zoomScaleSheetLayoutView="100" workbookViewId="0">
      <selection activeCell="V4" sqref="V1:Z1048576"/>
    </sheetView>
  </sheetViews>
  <sheetFormatPr defaultColWidth="8.85546875" defaultRowHeight="12.75" x14ac:dyDescent="0.2"/>
  <cols>
    <col min="1" max="1" width="1.7109375" style="18" customWidth="1"/>
    <col min="2" max="2" width="3" style="18" customWidth="1"/>
    <col min="3" max="4" width="1.85546875" style="18" customWidth="1"/>
    <col min="5" max="5" width="77.5703125" style="18" bestFit="1" customWidth="1"/>
    <col min="6" max="6" width="3.85546875" style="52" customWidth="1"/>
    <col min="7" max="14" width="15.7109375" style="18" customWidth="1"/>
    <col min="15" max="19" width="15.7109375" style="18" hidden="1" customWidth="1"/>
    <col min="20" max="20" width="15.7109375" style="18" customWidth="1"/>
    <col min="21" max="21" width="3" style="18" customWidth="1"/>
    <col min="22" max="22" width="1.7109375" style="18" customWidth="1"/>
    <col min="23" max="23" width="16.42578125" style="18" customWidth="1"/>
    <col min="24" max="24" width="12.5703125" style="18" customWidth="1"/>
    <col min="25" max="25" width="12" style="18" customWidth="1"/>
    <col min="26" max="26" width="4.42578125" style="18" bestFit="1" customWidth="1"/>
    <col min="27" max="27" width="12.42578125" style="18" bestFit="1" customWidth="1"/>
    <col min="28" max="28" width="8" style="18" customWidth="1"/>
    <col min="29" max="29" width="11.140625" style="18" bestFit="1" customWidth="1"/>
    <col min="30" max="16384" width="8.85546875" style="18"/>
  </cols>
  <sheetData>
    <row r="1" spans="1:29" hidden="1" x14ac:dyDescent="0.2">
      <c r="B1" s="40"/>
      <c r="C1" s="40"/>
      <c r="D1" s="40"/>
      <c r="E1" s="317"/>
      <c r="F1" s="147"/>
      <c r="G1" s="40"/>
      <c r="H1" s="40"/>
      <c r="I1" s="40"/>
      <c r="J1" s="40"/>
      <c r="K1" s="40"/>
      <c r="L1" s="40"/>
      <c r="M1" s="40"/>
      <c r="N1" s="318"/>
      <c r="O1" s="318"/>
      <c r="P1" s="40"/>
      <c r="Q1" s="318"/>
      <c r="R1" s="390"/>
      <c r="S1" s="40"/>
      <c r="T1" s="528"/>
      <c r="U1" s="40"/>
    </row>
    <row r="2" spans="1:29" hidden="1" x14ac:dyDescent="0.2">
      <c r="A2" s="40"/>
      <c r="B2" s="40"/>
      <c r="C2" s="40"/>
      <c r="D2" s="40"/>
      <c r="E2" s="40"/>
      <c r="F2" s="296"/>
      <c r="G2" s="40"/>
      <c r="H2" s="40"/>
      <c r="I2" s="40"/>
      <c r="J2" s="40"/>
      <c r="K2" s="318"/>
      <c r="L2" s="390"/>
      <c r="M2" s="390"/>
      <c r="N2" s="318"/>
      <c r="O2" s="529"/>
      <c r="P2" s="40"/>
      <c r="Q2" s="318"/>
      <c r="R2" s="40"/>
      <c r="S2" s="40"/>
      <c r="T2" s="530"/>
      <c r="U2" s="40"/>
      <c r="V2" s="40"/>
    </row>
    <row r="3" spans="1:29" hidden="1" x14ac:dyDescent="0.2">
      <c r="A3" s="40"/>
      <c r="B3" s="40"/>
      <c r="C3" s="40"/>
      <c r="D3" s="40"/>
      <c r="E3" s="40"/>
      <c r="F3" s="296"/>
      <c r="G3" s="40"/>
      <c r="H3" s="40"/>
      <c r="I3" s="40"/>
      <c r="J3" s="40"/>
      <c r="K3" s="531"/>
      <c r="L3" s="390"/>
      <c r="M3" s="433"/>
      <c r="N3" s="318"/>
      <c r="O3" s="390"/>
      <c r="P3" s="390"/>
      <c r="Q3" s="390"/>
      <c r="R3" s="390"/>
      <c r="S3" s="390"/>
      <c r="T3" s="390"/>
      <c r="U3" s="40"/>
      <c r="V3" s="40"/>
    </row>
    <row r="4" spans="1:29" x14ac:dyDescent="0.2">
      <c r="A4" s="40"/>
      <c r="B4" s="40"/>
      <c r="D4" s="40"/>
      <c r="E4" s="40"/>
      <c r="F4" s="296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317"/>
      <c r="U4" s="40"/>
      <c r="V4" s="40"/>
    </row>
    <row r="5" spans="1:29" ht="15.75" x14ac:dyDescent="0.25">
      <c r="A5" s="40"/>
      <c r="B5" s="40"/>
      <c r="C5" s="4" t="s">
        <v>304</v>
      </c>
      <c r="D5" s="40"/>
      <c r="E5" s="40"/>
      <c r="F5" s="296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315"/>
    </row>
    <row r="6" spans="1:29" x14ac:dyDescent="0.2">
      <c r="A6" s="40"/>
      <c r="B6" s="532"/>
      <c r="C6" s="533"/>
      <c r="D6" s="534"/>
      <c r="E6" s="534"/>
      <c r="F6" s="278"/>
      <c r="G6" s="700" t="s">
        <v>1</v>
      </c>
      <c r="H6" s="713"/>
      <c r="I6" s="713"/>
      <c r="J6" s="713"/>
      <c r="K6" s="713"/>
      <c r="L6" s="713"/>
      <c r="M6" s="713"/>
      <c r="N6" s="713"/>
      <c r="O6" s="713"/>
      <c r="P6" s="713"/>
      <c r="Q6" s="713"/>
      <c r="R6" s="713"/>
      <c r="S6" s="713"/>
      <c r="T6" s="714"/>
      <c r="U6" s="16"/>
      <c r="V6" s="40"/>
    </row>
    <row r="7" spans="1:29" ht="15.75" customHeight="1" x14ac:dyDescent="0.2">
      <c r="A7" s="40"/>
      <c r="B7" s="532"/>
      <c r="C7" s="14"/>
      <c r="D7" s="5"/>
      <c r="E7" s="5"/>
      <c r="F7" s="125"/>
      <c r="G7" s="126" t="s">
        <v>3</v>
      </c>
      <c r="H7" s="139" t="s">
        <v>4</v>
      </c>
      <c r="I7" s="139" t="s">
        <v>5</v>
      </c>
      <c r="J7" s="139" t="s">
        <v>6</v>
      </c>
      <c r="K7" s="139" t="s">
        <v>7</v>
      </c>
      <c r="L7" s="126" t="s">
        <v>8</v>
      </c>
      <c r="M7" s="126" t="s">
        <v>9</v>
      </c>
      <c r="N7" s="139" t="s">
        <v>10</v>
      </c>
      <c r="O7" s="126" t="s">
        <v>11</v>
      </c>
      <c r="P7" s="139" t="s">
        <v>12</v>
      </c>
      <c r="Q7" s="126" t="s">
        <v>13</v>
      </c>
      <c r="R7" s="139" t="s">
        <v>14</v>
      </c>
      <c r="S7" s="126" t="s">
        <v>15</v>
      </c>
      <c r="T7" s="126" t="s">
        <v>16</v>
      </c>
      <c r="U7" s="16"/>
      <c r="V7" s="40"/>
      <c r="W7" s="433"/>
      <c r="AA7" s="17"/>
    </row>
    <row r="8" spans="1:29" x14ac:dyDescent="0.2">
      <c r="A8" s="40"/>
      <c r="B8" s="532"/>
      <c r="C8" s="25" t="s">
        <v>17</v>
      </c>
      <c r="D8" s="26"/>
      <c r="E8" s="26"/>
      <c r="F8" s="30"/>
      <c r="G8" s="285" t="s">
        <v>19</v>
      </c>
      <c r="H8" s="31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16"/>
      <c r="V8" s="40"/>
      <c r="W8" s="536"/>
    </row>
    <row r="9" spans="1:29" x14ac:dyDescent="0.2">
      <c r="A9" s="40"/>
      <c r="B9" s="532"/>
      <c r="C9" s="16"/>
      <c r="D9" s="40"/>
      <c r="E9" s="40"/>
      <c r="F9" s="296"/>
      <c r="G9" s="46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16"/>
      <c r="V9" s="40"/>
      <c r="W9" s="536"/>
    </row>
    <row r="10" spans="1:29" x14ac:dyDescent="0.2">
      <c r="A10" s="40"/>
      <c r="B10" s="532"/>
      <c r="C10" s="14" t="s">
        <v>305</v>
      </c>
      <c r="D10" s="5"/>
      <c r="E10" s="5"/>
      <c r="F10" s="107" t="s">
        <v>306</v>
      </c>
      <c r="G10" s="36">
        <f>+'[1]Statement 1'!$H$116</f>
        <v>1694492121.8660131</v>
      </c>
      <c r="H10" s="36">
        <f>92817465+[2]original!$G$6</f>
        <v>92847271</v>
      </c>
      <c r="I10" s="36">
        <f>106249482+[3]original!$H$6</f>
        <v>106851114</v>
      </c>
      <c r="J10" s="36">
        <f>233218002+[4]original!$I$6</f>
        <v>233315663</v>
      </c>
      <c r="K10" s="36">
        <f>86253244+[5]original!$J$6</f>
        <v>86471073</v>
      </c>
      <c r="L10" s="36">
        <f>138536544+[6]original!$K$6</f>
        <v>138642535</v>
      </c>
      <c r="M10" s="36">
        <f>134877345+[7]original!$L$6</f>
        <v>135828201</v>
      </c>
      <c r="N10" s="36">
        <f>104930658+[8]original!$M$6</f>
        <v>105754758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f>SUM(H10:S10)</f>
        <v>899710615</v>
      </c>
      <c r="U10" s="43"/>
      <c r="V10" s="296"/>
      <c r="W10" s="536"/>
      <c r="X10" s="315"/>
      <c r="Y10" s="315"/>
      <c r="Z10" s="433"/>
      <c r="AA10" s="315"/>
    </row>
    <row r="11" spans="1:29" x14ac:dyDescent="0.2">
      <c r="A11" s="40"/>
      <c r="B11" s="532"/>
      <c r="C11" s="14"/>
      <c r="D11" s="5"/>
      <c r="E11" s="5"/>
      <c r="F11" s="296"/>
      <c r="G11" s="428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43"/>
      <c r="V11" s="296"/>
      <c r="W11" s="536"/>
      <c r="X11" s="315"/>
      <c r="Y11" s="315"/>
      <c r="AA11" s="315"/>
    </row>
    <row r="12" spans="1:29" x14ac:dyDescent="0.2">
      <c r="A12" s="40"/>
      <c r="B12" s="532"/>
      <c r="C12" s="14" t="s">
        <v>307</v>
      </c>
      <c r="D12" s="5"/>
      <c r="E12" s="5"/>
      <c r="F12" s="107" t="s">
        <v>308</v>
      </c>
      <c r="G12" s="428">
        <f>G14+G16+G24+G25+G26+G27+G28+G29</f>
        <v>2018227823</v>
      </c>
      <c r="H12" s="428">
        <f>170709735-[2]original!$G$40</f>
        <v>170893097</v>
      </c>
      <c r="I12" s="428">
        <f>129433373-[3]original!$H$40</f>
        <v>129493771</v>
      </c>
      <c r="J12" s="428">
        <f>155879670-[4]original!$I$40</f>
        <v>155898871</v>
      </c>
      <c r="K12" s="428">
        <f>223190860-[5]original!$J$40</f>
        <v>223190869</v>
      </c>
      <c r="L12" s="428">
        <f>175720296-[6]original!$K$40</f>
        <v>175720414</v>
      </c>
      <c r="M12" s="428">
        <f>140691114-[7]original!$L$40</f>
        <v>140691138</v>
      </c>
      <c r="N12" s="428">
        <f>152454477-[8]original!$M$40</f>
        <v>152454496</v>
      </c>
      <c r="O12" s="428">
        <v>0</v>
      </c>
      <c r="P12" s="428">
        <v>0</v>
      </c>
      <c r="Q12" s="428">
        <v>0</v>
      </c>
      <c r="R12" s="428">
        <v>0</v>
      </c>
      <c r="S12" s="428">
        <v>0</v>
      </c>
      <c r="T12" s="428">
        <f>SUM(H12:S12)</f>
        <v>1148342656</v>
      </c>
      <c r="U12" s="43"/>
      <c r="V12" s="147"/>
      <c r="W12" s="538"/>
      <c r="X12" s="315"/>
      <c r="Y12" s="315"/>
      <c r="Z12" s="433"/>
      <c r="AA12" s="315"/>
    </row>
    <row r="13" spans="1:29" x14ac:dyDescent="0.2">
      <c r="A13" s="40"/>
      <c r="B13" s="532"/>
      <c r="C13" s="16"/>
      <c r="D13" s="40"/>
      <c r="E13" s="40"/>
      <c r="F13" s="296"/>
      <c r="G13" s="466"/>
      <c r="H13" s="539"/>
      <c r="I13" s="539"/>
      <c r="J13" s="539"/>
      <c r="K13" s="539"/>
      <c r="L13" s="539"/>
      <c r="M13" s="539"/>
      <c r="N13" s="47"/>
      <c r="O13" s="539"/>
      <c r="P13" s="539"/>
      <c r="Q13" s="539"/>
      <c r="R13" s="539"/>
      <c r="S13" s="539"/>
      <c r="T13" s="539"/>
      <c r="U13" s="43"/>
      <c r="V13" s="296"/>
      <c r="W13" s="536"/>
      <c r="X13" s="315"/>
      <c r="Y13" s="315"/>
      <c r="Z13" s="433"/>
      <c r="AA13" s="315"/>
    </row>
    <row r="14" spans="1:29" x14ac:dyDescent="0.2">
      <c r="A14" s="40"/>
      <c r="B14" s="532"/>
      <c r="C14" s="16"/>
      <c r="D14" s="40" t="s">
        <v>309</v>
      </c>
      <c r="E14" s="40"/>
      <c r="F14" s="107" t="s">
        <v>310</v>
      </c>
      <c r="G14" s="466">
        <f>+'[9]22-23'!$I$48</f>
        <v>1057028607</v>
      </c>
      <c r="H14" s="466">
        <f>+H12-H16</f>
        <v>117946848</v>
      </c>
      <c r="I14" s="539">
        <f>+I12-I16</f>
        <v>77960510</v>
      </c>
      <c r="J14" s="539">
        <f>+J12-J16</f>
        <v>77921602</v>
      </c>
      <c r="K14" s="539">
        <f>+K12-K16</f>
        <v>128600239</v>
      </c>
      <c r="L14" s="539">
        <f t="shared" ref="L14:S14" si="0">+L12-L16</f>
        <v>81852199</v>
      </c>
      <c r="M14" s="539">
        <f t="shared" si="0"/>
        <v>67603377</v>
      </c>
      <c r="N14" s="539">
        <f t="shared" si="0"/>
        <v>98377109</v>
      </c>
      <c r="O14" s="539">
        <f t="shared" si="0"/>
        <v>0</v>
      </c>
      <c r="P14" s="539">
        <f t="shared" si="0"/>
        <v>0</v>
      </c>
      <c r="Q14" s="539">
        <f t="shared" si="0"/>
        <v>0</v>
      </c>
      <c r="R14" s="539">
        <f>+R12-R16</f>
        <v>0</v>
      </c>
      <c r="S14" s="539">
        <f t="shared" si="0"/>
        <v>0</v>
      </c>
      <c r="T14" s="47">
        <f>SUM(H14:S14)</f>
        <v>650261884</v>
      </c>
      <c r="U14" s="43"/>
      <c r="V14" s="296"/>
      <c r="W14" s="536"/>
      <c r="X14" s="315"/>
      <c r="Y14" s="315"/>
      <c r="Z14" s="433"/>
      <c r="AA14" s="315"/>
    </row>
    <row r="15" spans="1:29" x14ac:dyDescent="0.2">
      <c r="A15" s="40"/>
      <c r="B15" s="532"/>
      <c r="C15" s="16"/>
      <c r="D15" s="40"/>
      <c r="E15" s="40"/>
      <c r="F15" s="296"/>
      <c r="G15" s="466"/>
      <c r="H15" s="539"/>
      <c r="I15" s="539"/>
      <c r="J15" s="539"/>
      <c r="K15" s="539"/>
      <c r="L15" s="539"/>
      <c r="M15" s="539"/>
      <c r="N15" s="47"/>
      <c r="O15" s="539"/>
      <c r="P15" s="539"/>
      <c r="Q15" s="539"/>
      <c r="R15" s="539"/>
      <c r="S15" s="539"/>
      <c r="T15" s="539"/>
      <c r="U15" s="43"/>
      <c r="V15" s="296"/>
      <c r="W15" s="536"/>
      <c r="X15" s="315"/>
      <c r="Y15" s="315"/>
      <c r="Z15" s="433"/>
      <c r="AA15" s="315"/>
    </row>
    <row r="16" spans="1:29" s="17" customFormat="1" x14ac:dyDescent="0.2">
      <c r="A16" s="5"/>
      <c r="B16" s="540"/>
      <c r="C16" s="14"/>
      <c r="D16" s="5" t="s">
        <v>311</v>
      </c>
      <c r="E16" s="5"/>
      <c r="F16" s="125"/>
      <c r="G16" s="541">
        <f>SUM(G17:G23)-G22</f>
        <v>902658438</v>
      </c>
      <c r="H16" s="542">
        <f>SUM(H17:H21)</f>
        <v>52946249</v>
      </c>
      <c r="I16" s="542">
        <f>SUM(I17:I21)</f>
        <v>51533261</v>
      </c>
      <c r="J16" s="542">
        <f t="shared" ref="J16:O16" si="1">SUM(J17:J21)</f>
        <v>77977269</v>
      </c>
      <c r="K16" s="542">
        <f t="shared" si="1"/>
        <v>94590630</v>
      </c>
      <c r="L16" s="542">
        <f t="shared" si="1"/>
        <v>93868215</v>
      </c>
      <c r="M16" s="542">
        <f t="shared" si="1"/>
        <v>73087761</v>
      </c>
      <c r="N16" s="36">
        <f t="shared" si="1"/>
        <v>54077387</v>
      </c>
      <c r="O16" s="542">
        <f t="shared" si="1"/>
        <v>0</v>
      </c>
      <c r="P16" s="542">
        <f>SUM(P17:P21)</f>
        <v>0</v>
      </c>
      <c r="Q16" s="542">
        <f>SUM(Q17:Q22)</f>
        <v>0</v>
      </c>
      <c r="R16" s="542">
        <f>SUM(R17:R21)</f>
        <v>0</v>
      </c>
      <c r="S16" s="542">
        <f>SUM(S17:S21)</f>
        <v>0</v>
      </c>
      <c r="T16" s="542">
        <f>SUM(T17:T22)-T22</f>
        <v>498080772</v>
      </c>
      <c r="U16" s="81"/>
      <c r="V16" s="125"/>
      <c r="W16" s="536"/>
      <c r="X16" s="315"/>
      <c r="Y16" s="315"/>
      <c r="Z16" s="433"/>
      <c r="AA16" s="315"/>
      <c r="AC16" s="39"/>
    </row>
    <row r="17" spans="1:29" x14ac:dyDescent="0.2">
      <c r="A17" s="40"/>
      <c r="B17" s="532"/>
      <c r="C17" s="16"/>
      <c r="D17" s="40"/>
      <c r="E17" s="40" t="s">
        <v>24</v>
      </c>
      <c r="F17" s="292"/>
      <c r="G17" s="466">
        <f>+'[9]22-23'!$I$53</f>
        <v>301806272</v>
      </c>
      <c r="H17" s="539">
        <v>3721160</v>
      </c>
      <c r="I17" s="539">
        <v>2275266</v>
      </c>
      <c r="J17" s="539">
        <v>29876288</v>
      </c>
      <c r="K17" s="539">
        <v>46420658</v>
      </c>
      <c r="L17" s="539">
        <v>40543167</v>
      </c>
      <c r="M17" s="539">
        <v>24956108</v>
      </c>
      <c r="N17" s="539">
        <f>5829365+7837</f>
        <v>5837202</v>
      </c>
      <c r="O17" s="539">
        <v>0</v>
      </c>
      <c r="P17" s="539">
        <v>0</v>
      </c>
      <c r="Q17" s="539">
        <v>0</v>
      </c>
      <c r="R17" s="539">
        <v>0</v>
      </c>
      <c r="S17" s="539">
        <v>0</v>
      </c>
      <c r="T17" s="47">
        <f t="shared" ref="T17:T23" si="2">SUM(H17:S17)</f>
        <v>153629849</v>
      </c>
      <c r="U17" s="43"/>
      <c r="V17" s="296"/>
      <c r="W17" s="536"/>
      <c r="X17" s="315"/>
      <c r="Y17" s="315"/>
      <c r="Z17" s="433"/>
      <c r="AA17" s="315"/>
    </row>
    <row r="18" spans="1:29" x14ac:dyDescent="0.2">
      <c r="A18" s="40"/>
      <c r="B18" s="532"/>
      <c r="C18" s="16"/>
      <c r="D18" s="40"/>
      <c r="E18" s="40" t="s">
        <v>25</v>
      </c>
      <c r="F18" s="147"/>
      <c r="G18" s="466">
        <f>+'[9]22-23'!$I$56</f>
        <v>560756789</v>
      </c>
      <c r="H18" s="539">
        <v>46729733</v>
      </c>
      <c r="I18" s="539">
        <v>46729733</v>
      </c>
      <c r="J18" s="539">
        <v>46729733</v>
      </c>
      <c r="K18" s="539">
        <v>46729733</v>
      </c>
      <c r="L18" s="539">
        <v>46729733</v>
      </c>
      <c r="M18" s="539">
        <v>46729733</v>
      </c>
      <c r="N18" s="539">
        <v>46729733</v>
      </c>
      <c r="O18" s="539">
        <v>0</v>
      </c>
      <c r="P18" s="539">
        <v>0</v>
      </c>
      <c r="Q18" s="539">
        <v>0</v>
      </c>
      <c r="R18" s="539">
        <v>0</v>
      </c>
      <c r="S18" s="539">
        <v>0</v>
      </c>
      <c r="T18" s="47">
        <f t="shared" si="2"/>
        <v>327108131</v>
      </c>
      <c r="U18" s="43"/>
      <c r="V18" s="296"/>
      <c r="W18" s="536"/>
      <c r="X18" s="315"/>
      <c r="Y18" s="315"/>
      <c r="Z18" s="433"/>
      <c r="AA18" s="315"/>
    </row>
    <row r="19" spans="1:29" ht="14.45" customHeight="1" x14ac:dyDescent="0.2">
      <c r="A19" s="40"/>
      <c r="B19" s="532"/>
      <c r="C19" s="16"/>
      <c r="D19" s="40"/>
      <c r="E19" s="40" t="s">
        <v>26</v>
      </c>
      <c r="F19" s="296"/>
      <c r="G19" s="466">
        <f>+'[9]22-23'!$I$57</f>
        <v>15334823</v>
      </c>
      <c r="H19" s="539">
        <v>0</v>
      </c>
      <c r="I19" s="539">
        <v>0</v>
      </c>
      <c r="J19" s="539">
        <v>0</v>
      </c>
      <c r="K19" s="539">
        <v>0</v>
      </c>
      <c r="L19" s="539">
        <v>5111607</v>
      </c>
      <c r="M19" s="539">
        <v>0</v>
      </c>
      <c r="N19" s="539">
        <v>0</v>
      </c>
      <c r="O19" s="539">
        <v>0</v>
      </c>
      <c r="P19" s="539">
        <v>0</v>
      </c>
      <c r="Q19" s="539">
        <v>0</v>
      </c>
      <c r="R19" s="539">
        <v>0</v>
      </c>
      <c r="S19" s="539">
        <v>0</v>
      </c>
      <c r="T19" s="47">
        <f t="shared" si="2"/>
        <v>5111607</v>
      </c>
      <c r="U19" s="43"/>
      <c r="V19" s="296"/>
      <c r="W19" s="536"/>
      <c r="X19" s="315"/>
      <c r="Y19" s="315"/>
      <c r="Z19" s="433"/>
      <c r="AA19" s="315"/>
    </row>
    <row r="20" spans="1:29" ht="14.45" customHeight="1" x14ac:dyDescent="0.2">
      <c r="A20" s="40"/>
      <c r="B20" s="532"/>
      <c r="C20" s="16"/>
      <c r="D20" s="40"/>
      <c r="E20" s="40" t="s">
        <v>312</v>
      </c>
      <c r="F20" s="296"/>
      <c r="G20" s="466">
        <f>+'[9]22-23'!$I$62</f>
        <v>20619315</v>
      </c>
      <c r="H20" s="539">
        <v>2180969</v>
      </c>
      <c r="I20" s="539">
        <v>2172623</v>
      </c>
      <c r="J20" s="539">
        <v>1043474</v>
      </c>
      <c r="K20" s="539">
        <v>1083605</v>
      </c>
      <c r="L20" s="539">
        <v>1151215</v>
      </c>
      <c r="M20" s="539">
        <v>1061881</v>
      </c>
      <c r="N20" s="539">
        <v>1168608</v>
      </c>
      <c r="O20" s="539">
        <v>0</v>
      </c>
      <c r="P20" s="539">
        <v>0</v>
      </c>
      <c r="Q20" s="539">
        <v>0</v>
      </c>
      <c r="R20" s="539">
        <v>0</v>
      </c>
      <c r="S20" s="539">
        <v>0</v>
      </c>
      <c r="T20" s="47">
        <f t="shared" si="2"/>
        <v>9862375</v>
      </c>
      <c r="U20" s="43"/>
      <c r="V20" s="296"/>
      <c r="W20" s="536"/>
      <c r="X20" s="315"/>
      <c r="Y20" s="315"/>
      <c r="Z20" s="433"/>
      <c r="AA20" s="315"/>
    </row>
    <row r="21" spans="1:29" x14ac:dyDescent="0.2">
      <c r="A21" s="40"/>
      <c r="B21" s="532"/>
      <c r="C21" s="16"/>
      <c r="D21" s="40"/>
      <c r="E21" s="40" t="s">
        <v>28</v>
      </c>
      <c r="F21" s="296"/>
      <c r="G21" s="466">
        <f>+'[9]22-23'!$I$51+'[9]22-23'!$I$52+'[9]22-23'!$I$58+'[9]22-23'!$I$59+'[9]22-23'!$I$63+'[9]22-23'!$I$64+'[9]22-23'!$I$65</f>
        <v>4141239</v>
      </c>
      <c r="H21" s="539">
        <v>314387</v>
      </c>
      <c r="I21" s="539">
        <f>641+39309+42582+199437+73670</f>
        <v>355639</v>
      </c>
      <c r="J21" s="539">
        <f>641+39309+199375+88449</f>
        <v>327774</v>
      </c>
      <c r="K21" s="539">
        <f>641+39309+30000+199875+86809</f>
        <v>356634</v>
      </c>
      <c r="L21" s="539">
        <f>641+39309+199695+92848</f>
        <v>332493</v>
      </c>
      <c r="M21" s="539">
        <f>641+39309+199567+100522</f>
        <v>340039</v>
      </c>
      <c r="N21" s="539">
        <f>641+39309+199875+102019</f>
        <v>341844</v>
      </c>
      <c r="O21" s="539">
        <v>0</v>
      </c>
      <c r="P21" s="539">
        <v>0</v>
      </c>
      <c r="Q21" s="539">
        <v>0</v>
      </c>
      <c r="R21" s="539">
        <v>0</v>
      </c>
      <c r="S21" s="539">
        <v>0</v>
      </c>
      <c r="T21" s="47">
        <f>SUM(H21:S21)</f>
        <v>2368810</v>
      </c>
      <c r="U21" s="43"/>
      <c r="V21" s="296"/>
      <c r="W21" s="536"/>
      <c r="X21" s="315"/>
      <c r="Y21" s="315"/>
      <c r="Z21" s="433"/>
      <c r="AA21" s="315"/>
    </row>
    <row r="22" spans="1:29" x14ac:dyDescent="0.2">
      <c r="A22" s="40"/>
      <c r="B22" s="532"/>
      <c r="C22" s="40"/>
      <c r="D22" s="5"/>
      <c r="E22" s="68" t="s">
        <v>29</v>
      </c>
      <c r="F22" s="296"/>
      <c r="G22" s="466">
        <f>SUM(G23:G23)</f>
        <v>0</v>
      </c>
      <c r="H22" s="539">
        <v>0</v>
      </c>
      <c r="I22" s="543">
        <v>0</v>
      </c>
      <c r="J22" s="539">
        <v>0</v>
      </c>
      <c r="K22" s="542">
        <v>0</v>
      </c>
      <c r="L22" s="542">
        <v>0</v>
      </c>
      <c r="M22" s="539">
        <v>0</v>
      </c>
      <c r="N22" s="47">
        <v>0</v>
      </c>
      <c r="O22" s="539">
        <v>0</v>
      </c>
      <c r="P22" s="539">
        <v>0</v>
      </c>
      <c r="Q22" s="539">
        <v>0</v>
      </c>
      <c r="R22" s="539">
        <v>0</v>
      </c>
      <c r="S22" s="539">
        <v>0</v>
      </c>
      <c r="T22" s="47">
        <f t="shared" si="2"/>
        <v>0</v>
      </c>
      <c r="U22" s="43"/>
      <c r="V22" s="296"/>
      <c r="W22" s="536"/>
      <c r="X22" s="315"/>
      <c r="Y22" s="315"/>
      <c r="Z22" s="433"/>
      <c r="AA22" s="315"/>
      <c r="AC22" s="433"/>
    </row>
    <row r="23" spans="1:29" s="65" customFormat="1" x14ac:dyDescent="0.2">
      <c r="A23" s="58"/>
      <c r="B23" s="544"/>
      <c r="C23" s="58"/>
      <c r="D23" s="57"/>
      <c r="E23" s="73" t="str">
        <f>+'[10]21-22'!$B$63</f>
        <v>Denel (Public Enterprises)</v>
      </c>
      <c r="F23" s="107"/>
      <c r="G23" s="545">
        <v>0</v>
      </c>
      <c r="H23" s="543">
        <v>0</v>
      </c>
      <c r="I23" s="543">
        <v>0</v>
      </c>
      <c r="J23" s="543">
        <v>0</v>
      </c>
      <c r="K23" s="546">
        <v>0</v>
      </c>
      <c r="L23" s="546">
        <v>0</v>
      </c>
      <c r="M23" s="543">
        <v>0</v>
      </c>
      <c r="N23" s="547">
        <v>0</v>
      </c>
      <c r="O23" s="543">
        <v>0</v>
      </c>
      <c r="P23" s="543">
        <v>0</v>
      </c>
      <c r="Q23" s="543">
        <v>0</v>
      </c>
      <c r="R23" s="543">
        <v>0</v>
      </c>
      <c r="S23" s="543">
        <v>0</v>
      </c>
      <c r="T23" s="547">
        <f t="shared" si="2"/>
        <v>0</v>
      </c>
      <c r="U23" s="63"/>
      <c r="V23" s="107"/>
      <c r="W23" s="483"/>
      <c r="X23" s="548"/>
      <c r="Y23" s="548"/>
      <c r="Z23" s="549"/>
      <c r="AA23" s="548"/>
    </row>
    <row r="24" spans="1:29" x14ac:dyDescent="0.2">
      <c r="A24" s="40"/>
      <c r="B24" s="532"/>
      <c r="C24" s="40"/>
      <c r="D24" s="40" t="s">
        <v>313</v>
      </c>
      <c r="E24" s="67"/>
      <c r="F24" s="296"/>
      <c r="G24" s="466">
        <f>+'[9]22-23'!$I$68</f>
        <v>44706036</v>
      </c>
      <c r="H24" s="542"/>
      <c r="I24" s="542"/>
      <c r="J24" s="542"/>
      <c r="K24" s="542"/>
      <c r="L24" s="542"/>
      <c r="M24" s="539"/>
      <c r="N24" s="47">
        <v>0</v>
      </c>
      <c r="O24" s="539"/>
      <c r="P24" s="539"/>
      <c r="Q24" s="539"/>
      <c r="R24" s="539"/>
      <c r="S24" s="539"/>
      <c r="T24" s="315">
        <f t="shared" ref="T24:T29" si="3">SUM(H24:S24)</f>
        <v>0</v>
      </c>
      <c r="U24" s="43"/>
      <c r="V24" s="296"/>
      <c r="W24" s="536"/>
      <c r="X24" s="315"/>
      <c r="Y24" s="315"/>
      <c r="Z24" s="433"/>
      <c r="AA24" s="315"/>
    </row>
    <row r="25" spans="1:29" x14ac:dyDescent="0.2">
      <c r="A25" s="40"/>
      <c r="B25" s="532"/>
      <c r="C25" s="40"/>
      <c r="D25" s="18" t="str">
        <f>+'[11]22-23'!$A$65</f>
        <v>Provisional allocations not assigned to votes</v>
      </c>
      <c r="E25" s="40"/>
      <c r="F25" s="296"/>
      <c r="G25" s="466">
        <f>+'[9]22-23'!$I$69</f>
        <v>14752085</v>
      </c>
      <c r="H25" s="539">
        <v>0</v>
      </c>
      <c r="I25" s="539">
        <v>0</v>
      </c>
      <c r="J25" s="539">
        <v>0</v>
      </c>
      <c r="K25" s="539">
        <v>0</v>
      </c>
      <c r="L25" s="539">
        <v>0</v>
      </c>
      <c r="M25" s="539">
        <v>0</v>
      </c>
      <c r="N25" s="47">
        <v>0</v>
      </c>
      <c r="O25" s="539">
        <v>0</v>
      </c>
      <c r="P25" s="539">
        <v>0</v>
      </c>
      <c r="Q25" s="539">
        <v>0</v>
      </c>
      <c r="R25" s="539">
        <v>0</v>
      </c>
      <c r="S25" s="539">
        <v>0</v>
      </c>
      <c r="T25" s="547">
        <f t="shared" si="3"/>
        <v>0</v>
      </c>
      <c r="U25" s="43"/>
      <c r="V25" s="296"/>
      <c r="W25" s="536"/>
      <c r="X25" s="315"/>
      <c r="Y25" s="315"/>
      <c r="AA25" s="315"/>
    </row>
    <row r="26" spans="1:29" s="17" customFormat="1" x14ac:dyDescent="0.2">
      <c r="A26" s="5"/>
      <c r="B26" s="540"/>
      <c r="C26" s="5"/>
      <c r="D26" s="162" t="str">
        <f>+'[11]22-23'!$A$66</f>
        <v>Infrastructure Fund not assigned to votes</v>
      </c>
      <c r="E26" s="40"/>
      <c r="F26" s="296"/>
      <c r="G26" s="466">
        <f>+'[9]22-23'!$I$70</f>
        <v>0</v>
      </c>
      <c r="H26" s="539">
        <v>0</v>
      </c>
      <c r="I26" s="539">
        <v>0</v>
      </c>
      <c r="J26" s="539">
        <v>0</v>
      </c>
      <c r="K26" s="539">
        <v>0</v>
      </c>
      <c r="L26" s="539">
        <v>0</v>
      </c>
      <c r="M26" s="539">
        <v>0</v>
      </c>
      <c r="N26" s="47">
        <v>0</v>
      </c>
      <c r="O26" s="539">
        <v>0</v>
      </c>
      <c r="P26" s="539">
        <v>0</v>
      </c>
      <c r="Q26" s="539">
        <v>0</v>
      </c>
      <c r="R26" s="539">
        <v>0</v>
      </c>
      <c r="S26" s="539">
        <v>0</v>
      </c>
      <c r="T26" s="539">
        <f t="shared" si="3"/>
        <v>0</v>
      </c>
      <c r="U26" s="81"/>
      <c r="V26" s="125"/>
      <c r="W26" s="536"/>
      <c r="X26" s="315"/>
      <c r="Y26" s="315"/>
      <c r="AA26" s="315"/>
    </row>
    <row r="27" spans="1:29" s="17" customFormat="1" x14ac:dyDescent="0.2">
      <c r="A27" s="5"/>
      <c r="B27" s="540"/>
      <c r="C27" s="5"/>
      <c r="D27" s="162" t="str">
        <f>+'[9]22-23'!$A$71</f>
        <v>Contingency reserve</v>
      </c>
      <c r="E27" s="40"/>
      <c r="F27" s="296"/>
      <c r="G27" s="466">
        <f>+'[9]22-23'!$I$71</f>
        <v>5000000</v>
      </c>
      <c r="H27" s="539"/>
      <c r="I27" s="539"/>
      <c r="J27" s="539"/>
      <c r="K27" s="539"/>
      <c r="L27" s="539"/>
      <c r="M27" s="539"/>
      <c r="N27" s="47">
        <v>0</v>
      </c>
      <c r="O27" s="539"/>
      <c r="P27" s="539"/>
      <c r="Q27" s="539"/>
      <c r="R27" s="539"/>
      <c r="S27" s="539"/>
      <c r="T27" s="47">
        <f t="shared" si="3"/>
        <v>0</v>
      </c>
      <c r="U27" s="81"/>
      <c r="V27" s="125"/>
      <c r="W27" s="536"/>
      <c r="X27" s="315"/>
      <c r="Y27" s="315"/>
      <c r="AA27" s="315"/>
    </row>
    <row r="28" spans="1:29" s="17" customFormat="1" x14ac:dyDescent="0.2">
      <c r="A28" s="5"/>
      <c r="B28" s="540"/>
      <c r="C28" s="5"/>
      <c r="D28" s="162" t="str">
        <f>+'[9]22-23'!$A$72</f>
        <v>National government projected underspending</v>
      </c>
      <c r="E28" s="40"/>
      <c r="F28" s="296"/>
      <c r="G28" s="466">
        <f>+'[9]22-23'!$I$72</f>
        <v>-3917343</v>
      </c>
      <c r="H28" s="539">
        <v>0</v>
      </c>
      <c r="I28" s="539">
        <v>0</v>
      </c>
      <c r="J28" s="539">
        <v>0</v>
      </c>
      <c r="K28" s="539">
        <v>0</v>
      </c>
      <c r="L28" s="539">
        <v>0</v>
      </c>
      <c r="M28" s="539">
        <v>0</v>
      </c>
      <c r="N28" s="47">
        <v>0</v>
      </c>
      <c r="O28" s="539">
        <v>0</v>
      </c>
      <c r="P28" s="539">
        <v>0</v>
      </c>
      <c r="Q28" s="539">
        <v>0</v>
      </c>
      <c r="R28" s="539">
        <v>0</v>
      </c>
      <c r="S28" s="539">
        <v>0</v>
      </c>
      <c r="T28" s="47">
        <f t="shared" si="3"/>
        <v>0</v>
      </c>
      <c r="U28" s="81"/>
      <c r="V28" s="125"/>
      <c r="W28" s="536"/>
      <c r="X28" s="315"/>
      <c r="Y28" s="315"/>
      <c r="AA28" s="315"/>
    </row>
    <row r="29" spans="1:29" s="17" customFormat="1" x14ac:dyDescent="0.2">
      <c r="A29" s="5"/>
      <c r="B29" s="540"/>
      <c r="C29" s="5"/>
      <c r="D29" s="162" t="str">
        <f>+'[9]22-23'!$A$73</f>
        <v>Local government repayment to the National Revenue Fund</v>
      </c>
      <c r="E29" s="40"/>
      <c r="F29" s="296"/>
      <c r="G29" s="466">
        <f>+'[9]22-23'!$I$73</f>
        <v>-2000000</v>
      </c>
      <c r="H29" s="539"/>
      <c r="I29" s="539"/>
      <c r="J29" s="539"/>
      <c r="K29" s="539"/>
      <c r="L29" s="539"/>
      <c r="M29" s="539"/>
      <c r="N29" s="47">
        <v>0</v>
      </c>
      <c r="O29" s="539"/>
      <c r="P29" s="539"/>
      <c r="Q29" s="539"/>
      <c r="R29" s="539"/>
      <c r="S29" s="539"/>
      <c r="T29" s="47">
        <f t="shared" si="3"/>
        <v>0</v>
      </c>
      <c r="U29" s="81"/>
      <c r="V29" s="125"/>
      <c r="W29" s="536"/>
      <c r="X29" s="315"/>
      <c r="Y29" s="315"/>
      <c r="AA29" s="315"/>
    </row>
    <row r="30" spans="1:29" s="17" customFormat="1" x14ac:dyDescent="0.2">
      <c r="A30" s="5"/>
      <c r="B30" s="540"/>
      <c r="C30" s="14"/>
      <c r="D30" s="5"/>
      <c r="E30" s="329"/>
      <c r="F30" s="125"/>
      <c r="G30" s="191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  <c r="S30" s="550"/>
      <c r="T30" s="550"/>
      <c r="U30" s="81"/>
      <c r="V30" s="125"/>
      <c r="W30" s="536"/>
      <c r="X30" s="315"/>
      <c r="Y30" s="315"/>
      <c r="AA30" s="315"/>
    </row>
    <row r="31" spans="1:29" s="17" customFormat="1" x14ac:dyDescent="0.2">
      <c r="A31" s="5"/>
      <c r="B31" s="540"/>
      <c r="C31" s="14"/>
      <c r="D31" s="5"/>
      <c r="E31" s="5"/>
      <c r="F31" s="125"/>
      <c r="G31" s="428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81"/>
      <c r="V31" s="125"/>
      <c r="W31" s="536"/>
      <c r="X31" s="315"/>
      <c r="Y31" s="315"/>
      <c r="AA31" s="315"/>
    </row>
    <row r="32" spans="1:29" s="17" customFormat="1" x14ac:dyDescent="0.2">
      <c r="A32" s="5"/>
      <c r="B32" s="540"/>
      <c r="C32" s="14" t="s">
        <v>34</v>
      </c>
      <c r="D32" s="5"/>
      <c r="E32" s="5"/>
      <c r="F32" s="125"/>
      <c r="G32" s="428">
        <f>+G10-G12</f>
        <v>-323735701.13398695</v>
      </c>
      <c r="H32" s="36">
        <f>(H10-H12)</f>
        <v>-78045826</v>
      </c>
      <c r="I32" s="36">
        <f>(I10-I12)</f>
        <v>-22642657</v>
      </c>
      <c r="J32" s="36">
        <f>(J10-J12)</f>
        <v>77416792</v>
      </c>
      <c r="K32" s="36">
        <f t="shared" ref="K32:T32" si="4">(K10-K12)</f>
        <v>-136719796</v>
      </c>
      <c r="L32" s="36">
        <f t="shared" si="4"/>
        <v>-37077879</v>
      </c>
      <c r="M32" s="36">
        <f>(M10-M12)</f>
        <v>-4862937</v>
      </c>
      <c r="N32" s="36">
        <f t="shared" si="4"/>
        <v>-46699738</v>
      </c>
      <c r="O32" s="36">
        <f t="shared" si="4"/>
        <v>0</v>
      </c>
      <c r="P32" s="36">
        <f t="shared" si="4"/>
        <v>0</v>
      </c>
      <c r="Q32" s="36">
        <f t="shared" si="4"/>
        <v>0</v>
      </c>
      <c r="R32" s="36">
        <f t="shared" si="4"/>
        <v>0</v>
      </c>
      <c r="S32" s="36">
        <f t="shared" si="4"/>
        <v>0</v>
      </c>
      <c r="T32" s="36">
        <f t="shared" si="4"/>
        <v>-248632041</v>
      </c>
      <c r="U32" s="81"/>
      <c r="V32" s="125"/>
      <c r="W32" s="536"/>
      <c r="X32" s="315"/>
      <c r="Y32" s="315"/>
      <c r="AA32" s="315"/>
    </row>
    <row r="33" spans="1:27" s="17" customFormat="1" x14ac:dyDescent="0.2">
      <c r="A33" s="5"/>
      <c r="B33" s="540"/>
      <c r="C33" s="14"/>
      <c r="D33" s="5"/>
      <c r="E33" s="329"/>
      <c r="F33" s="125"/>
      <c r="G33" s="428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81"/>
      <c r="V33" s="125"/>
      <c r="W33" s="536"/>
      <c r="X33" s="315"/>
      <c r="Y33" s="315"/>
      <c r="AA33" s="315"/>
    </row>
    <row r="34" spans="1:27" s="17" customFormat="1" x14ac:dyDescent="0.2">
      <c r="A34" s="5"/>
      <c r="B34" s="5"/>
      <c r="C34" s="14" t="s">
        <v>314</v>
      </c>
      <c r="D34" s="5"/>
      <c r="E34" s="5"/>
      <c r="F34" s="107"/>
      <c r="G34" s="428">
        <f>+G37+G39+G55+G79</f>
        <v>323735701.13398695</v>
      </c>
      <c r="H34" s="36">
        <f t="shared" ref="H34:S34" si="5">+H37+H39+H55+H79</f>
        <v>78045826</v>
      </c>
      <c r="I34" s="36">
        <f>+I37+I39+I55+I79</f>
        <v>22642657</v>
      </c>
      <c r="J34" s="36">
        <f>+J37+J39+J55+J79</f>
        <v>-77416792</v>
      </c>
      <c r="K34" s="36">
        <f t="shared" si="5"/>
        <v>136719796</v>
      </c>
      <c r="L34" s="36">
        <f t="shared" si="5"/>
        <v>37077879</v>
      </c>
      <c r="M34" s="36">
        <f t="shared" si="5"/>
        <v>4862937</v>
      </c>
      <c r="N34" s="36">
        <f t="shared" si="5"/>
        <v>46699738</v>
      </c>
      <c r="O34" s="36">
        <f t="shared" si="5"/>
        <v>311428125</v>
      </c>
      <c r="P34" s="36">
        <f t="shared" si="5"/>
        <v>0</v>
      </c>
      <c r="Q34" s="36">
        <f t="shared" si="5"/>
        <v>0</v>
      </c>
      <c r="R34" s="36">
        <f t="shared" si="5"/>
        <v>0</v>
      </c>
      <c r="S34" s="36">
        <f t="shared" si="5"/>
        <v>0</v>
      </c>
      <c r="T34" s="36">
        <f>(+T37+T39+T55+T79)</f>
        <v>248632041</v>
      </c>
      <c r="U34" s="81"/>
      <c r="V34" s="125"/>
      <c r="W34" s="536"/>
      <c r="X34" s="315"/>
      <c r="Y34" s="315"/>
      <c r="Z34" s="39"/>
      <c r="AA34" s="315"/>
    </row>
    <row r="35" spans="1:27" s="17" customFormat="1" x14ac:dyDescent="0.2">
      <c r="A35" s="5"/>
      <c r="B35" s="5"/>
      <c r="C35" s="14"/>
      <c r="D35" s="5"/>
      <c r="E35" s="5"/>
      <c r="F35" s="125"/>
      <c r="G35" s="191"/>
      <c r="H35" s="550"/>
      <c r="I35" s="550"/>
      <c r="J35" s="550"/>
      <c r="K35" s="550"/>
      <c r="L35" s="550"/>
      <c r="M35" s="550"/>
      <c r="N35" s="550"/>
      <c r="O35" s="550"/>
      <c r="P35" s="550"/>
      <c r="Q35" s="550"/>
      <c r="R35" s="550"/>
      <c r="S35" s="550"/>
      <c r="T35" s="550"/>
      <c r="U35" s="81"/>
      <c r="V35" s="125"/>
      <c r="W35" s="536"/>
      <c r="X35" s="315"/>
      <c r="Y35" s="315"/>
      <c r="AA35" s="315"/>
    </row>
    <row r="36" spans="1:27" s="17" customFormat="1" x14ac:dyDescent="0.2">
      <c r="A36" s="5"/>
      <c r="B36" s="5"/>
      <c r="C36" s="14"/>
      <c r="D36" s="5"/>
      <c r="E36" s="5"/>
      <c r="F36" s="125"/>
      <c r="G36" s="428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81"/>
      <c r="V36" s="125"/>
      <c r="W36" s="536"/>
      <c r="X36" s="315"/>
      <c r="Y36" s="315"/>
      <c r="AA36" s="315"/>
    </row>
    <row r="37" spans="1:27" s="17" customFormat="1" x14ac:dyDescent="0.2">
      <c r="A37" s="5"/>
      <c r="B37" s="5"/>
      <c r="C37" s="14" t="s">
        <v>36</v>
      </c>
      <c r="D37" s="5"/>
      <c r="E37" s="5"/>
      <c r="F37" s="125"/>
      <c r="G37" s="428">
        <f>+[12]Summary!$H$13</f>
        <v>-3400000</v>
      </c>
      <c r="H37" s="36">
        <f>[13]Summary!$M$13</f>
        <v>1030450</v>
      </c>
      <c r="I37" s="36">
        <f>+[14]Summary!$R$13</f>
        <v>-592737</v>
      </c>
      <c r="J37" s="36">
        <f>+[15]Summary!$W$13</f>
        <v>3367677</v>
      </c>
      <c r="K37" s="36">
        <f>+[16]Summary!$AB$13</f>
        <v>2072474</v>
      </c>
      <c r="L37" s="36">
        <f>+[17]Summary!$AG$13</f>
        <v>-3444064</v>
      </c>
      <c r="M37" s="36">
        <f>+[18]Summary!$AL$13</f>
        <v>-6180235</v>
      </c>
      <c r="N37" s="36">
        <f>+[12]Summary!$AQ$13</f>
        <v>-7686538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f>SUM(H37:S37)</f>
        <v>-11432973</v>
      </c>
      <c r="U37" s="81"/>
      <c r="V37" s="125"/>
      <c r="W37" s="536"/>
      <c r="X37" s="315"/>
      <c r="Y37" s="315"/>
      <c r="AA37" s="315"/>
    </row>
    <row r="38" spans="1:27" s="17" customFormat="1" x14ac:dyDescent="0.2">
      <c r="A38" s="5"/>
      <c r="B38" s="5"/>
      <c r="C38" s="14"/>
      <c r="D38" s="5"/>
      <c r="E38" s="5"/>
      <c r="F38" s="125"/>
      <c r="G38" s="428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81"/>
      <c r="V38" s="125"/>
      <c r="W38" s="536"/>
      <c r="X38" s="315"/>
      <c r="Y38" s="315"/>
      <c r="AA38" s="315"/>
    </row>
    <row r="39" spans="1:27" s="17" customFormat="1" x14ac:dyDescent="0.2">
      <c r="A39" s="5"/>
      <c r="B39" s="5"/>
      <c r="C39" s="14" t="s">
        <v>37</v>
      </c>
      <c r="D39" s="5"/>
      <c r="E39" s="5"/>
      <c r="F39" s="125"/>
      <c r="G39" s="428">
        <f>+G41+G46+G51</f>
        <v>227774514</v>
      </c>
      <c r="H39" s="55">
        <f>+H41+H46+H51</f>
        <v>20015505</v>
      </c>
      <c r="I39" s="55">
        <f t="shared" ref="I39:Y39" si="6">+I41+I46+I51</f>
        <v>25455403</v>
      </c>
      <c r="J39" s="55">
        <f t="shared" si="6"/>
        <v>23742808</v>
      </c>
      <c r="K39" s="55">
        <f t="shared" si="6"/>
        <v>45716848</v>
      </c>
      <c r="L39" s="55">
        <f t="shared" si="6"/>
        <v>29377866</v>
      </c>
      <c r="M39" s="55">
        <f t="shared" si="6"/>
        <v>33075335</v>
      </c>
      <c r="N39" s="55">
        <f t="shared" si="6"/>
        <v>28660775</v>
      </c>
      <c r="O39" s="55">
        <f t="shared" si="6"/>
        <v>0</v>
      </c>
      <c r="P39" s="55">
        <f t="shared" si="6"/>
        <v>0</v>
      </c>
      <c r="Q39" s="55">
        <f t="shared" si="6"/>
        <v>0</v>
      </c>
      <c r="R39" s="55">
        <f t="shared" si="6"/>
        <v>0</v>
      </c>
      <c r="S39" s="55">
        <f t="shared" si="6"/>
        <v>0</v>
      </c>
      <c r="T39" s="36">
        <f>+T41+T46+T51</f>
        <v>206044540</v>
      </c>
      <c r="U39" s="81"/>
      <c r="V39" s="125"/>
      <c r="W39" s="551"/>
      <c r="X39" s="315"/>
      <c r="Y39" s="315"/>
      <c r="AA39" s="315"/>
    </row>
    <row r="40" spans="1:27" x14ac:dyDescent="0.2">
      <c r="A40" s="40"/>
      <c r="B40" s="40"/>
      <c r="C40" s="16"/>
      <c r="D40" s="40"/>
      <c r="E40" s="40"/>
      <c r="F40" s="296"/>
      <c r="G40" s="208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43"/>
      <c r="V40" s="296"/>
      <c r="W40" s="536"/>
      <c r="X40" s="315"/>
      <c r="Y40" s="315"/>
      <c r="AA40" s="315"/>
    </row>
    <row r="41" spans="1:27" x14ac:dyDescent="0.2">
      <c r="A41" s="40"/>
      <c r="B41" s="40"/>
      <c r="C41" s="16"/>
      <c r="D41" s="40" t="s">
        <v>315</v>
      </c>
      <c r="E41" s="40"/>
      <c r="F41" s="296"/>
      <c r="G41" s="208">
        <f t="shared" ref="G41:S41" si="7">SUM(G42:G44)</f>
        <v>227688000</v>
      </c>
      <c r="H41" s="76">
        <f>SUM(H42:H44)</f>
        <v>19978246</v>
      </c>
      <c r="I41" s="76">
        <f t="shared" si="7"/>
        <v>25370100</v>
      </c>
      <c r="J41" s="76">
        <f t="shared" si="7"/>
        <v>23778856</v>
      </c>
      <c r="K41" s="76">
        <f t="shared" si="7"/>
        <v>45716848</v>
      </c>
      <c r="L41" s="76">
        <f t="shared" si="7"/>
        <v>29232670</v>
      </c>
      <c r="M41" s="76">
        <f t="shared" si="7"/>
        <v>33220531</v>
      </c>
      <c r="N41" s="76">
        <f t="shared" si="7"/>
        <v>28605582</v>
      </c>
      <c r="O41" s="76">
        <f t="shared" si="7"/>
        <v>0</v>
      </c>
      <c r="P41" s="76">
        <f t="shared" si="7"/>
        <v>0</v>
      </c>
      <c r="Q41" s="76">
        <f t="shared" si="7"/>
        <v>0</v>
      </c>
      <c r="R41" s="76">
        <f t="shared" si="7"/>
        <v>0</v>
      </c>
      <c r="S41" s="76">
        <f t="shared" si="7"/>
        <v>0</v>
      </c>
      <c r="T41" s="47">
        <f>SUM(T42:T44)</f>
        <v>205902833</v>
      </c>
      <c r="U41" s="43"/>
      <c r="V41" s="296"/>
      <c r="W41" s="551"/>
      <c r="X41" s="315"/>
      <c r="Y41" s="315"/>
      <c r="AA41" s="315"/>
    </row>
    <row r="42" spans="1:27" x14ac:dyDescent="0.2">
      <c r="A42" s="40"/>
      <c r="B42" s="40"/>
      <c r="C42" s="16"/>
      <c r="D42" s="40"/>
      <c r="E42" s="40" t="s">
        <v>316</v>
      </c>
      <c r="F42" s="296"/>
      <c r="G42" s="144">
        <f>+[12]Summary!$H$25</f>
        <v>344012000</v>
      </c>
      <c r="H42" s="47">
        <f>[13]Summary!$M$25</f>
        <v>23849866</v>
      </c>
      <c r="I42" s="47">
        <f>+[14]Summary!$R$25</f>
        <v>30102790</v>
      </c>
      <c r="J42" s="47">
        <f>+[15]Summary!$W$25</f>
        <v>29395127</v>
      </c>
      <c r="K42" s="47">
        <f>+[16]Summary!$AB$25</f>
        <v>52376510</v>
      </c>
      <c r="L42" s="47">
        <f>+[17]Summary!$AG$25</f>
        <v>35558950</v>
      </c>
      <c r="M42" s="47">
        <f>+[18]Summary!$AL$25</f>
        <v>38933593</v>
      </c>
      <c r="N42" s="47">
        <f>+[12]Summary!$AQ$25</f>
        <v>34472211</v>
      </c>
      <c r="O42" s="47">
        <v>0</v>
      </c>
      <c r="P42" s="47">
        <v>0</v>
      </c>
      <c r="Q42" s="47">
        <v>0</v>
      </c>
      <c r="R42" s="47">
        <v>0</v>
      </c>
      <c r="S42" s="47">
        <v>0</v>
      </c>
      <c r="T42" s="47">
        <f>SUM(H42:S42)</f>
        <v>244689047</v>
      </c>
      <c r="U42" s="43"/>
      <c r="V42" s="296"/>
      <c r="W42" s="551"/>
      <c r="X42" s="315"/>
      <c r="Y42" s="315"/>
      <c r="AA42" s="315"/>
    </row>
    <row r="43" spans="1:27" x14ac:dyDescent="0.2">
      <c r="A43" s="40"/>
      <c r="B43" s="40"/>
      <c r="C43" s="16"/>
      <c r="D43" s="40"/>
      <c r="E43" s="40" t="s">
        <v>317</v>
      </c>
      <c r="F43" s="296"/>
      <c r="G43" s="144">
        <f>+[12]Summary!$H$26</f>
        <v>-44612000</v>
      </c>
      <c r="H43" s="47">
        <f>[13]Summary!$M$26</f>
        <v>-3357671</v>
      </c>
      <c r="I43" s="47">
        <f>+[14]Summary!$R$26</f>
        <v>-4348042</v>
      </c>
      <c r="J43" s="47">
        <f>+[15]Summary!$W$26</f>
        <v>-5199615</v>
      </c>
      <c r="K43" s="47">
        <f>+[16]Summary!$AB$26</f>
        <v>-6163152</v>
      </c>
      <c r="L43" s="47">
        <f>+[17]Summary!$AG$26</f>
        <v>-5523545</v>
      </c>
      <c r="M43" s="47">
        <f>+[18]Summary!$AL$26</f>
        <v>-5238994</v>
      </c>
      <c r="N43" s="47">
        <f>+[12]Summary!$AQ$26</f>
        <v>-5173710</v>
      </c>
      <c r="O43" s="47">
        <v>0</v>
      </c>
      <c r="P43" s="47">
        <v>0</v>
      </c>
      <c r="Q43" s="47">
        <v>0</v>
      </c>
      <c r="R43" s="47">
        <v>0</v>
      </c>
      <c r="S43" s="47">
        <v>0</v>
      </c>
      <c r="T43" s="47">
        <f>SUM(H43:S43)</f>
        <v>-35004729</v>
      </c>
      <c r="U43" s="43"/>
      <c r="V43" s="296"/>
      <c r="W43" s="551"/>
      <c r="X43" s="315"/>
      <c r="Y43" s="315"/>
      <c r="AA43" s="315"/>
    </row>
    <row r="44" spans="1:27" x14ac:dyDescent="0.2">
      <c r="A44" s="40"/>
      <c r="B44" s="40"/>
      <c r="C44" s="16"/>
      <c r="D44" s="40"/>
      <c r="E44" s="40" t="s">
        <v>283</v>
      </c>
      <c r="F44" s="296"/>
      <c r="G44" s="144">
        <f>+[12]Summary!$H$27</f>
        <v>-71712000</v>
      </c>
      <c r="H44" s="47">
        <f>[13]Summary!$M$27</f>
        <v>-513949</v>
      </c>
      <c r="I44" s="47">
        <f>+[14]Summary!$R$27</f>
        <v>-384648</v>
      </c>
      <c r="J44" s="47">
        <f>+[15]Summary!$W$27</f>
        <v>-416656</v>
      </c>
      <c r="K44" s="47">
        <f>+[16]Summary!$AB$27</f>
        <v>-496510</v>
      </c>
      <c r="L44" s="47">
        <f>+[17]Summary!$AG$27</f>
        <v>-802735</v>
      </c>
      <c r="M44" s="47">
        <f>+[18]Summary!$AL$27</f>
        <v>-474068</v>
      </c>
      <c r="N44" s="47">
        <f>+[12]Summary!$AQ$27</f>
        <v>-692919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f>SUM(H44:S44)</f>
        <v>-3781485</v>
      </c>
      <c r="U44" s="43"/>
      <c r="V44" s="296"/>
      <c r="W44" s="536"/>
      <c r="X44" s="315"/>
      <c r="Y44" s="315"/>
      <c r="AA44" s="315"/>
    </row>
    <row r="45" spans="1:27" x14ac:dyDescent="0.2">
      <c r="A45" s="40"/>
      <c r="B45" s="40"/>
      <c r="C45" s="16"/>
      <c r="D45" s="40"/>
      <c r="E45" s="40"/>
      <c r="F45" s="296"/>
      <c r="G45" s="144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3"/>
      <c r="V45" s="296"/>
      <c r="W45" s="536"/>
      <c r="X45" s="315"/>
      <c r="Y45" s="315"/>
      <c r="AA45" s="315"/>
    </row>
    <row r="46" spans="1:27" x14ac:dyDescent="0.2">
      <c r="A46" s="40"/>
      <c r="B46" s="40"/>
      <c r="C46" s="16"/>
      <c r="D46" s="40" t="s">
        <v>318</v>
      </c>
      <c r="E46" s="40"/>
      <c r="F46" s="296"/>
      <c r="G46" s="144">
        <f t="shared" ref="G46:S46" si="8">SUM(G47:G49)</f>
        <v>86514</v>
      </c>
      <c r="H46" s="76">
        <f t="shared" si="8"/>
        <v>37259</v>
      </c>
      <c r="I46" s="76">
        <f t="shared" si="8"/>
        <v>39042</v>
      </c>
      <c r="J46" s="76">
        <f t="shared" si="8"/>
        <v>10213</v>
      </c>
      <c r="K46" s="76">
        <f>SUM(K47:K49)</f>
        <v>0</v>
      </c>
      <c r="L46" s="76">
        <f t="shared" si="8"/>
        <v>0</v>
      </c>
      <c r="M46" s="76">
        <f t="shared" si="8"/>
        <v>0</v>
      </c>
      <c r="N46" s="76">
        <f t="shared" si="8"/>
        <v>0</v>
      </c>
      <c r="O46" s="76">
        <f t="shared" si="8"/>
        <v>0</v>
      </c>
      <c r="P46" s="76">
        <f t="shared" si="8"/>
        <v>0</v>
      </c>
      <c r="Q46" s="76">
        <f t="shared" si="8"/>
        <v>0</v>
      </c>
      <c r="R46" s="76">
        <f t="shared" si="8"/>
        <v>0</v>
      </c>
      <c r="S46" s="76">
        <f t="shared" si="8"/>
        <v>0</v>
      </c>
      <c r="T46" s="76">
        <f>SUM(T47:T49)</f>
        <v>86514</v>
      </c>
      <c r="U46" s="43"/>
      <c r="V46" s="296"/>
      <c r="W46" s="536"/>
      <c r="X46" s="315"/>
      <c r="Y46" s="315"/>
      <c r="AA46" s="315"/>
    </row>
    <row r="47" spans="1:27" x14ac:dyDescent="0.2">
      <c r="A47" s="40"/>
      <c r="B47" s="40"/>
      <c r="C47" s="16"/>
      <c r="D47" s="40"/>
      <c r="E47" s="40" t="s">
        <v>316</v>
      </c>
      <c r="F47" s="296"/>
      <c r="G47" s="144">
        <f>+[12]Summary!$H$31</f>
        <v>8874774</v>
      </c>
      <c r="H47" s="47">
        <f>[13]Summary!$M$31</f>
        <v>3409508</v>
      </c>
      <c r="I47" s="47">
        <f>+[14]Summary!$R$31</f>
        <v>4054354</v>
      </c>
      <c r="J47" s="47">
        <f>+[15]Summary!$W$31</f>
        <v>1410912</v>
      </c>
      <c r="K47" s="47">
        <f>+[16]Summary!$AB$31</f>
        <v>0</v>
      </c>
      <c r="L47" s="47">
        <f>+[17]Summary!$AG$31</f>
        <v>0</v>
      </c>
      <c r="M47" s="47">
        <f>+[18]Summary!$AL$31</f>
        <v>0</v>
      </c>
      <c r="N47" s="47">
        <f>+[12]Summary!$AQ$31</f>
        <v>0</v>
      </c>
      <c r="O47" s="47">
        <v>0</v>
      </c>
      <c r="P47" s="47">
        <v>0</v>
      </c>
      <c r="Q47" s="47">
        <v>0</v>
      </c>
      <c r="R47" s="47">
        <v>0</v>
      </c>
      <c r="S47" s="47">
        <v>0</v>
      </c>
      <c r="T47" s="47">
        <f>SUM(H47:S47)</f>
        <v>8874774</v>
      </c>
      <c r="U47" s="43"/>
      <c r="V47" s="296"/>
      <c r="W47" s="536"/>
      <c r="X47" s="315"/>
      <c r="Y47" s="315"/>
      <c r="AA47" s="315"/>
    </row>
    <row r="48" spans="1:27" x14ac:dyDescent="0.2">
      <c r="A48" s="40"/>
      <c r="B48" s="40"/>
      <c r="C48" s="16"/>
      <c r="D48" s="40"/>
      <c r="E48" s="40" t="s">
        <v>317</v>
      </c>
      <c r="F48" s="296"/>
      <c r="G48" s="144">
        <f>+[12]Summary!$H$32</f>
        <v>-1093260</v>
      </c>
      <c r="H48" s="47">
        <f>[13]Summary!$M$32</f>
        <v>-337249</v>
      </c>
      <c r="I48" s="47">
        <f>[14]Summary!$R$32</f>
        <v>-605312</v>
      </c>
      <c r="J48" s="47">
        <f>+[15]Summary!$W$32</f>
        <v>-150699</v>
      </c>
      <c r="K48" s="47">
        <f>+[16]Summary!$AB$32</f>
        <v>0</v>
      </c>
      <c r="L48" s="47">
        <f>+[17]Summary!$AG$32</f>
        <v>0</v>
      </c>
      <c r="M48" s="47">
        <f>+[18]Summary!$AL$32</f>
        <v>0</v>
      </c>
      <c r="N48" s="47">
        <f>+[12]Summary!$AQ$32</f>
        <v>0</v>
      </c>
      <c r="O48" s="47">
        <v>0</v>
      </c>
      <c r="P48" s="47">
        <v>0</v>
      </c>
      <c r="Q48" s="47">
        <v>0</v>
      </c>
      <c r="R48" s="47">
        <v>0</v>
      </c>
      <c r="S48" s="47">
        <v>0</v>
      </c>
      <c r="T48" s="47">
        <f>SUM(H48:S48)</f>
        <v>-1093260</v>
      </c>
      <c r="U48" s="43"/>
      <c r="V48" s="296"/>
      <c r="W48" s="536"/>
      <c r="X48" s="315"/>
      <c r="Y48" s="315"/>
      <c r="Z48" s="315"/>
      <c r="AA48" s="315"/>
    </row>
    <row r="49" spans="1:27" x14ac:dyDescent="0.2">
      <c r="A49" s="40"/>
      <c r="B49" s="40"/>
      <c r="C49" s="16"/>
      <c r="D49" s="40"/>
      <c r="E49" s="40" t="s">
        <v>319</v>
      </c>
      <c r="F49" s="296"/>
      <c r="G49" s="144">
        <f>+[12]Summary!$H$33</f>
        <v>-7695000</v>
      </c>
      <c r="H49" s="47">
        <f>[13]Summary!$M$33</f>
        <v>-3035000</v>
      </c>
      <c r="I49" s="47">
        <f>[14]Summary!$R$33</f>
        <v>-3410000</v>
      </c>
      <c r="J49" s="47">
        <f>+[15]Summary!$W$33</f>
        <v>-1250000</v>
      </c>
      <c r="K49" s="47">
        <f>+[16]Summary!$AB$33</f>
        <v>0</v>
      </c>
      <c r="L49" s="47">
        <f>+[17]Summary!$AG$33</f>
        <v>0</v>
      </c>
      <c r="M49" s="47">
        <f>+[18]Summary!$AL$33</f>
        <v>0</v>
      </c>
      <c r="N49" s="47">
        <f>+[12]Summary!$AQ$33</f>
        <v>0</v>
      </c>
      <c r="O49" s="47">
        <v>0</v>
      </c>
      <c r="P49" s="47">
        <v>0</v>
      </c>
      <c r="Q49" s="47">
        <v>0</v>
      </c>
      <c r="R49" s="47">
        <v>0</v>
      </c>
      <c r="S49" s="47">
        <v>0</v>
      </c>
      <c r="T49" s="47">
        <f>SUM(H49:S49)</f>
        <v>-7695000</v>
      </c>
      <c r="U49" s="43"/>
      <c r="V49" s="296"/>
      <c r="W49" s="536"/>
      <c r="X49" s="315"/>
      <c r="Y49" s="315"/>
      <c r="AA49" s="315"/>
    </row>
    <row r="50" spans="1:27" x14ac:dyDescent="0.2">
      <c r="A50" s="40"/>
      <c r="B50" s="40"/>
      <c r="C50" s="16"/>
      <c r="D50" s="40"/>
      <c r="E50" s="40"/>
      <c r="F50" s="296"/>
      <c r="G50" s="144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3"/>
      <c r="V50" s="296"/>
      <c r="W50" s="536"/>
      <c r="X50" s="315"/>
      <c r="Y50" s="315"/>
      <c r="AA50" s="315"/>
    </row>
    <row r="51" spans="1:27" x14ac:dyDescent="0.2">
      <c r="A51" s="40"/>
      <c r="B51" s="40"/>
      <c r="C51" s="16"/>
      <c r="D51" s="40" t="s">
        <v>320</v>
      </c>
      <c r="E51" s="40"/>
      <c r="F51" s="296"/>
      <c r="G51" s="144">
        <f t="shared" ref="G51:T51" si="9">SUM(G52:G53)</f>
        <v>0</v>
      </c>
      <c r="H51" s="76">
        <f t="shared" si="9"/>
        <v>0</v>
      </c>
      <c r="I51" s="76">
        <f>SUM(I52:I53)</f>
        <v>46261</v>
      </c>
      <c r="J51" s="76">
        <f>SUM(J52:J53)</f>
        <v>-46261</v>
      </c>
      <c r="K51" s="76">
        <f>SUM(K52:K53)</f>
        <v>0</v>
      </c>
      <c r="L51" s="76">
        <f t="shared" si="9"/>
        <v>145196</v>
      </c>
      <c r="M51" s="76">
        <f t="shared" si="9"/>
        <v>-145196</v>
      </c>
      <c r="N51" s="76">
        <f t="shared" si="9"/>
        <v>55193</v>
      </c>
      <c r="O51" s="76">
        <f t="shared" si="9"/>
        <v>0</v>
      </c>
      <c r="P51" s="76">
        <f t="shared" si="9"/>
        <v>0</v>
      </c>
      <c r="Q51" s="76">
        <f t="shared" si="9"/>
        <v>0</v>
      </c>
      <c r="R51" s="76">
        <f t="shared" si="9"/>
        <v>0</v>
      </c>
      <c r="S51" s="76">
        <f t="shared" si="9"/>
        <v>0</v>
      </c>
      <c r="T51" s="47">
        <f t="shared" si="9"/>
        <v>55193</v>
      </c>
      <c r="U51" s="43"/>
      <c r="V51" s="296"/>
      <c r="W51" s="536"/>
      <c r="X51" s="315"/>
      <c r="Y51" s="315"/>
      <c r="AA51" s="315"/>
    </row>
    <row r="52" spans="1:27" x14ac:dyDescent="0.2">
      <c r="A52" s="40"/>
      <c r="B52" s="40"/>
      <c r="C52" s="16"/>
      <c r="D52" s="40"/>
      <c r="E52" s="40" t="s">
        <v>321</v>
      </c>
      <c r="F52" s="296"/>
      <c r="G52" s="144">
        <f>+[12]Summary!$H$36</f>
        <v>8349673</v>
      </c>
      <c r="H52" s="47">
        <f>[13]Summary!$M$36</f>
        <v>827198</v>
      </c>
      <c r="I52" s="47">
        <f>[14]Summary!$R$36</f>
        <v>3114442</v>
      </c>
      <c r="J52" s="47">
        <f>+[15]Summary!$W$36</f>
        <v>860933</v>
      </c>
      <c r="K52" s="47">
        <f>+[16]Summary!$AB$36</f>
        <v>95339</v>
      </c>
      <c r="L52" s="47">
        <f>+[17]Summary!$AG$36</f>
        <v>2945441</v>
      </c>
      <c r="M52" s="47">
        <f>+[18]Summary!$AL$36</f>
        <v>506320</v>
      </c>
      <c r="N52" s="47">
        <f>+[12]Summary!$AQ$36</f>
        <v>513226</v>
      </c>
      <c r="O52" s="47">
        <v>0</v>
      </c>
      <c r="P52" s="47">
        <v>0</v>
      </c>
      <c r="Q52" s="47">
        <v>0</v>
      </c>
      <c r="R52" s="47">
        <v>0</v>
      </c>
      <c r="S52" s="47">
        <v>0</v>
      </c>
      <c r="T52" s="47">
        <f>SUM(H52:S52)</f>
        <v>8862899</v>
      </c>
      <c r="U52" s="43"/>
      <c r="V52" s="296"/>
      <c r="W52" s="536"/>
      <c r="X52" s="315"/>
      <c r="Y52" s="315"/>
      <c r="AA52" s="315"/>
    </row>
    <row r="53" spans="1:27" x14ac:dyDescent="0.2">
      <c r="A53" s="40"/>
      <c r="B53" s="40"/>
      <c r="C53" s="16"/>
      <c r="D53" s="40"/>
      <c r="E53" s="40" t="s">
        <v>322</v>
      </c>
      <c r="F53" s="296"/>
      <c r="G53" s="144">
        <f>+[12]Summary!$H$37</f>
        <v>-8349673</v>
      </c>
      <c r="H53" s="47">
        <f>[13]Summary!$M$37</f>
        <v>-827198</v>
      </c>
      <c r="I53" s="47">
        <f>[14]Summary!$R$37</f>
        <v>-3068181</v>
      </c>
      <c r="J53" s="47">
        <f>+[15]Summary!$W$37</f>
        <v>-907194</v>
      </c>
      <c r="K53" s="47">
        <f>+[16]Summary!$AB$37</f>
        <v>-95339</v>
      </c>
      <c r="L53" s="47">
        <f>+[17]Summary!$AG$37</f>
        <v>-2800245</v>
      </c>
      <c r="M53" s="47">
        <f>+[18]Summary!$AL$37</f>
        <v>-651516</v>
      </c>
      <c r="N53" s="47">
        <f>+[12]Summary!$AQ$37</f>
        <v>-458033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f>SUM(H53:S53)</f>
        <v>-8807706</v>
      </c>
      <c r="U53" s="43"/>
      <c r="V53" s="296"/>
      <c r="W53" s="536"/>
      <c r="X53" s="315"/>
      <c r="Y53" s="315"/>
      <c r="AA53" s="315"/>
    </row>
    <row r="54" spans="1:27" x14ac:dyDescent="0.2">
      <c r="A54" s="40"/>
      <c r="B54" s="40"/>
      <c r="C54" s="16"/>
      <c r="D54" s="40"/>
      <c r="E54" s="40"/>
      <c r="F54" s="296"/>
      <c r="G54" s="144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3"/>
      <c r="V54" s="296"/>
      <c r="W54" s="536"/>
      <c r="X54" s="315"/>
      <c r="Y54" s="315"/>
      <c r="AA54" s="315"/>
    </row>
    <row r="55" spans="1:27" s="17" customFormat="1" x14ac:dyDescent="0.2">
      <c r="A55" s="5"/>
      <c r="B55" s="5"/>
      <c r="C55" s="14" t="s">
        <v>156</v>
      </c>
      <c r="D55" s="5"/>
      <c r="E55" s="5"/>
      <c r="F55" s="125"/>
      <c r="G55" s="428">
        <f t="shared" ref="G55:T55" si="10">+G57+G64+G71</f>
        <v>58059400</v>
      </c>
      <c r="H55" s="36">
        <f>+H57+H64+H71</f>
        <v>46626420</v>
      </c>
      <c r="I55" s="36">
        <f t="shared" si="10"/>
        <v>-15761600</v>
      </c>
      <c r="J55" s="36">
        <f t="shared" si="10"/>
        <v>0</v>
      </c>
      <c r="K55" s="36">
        <f t="shared" si="10"/>
        <v>0</v>
      </c>
      <c r="L55" s="36">
        <f t="shared" si="10"/>
        <v>0</v>
      </c>
      <c r="M55" s="36">
        <f t="shared" si="10"/>
        <v>6790681</v>
      </c>
      <c r="N55" s="36">
        <f t="shared" si="10"/>
        <v>0</v>
      </c>
      <c r="O55" s="36">
        <f t="shared" si="10"/>
        <v>0</v>
      </c>
      <c r="P55" s="36">
        <f t="shared" si="10"/>
        <v>0</v>
      </c>
      <c r="Q55" s="36">
        <f t="shared" si="10"/>
        <v>0</v>
      </c>
      <c r="R55" s="36">
        <f t="shared" si="10"/>
        <v>0</v>
      </c>
      <c r="S55" s="36">
        <f t="shared" si="10"/>
        <v>0</v>
      </c>
      <c r="T55" s="36">
        <f t="shared" si="10"/>
        <v>37655501</v>
      </c>
      <c r="U55" s="81"/>
      <c r="V55" s="125"/>
      <c r="W55" s="536"/>
      <c r="X55" s="315"/>
      <c r="Y55" s="315"/>
      <c r="AA55" s="315"/>
    </row>
    <row r="56" spans="1:27" hidden="1" x14ac:dyDescent="0.2">
      <c r="A56" s="40"/>
      <c r="B56" s="40"/>
      <c r="C56" s="16"/>
      <c r="D56" s="40"/>
      <c r="E56" s="40"/>
      <c r="F56" s="296"/>
      <c r="G56" s="144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3"/>
      <c r="V56" s="296"/>
      <c r="W56" s="536"/>
      <c r="X56" s="315"/>
      <c r="Y56" s="315"/>
      <c r="AA56" s="315"/>
    </row>
    <row r="57" spans="1:27" x14ac:dyDescent="0.2">
      <c r="A57" s="40"/>
      <c r="B57" s="40"/>
      <c r="C57" s="16"/>
      <c r="D57" s="40" t="s">
        <v>315</v>
      </c>
      <c r="E57" s="40"/>
      <c r="F57" s="296"/>
      <c r="G57" s="144">
        <f t="shared" ref="G57:L57" si="11">SUM(G58:G62)</f>
        <v>58059400</v>
      </c>
      <c r="H57" s="144">
        <f t="shared" si="11"/>
        <v>46626420</v>
      </c>
      <c r="I57" s="144">
        <f t="shared" si="11"/>
        <v>-15761600</v>
      </c>
      <c r="J57" s="144">
        <f t="shared" si="11"/>
        <v>0</v>
      </c>
      <c r="K57" s="144">
        <f t="shared" si="11"/>
        <v>0</v>
      </c>
      <c r="L57" s="144">
        <f t="shared" si="11"/>
        <v>0</v>
      </c>
      <c r="M57" s="144">
        <f t="shared" ref="M57:O57" si="12">SUM(M58:M62)</f>
        <v>6790681</v>
      </c>
      <c r="N57" s="144">
        <f>SUM(N58:N62)</f>
        <v>0</v>
      </c>
      <c r="O57" s="144">
        <f t="shared" si="12"/>
        <v>0</v>
      </c>
      <c r="P57" s="144">
        <f>SUM(P58:P62)</f>
        <v>0</v>
      </c>
      <c r="Q57" s="144">
        <f>SUM(Q58:Q62)</f>
        <v>0</v>
      </c>
      <c r="R57" s="144">
        <f>SUM(R58:R62)</f>
        <v>0</v>
      </c>
      <c r="S57" s="144">
        <f>SUM(S58:S62)</f>
        <v>0</v>
      </c>
      <c r="T57" s="144">
        <f>SUM(T58:T62)</f>
        <v>37655501</v>
      </c>
      <c r="U57" s="43"/>
      <c r="V57" s="296"/>
      <c r="W57" s="536"/>
      <c r="X57" s="315"/>
      <c r="Y57" s="315"/>
      <c r="AA57" s="315"/>
    </row>
    <row r="58" spans="1:27" x14ac:dyDescent="0.2">
      <c r="A58" s="40"/>
      <c r="B58" s="40"/>
      <c r="C58" s="16"/>
      <c r="D58" s="40"/>
      <c r="E58" s="40" t="s">
        <v>316</v>
      </c>
      <c r="F58" s="296"/>
      <c r="G58" s="144">
        <f>+[12]Summary!$H$42</f>
        <v>73821000</v>
      </c>
      <c r="H58" s="47">
        <f>[13]Summary!$M$42</f>
        <v>46626420</v>
      </c>
      <c r="I58" s="47">
        <f>[14]Summary!$R$42</f>
        <v>0</v>
      </c>
      <c r="J58" s="47">
        <f>+[15]Summary!$W$42</f>
        <v>0</v>
      </c>
      <c r="K58" s="47">
        <f>+[16]Summary!$AB$42</f>
        <v>0</v>
      </c>
      <c r="L58" s="47">
        <f>+[17]Summary!$AG$42</f>
        <v>0</v>
      </c>
      <c r="M58" s="47">
        <f>+[18]Summary!$AL$42</f>
        <v>6790681</v>
      </c>
      <c r="N58" s="47">
        <f>+[12]Summary!$AQ$42</f>
        <v>0</v>
      </c>
      <c r="O58" s="47">
        <v>0</v>
      </c>
      <c r="P58" s="47">
        <v>0</v>
      </c>
      <c r="Q58" s="47">
        <v>0</v>
      </c>
      <c r="R58" s="47">
        <v>0</v>
      </c>
      <c r="S58" s="47">
        <v>0</v>
      </c>
      <c r="T58" s="47">
        <f>SUM(H58:S58)</f>
        <v>53417101</v>
      </c>
      <c r="U58" s="43"/>
      <c r="V58" s="296"/>
      <c r="W58" s="536"/>
      <c r="X58" s="315"/>
      <c r="Y58" s="315"/>
      <c r="AA58" s="315"/>
    </row>
    <row r="59" spans="1:27" hidden="1" x14ac:dyDescent="0.2">
      <c r="A59" s="40"/>
      <c r="B59" s="40"/>
      <c r="C59" s="16"/>
      <c r="D59" s="40"/>
      <c r="E59" s="40" t="s">
        <v>317</v>
      </c>
      <c r="F59" s="296"/>
      <c r="G59" s="144">
        <f>[19]Summary!$H$43</f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7">
        <v>0</v>
      </c>
      <c r="R59" s="47">
        <v>0</v>
      </c>
      <c r="S59" s="47">
        <v>0</v>
      </c>
      <c r="T59" s="47">
        <f>SUM(H59:S59)</f>
        <v>0</v>
      </c>
      <c r="U59" s="43"/>
      <c r="V59" s="296"/>
      <c r="W59" s="536"/>
      <c r="X59" s="315"/>
      <c r="Y59" s="315"/>
      <c r="AA59" s="315"/>
    </row>
    <row r="60" spans="1:27" x14ac:dyDescent="0.2">
      <c r="A60" s="40"/>
      <c r="B60" s="40"/>
      <c r="C60" s="16"/>
      <c r="D60" s="40"/>
      <c r="E60" s="40" t="s">
        <v>283</v>
      </c>
      <c r="F60" s="296"/>
      <c r="G60" s="144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3"/>
      <c r="V60" s="296"/>
      <c r="W60" s="536"/>
      <c r="X60" s="315"/>
      <c r="Y60" s="315"/>
      <c r="AA60" s="315"/>
    </row>
    <row r="61" spans="1:27" x14ac:dyDescent="0.2">
      <c r="A61" s="40"/>
      <c r="B61" s="40"/>
      <c r="C61" s="16"/>
      <c r="D61" s="40"/>
      <c r="E61" s="67" t="s">
        <v>323</v>
      </c>
      <c r="F61" s="296"/>
      <c r="G61" s="144">
        <f>+[12]Summary!$H$45</f>
        <v>-7115000</v>
      </c>
      <c r="H61" s="47">
        <f>[13]Summary!$M$45</f>
        <v>0</v>
      </c>
      <c r="I61" s="47">
        <f>[14]Summary!$R$45</f>
        <v>-7115000</v>
      </c>
      <c r="J61" s="47">
        <f>+[15]Summary!$W$45</f>
        <v>0</v>
      </c>
      <c r="K61" s="47">
        <f>+[16]Summary!$AB$45</f>
        <v>0</v>
      </c>
      <c r="L61" s="47">
        <f>+[17]Summary!$AG$45</f>
        <v>0</v>
      </c>
      <c r="M61" s="47">
        <f>+[18]Summary!$AL$45</f>
        <v>0</v>
      </c>
      <c r="N61" s="47">
        <f>+[12]Summary!$AQ$45</f>
        <v>0</v>
      </c>
      <c r="O61" s="47">
        <v>0</v>
      </c>
      <c r="P61" s="47">
        <v>0</v>
      </c>
      <c r="Q61" s="47">
        <v>0</v>
      </c>
      <c r="R61" s="47">
        <v>0</v>
      </c>
      <c r="S61" s="47">
        <v>0</v>
      </c>
      <c r="T61" s="47">
        <f>SUM(H61:S61)</f>
        <v>-7115000</v>
      </c>
      <c r="U61" s="43"/>
      <c r="V61" s="296"/>
      <c r="W61" s="536"/>
      <c r="X61" s="315"/>
      <c r="Y61" s="315"/>
      <c r="AA61" s="315"/>
    </row>
    <row r="62" spans="1:27" x14ac:dyDescent="0.2">
      <c r="A62" s="40"/>
      <c r="B62" s="40"/>
      <c r="C62" s="16"/>
      <c r="D62" s="40"/>
      <c r="E62" s="67" t="s">
        <v>324</v>
      </c>
      <c r="F62" s="292"/>
      <c r="G62" s="144">
        <f>+[12]Summary!$H$46</f>
        <v>-8646600</v>
      </c>
      <c r="H62" s="47">
        <f>[13]Summary!$M$46</f>
        <v>0</v>
      </c>
      <c r="I62" s="47">
        <f>[14]Summary!$R$46</f>
        <v>-8646600</v>
      </c>
      <c r="J62" s="47">
        <f>+[15]Summary!$W$46</f>
        <v>0</v>
      </c>
      <c r="K62" s="47">
        <f>+[16]Summary!$AB$46</f>
        <v>0</v>
      </c>
      <c r="L62" s="47">
        <f>+[17]Summary!$AG$46</f>
        <v>0</v>
      </c>
      <c r="M62" s="47">
        <f>+[18]Summary!$AL$46</f>
        <v>0</v>
      </c>
      <c r="N62" s="47">
        <f>+[12]Summary!$AQ$46</f>
        <v>0</v>
      </c>
      <c r="O62" s="47">
        <v>0</v>
      </c>
      <c r="P62" s="47">
        <v>0</v>
      </c>
      <c r="Q62" s="47">
        <v>0</v>
      </c>
      <c r="R62" s="47">
        <v>0</v>
      </c>
      <c r="S62" s="47">
        <v>0</v>
      </c>
      <c r="T62" s="47">
        <f>SUM(H62:S62)</f>
        <v>-8646600</v>
      </c>
      <c r="U62" s="43"/>
      <c r="V62" s="296"/>
      <c r="W62" s="536"/>
      <c r="X62" s="315"/>
      <c r="Y62" s="315"/>
      <c r="AA62" s="315"/>
    </row>
    <row r="63" spans="1:27" x14ac:dyDescent="0.2">
      <c r="A63" s="40"/>
      <c r="B63" s="40"/>
      <c r="C63" s="16"/>
      <c r="D63" s="40"/>
      <c r="E63" s="67"/>
      <c r="F63" s="292"/>
      <c r="G63" s="144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3"/>
      <c r="V63" s="296"/>
      <c r="W63" s="536"/>
      <c r="X63" s="315"/>
      <c r="Y63" s="315"/>
      <c r="AA63" s="315"/>
    </row>
    <row r="64" spans="1:27" hidden="1" x14ac:dyDescent="0.2">
      <c r="A64" s="40"/>
      <c r="B64" s="40"/>
      <c r="C64" s="16"/>
      <c r="D64" s="40" t="s">
        <v>318</v>
      </c>
      <c r="E64" s="40"/>
      <c r="F64" s="292"/>
      <c r="G64" s="144">
        <f t="shared" ref="G64:S64" si="13">SUM(G65:G69)</f>
        <v>0</v>
      </c>
      <c r="H64" s="144">
        <f t="shared" si="13"/>
        <v>0</v>
      </c>
      <c r="I64" s="144">
        <f t="shared" si="13"/>
        <v>0</v>
      </c>
      <c r="J64" s="144">
        <f t="shared" si="13"/>
        <v>0</v>
      </c>
      <c r="K64" s="144">
        <f t="shared" si="13"/>
        <v>0</v>
      </c>
      <c r="L64" s="144">
        <f t="shared" si="13"/>
        <v>0</v>
      </c>
      <c r="M64" s="144">
        <f t="shared" si="13"/>
        <v>0</v>
      </c>
      <c r="N64" s="144">
        <f t="shared" si="13"/>
        <v>0</v>
      </c>
      <c r="O64" s="144">
        <f t="shared" si="13"/>
        <v>0</v>
      </c>
      <c r="P64" s="144">
        <f t="shared" si="13"/>
        <v>0</v>
      </c>
      <c r="Q64" s="144">
        <f t="shared" si="13"/>
        <v>0</v>
      </c>
      <c r="R64" s="144">
        <f t="shared" si="13"/>
        <v>0</v>
      </c>
      <c r="S64" s="144">
        <f t="shared" si="13"/>
        <v>0</v>
      </c>
      <c r="T64" s="47">
        <f>SUM(T65:T69)</f>
        <v>0</v>
      </c>
      <c r="U64" s="43"/>
      <c r="V64" s="296"/>
      <c r="W64" s="536"/>
      <c r="X64" s="315"/>
      <c r="Y64" s="315"/>
      <c r="AA64" s="315"/>
    </row>
    <row r="65" spans="1:27" hidden="1" x14ac:dyDescent="0.2">
      <c r="A65" s="40"/>
      <c r="B65" s="40"/>
      <c r="C65" s="16"/>
      <c r="D65" s="40"/>
      <c r="E65" s="40" t="s">
        <v>316</v>
      </c>
      <c r="F65" s="292"/>
      <c r="G65" s="144">
        <f>[20]summary!$H$55</f>
        <v>0</v>
      </c>
      <c r="H65" s="144">
        <f>[20]summary!$M$55</f>
        <v>0</v>
      </c>
      <c r="I65" s="144">
        <f>[21]summary!$R$55</f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4">
        <v>0</v>
      </c>
      <c r="P65" s="144">
        <v>0</v>
      </c>
      <c r="Q65" s="144">
        <v>0</v>
      </c>
      <c r="R65" s="144">
        <v>0</v>
      </c>
      <c r="S65" s="144">
        <f>[22]summary!$BP$55</f>
        <v>0</v>
      </c>
      <c r="T65" s="47">
        <f>SUM(H65:I65)</f>
        <v>0</v>
      </c>
      <c r="U65" s="43"/>
      <c r="V65" s="296"/>
      <c r="W65" s="536"/>
      <c r="X65" s="315"/>
      <c r="Y65" s="315"/>
      <c r="AA65" s="315"/>
    </row>
    <row r="66" spans="1:27" hidden="1" x14ac:dyDescent="0.2">
      <c r="A66" s="40"/>
      <c r="B66" s="40"/>
      <c r="C66" s="16"/>
      <c r="D66" s="40"/>
      <c r="E66" s="40" t="s">
        <v>317</v>
      </c>
      <c r="F66" s="292"/>
      <c r="G66" s="144">
        <f>[20]summary!$H$56</f>
        <v>0</v>
      </c>
      <c r="H66" s="144">
        <f>[20]summary!$M$56</f>
        <v>0</v>
      </c>
      <c r="I66" s="144">
        <f>[21]summary!$R$56</f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44">
        <v>0</v>
      </c>
      <c r="P66" s="144">
        <v>0</v>
      </c>
      <c r="Q66" s="144">
        <v>0</v>
      </c>
      <c r="R66" s="144">
        <v>0</v>
      </c>
      <c r="S66" s="144">
        <f>[22]summary!$BP$56</f>
        <v>0</v>
      </c>
      <c r="T66" s="47">
        <f>SUM(H66:I66)</f>
        <v>0</v>
      </c>
      <c r="U66" s="43"/>
      <c r="V66" s="296"/>
      <c r="W66" s="536"/>
      <c r="X66" s="315"/>
      <c r="Y66" s="315"/>
      <c r="AA66" s="315"/>
    </row>
    <row r="67" spans="1:27" hidden="1" x14ac:dyDescent="0.2">
      <c r="A67" s="40"/>
      <c r="B67" s="40"/>
      <c r="C67" s="16"/>
      <c r="D67" s="40"/>
      <c r="E67" s="40" t="s">
        <v>325</v>
      </c>
      <c r="F67" s="292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47"/>
      <c r="U67" s="43"/>
      <c r="V67" s="296"/>
      <c r="W67" s="536"/>
      <c r="X67" s="315"/>
      <c r="Y67" s="315"/>
      <c r="AA67" s="315"/>
    </row>
    <row r="68" spans="1:27" hidden="1" x14ac:dyDescent="0.2">
      <c r="A68" s="40"/>
      <c r="B68" s="40"/>
      <c r="C68" s="16"/>
      <c r="D68" s="40"/>
      <c r="E68" s="67" t="s">
        <v>323</v>
      </c>
      <c r="F68" s="292"/>
      <c r="G68" s="144">
        <f>[20]summary!$H$58</f>
        <v>0</v>
      </c>
      <c r="H68" s="144">
        <f>[20]summary!$M$58</f>
        <v>0</v>
      </c>
      <c r="I68" s="144">
        <f>[21]summary!$R$58</f>
        <v>0</v>
      </c>
      <c r="J68" s="144">
        <v>0</v>
      </c>
      <c r="K68" s="144">
        <v>0</v>
      </c>
      <c r="L68" s="144">
        <v>0</v>
      </c>
      <c r="M68" s="144">
        <v>0</v>
      </c>
      <c r="N68" s="144">
        <v>0</v>
      </c>
      <c r="O68" s="144">
        <v>0</v>
      </c>
      <c r="P68" s="144">
        <v>0</v>
      </c>
      <c r="Q68" s="144">
        <v>0</v>
      </c>
      <c r="R68" s="144">
        <v>0</v>
      </c>
      <c r="S68" s="144">
        <f>[22]summary!$BP$58</f>
        <v>0</v>
      </c>
      <c r="T68" s="47">
        <f>SUM(H68:I68)</f>
        <v>0</v>
      </c>
      <c r="U68" s="43"/>
      <c r="V68" s="296"/>
      <c r="W68" s="536"/>
      <c r="X68" s="315"/>
      <c r="Y68" s="315"/>
      <c r="AA68" s="315"/>
    </row>
    <row r="69" spans="1:27" hidden="1" x14ac:dyDescent="0.2">
      <c r="A69" s="40"/>
      <c r="B69" s="40"/>
      <c r="C69" s="16"/>
      <c r="D69" s="40"/>
      <c r="E69" s="67" t="s">
        <v>324</v>
      </c>
      <c r="F69" s="292"/>
      <c r="G69" s="144">
        <f>[20]summary!$H$59</f>
        <v>0</v>
      </c>
      <c r="H69" s="144">
        <f>[20]summary!$M$59</f>
        <v>0</v>
      </c>
      <c r="I69" s="144">
        <f>[21]summary!$R$59</f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0</v>
      </c>
      <c r="O69" s="144">
        <v>0</v>
      </c>
      <c r="P69" s="144">
        <v>0</v>
      </c>
      <c r="Q69" s="144">
        <v>0</v>
      </c>
      <c r="R69" s="144">
        <v>0</v>
      </c>
      <c r="S69" s="144">
        <f>[22]summary!$BP$59</f>
        <v>0</v>
      </c>
      <c r="T69" s="47">
        <f>SUM(H69:I69)</f>
        <v>0</v>
      </c>
      <c r="U69" s="43"/>
      <c r="V69" s="296"/>
      <c r="W69" s="536"/>
      <c r="X69" s="315"/>
      <c r="Y69" s="315"/>
      <c r="AA69" s="315"/>
    </row>
    <row r="70" spans="1:27" hidden="1" x14ac:dyDescent="0.2">
      <c r="A70" s="40"/>
      <c r="B70" s="40"/>
      <c r="C70" s="16"/>
      <c r="D70" s="40"/>
      <c r="E70" s="67"/>
      <c r="F70" s="292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47"/>
      <c r="U70" s="43"/>
      <c r="V70" s="296"/>
      <c r="W70" s="536"/>
      <c r="X70" s="315"/>
      <c r="Y70" s="315"/>
      <c r="AA70" s="315"/>
    </row>
    <row r="71" spans="1:27" hidden="1" x14ac:dyDescent="0.2">
      <c r="A71" s="40"/>
      <c r="B71" s="40"/>
      <c r="C71" s="16"/>
      <c r="D71" s="40" t="s">
        <v>326</v>
      </c>
      <c r="E71" s="40"/>
      <c r="F71" s="292"/>
      <c r="G71" s="144">
        <v>0</v>
      </c>
      <c r="H71" s="144">
        <f t="shared" ref="H71:S71" si="14">SUM(H72:H76)</f>
        <v>0</v>
      </c>
      <c r="I71" s="144">
        <f t="shared" si="14"/>
        <v>0</v>
      </c>
      <c r="J71" s="144">
        <f t="shared" si="14"/>
        <v>0</v>
      </c>
      <c r="K71" s="144">
        <f t="shared" si="14"/>
        <v>0</v>
      </c>
      <c r="L71" s="144">
        <f t="shared" si="14"/>
        <v>0</v>
      </c>
      <c r="M71" s="144">
        <f t="shared" si="14"/>
        <v>0</v>
      </c>
      <c r="N71" s="144">
        <f t="shared" si="14"/>
        <v>0</v>
      </c>
      <c r="O71" s="144">
        <f t="shared" si="14"/>
        <v>0</v>
      </c>
      <c r="P71" s="144">
        <f t="shared" si="14"/>
        <v>0</v>
      </c>
      <c r="Q71" s="144">
        <f t="shared" si="14"/>
        <v>0</v>
      </c>
      <c r="R71" s="144">
        <f t="shared" si="14"/>
        <v>0</v>
      </c>
      <c r="S71" s="144">
        <f t="shared" si="14"/>
        <v>0</v>
      </c>
      <c r="T71" s="47">
        <f>SUM(T72:T76)</f>
        <v>0</v>
      </c>
      <c r="U71" s="43"/>
      <c r="V71" s="296"/>
      <c r="W71" s="536"/>
      <c r="X71" s="315"/>
      <c r="Y71" s="315"/>
      <c r="AA71" s="315"/>
    </row>
    <row r="72" spans="1:27" hidden="1" x14ac:dyDescent="0.2">
      <c r="A72" s="40"/>
      <c r="B72" s="40"/>
      <c r="C72" s="16"/>
      <c r="D72" s="40"/>
      <c r="E72" s="40" t="s">
        <v>316</v>
      </c>
      <c r="F72" s="292"/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0</v>
      </c>
      <c r="N72" s="144">
        <v>0</v>
      </c>
      <c r="O72" s="144">
        <v>0</v>
      </c>
      <c r="P72" s="144">
        <v>0</v>
      </c>
      <c r="Q72" s="144">
        <v>0</v>
      </c>
      <c r="R72" s="144">
        <v>0</v>
      </c>
      <c r="S72" s="144">
        <v>0</v>
      </c>
      <c r="T72" s="47">
        <f>SUM(H72:S72)</f>
        <v>0</v>
      </c>
      <c r="U72" s="43"/>
      <c r="V72" s="296"/>
      <c r="W72" s="536"/>
      <c r="X72" s="315"/>
      <c r="Y72" s="315"/>
      <c r="AA72" s="315"/>
    </row>
    <row r="73" spans="1:27" hidden="1" x14ac:dyDescent="0.2">
      <c r="A73" s="40"/>
      <c r="B73" s="40"/>
      <c r="C73" s="16"/>
      <c r="D73" s="40"/>
      <c r="E73" s="40" t="s">
        <v>317</v>
      </c>
      <c r="F73" s="292"/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4">
        <v>0</v>
      </c>
      <c r="P73" s="144">
        <v>0</v>
      </c>
      <c r="Q73" s="144">
        <v>0</v>
      </c>
      <c r="R73" s="144">
        <v>0</v>
      </c>
      <c r="S73" s="144">
        <v>0</v>
      </c>
      <c r="T73" s="47">
        <f>SUM(H73:S73)</f>
        <v>0</v>
      </c>
      <c r="U73" s="43"/>
      <c r="V73" s="296"/>
      <c r="W73" s="536"/>
      <c r="X73" s="315"/>
      <c r="Y73" s="315"/>
      <c r="AA73" s="315"/>
    </row>
    <row r="74" spans="1:27" hidden="1" x14ac:dyDescent="0.2">
      <c r="A74" s="40"/>
      <c r="B74" s="40"/>
      <c r="C74" s="16"/>
      <c r="D74" s="40"/>
      <c r="E74" s="40" t="s">
        <v>327</v>
      </c>
      <c r="F74" s="292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47"/>
      <c r="U74" s="43"/>
      <c r="V74" s="296"/>
      <c r="W74" s="536"/>
      <c r="X74" s="315"/>
      <c r="Y74" s="315"/>
      <c r="AA74" s="315"/>
    </row>
    <row r="75" spans="1:27" hidden="1" x14ac:dyDescent="0.2">
      <c r="A75" s="40"/>
      <c r="B75" s="40"/>
      <c r="C75" s="16"/>
      <c r="D75" s="40"/>
      <c r="E75" s="67" t="s">
        <v>323</v>
      </c>
      <c r="F75" s="292"/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4">
        <v>0</v>
      </c>
      <c r="P75" s="144">
        <v>0</v>
      </c>
      <c r="Q75" s="144">
        <v>0</v>
      </c>
      <c r="R75" s="144">
        <v>0</v>
      </c>
      <c r="S75" s="144">
        <v>0</v>
      </c>
      <c r="T75" s="47">
        <f>SUM(H75:S75)</f>
        <v>0</v>
      </c>
      <c r="U75" s="43"/>
      <c r="V75" s="296"/>
      <c r="W75" s="536"/>
      <c r="X75" s="315"/>
      <c r="Y75" s="315"/>
      <c r="AA75" s="315"/>
    </row>
    <row r="76" spans="1:27" hidden="1" x14ac:dyDescent="0.2">
      <c r="A76" s="40"/>
      <c r="B76" s="40"/>
      <c r="C76" s="16"/>
      <c r="D76" s="40"/>
      <c r="E76" s="67" t="s">
        <v>324</v>
      </c>
      <c r="F76" s="292"/>
      <c r="G76" s="144">
        <v>0</v>
      </c>
      <c r="H76" s="144">
        <v>0</v>
      </c>
      <c r="I76" s="144">
        <v>0</v>
      </c>
      <c r="J76" s="144">
        <v>0</v>
      </c>
      <c r="K76" s="144">
        <v>0</v>
      </c>
      <c r="L76" s="144">
        <v>0</v>
      </c>
      <c r="M76" s="144">
        <v>0</v>
      </c>
      <c r="N76" s="144">
        <v>0</v>
      </c>
      <c r="O76" s="144">
        <v>0</v>
      </c>
      <c r="P76" s="144">
        <v>0</v>
      </c>
      <c r="Q76" s="144">
        <v>0</v>
      </c>
      <c r="R76" s="144">
        <v>0</v>
      </c>
      <c r="S76" s="144">
        <v>0</v>
      </c>
      <c r="T76" s="47">
        <f>SUM(H76:S76)</f>
        <v>0</v>
      </c>
      <c r="U76" s="43"/>
      <c r="V76" s="296"/>
      <c r="W76" s="536"/>
      <c r="X76" s="315"/>
      <c r="Y76" s="315"/>
      <c r="AA76" s="315"/>
    </row>
    <row r="77" spans="1:27" hidden="1" x14ac:dyDescent="0.2">
      <c r="A77" s="40"/>
      <c r="B77" s="40"/>
      <c r="C77" s="16"/>
      <c r="D77" s="40"/>
      <c r="E77" s="40"/>
      <c r="F77" s="292"/>
      <c r="G77" s="144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3"/>
      <c r="V77" s="296"/>
      <c r="W77" s="536"/>
      <c r="X77" s="315"/>
      <c r="Y77" s="315"/>
      <c r="AA77" s="315"/>
    </row>
    <row r="78" spans="1:27" hidden="1" x14ac:dyDescent="0.2">
      <c r="A78" s="40"/>
      <c r="B78" s="40"/>
      <c r="C78" s="16"/>
      <c r="D78" s="40"/>
      <c r="E78" s="40"/>
      <c r="F78" s="296"/>
      <c r="G78" s="144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3"/>
      <c r="V78" s="296"/>
      <c r="W78" s="536"/>
      <c r="X78" s="315"/>
      <c r="Y78" s="315"/>
      <c r="AA78" s="315"/>
    </row>
    <row r="79" spans="1:27" s="17" customFormat="1" x14ac:dyDescent="0.2">
      <c r="A79" s="5"/>
      <c r="B79" s="5"/>
      <c r="C79" s="14" t="s">
        <v>328</v>
      </c>
      <c r="D79" s="5"/>
      <c r="E79" s="5"/>
      <c r="F79" s="107" t="s">
        <v>329</v>
      </c>
      <c r="G79" s="428">
        <f t="shared" ref="G79:S79" si="15">SUM(G80:G83)</f>
        <v>41301787.13398695</v>
      </c>
      <c r="H79" s="36">
        <f>SUM(H80:H83)</f>
        <v>10373451</v>
      </c>
      <c r="I79" s="36">
        <f t="shared" si="15"/>
        <v>13541591</v>
      </c>
      <c r="J79" s="36">
        <f>SUM(J80:J83)</f>
        <v>-104527277</v>
      </c>
      <c r="K79" s="36">
        <f t="shared" si="15"/>
        <v>88930474</v>
      </c>
      <c r="L79" s="36">
        <f t="shared" si="15"/>
        <v>11144077</v>
      </c>
      <c r="M79" s="36">
        <f t="shared" si="15"/>
        <v>-28822844</v>
      </c>
      <c r="N79" s="36">
        <f t="shared" si="15"/>
        <v>25725501</v>
      </c>
      <c r="O79" s="36">
        <f t="shared" si="15"/>
        <v>311428125</v>
      </c>
      <c r="P79" s="36">
        <f t="shared" si="15"/>
        <v>0</v>
      </c>
      <c r="Q79" s="36">
        <f t="shared" si="15"/>
        <v>0</v>
      </c>
      <c r="R79" s="36">
        <f t="shared" si="15"/>
        <v>0</v>
      </c>
      <c r="S79" s="36">
        <f t="shared" si="15"/>
        <v>0</v>
      </c>
      <c r="T79" s="36">
        <f>SUM(T80:T83)</f>
        <v>16364973</v>
      </c>
      <c r="U79" s="81"/>
      <c r="V79" s="125"/>
      <c r="W79" s="536"/>
      <c r="X79" s="315"/>
      <c r="Y79" s="315"/>
      <c r="AA79" s="315"/>
    </row>
    <row r="80" spans="1:27" x14ac:dyDescent="0.2">
      <c r="A80" s="40"/>
      <c r="B80" s="40"/>
      <c r="C80" s="16"/>
      <c r="D80" s="40"/>
      <c r="E80" s="40" t="s">
        <v>330</v>
      </c>
      <c r="F80" s="296"/>
      <c r="G80" s="144">
        <f>+[12]Summary!$H$67+[12]Summary!$H$68</f>
        <v>-776091.86601304996</v>
      </c>
      <c r="H80" s="47">
        <f>[13]Summary!$M$67+[13]Summary!$M$68</f>
        <v>1585476</v>
      </c>
      <c r="I80" s="47">
        <f>[14]Summary!$R$67+[14]Summary!$R$68</f>
        <v>1883939</v>
      </c>
      <c r="J80" s="47">
        <f>+[15]Summary!$W$67+[15]Summary!$W$68</f>
        <v>-26966</v>
      </c>
      <c r="K80" s="47">
        <f>+[16]Summary!$AB$67+[16]Summary!$AB$68</f>
        <v>35934</v>
      </c>
      <c r="L80" s="47">
        <f>+[17]Summary!$AG$67+[17]Summary!$AG$68</f>
        <v>2754955</v>
      </c>
      <c r="M80" s="47">
        <f>+[18]Summary!$AL$67+[18]Summary!$AL$68</f>
        <v>4605696</v>
      </c>
      <c r="N80" s="47">
        <f>+[12]Summary!$AQ$67+[12]Summary!$AQ$68</f>
        <v>378105</v>
      </c>
      <c r="O80" s="47">
        <v>0</v>
      </c>
      <c r="P80" s="47">
        <v>0</v>
      </c>
      <c r="Q80" s="47">
        <v>0</v>
      </c>
      <c r="R80" s="47">
        <v>0</v>
      </c>
      <c r="S80" s="47">
        <v>0</v>
      </c>
      <c r="T80" s="47">
        <f>SUM(H80:S80)</f>
        <v>11217139</v>
      </c>
      <c r="U80" s="43"/>
      <c r="V80" s="296"/>
      <c r="W80" s="536"/>
      <c r="X80" s="315"/>
      <c r="Y80" s="315"/>
      <c r="AA80" s="315"/>
    </row>
    <row r="81" spans="1:27" x14ac:dyDescent="0.2">
      <c r="A81" s="40"/>
      <c r="B81" s="40"/>
      <c r="C81" s="16"/>
      <c r="D81" s="40"/>
      <c r="E81" s="40" t="s">
        <v>331</v>
      </c>
      <c r="F81" s="552"/>
      <c r="G81" s="47">
        <f>+[12]Summary!$H$65</f>
        <v>0</v>
      </c>
      <c r="H81" s="50">
        <f>[13]Summary!$M$65</f>
        <v>32499994</v>
      </c>
      <c r="I81" s="50">
        <f>[14]Summary!$R$65</f>
        <v>1683425</v>
      </c>
      <c r="J81" s="50">
        <f>+[15]Summary!$W$65</f>
        <v>3575832</v>
      </c>
      <c r="K81" s="50">
        <f>+[16]Summary!$AB$65</f>
        <v>53727650</v>
      </c>
      <c r="L81" s="50">
        <f>+[17]Summary!$AG$65</f>
        <v>-54202159</v>
      </c>
      <c r="M81" s="50">
        <f>+[18]Summary!$AL$65</f>
        <v>-3465898</v>
      </c>
      <c r="N81" s="50">
        <f>+[12]Summary!$AQ$65</f>
        <v>8772236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47">
        <f>SUM(H81:S81)</f>
        <v>42591080</v>
      </c>
      <c r="U81" s="43"/>
      <c r="V81" s="296"/>
      <c r="W81" s="536"/>
      <c r="X81" s="315"/>
      <c r="Y81" s="315"/>
      <c r="AA81" s="315"/>
    </row>
    <row r="82" spans="1:27" x14ac:dyDescent="0.2">
      <c r="A82" s="40"/>
      <c r="B82" s="40"/>
      <c r="C82" s="16"/>
      <c r="D82" s="40"/>
      <c r="E82" s="40" t="s">
        <v>168</v>
      </c>
      <c r="F82" s="296"/>
      <c r="G82" s="144">
        <f>+[12]Summary!$H$66</f>
        <v>0</v>
      </c>
      <c r="H82" s="47">
        <f>[13]Summary!$M$66</f>
        <v>0</v>
      </c>
      <c r="I82" s="47">
        <f>[14]Summary!$R$66</f>
        <v>0</v>
      </c>
      <c r="J82" s="47">
        <f>+[15]Summary!$W$66</f>
        <v>0</v>
      </c>
      <c r="K82" s="47">
        <f>+[16]Summary!$AB$66</f>
        <v>0</v>
      </c>
      <c r="L82" s="47">
        <f>+[17]Summary!$AG$66</f>
        <v>0</v>
      </c>
      <c r="M82" s="47">
        <f>+[18]Summary!$AL$66</f>
        <v>0</v>
      </c>
      <c r="N82" s="47">
        <f>+[12]Summary!$AQ$66</f>
        <v>0</v>
      </c>
      <c r="O82" s="47">
        <v>0</v>
      </c>
      <c r="P82" s="47">
        <v>0</v>
      </c>
      <c r="Q82" s="47">
        <v>0</v>
      </c>
      <c r="R82" s="47">
        <v>0</v>
      </c>
      <c r="S82" s="47">
        <v>0</v>
      </c>
      <c r="T82" s="47">
        <f>SUM(H82:S82)</f>
        <v>0</v>
      </c>
      <c r="U82" s="43"/>
      <c r="V82" s="296"/>
      <c r="W82" s="536"/>
      <c r="X82" s="315"/>
      <c r="Y82" s="315"/>
      <c r="AA82" s="315"/>
    </row>
    <row r="83" spans="1:27" x14ac:dyDescent="0.2">
      <c r="A83" s="40"/>
      <c r="B83" s="40"/>
      <c r="C83" s="16"/>
      <c r="D83" s="40"/>
      <c r="E83" s="40" t="s">
        <v>332</v>
      </c>
      <c r="F83" s="296"/>
      <c r="G83" s="144">
        <f>+G87</f>
        <v>42077879</v>
      </c>
      <c r="H83" s="47">
        <f>+H87</f>
        <v>-23712019</v>
      </c>
      <c r="I83" s="47">
        <f>+I87</f>
        <v>9974227</v>
      </c>
      <c r="J83" s="47">
        <f>+J87</f>
        <v>-108076143</v>
      </c>
      <c r="K83" s="47">
        <f>+K87</f>
        <v>35166890</v>
      </c>
      <c r="L83" s="47">
        <f>L87</f>
        <v>62591281</v>
      </c>
      <c r="M83" s="47">
        <f t="shared" ref="M83:R83" si="16">M87</f>
        <v>-29962642</v>
      </c>
      <c r="N83" s="47">
        <f>N87</f>
        <v>16575160</v>
      </c>
      <c r="O83" s="47">
        <f t="shared" si="16"/>
        <v>311428125</v>
      </c>
      <c r="P83" s="47">
        <f>P87</f>
        <v>0</v>
      </c>
      <c r="Q83" s="47">
        <f t="shared" si="16"/>
        <v>0</v>
      </c>
      <c r="R83" s="47">
        <f t="shared" si="16"/>
        <v>0</v>
      </c>
      <c r="S83" s="47">
        <f>S87</f>
        <v>0</v>
      </c>
      <c r="T83" s="47">
        <f t="shared" ref="T83" si="17">+T87</f>
        <v>-37443246</v>
      </c>
      <c r="U83" s="43"/>
      <c r="V83" s="296"/>
      <c r="W83" s="536"/>
      <c r="X83" s="315"/>
      <c r="Y83" s="315"/>
      <c r="AA83" s="315"/>
    </row>
    <row r="84" spans="1:27" x14ac:dyDescent="0.2">
      <c r="A84" s="40"/>
      <c r="B84" s="40"/>
      <c r="C84" s="97"/>
      <c r="D84" s="98"/>
      <c r="E84" s="98"/>
      <c r="F84" s="553"/>
      <c r="G84" s="447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43"/>
      <c r="V84" s="296"/>
      <c r="W84" s="536"/>
      <c r="X84" s="315"/>
      <c r="Y84" s="315"/>
      <c r="AA84" s="315"/>
    </row>
    <row r="85" spans="1:27" x14ac:dyDescent="0.2">
      <c r="A85" s="40"/>
      <c r="B85" s="40"/>
      <c r="C85" s="40"/>
      <c r="D85" s="40"/>
      <c r="E85" s="40"/>
      <c r="F85" s="296"/>
      <c r="G85" s="554"/>
      <c r="H85" s="554"/>
      <c r="I85" s="554"/>
      <c r="J85" s="554"/>
      <c r="K85" s="554"/>
      <c r="L85" s="554"/>
      <c r="M85" s="554"/>
      <c r="N85" s="554"/>
      <c r="O85" s="554"/>
      <c r="P85" s="554"/>
      <c r="Q85" s="554"/>
      <c r="R85" s="554"/>
      <c r="S85" s="554"/>
      <c r="T85" s="554"/>
      <c r="U85" s="296"/>
      <c r="V85" s="296"/>
      <c r="W85" s="536"/>
      <c r="X85" s="315"/>
      <c r="Y85" s="315"/>
      <c r="AA85" s="315"/>
    </row>
    <row r="86" spans="1:27" x14ac:dyDescent="0.2">
      <c r="A86" s="40"/>
      <c r="B86" s="532"/>
      <c r="C86" s="555"/>
      <c r="D86" s="556"/>
      <c r="E86" s="557"/>
      <c r="F86" s="558"/>
      <c r="G86" s="559"/>
      <c r="H86" s="560"/>
      <c r="I86" s="560"/>
      <c r="J86" s="560"/>
      <c r="K86" s="560"/>
      <c r="L86" s="560"/>
      <c r="M86" s="560"/>
      <c r="N86" s="560"/>
      <c r="O86" s="560"/>
      <c r="P86" s="560"/>
      <c r="Q86" s="560"/>
      <c r="R86" s="560"/>
      <c r="S86" s="560"/>
      <c r="T86" s="559"/>
      <c r="U86" s="81"/>
      <c r="V86" s="296"/>
      <c r="W86" s="536"/>
      <c r="X86" s="315"/>
      <c r="Y86" s="315"/>
      <c r="AA86" s="315"/>
    </row>
    <row r="87" spans="1:27" s="17" customFormat="1" x14ac:dyDescent="0.2">
      <c r="A87" s="5"/>
      <c r="B87" s="540"/>
      <c r="C87" s="297" t="s">
        <v>333</v>
      </c>
      <c r="D87" s="561"/>
      <c r="E87" s="5"/>
      <c r="F87" s="107" t="s">
        <v>334</v>
      </c>
      <c r="G87" s="428">
        <f t="shared" ref="G87:T87" si="18">+G89-G93</f>
        <v>42077879</v>
      </c>
      <c r="H87" s="36">
        <f t="shared" si="18"/>
        <v>-23712019</v>
      </c>
      <c r="I87" s="36">
        <f t="shared" si="18"/>
        <v>9974227</v>
      </c>
      <c r="J87" s="36">
        <f t="shared" si="18"/>
        <v>-108076143</v>
      </c>
      <c r="K87" s="36">
        <f t="shared" si="18"/>
        <v>35166890</v>
      </c>
      <c r="L87" s="36">
        <f t="shared" si="18"/>
        <v>62591281</v>
      </c>
      <c r="M87" s="36">
        <f t="shared" si="18"/>
        <v>-29962642</v>
      </c>
      <c r="N87" s="36">
        <f t="shared" si="18"/>
        <v>16575160</v>
      </c>
      <c r="O87" s="36">
        <f t="shared" si="18"/>
        <v>311428125</v>
      </c>
      <c r="P87" s="36">
        <f t="shared" si="18"/>
        <v>0</v>
      </c>
      <c r="Q87" s="36">
        <f t="shared" si="18"/>
        <v>0</v>
      </c>
      <c r="R87" s="36">
        <f t="shared" si="18"/>
        <v>0</v>
      </c>
      <c r="S87" s="36">
        <f t="shared" si="18"/>
        <v>0</v>
      </c>
      <c r="T87" s="428">
        <f t="shared" si="18"/>
        <v>-37443246</v>
      </c>
      <c r="U87" s="43"/>
      <c r="V87" s="125"/>
      <c r="W87" s="536"/>
      <c r="X87" s="315"/>
      <c r="Y87" s="315"/>
      <c r="AA87" s="315"/>
    </row>
    <row r="88" spans="1:27" x14ac:dyDescent="0.2">
      <c r="A88" s="40"/>
      <c r="B88" s="532"/>
      <c r="C88" s="562"/>
      <c r="D88" s="563"/>
      <c r="E88" s="40"/>
      <c r="F88" s="296"/>
      <c r="G88" s="144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144"/>
      <c r="U88" s="43"/>
      <c r="V88" s="296"/>
      <c r="W88" s="536"/>
      <c r="X88" s="315"/>
      <c r="Y88" s="315"/>
      <c r="AA88" s="315"/>
    </row>
    <row r="89" spans="1:27" x14ac:dyDescent="0.2">
      <c r="A89" s="40"/>
      <c r="B89" s="532"/>
      <c r="C89" s="16" t="s">
        <v>335</v>
      </c>
      <c r="D89" s="40"/>
      <c r="E89" s="40"/>
      <c r="F89" s="107" t="s">
        <v>336</v>
      </c>
      <c r="G89" s="564">
        <f t="shared" ref="G89:T89" si="19">SUM(G90:G91)</f>
        <v>273984879</v>
      </c>
      <c r="H89" s="365">
        <f t="shared" si="19"/>
        <v>273984879</v>
      </c>
      <c r="I89" s="365">
        <f t="shared" si="19"/>
        <v>297696898</v>
      </c>
      <c r="J89" s="365">
        <f t="shared" si="19"/>
        <v>287722671</v>
      </c>
      <c r="K89" s="365">
        <f t="shared" si="19"/>
        <v>395798814</v>
      </c>
      <c r="L89" s="365">
        <f t="shared" si="19"/>
        <v>360631924</v>
      </c>
      <c r="M89" s="365">
        <f t="shared" si="19"/>
        <v>298040643</v>
      </c>
      <c r="N89" s="365">
        <f t="shared" si="19"/>
        <v>328003285</v>
      </c>
      <c r="O89" s="365">
        <f t="shared" si="19"/>
        <v>311428125</v>
      </c>
      <c r="P89" s="365">
        <f t="shared" si="19"/>
        <v>0</v>
      </c>
      <c r="Q89" s="365">
        <f t="shared" si="19"/>
        <v>0</v>
      </c>
      <c r="R89" s="365">
        <f t="shared" si="19"/>
        <v>0</v>
      </c>
      <c r="S89" s="365">
        <f t="shared" si="19"/>
        <v>0</v>
      </c>
      <c r="T89" s="347">
        <f t="shared" si="19"/>
        <v>273984879</v>
      </c>
      <c r="U89" s="43"/>
      <c r="V89" s="296"/>
      <c r="W89" s="536"/>
      <c r="X89" s="315"/>
      <c r="Y89" s="315"/>
      <c r="AA89" s="315"/>
    </row>
    <row r="90" spans="1:27" x14ac:dyDescent="0.2">
      <c r="A90" s="40"/>
      <c r="B90" s="532"/>
      <c r="C90" s="565"/>
      <c r="D90" s="566"/>
      <c r="E90" s="40" t="s">
        <v>337</v>
      </c>
      <c r="F90" s="296"/>
      <c r="G90" s="144">
        <f>+[12]Cashbalances!$H$14</f>
        <v>145289346</v>
      </c>
      <c r="H90" s="76">
        <f>[13]Cashbalances!$M$14</f>
        <v>145289346</v>
      </c>
      <c r="I90" s="76">
        <f>H94</f>
        <v>189293723</v>
      </c>
      <c r="J90" s="76">
        <f>I94</f>
        <v>172981345</v>
      </c>
      <c r="K90" s="76">
        <f t="shared" ref="I90:M91" si="20">J94</f>
        <v>170907699</v>
      </c>
      <c r="L90" s="76">
        <f t="shared" si="20"/>
        <v>169083708</v>
      </c>
      <c r="M90" s="76">
        <f t="shared" si="20"/>
        <v>168176276</v>
      </c>
      <c r="N90" s="76">
        <f>M94</f>
        <v>169665345</v>
      </c>
      <c r="O90" s="76">
        <f>N94</f>
        <v>166304630</v>
      </c>
      <c r="P90" s="76">
        <f>O94</f>
        <v>0</v>
      </c>
      <c r="Q90" s="76">
        <f t="shared" ref="O90:Q91" si="21">P94</f>
        <v>0</v>
      </c>
      <c r="R90" s="76">
        <f>Q94</f>
        <v>0</v>
      </c>
      <c r="S90" s="76">
        <f>R94</f>
        <v>0</v>
      </c>
      <c r="T90" s="144">
        <f>H90</f>
        <v>145289346</v>
      </c>
      <c r="U90" s="43"/>
      <c r="V90" s="296"/>
      <c r="W90" s="536"/>
      <c r="X90" s="315"/>
      <c r="Y90" s="315"/>
      <c r="AA90" s="315"/>
    </row>
    <row r="91" spans="1:27" x14ac:dyDescent="0.2">
      <c r="A91" s="40"/>
      <c r="B91" s="532"/>
      <c r="C91" s="565"/>
      <c r="D91" s="566"/>
      <c r="E91" s="40" t="s">
        <v>338</v>
      </c>
      <c r="F91" s="296"/>
      <c r="G91" s="144">
        <f>+[12]Cashbalances!$H$15</f>
        <v>128695533</v>
      </c>
      <c r="H91" s="76">
        <f>[13]Cashbalances!$M$15</f>
        <v>128695533</v>
      </c>
      <c r="I91" s="76">
        <f t="shared" si="20"/>
        <v>108403175</v>
      </c>
      <c r="J91" s="76">
        <f>I95</f>
        <v>114741326</v>
      </c>
      <c r="K91" s="76">
        <f t="shared" si="20"/>
        <v>224891115</v>
      </c>
      <c r="L91" s="76">
        <f t="shared" si="20"/>
        <v>191548216</v>
      </c>
      <c r="M91" s="76">
        <f t="shared" si="20"/>
        <v>129864367</v>
      </c>
      <c r="N91" s="76">
        <f>M95</f>
        <v>158337940</v>
      </c>
      <c r="O91" s="76">
        <f t="shared" si="21"/>
        <v>145123495</v>
      </c>
      <c r="P91" s="76">
        <f t="shared" si="21"/>
        <v>0</v>
      </c>
      <c r="Q91" s="76">
        <f t="shared" si="21"/>
        <v>0</v>
      </c>
      <c r="R91" s="76">
        <f>Q95</f>
        <v>0</v>
      </c>
      <c r="S91" s="76">
        <f>R95</f>
        <v>0</v>
      </c>
      <c r="T91" s="144">
        <f>H91</f>
        <v>128695533</v>
      </c>
      <c r="U91" s="43"/>
      <c r="V91" s="296"/>
      <c r="W91" s="536"/>
      <c r="X91" s="315"/>
      <c r="Y91" s="315"/>
      <c r="AA91" s="315"/>
    </row>
    <row r="92" spans="1:27" x14ac:dyDescent="0.2">
      <c r="A92" s="40"/>
      <c r="B92" s="532"/>
      <c r="C92" s="16"/>
      <c r="D92" s="40"/>
      <c r="E92" s="40"/>
      <c r="F92" s="296"/>
      <c r="G92" s="144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144"/>
      <c r="U92" s="43"/>
      <c r="V92" s="296"/>
      <c r="W92" s="536"/>
      <c r="X92" s="315"/>
      <c r="Y92" s="315"/>
      <c r="AA92" s="315"/>
    </row>
    <row r="93" spans="1:27" x14ac:dyDescent="0.2">
      <c r="A93" s="40"/>
      <c r="B93" s="532"/>
      <c r="C93" s="16" t="s">
        <v>339</v>
      </c>
      <c r="D93" s="40"/>
      <c r="E93" s="40"/>
      <c r="F93" s="296"/>
      <c r="G93" s="76">
        <f t="shared" ref="G93:S93" si="22">SUM(G94:G95)</f>
        <v>231907000</v>
      </c>
      <c r="H93" s="47">
        <f t="shared" si="22"/>
        <v>297696898</v>
      </c>
      <c r="I93" s="47">
        <f t="shared" si="22"/>
        <v>287722671</v>
      </c>
      <c r="J93" s="47">
        <f t="shared" si="22"/>
        <v>395798814</v>
      </c>
      <c r="K93" s="47">
        <f t="shared" si="22"/>
        <v>360631924</v>
      </c>
      <c r="L93" s="47">
        <f t="shared" si="22"/>
        <v>298040643</v>
      </c>
      <c r="M93" s="47">
        <f t="shared" si="22"/>
        <v>328003285</v>
      </c>
      <c r="N93" s="47">
        <f t="shared" si="22"/>
        <v>311428125</v>
      </c>
      <c r="O93" s="47">
        <f t="shared" si="22"/>
        <v>0</v>
      </c>
      <c r="P93" s="47">
        <f t="shared" si="22"/>
        <v>0</v>
      </c>
      <c r="Q93" s="47">
        <f t="shared" si="22"/>
        <v>0</v>
      </c>
      <c r="R93" s="47">
        <f t="shared" si="22"/>
        <v>0</v>
      </c>
      <c r="S93" s="47">
        <f t="shared" si="22"/>
        <v>0</v>
      </c>
      <c r="T93" s="144">
        <f>SUM(T94:T95)</f>
        <v>311428125</v>
      </c>
      <c r="U93" s="43"/>
      <c r="V93" s="296"/>
      <c r="W93" s="536"/>
      <c r="X93" s="315"/>
      <c r="Y93" s="315"/>
      <c r="AA93" s="315"/>
    </row>
    <row r="94" spans="1:27" x14ac:dyDescent="0.2">
      <c r="A94" s="40"/>
      <c r="B94" s="532"/>
      <c r="C94" s="16"/>
      <c r="D94" s="40"/>
      <c r="E94" s="40" t="s">
        <v>337</v>
      </c>
      <c r="F94" s="296"/>
      <c r="G94" s="144">
        <f>+[12]Cashbalances!$H$18</f>
        <v>124462000</v>
      </c>
      <c r="H94" s="76">
        <f>[13]Cashbalances!$M$18</f>
        <v>189293723</v>
      </c>
      <c r="I94" s="76">
        <f>+[14]Cashbalances!$R$18</f>
        <v>172981345</v>
      </c>
      <c r="J94" s="76">
        <f>+[15]Cashbalances!$W$18</f>
        <v>170907699</v>
      </c>
      <c r="K94" s="76">
        <f>+[16]Cashbalances!$AB$18</f>
        <v>169083708</v>
      </c>
      <c r="L94" s="76">
        <f>+[17]Cashbalances!$AG$18</f>
        <v>168176276</v>
      </c>
      <c r="M94" s="76">
        <f>+[18]Cashbalances!$BU$18</f>
        <v>169665345</v>
      </c>
      <c r="N94" s="76">
        <f>+[12]Cashbalances!$AQ$18</f>
        <v>166304630</v>
      </c>
      <c r="O94" s="76">
        <v>0</v>
      </c>
      <c r="P94" s="76">
        <v>0</v>
      </c>
      <c r="Q94" s="76">
        <v>0</v>
      </c>
      <c r="R94" s="76">
        <v>0</v>
      </c>
      <c r="S94" s="76">
        <v>0</v>
      </c>
      <c r="T94" s="144">
        <f>N94</f>
        <v>166304630</v>
      </c>
      <c r="U94" s="43"/>
      <c r="V94" s="296"/>
      <c r="W94" s="536"/>
      <c r="X94" s="315"/>
      <c r="Y94" s="315"/>
      <c r="AA94" s="315"/>
    </row>
    <row r="95" spans="1:27" x14ac:dyDescent="0.2">
      <c r="A95" s="40"/>
      <c r="B95" s="532"/>
      <c r="C95" s="16"/>
      <c r="D95" s="40"/>
      <c r="E95" s="40" t="s">
        <v>340</v>
      </c>
      <c r="F95" s="107"/>
      <c r="G95" s="144">
        <f>+[12]Cashbalances!$H$19</f>
        <v>107445000</v>
      </c>
      <c r="H95" s="76">
        <f>[13]Cashbalances!$M$19</f>
        <v>108403175</v>
      </c>
      <c r="I95" s="76">
        <f>+[14]Cashbalances!$R$19</f>
        <v>114741326</v>
      </c>
      <c r="J95" s="76">
        <f>+[15]Cashbalances!$W$19</f>
        <v>224891115</v>
      </c>
      <c r="K95" s="76">
        <f>+[16]Cashbalances!$AB$19</f>
        <v>191548216</v>
      </c>
      <c r="L95" s="76">
        <f>+[17]Cashbalances!$AG$19</f>
        <v>129864367</v>
      </c>
      <c r="M95" s="76">
        <f>+[18]Cashbalances!$BU$19</f>
        <v>158337940</v>
      </c>
      <c r="N95" s="76">
        <f>+[12]Cashbalances!$AQ$19</f>
        <v>145123495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144">
        <f>N95</f>
        <v>145123495</v>
      </c>
      <c r="U95" s="43"/>
      <c r="V95" s="296"/>
      <c r="W95" s="536"/>
      <c r="X95" s="315"/>
      <c r="Y95" s="315"/>
      <c r="AA95" s="315"/>
    </row>
    <row r="96" spans="1:27" x14ac:dyDescent="0.2">
      <c r="A96" s="40"/>
      <c r="B96" s="40"/>
      <c r="C96" s="97"/>
      <c r="D96" s="98"/>
      <c r="E96" s="98"/>
      <c r="F96" s="553"/>
      <c r="G96" s="447"/>
      <c r="H96" s="447"/>
      <c r="I96" s="447"/>
      <c r="J96" s="447"/>
      <c r="K96" s="447"/>
      <c r="L96" s="447"/>
      <c r="M96" s="447"/>
      <c r="N96" s="447"/>
      <c r="O96" s="100"/>
      <c r="P96" s="447"/>
      <c r="Q96" s="100"/>
      <c r="R96" s="100"/>
      <c r="S96" s="447"/>
      <c r="T96" s="100"/>
      <c r="U96" s="43"/>
      <c r="V96" s="296"/>
      <c r="W96" s="536"/>
      <c r="X96" s="315"/>
      <c r="Y96" s="315"/>
    </row>
    <row r="97" spans="1:25" x14ac:dyDescent="0.2">
      <c r="A97" s="40"/>
      <c r="B97" s="40"/>
      <c r="C97" s="567" t="s">
        <v>341</v>
      </c>
      <c r="D97" s="567"/>
      <c r="E97" s="212"/>
      <c r="F97" s="296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296"/>
      <c r="V97" s="296"/>
      <c r="W97" s="536"/>
      <c r="X97" s="315"/>
      <c r="Y97" s="315"/>
    </row>
    <row r="98" spans="1:25" x14ac:dyDescent="0.2">
      <c r="A98" s="40"/>
      <c r="B98" s="40"/>
      <c r="C98" s="567" t="s">
        <v>342</v>
      </c>
      <c r="D98" s="567"/>
      <c r="E98" s="58"/>
      <c r="F98" s="296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296"/>
      <c r="V98" s="296"/>
      <c r="W98" s="536"/>
      <c r="X98" s="315"/>
      <c r="Y98" s="315"/>
    </row>
    <row r="99" spans="1:25" x14ac:dyDescent="0.2">
      <c r="A99" s="40"/>
      <c r="B99" s="40"/>
      <c r="C99" s="567" t="s">
        <v>343</v>
      </c>
      <c r="D99" s="567"/>
      <c r="E99" s="58"/>
      <c r="F99" s="296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296"/>
      <c r="V99" s="296"/>
      <c r="W99" s="536"/>
      <c r="X99" s="315"/>
      <c r="Y99" s="315"/>
    </row>
    <row r="100" spans="1:25" x14ac:dyDescent="0.2">
      <c r="A100" s="40"/>
      <c r="B100" s="40"/>
      <c r="C100" s="568" t="s">
        <v>344</v>
      </c>
      <c r="D100" s="211"/>
      <c r="E100" s="211"/>
      <c r="F100" s="64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96"/>
      <c r="V100" s="296"/>
      <c r="W100" s="536"/>
      <c r="X100" s="315"/>
      <c r="Y100" s="315"/>
    </row>
    <row r="101" spans="1:25" x14ac:dyDescent="0.2">
      <c r="A101" s="40"/>
      <c r="B101" s="40"/>
      <c r="C101" s="569" t="s">
        <v>345</v>
      </c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296"/>
      <c r="V101" s="296"/>
      <c r="W101" s="52"/>
      <c r="Y101" s="315"/>
    </row>
    <row r="102" spans="1:25" s="569" customFormat="1" x14ac:dyDescent="0.25">
      <c r="C102" s="569" t="s">
        <v>346</v>
      </c>
    </row>
    <row r="103" spans="1:25" s="40" customFormat="1" x14ac:dyDescent="0.2">
      <c r="F103" s="296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296"/>
      <c r="V103" s="296"/>
      <c r="W103" s="296"/>
      <c r="Y103" s="317"/>
    </row>
    <row r="104" spans="1:25" s="40" customFormat="1" x14ac:dyDescent="0.2">
      <c r="F104" s="296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296"/>
      <c r="V104" s="296"/>
      <c r="W104" s="296"/>
      <c r="Y104" s="317"/>
    </row>
    <row r="105" spans="1:25" s="5" customFormat="1" x14ac:dyDescent="0.2">
      <c r="F105" s="125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125"/>
      <c r="V105" s="125"/>
      <c r="W105" s="125"/>
      <c r="X105" s="329"/>
      <c r="Y105" s="329"/>
    </row>
    <row r="106" spans="1:25" s="40" customFormat="1" x14ac:dyDescent="0.2">
      <c r="F106" s="296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296"/>
      <c r="V106" s="296"/>
      <c r="W106" s="296"/>
      <c r="Y106" s="317"/>
    </row>
    <row r="107" spans="1:25" s="40" customFormat="1" x14ac:dyDescent="0.2">
      <c r="F107" s="296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296"/>
      <c r="V107" s="296"/>
      <c r="W107" s="296"/>
      <c r="Y107" s="317"/>
    </row>
    <row r="108" spans="1:25" s="5" customFormat="1" x14ac:dyDescent="0.2">
      <c r="F108" s="125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125"/>
      <c r="V108" s="125"/>
      <c r="W108" s="125"/>
      <c r="Y108" s="329"/>
    </row>
    <row r="109" spans="1:25" s="40" customFormat="1" x14ac:dyDescent="0.2">
      <c r="F109" s="296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296"/>
      <c r="V109" s="296"/>
      <c r="W109" s="296"/>
      <c r="Y109" s="317"/>
    </row>
    <row r="110" spans="1:25" s="40" customFormat="1" x14ac:dyDescent="0.2">
      <c r="F110" s="296"/>
      <c r="G110" s="570"/>
      <c r="H110" s="51"/>
      <c r="I110" s="51"/>
      <c r="J110" s="51"/>
      <c r="K110" s="51"/>
      <c r="L110" s="571"/>
      <c r="M110" s="51"/>
      <c r="N110" s="51"/>
      <c r="O110" s="51"/>
      <c r="P110" s="570"/>
      <c r="Q110" s="51"/>
      <c r="R110" s="51"/>
      <c r="S110" s="51"/>
      <c r="T110" s="51"/>
      <c r="U110" s="296"/>
      <c r="V110" s="296"/>
      <c r="W110" s="296"/>
      <c r="Y110" s="317"/>
    </row>
    <row r="111" spans="1:25" s="40" customFormat="1" x14ac:dyDescent="0.2">
      <c r="F111" s="296"/>
      <c r="G111" s="570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70"/>
      <c r="S111" s="51"/>
      <c r="T111" s="51"/>
      <c r="U111" s="296"/>
      <c r="V111" s="296"/>
      <c r="W111" s="296"/>
      <c r="Y111" s="317"/>
    </row>
    <row r="112" spans="1:25" s="40" customFormat="1" x14ac:dyDescent="0.2">
      <c r="F112" s="296"/>
      <c r="H112" s="51"/>
      <c r="I112" s="51"/>
      <c r="J112" s="51"/>
      <c r="K112" s="51"/>
      <c r="L112" s="51"/>
      <c r="M112" s="51"/>
      <c r="N112" s="51"/>
      <c r="O112" s="570"/>
      <c r="P112" s="51"/>
      <c r="Q112" s="51"/>
      <c r="R112" s="51"/>
      <c r="S112" s="51"/>
      <c r="T112" s="51"/>
      <c r="U112" s="296"/>
      <c r="V112" s="296"/>
      <c r="W112" s="296"/>
      <c r="Y112" s="317"/>
    </row>
    <row r="113" spans="1:25" s="40" customFormat="1" x14ac:dyDescent="0.2">
      <c r="F113" s="296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296"/>
      <c r="V113" s="296"/>
      <c r="W113" s="296"/>
      <c r="Y113" s="317"/>
    </row>
    <row r="114" spans="1:25" s="40" customFormat="1" x14ac:dyDescent="0.2">
      <c r="F114" s="296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296"/>
      <c r="V114" s="296"/>
      <c r="W114" s="296"/>
      <c r="Y114" s="317"/>
    </row>
    <row r="115" spans="1:25" x14ac:dyDescent="0.2">
      <c r="A115" s="40"/>
      <c r="B115" s="40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296"/>
      <c r="V115" s="296"/>
      <c r="W115" s="52"/>
      <c r="Y115" s="315"/>
    </row>
    <row r="116" spans="1:25" x14ac:dyDescent="0.2">
      <c r="A116" s="40"/>
      <c r="B116" s="40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296"/>
      <c r="V116" s="296"/>
      <c r="W116" s="52"/>
      <c r="Y116" s="315"/>
    </row>
    <row r="117" spans="1:25" x14ac:dyDescent="0.2">
      <c r="A117" s="40"/>
      <c r="B117" s="40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296"/>
      <c r="V117" s="296"/>
      <c r="W117" s="52"/>
      <c r="Y117" s="315"/>
    </row>
    <row r="118" spans="1:25" x14ac:dyDescent="0.2">
      <c r="A118" s="40"/>
      <c r="B118" s="40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296"/>
      <c r="V118" s="296"/>
      <c r="W118" s="52"/>
      <c r="Y118" s="315"/>
    </row>
    <row r="119" spans="1:25" x14ac:dyDescent="0.2">
      <c r="A119" s="40"/>
      <c r="B119" s="40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296"/>
      <c r="V119" s="296"/>
      <c r="W119" s="52"/>
      <c r="Y119" s="315"/>
    </row>
    <row r="120" spans="1:25" x14ac:dyDescent="0.2">
      <c r="A120" s="40"/>
      <c r="B120" s="40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296"/>
      <c r="V120" s="296"/>
      <c r="W120" s="52"/>
      <c r="Y120" s="315"/>
    </row>
    <row r="121" spans="1:25" x14ac:dyDescent="0.2">
      <c r="A121" s="40"/>
      <c r="B121" s="40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296"/>
      <c r="V121" s="296"/>
      <c r="W121" s="52"/>
      <c r="Y121" s="315"/>
    </row>
    <row r="122" spans="1:25" x14ac:dyDescent="0.2">
      <c r="A122" s="40"/>
      <c r="B122" s="40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296"/>
      <c r="V122" s="296"/>
      <c r="W122" s="52"/>
      <c r="Y122" s="315"/>
    </row>
    <row r="123" spans="1:25" x14ac:dyDescent="0.2">
      <c r="A123" s="40"/>
      <c r="B123" s="40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296"/>
      <c r="V123" s="296"/>
      <c r="W123" s="52"/>
      <c r="Y123" s="315"/>
    </row>
    <row r="124" spans="1:25" x14ac:dyDescent="0.2">
      <c r="A124" s="40"/>
      <c r="B124" s="40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296"/>
      <c r="V124" s="296"/>
      <c r="W124" s="52"/>
      <c r="Y124" s="315"/>
    </row>
    <row r="125" spans="1:25" x14ac:dyDescent="0.2">
      <c r="A125" s="40"/>
      <c r="B125" s="40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296"/>
      <c r="V125" s="296"/>
      <c r="W125" s="52"/>
      <c r="Y125" s="315"/>
    </row>
    <row r="126" spans="1:25" x14ac:dyDescent="0.2">
      <c r="A126" s="40"/>
      <c r="B126" s="58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296"/>
      <c r="V126" s="296"/>
      <c r="W126" s="52"/>
      <c r="Y126" s="315"/>
    </row>
    <row r="127" spans="1:25" x14ac:dyDescent="0.2"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2"/>
      <c r="V127" s="52"/>
      <c r="W127" s="52"/>
      <c r="Y127" s="315"/>
    </row>
    <row r="128" spans="1:25" x14ac:dyDescent="0.2"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2"/>
      <c r="V128" s="52"/>
      <c r="W128" s="52"/>
      <c r="Y128" s="315"/>
    </row>
    <row r="129" spans="7:25" x14ac:dyDescent="0.2"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2"/>
      <c r="V129" s="52"/>
      <c r="W129" s="52"/>
      <c r="Y129" s="315"/>
    </row>
    <row r="130" spans="7:25" x14ac:dyDescent="0.2"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2"/>
      <c r="V130" s="52"/>
      <c r="W130" s="52"/>
      <c r="Y130" s="315"/>
    </row>
    <row r="131" spans="7:25" x14ac:dyDescent="0.2"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2"/>
      <c r="V131" s="52"/>
      <c r="W131" s="52"/>
      <c r="Y131" s="315"/>
    </row>
    <row r="132" spans="7:25" x14ac:dyDescent="0.2"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2"/>
      <c r="V132" s="52"/>
      <c r="W132" s="52"/>
      <c r="Y132" s="315"/>
    </row>
    <row r="133" spans="7:25" x14ac:dyDescent="0.2"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2"/>
      <c r="V133" s="52"/>
      <c r="W133" s="52"/>
      <c r="Y133" s="315"/>
    </row>
    <row r="134" spans="7:25" x14ac:dyDescent="0.2"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2"/>
      <c r="V134" s="52"/>
      <c r="W134" s="52"/>
      <c r="Y134" s="315"/>
    </row>
    <row r="135" spans="7:25" x14ac:dyDescent="0.2"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2"/>
      <c r="V135" s="52"/>
      <c r="W135" s="52"/>
      <c r="Y135" s="315"/>
    </row>
    <row r="136" spans="7:25" x14ac:dyDescent="0.2"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2"/>
      <c r="V136" s="52"/>
      <c r="W136" s="52"/>
      <c r="Y136" s="315"/>
    </row>
    <row r="137" spans="7:25" x14ac:dyDescent="0.2"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2"/>
      <c r="V137" s="52"/>
      <c r="W137" s="52"/>
      <c r="Y137" s="315"/>
    </row>
    <row r="138" spans="7:25" x14ac:dyDescent="0.2"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2"/>
      <c r="V138" s="52"/>
      <c r="W138" s="52"/>
      <c r="Y138" s="315"/>
    </row>
    <row r="139" spans="7:25" x14ac:dyDescent="0.2"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2"/>
      <c r="V139" s="52"/>
      <c r="W139" s="52"/>
      <c r="Y139" s="315"/>
    </row>
    <row r="140" spans="7:25" x14ac:dyDescent="0.2"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2"/>
      <c r="V140" s="52"/>
      <c r="W140" s="52"/>
      <c r="Y140" s="315"/>
    </row>
    <row r="141" spans="7:25" x14ac:dyDescent="0.2"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2"/>
      <c r="V141" s="52"/>
      <c r="W141" s="52"/>
      <c r="Y141" s="315"/>
    </row>
    <row r="142" spans="7:25" x14ac:dyDescent="0.2"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2"/>
      <c r="V142" s="52"/>
      <c r="W142" s="52"/>
      <c r="Y142" s="315"/>
    </row>
    <row r="143" spans="7:25" x14ac:dyDescent="0.2"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2"/>
      <c r="V143" s="52"/>
      <c r="W143" s="52"/>
      <c r="Y143" s="315"/>
    </row>
    <row r="144" spans="7:25" x14ac:dyDescent="0.2"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2"/>
      <c r="V144" s="52"/>
      <c r="W144" s="52"/>
      <c r="Y144" s="315"/>
    </row>
    <row r="145" spans="7:25" x14ac:dyDescent="0.2"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2"/>
      <c r="V145" s="52"/>
      <c r="W145" s="52"/>
      <c r="Y145" s="315"/>
    </row>
    <row r="146" spans="7:25" x14ac:dyDescent="0.2"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2"/>
      <c r="V146" s="52"/>
      <c r="W146" s="52"/>
      <c r="Y146" s="315"/>
    </row>
    <row r="147" spans="7:25" x14ac:dyDescent="0.2"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2"/>
      <c r="V147" s="52"/>
      <c r="W147" s="52"/>
      <c r="Y147" s="315"/>
    </row>
    <row r="148" spans="7:25" x14ac:dyDescent="0.2"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2"/>
      <c r="V148" s="52"/>
      <c r="W148" s="52"/>
      <c r="Y148" s="315"/>
    </row>
    <row r="149" spans="7:25" x14ac:dyDescent="0.2"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2"/>
      <c r="V149" s="52"/>
      <c r="W149" s="52"/>
      <c r="Y149" s="315"/>
    </row>
    <row r="150" spans="7:25" x14ac:dyDescent="0.2"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2"/>
      <c r="V150" s="52"/>
      <c r="W150" s="52"/>
      <c r="Y150" s="315"/>
    </row>
    <row r="151" spans="7:25" x14ac:dyDescent="0.2"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2"/>
      <c r="V151" s="52"/>
      <c r="W151" s="52"/>
      <c r="Y151" s="315"/>
    </row>
    <row r="152" spans="7:25" x14ac:dyDescent="0.2"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2"/>
      <c r="V152" s="52"/>
      <c r="W152" s="52"/>
      <c r="Y152" s="315"/>
    </row>
    <row r="153" spans="7:25" x14ac:dyDescent="0.2"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2"/>
      <c r="V153" s="52"/>
      <c r="W153" s="52"/>
      <c r="Y153" s="315"/>
    </row>
    <row r="154" spans="7:25" x14ac:dyDescent="0.2"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2"/>
      <c r="V154" s="52"/>
      <c r="W154" s="52"/>
      <c r="Y154" s="315"/>
    </row>
    <row r="155" spans="7:25" x14ac:dyDescent="0.2"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2"/>
      <c r="V155" s="52"/>
      <c r="W155" s="52"/>
      <c r="Y155" s="315"/>
    </row>
    <row r="156" spans="7:25" x14ac:dyDescent="0.2"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2"/>
      <c r="V156" s="52"/>
      <c r="W156" s="52"/>
      <c r="Y156" s="315"/>
    </row>
    <row r="157" spans="7:25" x14ac:dyDescent="0.2"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2"/>
      <c r="V157" s="52"/>
      <c r="W157" s="52"/>
      <c r="Y157" s="315"/>
    </row>
    <row r="158" spans="7:25" x14ac:dyDescent="0.2"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2"/>
      <c r="V158" s="52"/>
      <c r="W158" s="52"/>
      <c r="Y158" s="315"/>
    </row>
    <row r="159" spans="7:25" x14ac:dyDescent="0.2"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2"/>
      <c r="V159" s="52"/>
      <c r="W159" s="52"/>
      <c r="Y159" s="315"/>
    </row>
    <row r="160" spans="7:25" x14ac:dyDescent="0.2"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2"/>
      <c r="V160" s="52"/>
      <c r="W160" s="52"/>
      <c r="Y160" s="315"/>
    </row>
    <row r="161" spans="7:25" x14ac:dyDescent="0.2"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2"/>
      <c r="V161" s="52"/>
      <c r="W161" s="52"/>
      <c r="Y161" s="315"/>
    </row>
    <row r="162" spans="7:25" x14ac:dyDescent="0.2"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2"/>
      <c r="V162" s="52"/>
      <c r="W162" s="52"/>
      <c r="Y162" s="315"/>
    </row>
    <row r="163" spans="7:25" x14ac:dyDescent="0.2"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2"/>
      <c r="V163" s="52"/>
      <c r="W163" s="52"/>
      <c r="Y163" s="315"/>
    </row>
    <row r="164" spans="7:25" x14ac:dyDescent="0.2"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2"/>
      <c r="V164" s="52"/>
      <c r="W164" s="52"/>
      <c r="Y164" s="315"/>
    </row>
    <row r="165" spans="7:25" x14ac:dyDescent="0.2"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2"/>
      <c r="V165" s="52"/>
      <c r="W165" s="52"/>
      <c r="Y165" s="315"/>
    </row>
    <row r="166" spans="7:25" x14ac:dyDescent="0.2"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2"/>
      <c r="V166" s="52"/>
      <c r="W166" s="52"/>
      <c r="Y166" s="315"/>
    </row>
    <row r="167" spans="7:25" x14ac:dyDescent="0.2"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2"/>
      <c r="V167" s="52"/>
      <c r="W167" s="52"/>
      <c r="Y167" s="315"/>
    </row>
    <row r="168" spans="7:25" x14ac:dyDescent="0.2"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2"/>
      <c r="V168" s="52"/>
      <c r="W168" s="52"/>
      <c r="Y168" s="315"/>
    </row>
    <row r="169" spans="7:25" x14ac:dyDescent="0.2"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2"/>
      <c r="V169" s="52"/>
      <c r="W169" s="52"/>
      <c r="Y169" s="315"/>
    </row>
    <row r="170" spans="7:25" x14ac:dyDescent="0.2"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2"/>
      <c r="V170" s="52"/>
      <c r="W170" s="52"/>
      <c r="Y170" s="315"/>
    </row>
    <row r="171" spans="7:25" x14ac:dyDescent="0.2"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2"/>
      <c r="V171" s="52"/>
      <c r="W171" s="52"/>
      <c r="Y171" s="315"/>
    </row>
    <row r="172" spans="7:25" x14ac:dyDescent="0.2"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2"/>
      <c r="V172" s="52"/>
      <c r="W172" s="52"/>
      <c r="Y172" s="315"/>
    </row>
    <row r="173" spans="7:25" x14ac:dyDescent="0.2"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2"/>
      <c r="V173" s="52"/>
      <c r="W173" s="52"/>
      <c r="Y173" s="315"/>
    </row>
    <row r="174" spans="7:25" x14ac:dyDescent="0.2"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2"/>
      <c r="V174" s="52"/>
      <c r="W174" s="52"/>
      <c r="Y174" s="315"/>
    </row>
    <row r="175" spans="7:25" x14ac:dyDescent="0.2"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2"/>
      <c r="V175" s="52"/>
      <c r="W175" s="52"/>
      <c r="Y175" s="315"/>
    </row>
    <row r="176" spans="7:25" x14ac:dyDescent="0.2"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2"/>
      <c r="V176" s="52"/>
      <c r="W176" s="52"/>
      <c r="Y176" s="315"/>
    </row>
    <row r="177" spans="7:25" x14ac:dyDescent="0.2"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2"/>
      <c r="V177" s="52"/>
      <c r="W177" s="52"/>
      <c r="Y177" s="315"/>
    </row>
    <row r="178" spans="7:25" x14ac:dyDescent="0.2"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2"/>
      <c r="V178" s="52"/>
      <c r="W178" s="52"/>
      <c r="Y178" s="315"/>
    </row>
    <row r="179" spans="7:25" x14ac:dyDescent="0.2"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2"/>
      <c r="V179" s="52"/>
      <c r="W179" s="52"/>
      <c r="Y179" s="315"/>
    </row>
    <row r="180" spans="7:25" x14ac:dyDescent="0.2"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2"/>
      <c r="V180" s="52"/>
      <c r="W180" s="52"/>
      <c r="Y180" s="315"/>
    </row>
    <row r="181" spans="7:25" x14ac:dyDescent="0.2"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2"/>
      <c r="V181" s="52"/>
      <c r="W181" s="52"/>
      <c r="Y181" s="315"/>
    </row>
    <row r="182" spans="7:25" x14ac:dyDescent="0.2"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2"/>
      <c r="V182" s="52"/>
      <c r="W182" s="52"/>
      <c r="Y182" s="315"/>
    </row>
    <row r="183" spans="7:25" x14ac:dyDescent="0.2"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2"/>
      <c r="V183" s="52"/>
      <c r="W183" s="52"/>
      <c r="Y183" s="315"/>
    </row>
    <row r="184" spans="7:25" x14ac:dyDescent="0.2"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2"/>
      <c r="V184" s="52"/>
      <c r="W184" s="52"/>
      <c r="Y184" s="315"/>
    </row>
    <row r="185" spans="7:25" x14ac:dyDescent="0.2"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2"/>
      <c r="V185" s="52"/>
      <c r="W185" s="52"/>
      <c r="Y185" s="315"/>
    </row>
    <row r="186" spans="7:25" x14ac:dyDescent="0.2"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2"/>
      <c r="V186" s="52"/>
      <c r="W186" s="52"/>
      <c r="Y186" s="315"/>
    </row>
    <row r="187" spans="7:25" x14ac:dyDescent="0.2"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2"/>
      <c r="V187" s="52"/>
      <c r="W187" s="52"/>
      <c r="Y187" s="315"/>
    </row>
    <row r="188" spans="7:25" x14ac:dyDescent="0.2"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2"/>
      <c r="V188" s="52"/>
      <c r="W188" s="52"/>
      <c r="Y188" s="315"/>
    </row>
    <row r="189" spans="7:25" x14ac:dyDescent="0.2"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2"/>
      <c r="V189" s="52"/>
      <c r="W189" s="52"/>
      <c r="Y189" s="315"/>
    </row>
    <row r="190" spans="7:25" x14ac:dyDescent="0.2"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2"/>
      <c r="V190" s="52"/>
      <c r="W190" s="52"/>
      <c r="Y190" s="315"/>
    </row>
    <row r="191" spans="7:25" x14ac:dyDescent="0.2"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2"/>
      <c r="V191" s="52"/>
      <c r="W191" s="52"/>
      <c r="Y191" s="315"/>
    </row>
    <row r="192" spans="7:25" x14ac:dyDescent="0.2"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2"/>
      <c r="V192" s="52"/>
      <c r="W192" s="52"/>
      <c r="Y192" s="315"/>
    </row>
    <row r="193" spans="7:25" x14ac:dyDescent="0.2"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2"/>
      <c r="V193" s="52"/>
      <c r="W193" s="52"/>
      <c r="Y193" s="315"/>
    </row>
    <row r="194" spans="7:25" x14ac:dyDescent="0.2"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2"/>
      <c r="V194" s="52"/>
      <c r="W194" s="52"/>
      <c r="Y194" s="315"/>
    </row>
    <row r="195" spans="7:25" x14ac:dyDescent="0.2"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2"/>
      <c r="V195" s="52"/>
      <c r="W195" s="52"/>
      <c r="Y195" s="315"/>
    </row>
    <row r="196" spans="7:25" x14ac:dyDescent="0.2"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2"/>
      <c r="V196" s="52"/>
      <c r="W196" s="52"/>
      <c r="Y196" s="315"/>
    </row>
    <row r="197" spans="7:25" x14ac:dyDescent="0.2"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2"/>
      <c r="V197" s="52"/>
      <c r="W197" s="52"/>
      <c r="Y197" s="315"/>
    </row>
    <row r="198" spans="7:25" x14ac:dyDescent="0.2"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2"/>
      <c r="V198" s="52"/>
      <c r="W198" s="52"/>
      <c r="Y198" s="315"/>
    </row>
    <row r="199" spans="7:25" x14ac:dyDescent="0.2"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2"/>
      <c r="V199" s="52"/>
      <c r="W199" s="52"/>
      <c r="Y199" s="315"/>
    </row>
    <row r="200" spans="7:25" x14ac:dyDescent="0.2"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2"/>
      <c r="V200" s="52"/>
      <c r="W200" s="52"/>
      <c r="Y200" s="315"/>
    </row>
    <row r="201" spans="7:25" x14ac:dyDescent="0.2"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2"/>
      <c r="V201" s="52"/>
      <c r="W201" s="52"/>
      <c r="Y201" s="315"/>
    </row>
    <row r="202" spans="7:25" x14ac:dyDescent="0.2"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2"/>
      <c r="V202" s="52"/>
      <c r="W202" s="52"/>
      <c r="Y202" s="315"/>
    </row>
    <row r="203" spans="7:25" x14ac:dyDescent="0.2"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2"/>
      <c r="V203" s="52"/>
      <c r="W203" s="52"/>
      <c r="Y203" s="315"/>
    </row>
    <row r="204" spans="7:25" x14ac:dyDescent="0.2"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2"/>
      <c r="V204" s="52"/>
      <c r="W204" s="52"/>
      <c r="Y204" s="315"/>
    </row>
    <row r="205" spans="7:25" x14ac:dyDescent="0.2"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2"/>
      <c r="V205" s="52"/>
      <c r="W205" s="52"/>
      <c r="Y205" s="315"/>
    </row>
    <row r="206" spans="7:25" x14ac:dyDescent="0.2"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2"/>
      <c r="V206" s="52"/>
      <c r="W206" s="52"/>
      <c r="Y206" s="315"/>
    </row>
    <row r="207" spans="7:25" x14ac:dyDescent="0.2"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2"/>
      <c r="V207" s="52"/>
      <c r="W207" s="52"/>
      <c r="Y207" s="315"/>
    </row>
    <row r="208" spans="7:25" x14ac:dyDescent="0.2"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2"/>
      <c r="V208" s="52"/>
      <c r="W208" s="52"/>
      <c r="Y208" s="315"/>
    </row>
    <row r="209" spans="7:25" x14ac:dyDescent="0.2"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2"/>
      <c r="V209" s="52"/>
      <c r="W209" s="52"/>
      <c r="Y209" s="315"/>
    </row>
    <row r="210" spans="7:25" x14ac:dyDescent="0.2"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2"/>
      <c r="V210" s="52"/>
      <c r="W210" s="52"/>
      <c r="Y210" s="315"/>
    </row>
    <row r="211" spans="7:25" x14ac:dyDescent="0.2"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2"/>
      <c r="V211" s="52"/>
      <c r="W211" s="52"/>
      <c r="Y211" s="315"/>
    </row>
    <row r="212" spans="7:25" x14ac:dyDescent="0.2"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2"/>
      <c r="V212" s="52"/>
      <c r="W212" s="52"/>
      <c r="Y212" s="315"/>
    </row>
    <row r="213" spans="7:25" x14ac:dyDescent="0.2">
      <c r="G213" s="51"/>
      <c r="H213" s="51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</row>
    <row r="214" spans="7:25" x14ac:dyDescent="0.2">
      <c r="G214" s="51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</row>
    <row r="215" spans="7:25" x14ac:dyDescent="0.2">
      <c r="G215" s="51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</row>
    <row r="216" spans="7:25" x14ac:dyDescent="0.2">
      <c r="G216" s="51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</row>
    <row r="217" spans="7:25" x14ac:dyDescent="0.2">
      <c r="G217" s="51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</row>
    <row r="218" spans="7:25" x14ac:dyDescent="0.2">
      <c r="G218" s="51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</row>
    <row r="219" spans="7:25" x14ac:dyDescent="0.2">
      <c r="G219" s="51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</row>
    <row r="220" spans="7:25" x14ac:dyDescent="0.2">
      <c r="G220" s="51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</row>
    <row r="221" spans="7:25" x14ac:dyDescent="0.2">
      <c r="G221" s="51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</row>
    <row r="222" spans="7:25" x14ac:dyDescent="0.2">
      <c r="G222" s="51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</row>
    <row r="223" spans="7:25" x14ac:dyDescent="0.2">
      <c r="G223" s="51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</row>
    <row r="224" spans="7:25" x14ac:dyDescent="0.2">
      <c r="G224" s="51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</row>
    <row r="225" spans="7:23" x14ac:dyDescent="0.2">
      <c r="G225" s="51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</row>
    <row r="226" spans="7:23" x14ac:dyDescent="0.2">
      <c r="G226" s="51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</row>
    <row r="227" spans="7:23" x14ac:dyDescent="0.2">
      <c r="G227" s="51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</row>
    <row r="228" spans="7:23" x14ac:dyDescent="0.2">
      <c r="G228" s="51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</row>
    <row r="229" spans="7:23" x14ac:dyDescent="0.2">
      <c r="G229" s="51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</row>
    <row r="230" spans="7:23" x14ac:dyDescent="0.2">
      <c r="G230" s="51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</row>
    <row r="231" spans="7:23" x14ac:dyDescent="0.2">
      <c r="G231" s="51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</row>
    <row r="232" spans="7:23" x14ac:dyDescent="0.2"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</row>
    <row r="233" spans="7:23" x14ac:dyDescent="0.2"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</row>
    <row r="234" spans="7:23" x14ac:dyDescent="0.2"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</row>
    <row r="235" spans="7:23" x14ac:dyDescent="0.2"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</row>
    <row r="236" spans="7:23" x14ac:dyDescent="0.2"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</row>
    <row r="237" spans="7:23" x14ac:dyDescent="0.2"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</row>
    <row r="238" spans="7:23" x14ac:dyDescent="0.2"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</row>
    <row r="239" spans="7:23" x14ac:dyDescent="0.2"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</row>
    <row r="240" spans="7:23" x14ac:dyDescent="0.2"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</row>
    <row r="241" spans="7:23" x14ac:dyDescent="0.2"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</row>
    <row r="242" spans="7:23" x14ac:dyDescent="0.2"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</row>
    <row r="243" spans="7:23" x14ac:dyDescent="0.2"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</row>
    <row r="244" spans="7:23" x14ac:dyDescent="0.2"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</row>
    <row r="245" spans="7:23" x14ac:dyDescent="0.2">
      <c r="G245" s="51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</row>
    <row r="246" spans="7:23" x14ac:dyDescent="0.2">
      <c r="G246" s="51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</row>
    <row r="247" spans="7:23" x14ac:dyDescent="0.2">
      <c r="G247" s="51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</row>
    <row r="248" spans="7:23" x14ac:dyDescent="0.2">
      <c r="G248" s="51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</row>
    <row r="249" spans="7:23" x14ac:dyDescent="0.2">
      <c r="G249" s="51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</row>
    <row r="250" spans="7:23" x14ac:dyDescent="0.2">
      <c r="G250" s="51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</row>
    <row r="251" spans="7:23" x14ac:dyDescent="0.2">
      <c r="G251" s="51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</row>
    <row r="252" spans="7:23" x14ac:dyDescent="0.2"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</row>
    <row r="253" spans="7:23" x14ac:dyDescent="0.2"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</row>
    <row r="254" spans="7:23" x14ac:dyDescent="0.2"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</row>
    <row r="255" spans="7:23" x14ac:dyDescent="0.2"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</row>
    <row r="256" spans="7:23" x14ac:dyDescent="0.2"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</row>
    <row r="257" spans="7:23" x14ac:dyDescent="0.2"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</row>
    <row r="258" spans="7:23" x14ac:dyDescent="0.2"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</row>
    <row r="259" spans="7:23" x14ac:dyDescent="0.2"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</row>
    <row r="260" spans="7:23" x14ac:dyDescent="0.2"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</row>
    <row r="261" spans="7:23" x14ac:dyDescent="0.2"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</row>
    <row r="262" spans="7:23" x14ac:dyDescent="0.2"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</row>
    <row r="263" spans="7:23" x14ac:dyDescent="0.2"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</row>
    <row r="264" spans="7:23" x14ac:dyDescent="0.2"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</row>
    <row r="265" spans="7:23" x14ac:dyDescent="0.2"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</row>
    <row r="266" spans="7:23" x14ac:dyDescent="0.2"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</row>
    <row r="267" spans="7:23" x14ac:dyDescent="0.2"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</row>
    <row r="268" spans="7:23" x14ac:dyDescent="0.2"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</row>
    <row r="269" spans="7:23" x14ac:dyDescent="0.2"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</row>
    <row r="270" spans="7:23" x14ac:dyDescent="0.2"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</row>
    <row r="271" spans="7:23" x14ac:dyDescent="0.2"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</row>
    <row r="272" spans="7:23" x14ac:dyDescent="0.2"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</row>
    <row r="273" spans="7:23" x14ac:dyDescent="0.2"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</row>
    <row r="274" spans="7:23" x14ac:dyDescent="0.2"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</row>
    <row r="275" spans="7:23" x14ac:dyDescent="0.2"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</row>
    <row r="276" spans="7:23" x14ac:dyDescent="0.2"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</row>
    <row r="277" spans="7:23" x14ac:dyDescent="0.2"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</row>
    <row r="278" spans="7:23" x14ac:dyDescent="0.2"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</row>
    <row r="279" spans="7:23" x14ac:dyDescent="0.2"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</row>
    <row r="280" spans="7:23" x14ac:dyDescent="0.2"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</row>
    <row r="281" spans="7:23" x14ac:dyDescent="0.2"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</row>
    <row r="282" spans="7:23" x14ac:dyDescent="0.2"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</row>
    <row r="283" spans="7:23" x14ac:dyDescent="0.2"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</row>
    <row r="284" spans="7:23" x14ac:dyDescent="0.2"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</row>
    <row r="285" spans="7:23" x14ac:dyDescent="0.2"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</row>
    <row r="286" spans="7:23" x14ac:dyDescent="0.2"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</row>
    <row r="287" spans="7:23" x14ac:dyDescent="0.2"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</row>
    <row r="288" spans="7:23" x14ac:dyDescent="0.2"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</row>
    <row r="289" spans="7:23" x14ac:dyDescent="0.2"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</row>
    <row r="290" spans="7:23" x14ac:dyDescent="0.2"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</row>
    <row r="291" spans="7:23" x14ac:dyDescent="0.2"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</row>
    <row r="292" spans="7:23" x14ac:dyDescent="0.2"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</row>
    <row r="293" spans="7:23" x14ac:dyDescent="0.2"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</row>
    <row r="294" spans="7:23" x14ac:dyDescent="0.2"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</row>
    <row r="295" spans="7:23" x14ac:dyDescent="0.2"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</row>
    <row r="296" spans="7:23" x14ac:dyDescent="0.2"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</row>
    <row r="297" spans="7:23" x14ac:dyDescent="0.2"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</row>
    <row r="298" spans="7:23" x14ac:dyDescent="0.2"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</row>
    <row r="299" spans="7:23" x14ac:dyDescent="0.2"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</row>
    <row r="300" spans="7:23" x14ac:dyDescent="0.2"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</row>
    <row r="301" spans="7:23" x14ac:dyDescent="0.2"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</row>
    <row r="302" spans="7:23" x14ac:dyDescent="0.2"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</row>
    <row r="303" spans="7:23" x14ac:dyDescent="0.2"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</row>
    <row r="304" spans="7:23" x14ac:dyDescent="0.2"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</row>
    <row r="305" spans="7:23" x14ac:dyDescent="0.2"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</row>
    <row r="306" spans="7:23" x14ac:dyDescent="0.2"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</row>
  </sheetData>
  <mergeCells count="1">
    <mergeCell ref="G6:T6"/>
  </mergeCells>
  <pageMargins left="0.70866141732283472" right="0.70866141732283472" top="0.74803149606299213" bottom="0.74803149606299213" header="0.31496062992125984" footer="0.31496062992125984"/>
  <pageSetup paperSize="9" scale="3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Summary</vt:lpstr>
      <vt:lpstr>Table 1</vt:lpstr>
      <vt:lpstr>Table 2 Pg1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1'!Print_Area</vt:lpstr>
      <vt:lpstr>'Table 3.1'!Print_Area</vt:lpstr>
      <vt:lpstr>'Table 3.2'!Print_Area</vt:lpstr>
      <vt:lpstr>'Table 3.3'!Print_Area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2022-11-30T09:27:34Z</cp:lastPrinted>
  <dcterms:created xsi:type="dcterms:W3CDTF">2022-11-29T10:59:30Z</dcterms:created>
  <dcterms:modified xsi:type="dcterms:W3CDTF">2022-11-30T09:34:13Z</dcterms:modified>
</cp:coreProperties>
</file>